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myrtazova\Desktop\регламенты\Распоряжение-№-188-от-28-декабря-2016-года-1 (1)\"/>
    </mc:Choice>
  </mc:AlternateContent>
  <bookViews>
    <workbookView xWindow="0" yWindow="0" windowWidth="28800" windowHeight="12435" tabRatio="553"/>
  </bookViews>
  <sheets>
    <sheet name="РПЗ" sheetId="1" r:id="rId1"/>
    <sheet name="РПЦЗ" sheetId="7" r:id="rId2"/>
    <sheet name="ПП" sheetId="4" r:id="rId3"/>
    <sheet name="Отчет РПЗ(ПЗ)_ПЗИП" sheetId="2" r:id="rId4"/>
    <sheet name="Отчет о ПП" sheetId="5" r:id="rId5"/>
    <sheet name="Коды заказчиков" sheetId="9" r:id="rId6"/>
    <sheet name="Справочно" sheetId="3" r:id="rId7"/>
  </sheets>
  <externalReferences>
    <externalReference r:id="rId8"/>
  </externalReferences>
  <definedNames>
    <definedName name="_xlnm._FilterDatabase" localSheetId="0" hidden="1">РПЗ!$A$15:$AC$50</definedName>
    <definedName name="Диапазон1" localSheetId="5">[1]РПЗ!$A:$A</definedName>
    <definedName name="Диапазон1">РПЗ!$A:$A</definedName>
    <definedName name="Источник_112">Справочно!$K$3:$K$100</definedName>
  </definedNames>
  <calcPr calcId="152511"/>
</workbook>
</file>

<file path=xl/calcChain.xml><?xml version="1.0" encoding="utf-8"?>
<calcChain xmlns="http://schemas.openxmlformats.org/spreadsheetml/2006/main">
  <c r="B1" i="9" l="1"/>
  <c r="G107" i="5" l="1"/>
  <c r="E87" i="4"/>
  <c r="E86" i="4"/>
  <c r="E85" i="4"/>
  <c r="E84" i="4"/>
  <c r="W16" i="2" l="1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U16" i="2" l="1"/>
  <c r="A51" i="2"/>
  <c r="B51" i="2"/>
  <c r="C51" i="2"/>
  <c r="D51" i="2"/>
  <c r="F51" i="2"/>
  <c r="H51" i="2"/>
  <c r="I51" i="2"/>
  <c r="J51" i="2"/>
  <c r="K51" i="2"/>
  <c r="M51" i="2"/>
  <c r="U51" i="2"/>
  <c r="AH51" i="2"/>
  <c r="AO51" i="2"/>
  <c r="AP51" i="2"/>
  <c r="B24" i="4"/>
  <c r="AE51" i="1"/>
  <c r="D85" i="4"/>
  <c r="E108" i="5" s="1"/>
  <c r="D84" i="4"/>
  <c r="E107" i="5" s="1"/>
  <c r="B87" i="4"/>
  <c r="C110" i="5" s="1"/>
  <c r="B85" i="4"/>
  <c r="C108" i="5" s="1"/>
  <c r="B84" i="4"/>
  <c r="C107" i="5" s="1"/>
  <c r="D87" i="4"/>
  <c r="E110" i="5" s="1"/>
  <c r="F107" i="5" l="1"/>
  <c r="F108" i="5"/>
  <c r="F110" i="5"/>
  <c r="AI51" i="2"/>
  <c r="AQ51" i="2"/>
  <c r="F109" i="5" l="1"/>
  <c r="B86" i="4" l="1"/>
  <c r="C109" i="5" s="1"/>
  <c r="D86" i="4"/>
  <c r="E109" i="5" s="1"/>
  <c r="F73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2" i="4"/>
  <c r="A63" i="4"/>
  <c r="A64" i="4"/>
  <c r="A65" i="4"/>
  <c r="A66" i="4"/>
  <c r="A67" i="4"/>
  <c r="A68" i="4"/>
  <c r="D68" i="4"/>
  <c r="D67" i="4"/>
  <c r="D66" i="4"/>
  <c r="D65" i="4"/>
  <c r="D64" i="4"/>
  <c r="D63" i="4"/>
  <c r="B68" i="4"/>
  <c r="B67" i="4"/>
  <c r="B66" i="4"/>
  <c r="B65" i="4"/>
  <c r="B64" i="4"/>
  <c r="B63" i="4"/>
  <c r="D62" i="4"/>
  <c r="B62" i="4"/>
  <c r="D61" i="4"/>
  <c r="B61" i="4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BP107" i="5" l="1"/>
  <c r="AF107" i="5"/>
  <c r="BP110" i="5"/>
  <c r="BP108" i="5"/>
  <c r="AZ107" i="5"/>
  <c r="T107" i="5"/>
  <c r="AR108" i="5"/>
  <c r="AR107" i="5"/>
  <c r="L107" i="5"/>
  <c r="P108" i="5"/>
  <c r="AB107" i="5"/>
  <c r="BL108" i="5"/>
  <c r="H107" i="5"/>
  <c r="BH107" i="5"/>
  <c r="AZ108" i="5"/>
  <c r="AB108" i="5"/>
  <c r="H110" i="5"/>
  <c r="AZ110" i="5"/>
  <c r="BH110" i="5"/>
  <c r="L108" i="5"/>
  <c r="T108" i="5"/>
  <c r="BL107" i="5"/>
  <c r="AJ108" i="5"/>
  <c r="AB110" i="5"/>
  <c r="AF110" i="5"/>
  <c r="BH108" i="5"/>
  <c r="P107" i="5"/>
  <c r="AF108" i="5"/>
  <c r="AV107" i="5"/>
  <c r="AV108" i="5"/>
  <c r="T110" i="5"/>
  <c r="L110" i="5"/>
  <c r="BL110" i="5"/>
  <c r="AJ107" i="5"/>
  <c r="AR110" i="5"/>
  <c r="P110" i="5"/>
  <c r="H108" i="5"/>
  <c r="H109" i="5" s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17" i="1"/>
  <c r="AE16" i="1"/>
  <c r="AZ109" i="5" l="1"/>
  <c r="BT108" i="5"/>
  <c r="BL109" i="5"/>
  <c r="AR109" i="5"/>
  <c r="AJ109" i="5"/>
  <c r="X110" i="5"/>
  <c r="AF109" i="5"/>
  <c r="L109" i="5"/>
  <c r="X108" i="5"/>
  <c r="AN108" i="5"/>
  <c r="P109" i="5"/>
  <c r="BT110" i="5"/>
  <c r="AN107" i="5"/>
  <c r="AB109" i="5"/>
  <c r="BD108" i="5"/>
  <c r="BH109" i="5"/>
  <c r="BT107" i="5"/>
  <c r="BD107" i="5"/>
  <c r="AV109" i="5"/>
  <c r="T109" i="5"/>
  <c r="X107" i="5"/>
  <c r="BP109" i="5"/>
  <c r="AJ87" i="4"/>
  <c r="Z87" i="4"/>
  <c r="R87" i="4"/>
  <c r="H87" i="4"/>
  <c r="AE87" i="4"/>
  <c r="S87" i="4"/>
  <c r="I87" i="4"/>
  <c r="AH87" i="4"/>
  <c r="X87" i="4"/>
  <c r="P87" i="4"/>
  <c r="G87" i="4"/>
  <c r="AA87" i="4"/>
  <c r="Q87" i="4"/>
  <c r="AF87" i="4"/>
  <c r="AL87" i="4" s="1"/>
  <c r="L87" i="4"/>
  <c r="AI87" i="4"/>
  <c r="Y87" i="4"/>
  <c r="O87" i="4"/>
  <c r="AB87" i="4"/>
  <c r="T87" i="4"/>
  <c r="J87" i="4"/>
  <c r="AG87" i="4"/>
  <c r="W87" i="4"/>
  <c r="K87" i="4"/>
  <c r="AB84" i="4"/>
  <c r="R84" i="4"/>
  <c r="H84" i="4"/>
  <c r="AJ84" i="4"/>
  <c r="Z84" i="4"/>
  <c r="P84" i="4"/>
  <c r="AH84" i="4"/>
  <c r="X84" i="4"/>
  <c r="L84" i="4"/>
  <c r="AG84" i="4"/>
  <c r="W84" i="4"/>
  <c r="K84" i="4"/>
  <c r="AF84" i="4"/>
  <c r="T84" i="4"/>
  <c r="J84" i="4"/>
  <c r="AE84" i="4"/>
  <c r="S84" i="4"/>
  <c r="I84" i="4"/>
  <c r="AA84" i="4"/>
  <c r="Q84" i="4"/>
  <c r="G84" i="4"/>
  <c r="AI84" i="4"/>
  <c r="Y84" i="4"/>
  <c r="O84" i="4"/>
  <c r="AF85" i="4"/>
  <c r="W85" i="4"/>
  <c r="L85" i="4"/>
  <c r="AE85" i="4"/>
  <c r="Q85" i="4"/>
  <c r="AB85" i="4"/>
  <c r="T85" i="4"/>
  <c r="J85" i="4"/>
  <c r="AJ85" i="4"/>
  <c r="Z85" i="4"/>
  <c r="R85" i="4"/>
  <c r="H85" i="4"/>
  <c r="AI85" i="4"/>
  <c r="Y85" i="4"/>
  <c r="K85" i="4"/>
  <c r="AH85" i="4"/>
  <c r="X85" i="4"/>
  <c r="P85" i="4"/>
  <c r="V85" i="4" s="1"/>
  <c r="G85" i="4"/>
  <c r="AG85" i="4"/>
  <c r="S85" i="4"/>
  <c r="I85" i="4"/>
  <c r="AA85" i="4"/>
  <c r="O85" i="4"/>
  <c r="U85" i="4" s="1"/>
  <c r="AJ73" i="4"/>
  <c r="AF73" i="4"/>
  <c r="Z73" i="4"/>
  <c r="T73" i="4"/>
  <c r="P73" i="4"/>
  <c r="J73" i="4"/>
  <c r="AA73" i="4"/>
  <c r="G73" i="4"/>
  <c r="AI73" i="4"/>
  <c r="AE73" i="4"/>
  <c r="Y73" i="4"/>
  <c r="S73" i="4"/>
  <c r="O73" i="4"/>
  <c r="I73" i="4"/>
  <c r="W73" i="4"/>
  <c r="Q73" i="4"/>
  <c r="AH73" i="4"/>
  <c r="AB73" i="4"/>
  <c r="X73" i="4"/>
  <c r="R73" i="4"/>
  <c r="L73" i="4"/>
  <c r="H73" i="4"/>
  <c r="AG73" i="4"/>
  <c r="K73" i="4"/>
  <c r="AJ74" i="4"/>
  <c r="AH74" i="4"/>
  <c r="AF74" i="4"/>
  <c r="Z74" i="4"/>
  <c r="R74" i="4"/>
  <c r="P74" i="4"/>
  <c r="AB74" i="4"/>
  <c r="X74" i="4"/>
  <c r="T74" i="4"/>
  <c r="H74" i="4"/>
  <c r="G44" i="4"/>
  <c r="W74" i="4"/>
  <c r="AE74" i="4"/>
  <c r="AA74" i="4"/>
  <c r="AI74" i="4"/>
  <c r="AG74" i="4"/>
  <c r="Y74" i="4"/>
  <c r="S74" i="4"/>
  <c r="Q74" i="4"/>
  <c r="O74" i="4"/>
  <c r="O75" i="4" s="1"/>
  <c r="K74" i="4"/>
  <c r="I74" i="4"/>
  <c r="G74" i="4"/>
  <c r="L74" i="4"/>
  <c r="J74" i="4"/>
  <c r="AH65" i="4"/>
  <c r="AJ65" i="4"/>
  <c r="AF65" i="4"/>
  <c r="AB65" i="4"/>
  <c r="J65" i="4"/>
  <c r="X65" i="4"/>
  <c r="L65" i="4"/>
  <c r="Z65" i="4"/>
  <c r="T65" i="4"/>
  <c r="P65" i="4"/>
  <c r="R65" i="4"/>
  <c r="AF53" i="4"/>
  <c r="AH53" i="4"/>
  <c r="AJ53" i="4"/>
  <c r="AB53" i="4"/>
  <c r="Z53" i="4"/>
  <c r="T53" i="4"/>
  <c r="P53" i="4"/>
  <c r="J53" i="4"/>
  <c r="L53" i="4"/>
  <c r="X53" i="4"/>
  <c r="R53" i="4"/>
  <c r="AF64" i="4"/>
  <c r="AH64" i="4"/>
  <c r="AJ64" i="4"/>
  <c r="AB64" i="4"/>
  <c r="Z64" i="4"/>
  <c r="X64" i="4"/>
  <c r="T64" i="4"/>
  <c r="R64" i="4"/>
  <c r="P64" i="4"/>
  <c r="L64" i="4"/>
  <c r="J64" i="4"/>
  <c r="AF60" i="4"/>
  <c r="AH60" i="4"/>
  <c r="AJ60" i="4"/>
  <c r="AB60" i="4"/>
  <c r="Z60" i="4"/>
  <c r="X60" i="4"/>
  <c r="T60" i="4"/>
  <c r="R60" i="4"/>
  <c r="P60" i="4"/>
  <c r="L60" i="4"/>
  <c r="J60" i="4"/>
  <c r="AF52" i="4"/>
  <c r="AH52" i="4"/>
  <c r="AJ52" i="4"/>
  <c r="AB52" i="4"/>
  <c r="Z52" i="4"/>
  <c r="X52" i="4"/>
  <c r="T52" i="4"/>
  <c r="R52" i="4"/>
  <c r="P52" i="4"/>
  <c r="L52" i="4"/>
  <c r="J52" i="4"/>
  <c r="AF48" i="4"/>
  <c r="AH48" i="4"/>
  <c r="AJ48" i="4"/>
  <c r="AB48" i="4"/>
  <c r="Z48" i="4"/>
  <c r="X48" i="4"/>
  <c r="T48" i="4"/>
  <c r="R48" i="4"/>
  <c r="P48" i="4"/>
  <c r="L48" i="4"/>
  <c r="J48" i="4"/>
  <c r="AF67" i="4"/>
  <c r="AH67" i="4"/>
  <c r="AJ67" i="4"/>
  <c r="AB67" i="4"/>
  <c r="Z67" i="4"/>
  <c r="X67" i="4"/>
  <c r="T67" i="4"/>
  <c r="R67" i="4"/>
  <c r="P67" i="4"/>
  <c r="L67" i="4"/>
  <c r="J67" i="4"/>
  <c r="AF63" i="4"/>
  <c r="AH63" i="4"/>
  <c r="AJ63" i="4"/>
  <c r="AB63" i="4"/>
  <c r="Z63" i="4"/>
  <c r="X63" i="4"/>
  <c r="T63" i="4"/>
  <c r="R63" i="4"/>
  <c r="P63" i="4"/>
  <c r="L63" i="4"/>
  <c r="J63" i="4"/>
  <c r="AF59" i="4"/>
  <c r="AH59" i="4"/>
  <c r="AJ59" i="4"/>
  <c r="AB59" i="4"/>
  <c r="Z59" i="4"/>
  <c r="X59" i="4"/>
  <c r="T59" i="4"/>
  <c r="R59" i="4"/>
  <c r="P59" i="4"/>
  <c r="L59" i="4"/>
  <c r="J59" i="4"/>
  <c r="AF55" i="4"/>
  <c r="AH55" i="4"/>
  <c r="AJ55" i="4"/>
  <c r="AB55" i="4"/>
  <c r="Z55" i="4"/>
  <c r="X55" i="4"/>
  <c r="T55" i="4"/>
  <c r="R55" i="4"/>
  <c r="P55" i="4"/>
  <c r="L55" i="4"/>
  <c r="J55" i="4"/>
  <c r="AF51" i="4"/>
  <c r="AH51" i="4"/>
  <c r="AJ51" i="4"/>
  <c r="AB51" i="4"/>
  <c r="Z51" i="4"/>
  <c r="X51" i="4"/>
  <c r="T51" i="4"/>
  <c r="R51" i="4"/>
  <c r="P51" i="4"/>
  <c r="L51" i="4"/>
  <c r="J51" i="4"/>
  <c r="AF47" i="4"/>
  <c r="AH47" i="4"/>
  <c r="AJ47" i="4"/>
  <c r="AB47" i="4"/>
  <c r="Z47" i="4"/>
  <c r="X47" i="4"/>
  <c r="T47" i="4"/>
  <c r="R47" i="4"/>
  <c r="P47" i="4"/>
  <c r="L47" i="4"/>
  <c r="J47" i="4"/>
  <c r="AF61" i="4"/>
  <c r="AH61" i="4"/>
  <c r="AJ61" i="4"/>
  <c r="AB61" i="4"/>
  <c r="X61" i="4"/>
  <c r="R61" i="4"/>
  <c r="L61" i="4"/>
  <c r="Z61" i="4"/>
  <c r="T61" i="4"/>
  <c r="P61" i="4"/>
  <c r="J61" i="4"/>
  <c r="AH57" i="4"/>
  <c r="AJ57" i="4"/>
  <c r="AB57" i="4"/>
  <c r="AF57" i="4"/>
  <c r="T57" i="4"/>
  <c r="J57" i="4"/>
  <c r="X57" i="4"/>
  <c r="R57" i="4"/>
  <c r="L57" i="4"/>
  <c r="Z57" i="4"/>
  <c r="P57" i="4"/>
  <c r="AF49" i="4"/>
  <c r="AH49" i="4"/>
  <c r="AJ49" i="4"/>
  <c r="AB49" i="4"/>
  <c r="R49" i="4"/>
  <c r="L49" i="4"/>
  <c r="Z49" i="4"/>
  <c r="T49" i="4"/>
  <c r="P49" i="4"/>
  <c r="J49" i="4"/>
  <c r="X49" i="4"/>
  <c r="AF68" i="4"/>
  <c r="AH68" i="4"/>
  <c r="AJ68" i="4"/>
  <c r="AB68" i="4"/>
  <c r="Z68" i="4"/>
  <c r="X68" i="4"/>
  <c r="T68" i="4"/>
  <c r="R68" i="4"/>
  <c r="P68" i="4"/>
  <c r="L68" i="4"/>
  <c r="J68" i="4"/>
  <c r="AF56" i="4"/>
  <c r="AH56" i="4"/>
  <c r="AJ56" i="4"/>
  <c r="AB56" i="4"/>
  <c r="Z56" i="4"/>
  <c r="X56" i="4"/>
  <c r="T56" i="4"/>
  <c r="R56" i="4"/>
  <c r="P56" i="4"/>
  <c r="L56" i="4"/>
  <c r="J56" i="4"/>
  <c r="AF45" i="4"/>
  <c r="AH45" i="4"/>
  <c r="AJ45" i="4"/>
  <c r="AB45" i="4"/>
  <c r="X45" i="4"/>
  <c r="R45" i="4"/>
  <c r="L45" i="4"/>
  <c r="J45" i="4"/>
  <c r="Z45" i="4"/>
  <c r="T45" i="4"/>
  <c r="P45" i="4"/>
  <c r="AF66" i="4"/>
  <c r="AH66" i="4"/>
  <c r="AJ66" i="4"/>
  <c r="AB66" i="4"/>
  <c r="Z66" i="4"/>
  <c r="X66" i="4"/>
  <c r="T66" i="4"/>
  <c r="R66" i="4"/>
  <c r="P66" i="4"/>
  <c r="L66" i="4"/>
  <c r="J66" i="4"/>
  <c r="J62" i="4"/>
  <c r="AF62" i="4"/>
  <c r="AH62" i="4"/>
  <c r="AJ62" i="4"/>
  <c r="AB62" i="4"/>
  <c r="Z62" i="4"/>
  <c r="X62" i="4"/>
  <c r="T62" i="4"/>
  <c r="R62" i="4"/>
  <c r="P62" i="4"/>
  <c r="L62" i="4"/>
  <c r="J58" i="4"/>
  <c r="AF58" i="4"/>
  <c r="AH58" i="4"/>
  <c r="AJ58" i="4"/>
  <c r="AB58" i="4"/>
  <c r="Z58" i="4"/>
  <c r="X58" i="4"/>
  <c r="T58" i="4"/>
  <c r="R58" i="4"/>
  <c r="P58" i="4"/>
  <c r="L58" i="4"/>
  <c r="J54" i="4"/>
  <c r="AF54" i="4"/>
  <c r="AH54" i="4"/>
  <c r="AJ54" i="4"/>
  <c r="AB54" i="4"/>
  <c r="Z54" i="4"/>
  <c r="X54" i="4"/>
  <c r="T54" i="4"/>
  <c r="R54" i="4"/>
  <c r="P54" i="4"/>
  <c r="L54" i="4"/>
  <c r="J50" i="4"/>
  <c r="AF50" i="4"/>
  <c r="AH50" i="4"/>
  <c r="AJ50" i="4"/>
  <c r="AB50" i="4"/>
  <c r="Z50" i="4"/>
  <c r="X50" i="4"/>
  <c r="T50" i="4"/>
  <c r="R50" i="4"/>
  <c r="P50" i="4"/>
  <c r="L50" i="4"/>
  <c r="J46" i="4"/>
  <c r="AF46" i="4"/>
  <c r="AH46" i="4"/>
  <c r="AJ46" i="4"/>
  <c r="AB46" i="4"/>
  <c r="Z46" i="4"/>
  <c r="X46" i="4"/>
  <c r="T46" i="4"/>
  <c r="R46" i="4"/>
  <c r="P46" i="4"/>
  <c r="L46" i="4"/>
  <c r="AF44" i="4"/>
  <c r="AH44" i="4"/>
  <c r="X44" i="4"/>
  <c r="J44" i="4"/>
  <c r="R44" i="4"/>
  <c r="AJ44" i="4"/>
  <c r="T44" i="4"/>
  <c r="P44" i="4"/>
  <c r="AB44" i="4"/>
  <c r="L44" i="4"/>
  <c r="Z44" i="4"/>
  <c r="I25" i="4"/>
  <c r="Q53" i="4"/>
  <c r="AI53" i="4"/>
  <c r="AG53" i="4"/>
  <c r="AE53" i="4"/>
  <c r="Y53" i="4"/>
  <c r="S53" i="4"/>
  <c r="O53" i="4"/>
  <c r="I53" i="4"/>
  <c r="AA53" i="4"/>
  <c r="W53" i="4"/>
  <c r="K53" i="4"/>
  <c r="AI68" i="4"/>
  <c r="AG68" i="4"/>
  <c r="AE68" i="4"/>
  <c r="AA68" i="4"/>
  <c r="Y68" i="4"/>
  <c r="W68" i="4"/>
  <c r="S68" i="4"/>
  <c r="O68" i="4"/>
  <c r="K68" i="4"/>
  <c r="I68" i="4"/>
  <c r="H68" i="4"/>
  <c r="Q68" i="4"/>
  <c r="G68" i="4"/>
  <c r="AI64" i="4"/>
  <c r="AG64" i="4"/>
  <c r="AE64" i="4"/>
  <c r="AA64" i="4"/>
  <c r="Y64" i="4"/>
  <c r="W64" i="4"/>
  <c r="S64" i="4"/>
  <c r="O64" i="4"/>
  <c r="K64" i="4"/>
  <c r="I64" i="4"/>
  <c r="H64" i="4"/>
  <c r="Q64" i="4"/>
  <c r="G64" i="4"/>
  <c r="H32" i="4"/>
  <c r="AI60" i="4"/>
  <c r="AG60" i="4"/>
  <c r="AE60" i="4"/>
  <c r="AA60" i="4"/>
  <c r="Y60" i="4"/>
  <c r="W60" i="4"/>
  <c r="S60" i="4"/>
  <c r="O60" i="4"/>
  <c r="K60" i="4"/>
  <c r="I60" i="4"/>
  <c r="H60" i="4"/>
  <c r="Q60" i="4"/>
  <c r="G60" i="4"/>
  <c r="H28" i="4"/>
  <c r="AI56" i="4"/>
  <c r="AG56" i="4"/>
  <c r="AE56" i="4"/>
  <c r="AA56" i="4"/>
  <c r="Y56" i="4"/>
  <c r="W56" i="4"/>
  <c r="S56" i="4"/>
  <c r="Q56" i="4"/>
  <c r="O56" i="4"/>
  <c r="K56" i="4"/>
  <c r="I56" i="4"/>
  <c r="AI52" i="4"/>
  <c r="AG52" i="4"/>
  <c r="AE52" i="4"/>
  <c r="AA52" i="4"/>
  <c r="Y52" i="4"/>
  <c r="W52" i="4"/>
  <c r="S52" i="4"/>
  <c r="O52" i="4"/>
  <c r="K52" i="4"/>
  <c r="I52" i="4"/>
  <c r="Q52" i="4"/>
  <c r="H52" i="4"/>
  <c r="G52" i="4"/>
  <c r="I20" i="4"/>
  <c r="AI48" i="4"/>
  <c r="AG48" i="4"/>
  <c r="AE48" i="4"/>
  <c r="AA48" i="4"/>
  <c r="Y48" i="4"/>
  <c r="W48" i="4"/>
  <c r="S48" i="4"/>
  <c r="O48" i="4"/>
  <c r="K48" i="4"/>
  <c r="I48" i="4"/>
  <c r="Q48" i="4"/>
  <c r="H48" i="4"/>
  <c r="G48" i="4"/>
  <c r="Q65" i="4"/>
  <c r="G65" i="4"/>
  <c r="AI65" i="4"/>
  <c r="AG65" i="4"/>
  <c r="AA65" i="4"/>
  <c r="H65" i="4"/>
  <c r="AE65" i="4"/>
  <c r="Y65" i="4"/>
  <c r="S65" i="4"/>
  <c r="O65" i="4"/>
  <c r="I65" i="4"/>
  <c r="W65" i="4"/>
  <c r="K65" i="4"/>
  <c r="I29" i="4"/>
  <c r="Q57" i="4"/>
  <c r="G57" i="4"/>
  <c r="AG57" i="4"/>
  <c r="AI57" i="4"/>
  <c r="AA57" i="4"/>
  <c r="W57" i="4"/>
  <c r="K57" i="4"/>
  <c r="H57" i="4"/>
  <c r="AE57" i="4"/>
  <c r="Y57" i="4"/>
  <c r="S57" i="4"/>
  <c r="O57" i="4"/>
  <c r="I57" i="4"/>
  <c r="H45" i="4"/>
  <c r="K45" i="4"/>
  <c r="AI45" i="4"/>
  <c r="AG45" i="4"/>
  <c r="AA45" i="4"/>
  <c r="W45" i="4"/>
  <c r="Q45" i="4"/>
  <c r="AE45" i="4"/>
  <c r="Y45" i="4"/>
  <c r="S45" i="4"/>
  <c r="O45" i="4"/>
  <c r="I45" i="4"/>
  <c r="G45" i="4"/>
  <c r="G67" i="4"/>
  <c r="AI67" i="4"/>
  <c r="AG67" i="4"/>
  <c r="AE67" i="4"/>
  <c r="AA67" i="4"/>
  <c r="Y67" i="4"/>
  <c r="W67" i="4"/>
  <c r="S67" i="4"/>
  <c r="O67" i="4"/>
  <c r="K67" i="4"/>
  <c r="I67" i="4"/>
  <c r="H67" i="4"/>
  <c r="Q67" i="4"/>
  <c r="G63" i="4"/>
  <c r="AI63" i="4"/>
  <c r="AG63" i="4"/>
  <c r="AE63" i="4"/>
  <c r="AA63" i="4"/>
  <c r="Y63" i="4"/>
  <c r="W63" i="4"/>
  <c r="S63" i="4"/>
  <c r="O63" i="4"/>
  <c r="K63" i="4"/>
  <c r="I63" i="4"/>
  <c r="H63" i="4"/>
  <c r="Q63" i="4"/>
  <c r="I31" i="4"/>
  <c r="AI59" i="4"/>
  <c r="AG59" i="4"/>
  <c r="AE59" i="4"/>
  <c r="AA59" i="4"/>
  <c r="Y59" i="4"/>
  <c r="W59" i="4"/>
  <c r="S59" i="4"/>
  <c r="O59" i="4"/>
  <c r="K59" i="4"/>
  <c r="I59" i="4"/>
  <c r="H59" i="4"/>
  <c r="Q59" i="4"/>
  <c r="G59" i="4"/>
  <c r="I27" i="4"/>
  <c r="H55" i="4"/>
  <c r="AI55" i="4"/>
  <c r="AG55" i="4"/>
  <c r="AE55" i="4"/>
  <c r="AA55" i="4"/>
  <c r="Y55" i="4"/>
  <c r="W55" i="4"/>
  <c r="S55" i="4"/>
  <c r="O55" i="4"/>
  <c r="K55" i="4"/>
  <c r="I55" i="4"/>
  <c r="Q55" i="4"/>
  <c r="G55" i="4"/>
  <c r="H23" i="4"/>
  <c r="AI51" i="4"/>
  <c r="AG51" i="4"/>
  <c r="AE51" i="4"/>
  <c r="AA51" i="4"/>
  <c r="Y51" i="4"/>
  <c r="W51" i="4"/>
  <c r="S51" i="4"/>
  <c r="O51" i="4"/>
  <c r="K51" i="4"/>
  <c r="I51" i="4"/>
  <c r="G51" i="4"/>
  <c r="Q51" i="4"/>
  <c r="H51" i="4"/>
  <c r="H19" i="4"/>
  <c r="AI47" i="4"/>
  <c r="AG47" i="4"/>
  <c r="AE47" i="4"/>
  <c r="AA47" i="4"/>
  <c r="Y47" i="4"/>
  <c r="W47" i="4"/>
  <c r="S47" i="4"/>
  <c r="O47" i="4"/>
  <c r="K47" i="4"/>
  <c r="I47" i="4"/>
  <c r="G47" i="4"/>
  <c r="Q47" i="4"/>
  <c r="H47" i="4"/>
  <c r="Q61" i="4"/>
  <c r="H61" i="4"/>
  <c r="G61" i="4"/>
  <c r="AI61" i="4"/>
  <c r="AG61" i="4"/>
  <c r="AA61" i="4"/>
  <c r="W61" i="4"/>
  <c r="K61" i="4"/>
  <c r="AE61" i="4"/>
  <c r="Y61" i="4"/>
  <c r="S61" i="4"/>
  <c r="O61" i="4"/>
  <c r="I61" i="4"/>
  <c r="H21" i="4"/>
  <c r="Q49" i="4"/>
  <c r="H49" i="4"/>
  <c r="AG49" i="4"/>
  <c r="AI49" i="4"/>
  <c r="G49" i="4"/>
  <c r="W49" i="4"/>
  <c r="K49" i="4"/>
  <c r="AE49" i="4"/>
  <c r="Y49" i="4"/>
  <c r="S49" i="4"/>
  <c r="O49" i="4"/>
  <c r="I49" i="4"/>
  <c r="AA49" i="4"/>
  <c r="G66" i="4"/>
  <c r="AI66" i="4"/>
  <c r="AG66" i="4"/>
  <c r="AE66" i="4"/>
  <c r="AA66" i="4"/>
  <c r="Y66" i="4"/>
  <c r="W66" i="4"/>
  <c r="S66" i="4"/>
  <c r="O66" i="4"/>
  <c r="K66" i="4"/>
  <c r="I66" i="4"/>
  <c r="H66" i="4"/>
  <c r="Q66" i="4"/>
  <c r="G62" i="4"/>
  <c r="AI62" i="4"/>
  <c r="AG62" i="4"/>
  <c r="AE62" i="4"/>
  <c r="AA62" i="4"/>
  <c r="Y62" i="4"/>
  <c r="W62" i="4"/>
  <c r="S62" i="4"/>
  <c r="O62" i="4"/>
  <c r="K62" i="4"/>
  <c r="I62" i="4"/>
  <c r="H62" i="4"/>
  <c r="Q62" i="4"/>
  <c r="G58" i="4"/>
  <c r="AI58" i="4"/>
  <c r="AG58" i="4"/>
  <c r="AE58" i="4"/>
  <c r="AA58" i="4"/>
  <c r="Y58" i="4"/>
  <c r="W58" i="4"/>
  <c r="S58" i="4"/>
  <c r="O58" i="4"/>
  <c r="K58" i="4"/>
  <c r="I58" i="4"/>
  <c r="H58" i="4"/>
  <c r="Q58" i="4"/>
  <c r="H54" i="4"/>
  <c r="AI54" i="4"/>
  <c r="AG54" i="4"/>
  <c r="AE54" i="4"/>
  <c r="AA54" i="4"/>
  <c r="Y54" i="4"/>
  <c r="W54" i="4"/>
  <c r="S54" i="4"/>
  <c r="O54" i="4"/>
  <c r="K54" i="4"/>
  <c r="I54" i="4"/>
  <c r="Q54" i="4"/>
  <c r="G54" i="4"/>
  <c r="H50" i="4"/>
  <c r="AI50" i="4"/>
  <c r="AG50" i="4"/>
  <c r="AE50" i="4"/>
  <c r="AA50" i="4"/>
  <c r="Y50" i="4"/>
  <c r="W50" i="4"/>
  <c r="S50" i="4"/>
  <c r="O50" i="4"/>
  <c r="K50" i="4"/>
  <c r="I50" i="4"/>
  <c r="G50" i="4"/>
  <c r="Q50" i="4"/>
  <c r="Q46" i="4"/>
  <c r="H46" i="4"/>
  <c r="AI46" i="4"/>
  <c r="AG46" i="4"/>
  <c r="AE46" i="4"/>
  <c r="AA46" i="4"/>
  <c r="Y46" i="4"/>
  <c r="W46" i="4"/>
  <c r="S46" i="4"/>
  <c r="O46" i="4"/>
  <c r="I46" i="4"/>
  <c r="G46" i="4"/>
  <c r="K46" i="4"/>
  <c r="AE44" i="4"/>
  <c r="AI44" i="4"/>
  <c r="W44" i="4"/>
  <c r="O44" i="4"/>
  <c r="AA44" i="4"/>
  <c r="S44" i="4"/>
  <c r="K44" i="4"/>
  <c r="H44" i="4"/>
  <c r="AG44" i="4"/>
  <c r="Y44" i="4"/>
  <c r="Q44" i="4"/>
  <c r="I44" i="4"/>
  <c r="I17" i="4"/>
  <c r="H56" i="4"/>
  <c r="G56" i="4"/>
  <c r="G53" i="4"/>
  <c r="H53" i="4"/>
  <c r="H31" i="4"/>
  <c r="AJ34" i="4"/>
  <c r="AH34" i="4"/>
  <c r="AA34" i="4"/>
  <c r="T34" i="4"/>
  <c r="Q34" i="4"/>
  <c r="P34" i="4"/>
  <c r="AF34" i="4"/>
  <c r="AI34" i="4"/>
  <c r="Y34" i="4"/>
  <c r="S34" i="4"/>
  <c r="O34" i="4"/>
  <c r="AB34" i="4"/>
  <c r="AG34" i="4"/>
  <c r="X34" i="4"/>
  <c r="R34" i="4"/>
  <c r="L34" i="4"/>
  <c r="Z34" i="4"/>
  <c r="J34" i="4"/>
  <c r="W34" i="4"/>
  <c r="AE34" i="4"/>
  <c r="I34" i="4"/>
  <c r="K34" i="4"/>
  <c r="AJ30" i="4"/>
  <c r="AH30" i="4"/>
  <c r="AA30" i="4"/>
  <c r="T30" i="4"/>
  <c r="Q30" i="4"/>
  <c r="P30" i="4"/>
  <c r="AF30" i="4"/>
  <c r="AI30" i="4"/>
  <c r="Y30" i="4"/>
  <c r="S30" i="4"/>
  <c r="O30" i="4"/>
  <c r="AB30" i="4"/>
  <c r="AG30" i="4"/>
  <c r="X30" i="4"/>
  <c r="R30" i="4"/>
  <c r="L30" i="4"/>
  <c r="W30" i="4"/>
  <c r="K30" i="4"/>
  <c r="J30" i="4"/>
  <c r="Z30" i="4"/>
  <c r="AE30" i="4"/>
  <c r="AJ26" i="4"/>
  <c r="AH26" i="4"/>
  <c r="AA26" i="4"/>
  <c r="T26" i="4"/>
  <c r="W26" i="4"/>
  <c r="Q26" i="4"/>
  <c r="P26" i="4"/>
  <c r="AF26" i="4"/>
  <c r="AI26" i="4"/>
  <c r="Y26" i="4"/>
  <c r="S26" i="4"/>
  <c r="O26" i="4"/>
  <c r="AB26" i="4"/>
  <c r="AG26" i="4"/>
  <c r="X26" i="4"/>
  <c r="R26" i="4"/>
  <c r="L26" i="4"/>
  <c r="J26" i="4"/>
  <c r="Z26" i="4"/>
  <c r="K26" i="4"/>
  <c r="AE26" i="4"/>
  <c r="AB18" i="4"/>
  <c r="AG18" i="4"/>
  <c r="X18" i="4"/>
  <c r="R18" i="4"/>
  <c r="L18" i="4"/>
  <c r="Z18" i="4"/>
  <c r="AE18" i="4"/>
  <c r="K18" i="4"/>
  <c r="AJ18" i="4"/>
  <c r="AH18" i="4"/>
  <c r="AA18" i="4"/>
  <c r="T18" i="4"/>
  <c r="Q18" i="4"/>
  <c r="P18" i="4"/>
  <c r="AI18" i="4"/>
  <c r="Y18" i="4"/>
  <c r="W18" i="4"/>
  <c r="S18" i="4"/>
  <c r="J18" i="4"/>
  <c r="AF18" i="4"/>
  <c r="O18" i="4"/>
  <c r="I26" i="4"/>
  <c r="I30" i="4"/>
  <c r="H18" i="4"/>
  <c r="H17" i="4"/>
  <c r="H27" i="4"/>
  <c r="Z33" i="4"/>
  <c r="AE33" i="4"/>
  <c r="W33" i="4"/>
  <c r="AJ33" i="4"/>
  <c r="AH33" i="4"/>
  <c r="AA33" i="4"/>
  <c r="T33" i="4"/>
  <c r="Q33" i="4"/>
  <c r="P33" i="4"/>
  <c r="AF33" i="4"/>
  <c r="AI33" i="4"/>
  <c r="Y33" i="4"/>
  <c r="S33" i="4"/>
  <c r="O33" i="4"/>
  <c r="AB33" i="4"/>
  <c r="L33" i="4"/>
  <c r="I33" i="4"/>
  <c r="AG33" i="4"/>
  <c r="J33" i="4"/>
  <c r="R33" i="4"/>
  <c r="X33" i="4"/>
  <c r="K33" i="4"/>
  <c r="Z29" i="4"/>
  <c r="AE29" i="4"/>
  <c r="W29" i="4"/>
  <c r="AJ29" i="4"/>
  <c r="AH29" i="4"/>
  <c r="AA29" i="4"/>
  <c r="T29" i="4"/>
  <c r="Q29" i="4"/>
  <c r="P29" i="4"/>
  <c r="AF29" i="4"/>
  <c r="AI29" i="4"/>
  <c r="Y29" i="4"/>
  <c r="S29" i="4"/>
  <c r="O29" i="4"/>
  <c r="R29" i="4"/>
  <c r="K29" i="4"/>
  <c r="AB29" i="4"/>
  <c r="L29" i="4"/>
  <c r="J29" i="4"/>
  <c r="AG29" i="4"/>
  <c r="X29" i="4"/>
  <c r="Z25" i="4"/>
  <c r="AJ25" i="4"/>
  <c r="AE25" i="4"/>
  <c r="AH25" i="4"/>
  <c r="AA25" i="4"/>
  <c r="T25" i="4"/>
  <c r="W25" i="4"/>
  <c r="Q25" i="4"/>
  <c r="P25" i="4"/>
  <c r="AF25" i="4"/>
  <c r="AI25" i="4"/>
  <c r="Y25" i="4"/>
  <c r="S25" i="4"/>
  <c r="O25" i="4"/>
  <c r="K25" i="4"/>
  <c r="X25" i="4"/>
  <c r="AG25" i="4"/>
  <c r="R25" i="4"/>
  <c r="J25" i="4"/>
  <c r="AB25" i="4"/>
  <c r="L25" i="4"/>
  <c r="AF21" i="4"/>
  <c r="AI21" i="4"/>
  <c r="Y21" i="4"/>
  <c r="W21" i="4"/>
  <c r="S21" i="4"/>
  <c r="O21" i="4"/>
  <c r="K21" i="4"/>
  <c r="AB21" i="4"/>
  <c r="AG21" i="4"/>
  <c r="X21" i="4"/>
  <c r="R21" i="4"/>
  <c r="L21" i="4"/>
  <c r="AJ21" i="4"/>
  <c r="Z21" i="4"/>
  <c r="AE21" i="4"/>
  <c r="AA21" i="4"/>
  <c r="T21" i="4"/>
  <c r="J21" i="4"/>
  <c r="AH21" i="4"/>
  <c r="Q21" i="4"/>
  <c r="P21" i="4"/>
  <c r="I21" i="4"/>
  <c r="H25" i="4"/>
  <c r="H29" i="4"/>
  <c r="H33" i="4"/>
  <c r="AF17" i="4"/>
  <c r="AI17" i="4"/>
  <c r="Y17" i="4"/>
  <c r="W17" i="4"/>
  <c r="S17" i="4"/>
  <c r="O17" i="4"/>
  <c r="K17" i="4"/>
  <c r="AB17" i="4"/>
  <c r="AG17" i="4"/>
  <c r="X17" i="4"/>
  <c r="R17" i="4"/>
  <c r="L17" i="4"/>
  <c r="Z17" i="4"/>
  <c r="AE17" i="4"/>
  <c r="P17" i="4"/>
  <c r="AA17" i="4"/>
  <c r="AH17" i="4"/>
  <c r="T17" i="4"/>
  <c r="AJ17" i="4"/>
  <c r="Q17" i="4"/>
  <c r="J17" i="4"/>
  <c r="AF31" i="4"/>
  <c r="AI31" i="4"/>
  <c r="Y31" i="4"/>
  <c r="S31" i="4"/>
  <c r="O31" i="4"/>
  <c r="AB31" i="4"/>
  <c r="AG31" i="4"/>
  <c r="X31" i="4"/>
  <c r="R31" i="4"/>
  <c r="L31" i="4"/>
  <c r="Z31" i="4"/>
  <c r="AE31" i="4"/>
  <c r="W31" i="4"/>
  <c r="AJ31" i="4"/>
  <c r="AH31" i="4"/>
  <c r="Q31" i="4"/>
  <c r="P31" i="4"/>
  <c r="K31" i="4"/>
  <c r="T31" i="4"/>
  <c r="J31" i="4"/>
  <c r="AA31" i="4"/>
  <c r="AF27" i="4"/>
  <c r="AI27" i="4"/>
  <c r="Y27" i="4"/>
  <c r="S27" i="4"/>
  <c r="O27" i="4"/>
  <c r="K27" i="4"/>
  <c r="AB27" i="4"/>
  <c r="AG27" i="4"/>
  <c r="X27" i="4"/>
  <c r="R27" i="4"/>
  <c r="L27" i="4"/>
  <c r="Z27" i="4"/>
  <c r="AE27" i="4"/>
  <c r="W27" i="4"/>
  <c r="T27" i="4"/>
  <c r="J27" i="4"/>
  <c r="AJ27" i="4"/>
  <c r="AH27" i="4"/>
  <c r="Q27" i="4"/>
  <c r="P27" i="4"/>
  <c r="AA27" i="4"/>
  <c r="AB23" i="4"/>
  <c r="AG23" i="4"/>
  <c r="X23" i="4"/>
  <c r="R23" i="4"/>
  <c r="L23" i="4"/>
  <c r="AJ23" i="4"/>
  <c r="Z23" i="4"/>
  <c r="AE23" i="4"/>
  <c r="K23" i="4"/>
  <c r="AH23" i="4"/>
  <c r="AA23" i="4"/>
  <c r="T23" i="4"/>
  <c r="Q23" i="4"/>
  <c r="P23" i="4"/>
  <c r="Y23" i="4"/>
  <c r="W23" i="4"/>
  <c r="S23" i="4"/>
  <c r="AI23" i="4"/>
  <c r="AF23" i="4"/>
  <c r="O23" i="4"/>
  <c r="J23" i="4"/>
  <c r="AJ19" i="4"/>
  <c r="Z19" i="4"/>
  <c r="AE19" i="4"/>
  <c r="AH19" i="4"/>
  <c r="AA19" i="4"/>
  <c r="T19" i="4"/>
  <c r="Q19" i="4"/>
  <c r="P19" i="4"/>
  <c r="AF19" i="4"/>
  <c r="AI19" i="4"/>
  <c r="Y19" i="4"/>
  <c r="W19" i="4"/>
  <c r="S19" i="4"/>
  <c r="O19" i="4"/>
  <c r="K19" i="4"/>
  <c r="AG19" i="4"/>
  <c r="X19" i="4"/>
  <c r="J19" i="4"/>
  <c r="AB19" i="4"/>
  <c r="L19" i="4"/>
  <c r="R19" i="4"/>
  <c r="I19" i="4"/>
  <c r="AH16" i="4"/>
  <c r="AA16" i="4"/>
  <c r="P16" i="4"/>
  <c r="AJ16" i="4"/>
  <c r="AF16" i="4"/>
  <c r="AI16" i="4"/>
  <c r="Y16" i="4"/>
  <c r="S16" i="4"/>
  <c r="O16" i="4"/>
  <c r="AB16" i="4"/>
  <c r="AG16" i="4"/>
  <c r="X16" i="4"/>
  <c r="W16" i="4"/>
  <c r="R16" i="4"/>
  <c r="L16" i="4"/>
  <c r="Z16" i="4"/>
  <c r="K16" i="4"/>
  <c r="J16" i="4"/>
  <c r="Q16" i="4"/>
  <c r="AE16" i="4"/>
  <c r="I16" i="4"/>
  <c r="T16" i="4"/>
  <c r="AB32" i="4"/>
  <c r="AG32" i="4"/>
  <c r="X32" i="4"/>
  <c r="R32" i="4"/>
  <c r="L32" i="4"/>
  <c r="Z32" i="4"/>
  <c r="AE32" i="4"/>
  <c r="W32" i="4"/>
  <c r="K32" i="4"/>
  <c r="AJ32" i="4"/>
  <c r="AH32" i="4"/>
  <c r="AA32" i="4"/>
  <c r="T32" i="4"/>
  <c r="Q32" i="4"/>
  <c r="P32" i="4"/>
  <c r="AF32" i="4"/>
  <c r="O32" i="4"/>
  <c r="I32" i="4"/>
  <c r="AI32" i="4"/>
  <c r="Y32" i="4"/>
  <c r="J32" i="4"/>
  <c r="S32" i="4"/>
  <c r="AB28" i="4"/>
  <c r="AG28" i="4"/>
  <c r="X28" i="4"/>
  <c r="R28" i="4"/>
  <c r="L28" i="4"/>
  <c r="Z28" i="4"/>
  <c r="AE28" i="4"/>
  <c r="W28" i="4"/>
  <c r="K28" i="4"/>
  <c r="AJ28" i="4"/>
  <c r="AH28" i="4"/>
  <c r="AA28" i="4"/>
  <c r="T28" i="4"/>
  <c r="Q28" i="4"/>
  <c r="P28" i="4"/>
  <c r="S28" i="4"/>
  <c r="Y28" i="4"/>
  <c r="AF28" i="4"/>
  <c r="O28" i="4"/>
  <c r="AI28" i="4"/>
  <c r="J28" i="4"/>
  <c r="AH20" i="4"/>
  <c r="AA20" i="4"/>
  <c r="T20" i="4"/>
  <c r="Q20" i="4"/>
  <c r="P20" i="4"/>
  <c r="AF20" i="4"/>
  <c r="AI20" i="4"/>
  <c r="Y20" i="4"/>
  <c r="W20" i="4"/>
  <c r="S20" i="4"/>
  <c r="O20" i="4"/>
  <c r="AB20" i="4"/>
  <c r="AG20" i="4"/>
  <c r="X20" i="4"/>
  <c r="R20" i="4"/>
  <c r="L20" i="4"/>
  <c r="AE20" i="4"/>
  <c r="J20" i="4"/>
  <c r="K20" i="4"/>
  <c r="AJ20" i="4"/>
  <c r="Z20" i="4"/>
  <c r="I18" i="4"/>
  <c r="I23" i="4"/>
  <c r="I28" i="4"/>
  <c r="H16" i="4"/>
  <c r="H20" i="4"/>
  <c r="H26" i="4"/>
  <c r="H30" i="4"/>
  <c r="H34" i="4"/>
  <c r="AJ35" i="4"/>
  <c r="AG35" i="4"/>
  <c r="AA35" i="4"/>
  <c r="X35" i="4"/>
  <c r="R35" i="4"/>
  <c r="P35" i="4"/>
  <c r="L35" i="4"/>
  <c r="J35" i="4"/>
  <c r="I35" i="4"/>
  <c r="AH35" i="4"/>
  <c r="AB35" i="4"/>
  <c r="Z35" i="4"/>
  <c r="AI35" i="4"/>
  <c r="AE35" i="4"/>
  <c r="Y35" i="4"/>
  <c r="T35" i="4"/>
  <c r="S35" i="4"/>
  <c r="O35" i="4"/>
  <c r="K35" i="4"/>
  <c r="AF35" i="4"/>
  <c r="W35" i="4"/>
  <c r="Q35" i="4"/>
  <c r="H35" i="4"/>
  <c r="AF38" i="4"/>
  <c r="AA38" i="4"/>
  <c r="R38" i="4"/>
  <c r="P38" i="4"/>
  <c r="AH38" i="4"/>
  <c r="Z38" i="4"/>
  <c r="AE38" i="4"/>
  <c r="Q38" i="4"/>
  <c r="AJ38" i="4"/>
  <c r="AG38" i="4"/>
  <c r="X38" i="4"/>
  <c r="T38" i="4"/>
  <c r="L38" i="4"/>
  <c r="AB38" i="4"/>
  <c r="AI38" i="4"/>
  <c r="Y38" i="4"/>
  <c r="W38" i="4"/>
  <c r="S38" i="4"/>
  <c r="O38" i="4"/>
  <c r="AF24" i="4"/>
  <c r="AB24" i="4"/>
  <c r="W24" i="4"/>
  <c r="O24" i="4"/>
  <c r="AE24" i="4"/>
  <c r="X24" i="4"/>
  <c r="L24" i="4"/>
  <c r="AJ24" i="4"/>
  <c r="Z24" i="4"/>
  <c r="AI24" i="4"/>
  <c r="AA24" i="4"/>
  <c r="T24" i="4"/>
  <c r="Q24" i="4"/>
  <c r="P24" i="4"/>
  <c r="K24" i="4"/>
  <c r="AH24" i="4"/>
  <c r="AG24" i="4"/>
  <c r="Y24" i="4"/>
  <c r="S24" i="4"/>
  <c r="R24" i="4"/>
  <c r="AJ22" i="4"/>
  <c r="Z22" i="4"/>
  <c r="AI22" i="4"/>
  <c r="AA22" i="4"/>
  <c r="T22" i="4"/>
  <c r="W22" i="4"/>
  <c r="Q22" i="4"/>
  <c r="P22" i="4"/>
  <c r="K22" i="4"/>
  <c r="AH22" i="4"/>
  <c r="AG22" i="4"/>
  <c r="Y22" i="4"/>
  <c r="S22" i="4"/>
  <c r="R22" i="4"/>
  <c r="AF22" i="4"/>
  <c r="AB22" i="4"/>
  <c r="O22" i="4"/>
  <c r="AE22" i="4"/>
  <c r="X22" i="4"/>
  <c r="L22" i="4"/>
  <c r="J22" i="4"/>
  <c r="I22" i="4"/>
  <c r="H22" i="4"/>
  <c r="J38" i="4"/>
  <c r="K38" i="4"/>
  <c r="I38" i="4"/>
  <c r="J24" i="4"/>
  <c r="I24" i="4"/>
  <c r="H24" i="4"/>
  <c r="H38" i="4"/>
  <c r="G38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BD109" i="5" l="1"/>
  <c r="BT109" i="5"/>
  <c r="AN109" i="5"/>
  <c r="X109" i="5"/>
  <c r="U87" i="4"/>
  <c r="N85" i="4"/>
  <c r="Q86" i="4"/>
  <c r="AC87" i="4"/>
  <c r="AK85" i="4"/>
  <c r="U84" i="4"/>
  <c r="U86" i="4" s="1"/>
  <c r="O86" i="4"/>
  <c r="AE86" i="4"/>
  <c r="AK84" i="4"/>
  <c r="AK86" i="4" s="1"/>
  <c r="K86" i="4"/>
  <c r="AD84" i="4"/>
  <c r="X86" i="4"/>
  <c r="AJ86" i="4"/>
  <c r="N87" i="4"/>
  <c r="M85" i="4"/>
  <c r="Y86" i="4"/>
  <c r="AA86" i="4"/>
  <c r="J86" i="4"/>
  <c r="AC84" i="4"/>
  <c r="W86" i="4"/>
  <c r="AH86" i="4"/>
  <c r="H86" i="4"/>
  <c r="N84" i="4"/>
  <c r="N86" i="4" s="1"/>
  <c r="M87" i="4"/>
  <c r="AC85" i="4"/>
  <c r="AI86" i="4"/>
  <c r="I86" i="4"/>
  <c r="T86" i="4"/>
  <c r="AG86" i="4"/>
  <c r="P86" i="4"/>
  <c r="V84" i="4"/>
  <c r="V86" i="4" s="1"/>
  <c r="R86" i="4"/>
  <c r="V87" i="4"/>
  <c r="AD85" i="4"/>
  <c r="AL85" i="4"/>
  <c r="G86" i="4"/>
  <c r="M84" i="4"/>
  <c r="S86" i="4"/>
  <c r="AL84" i="4"/>
  <c r="AL86" i="4" s="1"/>
  <c r="AF86" i="4"/>
  <c r="L86" i="4"/>
  <c r="Z86" i="4"/>
  <c r="AB86" i="4"/>
  <c r="AD87" i="4"/>
  <c r="AK87" i="4"/>
  <c r="Q69" i="4"/>
  <c r="P69" i="4"/>
  <c r="J69" i="4"/>
  <c r="AG69" i="4"/>
  <c r="AI36" i="4"/>
  <c r="W69" i="4"/>
  <c r="AA69" i="4"/>
  <c r="R69" i="4"/>
  <c r="AF69" i="4"/>
  <c r="O69" i="4"/>
  <c r="AI69" i="4"/>
  <c r="O36" i="4"/>
  <c r="AE36" i="4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M86" i="4" l="1"/>
  <c r="AC86" i="4"/>
  <c r="AD86" i="4"/>
  <c r="F17" i="5"/>
  <c r="G17" i="5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A50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AV110" i="5" s="1"/>
  <c r="BD110" i="5" s="1"/>
  <c r="M34" i="2"/>
  <c r="M35" i="2"/>
  <c r="M36" i="2"/>
  <c r="M37" i="2"/>
  <c r="M38" i="2"/>
  <c r="M39" i="2"/>
  <c r="M40" i="2"/>
  <c r="M41" i="2"/>
  <c r="AQ41" i="2" s="1"/>
  <c r="M42" i="2"/>
  <c r="AQ42" i="2" s="1"/>
  <c r="M43" i="2"/>
  <c r="AQ43" i="2" s="1"/>
  <c r="M44" i="2"/>
  <c r="AQ44" i="2" s="1"/>
  <c r="M45" i="2"/>
  <c r="AQ45" i="2" s="1"/>
  <c r="M46" i="2"/>
  <c r="AQ46" i="2" s="1"/>
  <c r="M47" i="2"/>
  <c r="AQ47" i="2" s="1"/>
  <c r="M48" i="2"/>
  <c r="AQ48" i="2" s="1"/>
  <c r="M49" i="2"/>
  <c r="AQ49" i="2" s="1"/>
  <c r="M50" i="2"/>
  <c r="AQ50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4" i="5"/>
  <c r="F75" i="5"/>
  <c r="F76" i="5"/>
  <c r="F77" i="5"/>
  <c r="F78" i="5"/>
  <c r="F79" i="5"/>
  <c r="F80" i="5"/>
  <c r="AI16" i="2"/>
  <c r="AI18" i="2"/>
  <c r="AI19" i="2"/>
  <c r="AI20" i="2"/>
  <c r="AI22" i="2"/>
  <c r="AI24" i="2"/>
  <c r="AI26" i="2"/>
  <c r="AI28" i="2"/>
  <c r="AI30" i="2"/>
  <c r="B16" i="4"/>
  <c r="B17" i="4"/>
  <c r="C29" i="5" s="1"/>
  <c r="B18" i="4"/>
  <c r="C30" i="5" s="1"/>
  <c r="B19" i="4"/>
  <c r="C31" i="5" s="1"/>
  <c r="B20" i="4"/>
  <c r="C32" i="5" s="1"/>
  <c r="B21" i="4"/>
  <c r="C33" i="5" s="1"/>
  <c r="B22" i="4"/>
  <c r="C34" i="5" s="1"/>
  <c r="B23" i="4"/>
  <c r="C35" i="5" s="1"/>
  <c r="C36" i="5"/>
  <c r="B25" i="4"/>
  <c r="C37" i="5" s="1"/>
  <c r="B26" i="4"/>
  <c r="C38" i="5" s="1"/>
  <c r="B27" i="4"/>
  <c r="C39" i="5" s="1"/>
  <c r="B28" i="4"/>
  <c r="C40" i="5" s="1"/>
  <c r="B29" i="4"/>
  <c r="C41" i="5" s="1"/>
  <c r="B30" i="4"/>
  <c r="C42" i="5" s="1"/>
  <c r="B31" i="4"/>
  <c r="C43" i="5" s="1"/>
  <c r="B32" i="4"/>
  <c r="C44" i="5" s="1"/>
  <c r="B33" i="4"/>
  <c r="C45" i="5" s="1"/>
  <c r="B34" i="4"/>
  <c r="C46" i="5" s="1"/>
  <c r="B35" i="4"/>
  <c r="C47" i="5" s="1"/>
  <c r="B38" i="4"/>
  <c r="C50" i="5" s="1"/>
  <c r="B79" i="4"/>
  <c r="C91" i="5" s="1"/>
  <c r="C94" i="5"/>
  <c r="C95" i="5"/>
  <c r="C96" i="5"/>
  <c r="C97" i="5"/>
  <c r="C98" i="5"/>
  <c r="C99" i="5"/>
  <c r="C100" i="5"/>
  <c r="C101" i="5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D45" i="4"/>
  <c r="E57" i="5" s="1"/>
  <c r="D46" i="4"/>
  <c r="D47" i="4"/>
  <c r="E59" i="5" s="1"/>
  <c r="D48" i="4"/>
  <c r="D49" i="4"/>
  <c r="D50" i="4"/>
  <c r="D51" i="4"/>
  <c r="E63" i="5" s="1"/>
  <c r="D52" i="4"/>
  <c r="D53" i="4"/>
  <c r="E65" i="5" s="1"/>
  <c r="D54" i="4"/>
  <c r="E66" i="5" s="1"/>
  <c r="D55" i="4"/>
  <c r="E67" i="5" s="1"/>
  <c r="D56" i="4"/>
  <c r="D57" i="4"/>
  <c r="E69" i="5" s="1"/>
  <c r="D58" i="4"/>
  <c r="D59" i="4"/>
  <c r="E71" i="5" s="1"/>
  <c r="D60" i="4"/>
  <c r="E77" i="5"/>
  <c r="E78" i="5"/>
  <c r="E80" i="5"/>
  <c r="D44" i="4"/>
  <c r="B44" i="4"/>
  <c r="B45" i="4"/>
  <c r="C57" i="5" s="1"/>
  <c r="B46" i="4"/>
  <c r="C58" i="5" s="1"/>
  <c r="B47" i="4"/>
  <c r="C59" i="5" s="1"/>
  <c r="B48" i="4"/>
  <c r="C60" i="5" s="1"/>
  <c r="B49" i="4"/>
  <c r="C61" i="5" s="1"/>
  <c r="B50" i="4"/>
  <c r="C62" i="5" s="1"/>
  <c r="B51" i="4"/>
  <c r="C63" i="5" s="1"/>
  <c r="B52" i="4"/>
  <c r="C64" i="5" s="1"/>
  <c r="B53" i="4"/>
  <c r="C65" i="5" s="1"/>
  <c r="B54" i="4"/>
  <c r="C66" i="5" s="1"/>
  <c r="B55" i="4"/>
  <c r="C67" i="5" s="1"/>
  <c r="B56" i="4"/>
  <c r="C68" i="5" s="1"/>
  <c r="B57" i="4"/>
  <c r="C69" i="5" s="1"/>
  <c r="B58" i="4"/>
  <c r="C70" i="5" s="1"/>
  <c r="B59" i="4"/>
  <c r="C71" i="5" s="1"/>
  <c r="B60" i="4"/>
  <c r="C72" i="5" s="1"/>
  <c r="C73" i="5"/>
  <c r="C75" i="5"/>
  <c r="C76" i="5"/>
  <c r="C79" i="5"/>
  <c r="C74" i="5"/>
  <c r="AI17" i="2"/>
  <c r="AI21" i="2"/>
  <c r="AI23" i="2"/>
  <c r="AI25" i="2"/>
  <c r="AI27" i="2"/>
  <c r="AI29" i="2"/>
  <c r="AI31" i="2"/>
  <c r="K14" i="4"/>
  <c r="B74" i="4"/>
  <c r="C86" i="5" s="1"/>
  <c r="B73" i="4"/>
  <c r="C85" i="5" s="1"/>
  <c r="D16" i="4"/>
  <c r="G28" i="5" s="1"/>
  <c r="D17" i="4"/>
  <c r="G29" i="5" s="1"/>
  <c r="D18" i="4"/>
  <c r="G30" i="5" s="1"/>
  <c r="D19" i="4"/>
  <c r="G31" i="5" s="1"/>
  <c r="D20" i="4"/>
  <c r="D21" i="4"/>
  <c r="G33" i="5" s="1"/>
  <c r="D22" i="4"/>
  <c r="G34" i="5" s="1"/>
  <c r="D23" i="4"/>
  <c r="G35" i="5" s="1"/>
  <c r="D24" i="4"/>
  <c r="G36" i="5" s="1"/>
  <c r="D25" i="4"/>
  <c r="G37" i="5" s="1"/>
  <c r="D26" i="4"/>
  <c r="G38" i="5" s="1"/>
  <c r="D27" i="4"/>
  <c r="G39" i="5" s="1"/>
  <c r="D28" i="4"/>
  <c r="G40" i="5" s="1"/>
  <c r="D29" i="4"/>
  <c r="G41" i="5" s="1"/>
  <c r="D30" i="4"/>
  <c r="G42" i="5" s="1"/>
  <c r="D31" i="4"/>
  <c r="G43" i="5" s="1"/>
  <c r="D32" i="4"/>
  <c r="G44" i="5" s="1"/>
  <c r="D33" i="4"/>
  <c r="G45" i="5" s="1"/>
  <c r="D34" i="4"/>
  <c r="G46" i="5" s="1"/>
  <c r="D35" i="4"/>
  <c r="G47" i="5" s="1"/>
  <c r="D38" i="4"/>
  <c r="G50" i="5" s="1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AJ110" i="5" s="1"/>
  <c r="AN110" i="5" s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I16" i="2"/>
  <c r="C16" i="2"/>
  <c r="B16" i="2"/>
  <c r="I85" i="5"/>
  <c r="I86" i="5"/>
  <c r="G14" i="4"/>
  <c r="N86" i="5" s="1"/>
  <c r="L86" i="5"/>
  <c r="I14" i="4"/>
  <c r="P25" i="5" s="1"/>
  <c r="O14" i="4"/>
  <c r="AB32" i="5" s="1"/>
  <c r="Q14" i="4"/>
  <c r="AF34" i="5" s="1"/>
  <c r="S14" i="4"/>
  <c r="AJ38" i="5" s="1"/>
  <c r="W14" i="4"/>
  <c r="Y14" i="4"/>
  <c r="AV25" i="5" s="1"/>
  <c r="AA14" i="4"/>
  <c r="AE14" i="4"/>
  <c r="BJ85" i="5" s="1"/>
  <c r="AG14" i="4"/>
  <c r="AI14" i="4"/>
  <c r="BP32" i="5" s="1"/>
  <c r="AL85" i="5"/>
  <c r="D73" i="4"/>
  <c r="D13" i="4"/>
  <c r="D74" i="4"/>
  <c r="G86" i="5" s="1"/>
  <c r="D17" i="5"/>
  <c r="L30" i="5"/>
  <c r="L34" i="5"/>
  <c r="L39" i="5"/>
  <c r="L42" i="5"/>
  <c r="B56" i="5"/>
  <c r="AE22" i="5"/>
  <c r="AD22" i="5"/>
  <c r="AC22" i="5"/>
  <c r="AB22" i="5"/>
  <c r="AE21" i="5"/>
  <c r="AD21" i="5"/>
  <c r="AC21" i="5"/>
  <c r="AB21" i="5"/>
  <c r="AE20" i="5"/>
  <c r="AD20" i="5"/>
  <c r="AC20" i="5"/>
  <c r="AB20" i="5"/>
  <c r="AC15" i="5"/>
  <c r="C11" i="5"/>
  <c r="C10" i="5"/>
  <c r="C9" i="5"/>
  <c r="C8" i="5"/>
  <c r="C7" i="5"/>
  <c r="C6" i="5"/>
  <c r="C5" i="5"/>
  <c r="B9" i="2"/>
  <c r="B8" i="2"/>
  <c r="B7" i="2"/>
  <c r="B6" i="2"/>
  <c r="B5" i="2"/>
  <c r="B4" i="2"/>
  <c r="B3" i="2"/>
  <c r="BH50" i="5"/>
  <c r="B10" i="4"/>
  <c r="B9" i="4"/>
  <c r="B8" i="4"/>
  <c r="B7" i="4"/>
  <c r="B6" i="4"/>
  <c r="B5" i="4"/>
  <c r="B4" i="4"/>
  <c r="BH30" i="5"/>
  <c r="AV43" i="5"/>
  <c r="P34" i="5"/>
  <c r="P36" i="5"/>
  <c r="BH39" i="5"/>
  <c r="BH47" i="5"/>
  <c r="T35" i="5"/>
  <c r="AZ37" i="5"/>
  <c r="T25" i="5"/>
  <c r="N45" i="4"/>
  <c r="V46" i="5"/>
  <c r="V43" i="5"/>
  <c r="V40" i="5"/>
  <c r="V38" i="5"/>
  <c r="V35" i="5"/>
  <c r="V32" i="5"/>
  <c r="V30" i="5"/>
  <c r="AT36" i="5"/>
  <c r="BN50" i="5"/>
  <c r="BN46" i="5"/>
  <c r="BN43" i="5"/>
  <c r="BN40" i="5"/>
  <c r="BN38" i="5"/>
  <c r="BN35" i="5"/>
  <c r="BN32" i="5"/>
  <c r="BN30" i="5"/>
  <c r="BL50" i="5"/>
  <c r="BL46" i="5"/>
  <c r="BL43" i="5"/>
  <c r="BL40" i="5"/>
  <c r="BL38" i="5"/>
  <c r="T29" i="5"/>
  <c r="N33" i="5"/>
  <c r="L25" i="5"/>
  <c r="AH47" i="5"/>
  <c r="AH46" i="5"/>
  <c r="AH44" i="5"/>
  <c r="AH43" i="5"/>
  <c r="AH42" i="5"/>
  <c r="AH41" i="5"/>
  <c r="AH40" i="5"/>
  <c r="AH39" i="5"/>
  <c r="AH37" i="5"/>
  <c r="AH36" i="5"/>
  <c r="AH34" i="5"/>
  <c r="AH33" i="5"/>
  <c r="AH31" i="5"/>
  <c r="AH30" i="5"/>
  <c r="AF43" i="5"/>
  <c r="AF42" i="5"/>
  <c r="AF41" i="5"/>
  <c r="AF40" i="5"/>
  <c r="AF39" i="5"/>
  <c r="AF38" i="5"/>
  <c r="AF50" i="5"/>
  <c r="AF47" i="5"/>
  <c r="AF46" i="5"/>
  <c r="AF45" i="5"/>
  <c r="AF44" i="5"/>
  <c r="AF25" i="5"/>
  <c r="BB46" i="5"/>
  <c r="BB42" i="5"/>
  <c r="BB38" i="5"/>
  <c r="BB34" i="5"/>
  <c r="BB30" i="5"/>
  <c r="T30" i="5"/>
  <c r="T32" i="5"/>
  <c r="T34" i="5"/>
  <c r="T36" i="5"/>
  <c r="AR37" i="5"/>
  <c r="AR42" i="5"/>
  <c r="T46" i="5"/>
  <c r="AZ46" i="5"/>
  <c r="L50" i="5"/>
  <c r="AZ30" i="5"/>
  <c r="AZ34" i="5"/>
  <c r="BL31" i="5"/>
  <c r="G32" i="5"/>
  <c r="AF37" i="5"/>
  <c r="AR47" i="5"/>
  <c r="BH25" i="5"/>
  <c r="BJ29" i="5"/>
  <c r="BR29" i="5"/>
  <c r="BJ30" i="5"/>
  <c r="AL31" i="5"/>
  <c r="BJ31" i="5"/>
  <c r="AL32" i="5"/>
  <c r="AD33" i="5"/>
  <c r="BR33" i="5"/>
  <c r="BJ36" i="5"/>
  <c r="BR37" i="5"/>
  <c r="BJ38" i="5"/>
  <c r="BJ39" i="5"/>
  <c r="BR39" i="5"/>
  <c r="BJ40" i="5"/>
  <c r="BR42" i="5"/>
  <c r="AL43" i="5"/>
  <c r="BJ43" i="5"/>
  <c r="AL44" i="5"/>
  <c r="BJ44" i="5"/>
  <c r="BR44" i="5"/>
  <c r="BJ45" i="5"/>
  <c r="AL46" i="5"/>
  <c r="BJ46" i="5"/>
  <c r="AL47" i="5"/>
  <c r="BR47" i="5"/>
  <c r="N66" i="4"/>
  <c r="AV44" i="5"/>
  <c r="P45" i="5"/>
  <c r="AV45" i="5"/>
  <c r="P46" i="5"/>
  <c r="AV46" i="5"/>
  <c r="P47" i="5"/>
  <c r="AV47" i="5"/>
  <c r="P50" i="5"/>
  <c r="AV50" i="5"/>
  <c r="M55" i="4"/>
  <c r="R28" i="5"/>
  <c r="AX28" i="5"/>
  <c r="AX29" i="5"/>
  <c r="AX30" i="5"/>
  <c r="R31" i="5"/>
  <c r="AX31" i="5"/>
  <c r="R32" i="5"/>
  <c r="AX32" i="5"/>
  <c r="R33" i="5"/>
  <c r="AX33" i="5"/>
  <c r="R34" i="5"/>
  <c r="AX34" i="5"/>
  <c r="R35" i="5"/>
  <c r="AX35" i="5"/>
  <c r="R36" i="5"/>
  <c r="AX36" i="5"/>
  <c r="R37" i="5"/>
  <c r="AX37" i="5"/>
  <c r="R38" i="5"/>
  <c r="AX38" i="5"/>
  <c r="AX39" i="5"/>
  <c r="N28" i="4"/>
  <c r="AX40" i="5"/>
  <c r="R41" i="5"/>
  <c r="AX41" i="5"/>
  <c r="R42" i="5"/>
  <c r="AX42" i="5"/>
  <c r="R43" i="5"/>
  <c r="AX43" i="5"/>
  <c r="R44" i="5"/>
  <c r="AX44" i="5"/>
  <c r="R45" i="5"/>
  <c r="AX45" i="5"/>
  <c r="R46" i="5"/>
  <c r="AX46" i="5"/>
  <c r="R47" i="5"/>
  <c r="AX47" i="5"/>
  <c r="R50" i="5"/>
  <c r="AX50" i="5"/>
  <c r="M44" i="4"/>
  <c r="N51" i="4"/>
  <c r="M56" i="4"/>
  <c r="AK62" i="4"/>
  <c r="BJ50" i="5"/>
  <c r="BJ47" i="5"/>
  <c r="BJ42" i="5"/>
  <c r="BJ41" i="5"/>
  <c r="BJ37" i="5"/>
  <c r="BJ34" i="5"/>
  <c r="BJ33" i="5"/>
  <c r="BJ32" i="5"/>
  <c r="BJ28" i="5"/>
  <c r="AF31" i="5"/>
  <c r="N28" i="5"/>
  <c r="N32" i="5"/>
  <c r="N36" i="5"/>
  <c r="N40" i="5"/>
  <c r="N44" i="5"/>
  <c r="N50" i="5"/>
  <c r="L46" i="5"/>
  <c r="BL35" i="5"/>
  <c r="AF33" i="5"/>
  <c r="AH28" i="5"/>
  <c r="N29" i="5"/>
  <c r="N37" i="5"/>
  <c r="N41" i="5"/>
  <c r="N45" i="5"/>
  <c r="L41" i="5"/>
  <c r="AF35" i="5"/>
  <c r="L37" i="5"/>
  <c r="L35" i="5"/>
  <c r="L31" i="5"/>
  <c r="L29" i="5"/>
  <c r="N30" i="5"/>
  <c r="N34" i="5"/>
  <c r="N38" i="5"/>
  <c r="N42" i="5"/>
  <c r="N46" i="5"/>
  <c r="L47" i="5"/>
  <c r="L45" i="5"/>
  <c r="AF29" i="5"/>
  <c r="N31" i="5"/>
  <c r="N35" i="5"/>
  <c r="N39" i="5"/>
  <c r="N43" i="5"/>
  <c r="N47" i="5"/>
  <c r="M59" i="4"/>
  <c r="C77" i="5"/>
  <c r="C80" i="5"/>
  <c r="C78" i="5"/>
  <c r="B36" i="4" l="1"/>
  <c r="B40" i="4" s="1"/>
  <c r="E35" i="5"/>
  <c r="E30" i="5"/>
  <c r="AM50" i="5"/>
  <c r="E28" i="5"/>
  <c r="T72" i="5"/>
  <c r="B69" i="4"/>
  <c r="E73" i="4"/>
  <c r="H85" i="5" s="1"/>
  <c r="G85" i="5"/>
  <c r="E65" i="4"/>
  <c r="C56" i="5"/>
  <c r="E68" i="4"/>
  <c r="E54" i="4"/>
  <c r="D75" i="4"/>
  <c r="G87" i="5" s="1"/>
  <c r="E51" i="4"/>
  <c r="E66" i="4"/>
  <c r="E47" i="4"/>
  <c r="B13" i="4"/>
  <c r="C24" i="4" s="1"/>
  <c r="D36" i="5" s="1"/>
  <c r="I45" i="5"/>
  <c r="I37" i="5"/>
  <c r="I29" i="5"/>
  <c r="E43" i="5"/>
  <c r="E31" i="5"/>
  <c r="B75" i="4"/>
  <c r="C87" i="5" s="1"/>
  <c r="I40" i="5"/>
  <c r="I32" i="5"/>
  <c r="E42" i="5"/>
  <c r="P80" i="5"/>
  <c r="P76" i="5"/>
  <c r="P72" i="5"/>
  <c r="P68" i="5"/>
  <c r="P64" i="5"/>
  <c r="P60" i="5"/>
  <c r="P56" i="5"/>
  <c r="P69" i="5"/>
  <c r="P57" i="5"/>
  <c r="P79" i="5"/>
  <c r="P75" i="5"/>
  <c r="P71" i="5"/>
  <c r="P67" i="5"/>
  <c r="P63" i="5"/>
  <c r="P59" i="5"/>
  <c r="P77" i="5"/>
  <c r="P61" i="5"/>
  <c r="P78" i="5"/>
  <c r="P74" i="5"/>
  <c r="P70" i="5"/>
  <c r="P66" i="5"/>
  <c r="P62" i="5"/>
  <c r="P58" i="5"/>
  <c r="H73" i="5"/>
  <c r="P73" i="5"/>
  <c r="P65" i="5"/>
  <c r="C17" i="5"/>
  <c r="I41" i="5"/>
  <c r="I33" i="5"/>
  <c r="E47" i="5"/>
  <c r="E39" i="5"/>
  <c r="I44" i="5"/>
  <c r="I36" i="5"/>
  <c r="I28" i="5"/>
  <c r="E46" i="5"/>
  <c r="E38" i="5"/>
  <c r="E34" i="5"/>
  <c r="E74" i="4"/>
  <c r="H86" i="5" s="1"/>
  <c r="E57" i="4"/>
  <c r="I47" i="5"/>
  <c r="I43" i="5"/>
  <c r="I39" i="5"/>
  <c r="I35" i="5"/>
  <c r="I31" i="5"/>
  <c r="I50" i="5"/>
  <c r="E45" i="5"/>
  <c r="E41" i="5"/>
  <c r="E37" i="5"/>
  <c r="E33" i="5"/>
  <c r="E29" i="5"/>
  <c r="D36" i="4"/>
  <c r="D40" i="4" s="1"/>
  <c r="E55" i="4"/>
  <c r="I46" i="5"/>
  <c r="I42" i="5"/>
  <c r="I38" i="5"/>
  <c r="I34" i="5"/>
  <c r="I30" i="5"/>
  <c r="D91" i="5"/>
  <c r="E50" i="5"/>
  <c r="E44" i="5"/>
  <c r="E40" i="5"/>
  <c r="E36" i="5"/>
  <c r="E32" i="5"/>
  <c r="L56" i="5"/>
  <c r="AV80" i="5"/>
  <c r="AR80" i="5"/>
  <c r="AB80" i="5"/>
  <c r="L80" i="5"/>
  <c r="BL80" i="5"/>
  <c r="AZ80" i="5"/>
  <c r="BP80" i="5"/>
  <c r="AJ80" i="5"/>
  <c r="BH80" i="5"/>
  <c r="AF80" i="5"/>
  <c r="T80" i="5"/>
  <c r="AQ40" i="2"/>
  <c r="AY86" i="5" s="1"/>
  <c r="BL76" i="5"/>
  <c r="AV76" i="5"/>
  <c r="AJ76" i="5"/>
  <c r="BH76" i="5"/>
  <c r="AZ76" i="5"/>
  <c r="AF76" i="5"/>
  <c r="BP76" i="5"/>
  <c r="T76" i="5"/>
  <c r="AR76" i="5"/>
  <c r="AB76" i="5"/>
  <c r="L76" i="5"/>
  <c r="AQ36" i="2"/>
  <c r="BS85" i="5" s="1"/>
  <c r="AZ72" i="5"/>
  <c r="AV72" i="5"/>
  <c r="AF72" i="5"/>
  <c r="BH72" i="5"/>
  <c r="BP72" i="5"/>
  <c r="AR72" i="5"/>
  <c r="AJ72" i="5"/>
  <c r="AB72" i="5"/>
  <c r="BL72" i="5"/>
  <c r="L72" i="5"/>
  <c r="AQ32" i="2"/>
  <c r="BH68" i="5"/>
  <c r="AV68" i="5"/>
  <c r="T68" i="5"/>
  <c r="AR68" i="5"/>
  <c r="AJ68" i="5"/>
  <c r="AB68" i="5"/>
  <c r="BP68" i="5"/>
  <c r="BL68" i="5"/>
  <c r="L68" i="5"/>
  <c r="AF68" i="5"/>
  <c r="AZ68" i="5"/>
  <c r="AQ28" i="2"/>
  <c r="AV64" i="5"/>
  <c r="AR64" i="5"/>
  <c r="AJ64" i="5"/>
  <c r="AB64" i="5"/>
  <c r="BL64" i="5"/>
  <c r="BP64" i="5"/>
  <c r="AZ64" i="5"/>
  <c r="AF64" i="5"/>
  <c r="L64" i="5"/>
  <c r="BH64" i="5"/>
  <c r="T64" i="5"/>
  <c r="AQ24" i="2"/>
  <c r="BL60" i="5"/>
  <c r="AV60" i="5"/>
  <c r="AZ60" i="5"/>
  <c r="AF60" i="5"/>
  <c r="BP60" i="5"/>
  <c r="BH60" i="5"/>
  <c r="T60" i="5"/>
  <c r="L60" i="5"/>
  <c r="AR60" i="5"/>
  <c r="AB60" i="5"/>
  <c r="AJ60" i="5"/>
  <c r="AQ20" i="2"/>
  <c r="AJ77" i="5"/>
  <c r="BH77" i="5"/>
  <c r="AZ77" i="5"/>
  <c r="AF77" i="5"/>
  <c r="BP77" i="5"/>
  <c r="T77" i="5"/>
  <c r="AR77" i="5"/>
  <c r="AB77" i="5"/>
  <c r="BL77" i="5"/>
  <c r="L77" i="5"/>
  <c r="AV77" i="5"/>
  <c r="AQ37" i="2"/>
  <c r="AZ73" i="5"/>
  <c r="BP73" i="5"/>
  <c r="AR73" i="5"/>
  <c r="AB73" i="5"/>
  <c r="T73" i="5"/>
  <c r="BL73" i="5"/>
  <c r="AF73" i="5"/>
  <c r="L73" i="5"/>
  <c r="BH73" i="5"/>
  <c r="AJ73" i="5"/>
  <c r="AV73" i="5"/>
  <c r="AQ33" i="2"/>
  <c r="AR69" i="5"/>
  <c r="AJ69" i="5"/>
  <c r="AB69" i="5"/>
  <c r="BP69" i="5"/>
  <c r="BL69" i="5"/>
  <c r="AZ69" i="5"/>
  <c r="AF69" i="5"/>
  <c r="AV69" i="5"/>
  <c r="L69" i="5"/>
  <c r="BH69" i="5"/>
  <c r="T69" i="5"/>
  <c r="AQ29" i="2"/>
  <c r="BL65" i="5"/>
  <c r="BP65" i="5"/>
  <c r="AZ65" i="5"/>
  <c r="AF65" i="5"/>
  <c r="BH65" i="5"/>
  <c r="T65" i="5"/>
  <c r="AV65" i="5"/>
  <c r="AJ65" i="5"/>
  <c r="L65" i="5"/>
  <c r="AR65" i="5"/>
  <c r="AB65" i="5"/>
  <c r="AQ25" i="2"/>
  <c r="AZ61" i="5"/>
  <c r="AF61" i="5"/>
  <c r="BP61" i="5"/>
  <c r="BH61" i="5"/>
  <c r="T61" i="5"/>
  <c r="AR61" i="5"/>
  <c r="AJ61" i="5"/>
  <c r="AB61" i="5"/>
  <c r="AV61" i="5"/>
  <c r="BL61" i="5"/>
  <c r="L61" i="5"/>
  <c r="AQ21" i="2"/>
  <c r="BL57" i="5"/>
  <c r="BH57" i="5"/>
  <c r="T57" i="5"/>
  <c r="BP57" i="5"/>
  <c r="AR57" i="5"/>
  <c r="AJ57" i="5"/>
  <c r="AB57" i="5"/>
  <c r="AV57" i="5"/>
  <c r="AZ57" i="5"/>
  <c r="AF57" i="5"/>
  <c r="L57" i="5"/>
  <c r="AQ17" i="2"/>
  <c r="AJ79" i="5"/>
  <c r="AV79" i="5"/>
  <c r="AZ79" i="5"/>
  <c r="BP79" i="5"/>
  <c r="T79" i="5"/>
  <c r="AF79" i="5"/>
  <c r="AR79" i="5"/>
  <c r="BH79" i="5"/>
  <c r="L79" i="5"/>
  <c r="AB79" i="5"/>
  <c r="BL79" i="5"/>
  <c r="AQ39" i="2"/>
  <c r="AJ75" i="5"/>
  <c r="AV75" i="5"/>
  <c r="AZ75" i="5"/>
  <c r="BP75" i="5"/>
  <c r="T75" i="5"/>
  <c r="L75" i="5"/>
  <c r="AB75" i="5"/>
  <c r="BL75" i="5"/>
  <c r="BH75" i="5"/>
  <c r="AR75" i="5"/>
  <c r="AF75" i="5"/>
  <c r="AQ35" i="2"/>
  <c r="AV71" i="5"/>
  <c r="BP71" i="5"/>
  <c r="T71" i="5"/>
  <c r="AB71" i="5"/>
  <c r="BL71" i="5"/>
  <c r="AR71" i="5"/>
  <c r="AZ71" i="5"/>
  <c r="BH71" i="5"/>
  <c r="AF71" i="5"/>
  <c r="AJ71" i="5"/>
  <c r="L71" i="5"/>
  <c r="AQ31" i="2"/>
  <c r="AV67" i="5"/>
  <c r="BP67" i="5"/>
  <c r="L67" i="5"/>
  <c r="AZ67" i="5"/>
  <c r="BH67" i="5"/>
  <c r="AF67" i="5"/>
  <c r="AJ67" i="5"/>
  <c r="AR67" i="5"/>
  <c r="T67" i="5"/>
  <c r="AB67" i="5"/>
  <c r="BL67" i="5"/>
  <c r="AQ27" i="2"/>
  <c r="AV63" i="5"/>
  <c r="BP63" i="5"/>
  <c r="L63" i="5"/>
  <c r="AZ63" i="5"/>
  <c r="BH63" i="5"/>
  <c r="AF63" i="5"/>
  <c r="AJ63" i="5"/>
  <c r="T63" i="5"/>
  <c r="AB63" i="5"/>
  <c r="BL63" i="5"/>
  <c r="AR63" i="5"/>
  <c r="AQ23" i="2"/>
  <c r="AV59" i="5"/>
  <c r="BP59" i="5"/>
  <c r="L59" i="5"/>
  <c r="AR59" i="5"/>
  <c r="T59" i="5"/>
  <c r="AB59" i="5"/>
  <c r="BL59" i="5"/>
  <c r="AJ59" i="5"/>
  <c r="AZ59" i="5"/>
  <c r="BH59" i="5"/>
  <c r="AF59" i="5"/>
  <c r="AQ19" i="2"/>
  <c r="BP78" i="5"/>
  <c r="T78" i="5"/>
  <c r="AR78" i="5"/>
  <c r="AB78" i="5"/>
  <c r="L78" i="5"/>
  <c r="BL78" i="5"/>
  <c r="AV78" i="5"/>
  <c r="BH78" i="5"/>
  <c r="AF78" i="5"/>
  <c r="AZ78" i="5"/>
  <c r="AJ78" i="5"/>
  <c r="AQ38" i="2"/>
  <c r="BP74" i="5"/>
  <c r="AR74" i="5"/>
  <c r="AB74" i="5"/>
  <c r="T74" i="5"/>
  <c r="BL74" i="5"/>
  <c r="AJ74" i="5"/>
  <c r="BH74" i="5"/>
  <c r="AV74" i="5"/>
  <c r="AF74" i="5"/>
  <c r="AZ74" i="5"/>
  <c r="L74" i="5"/>
  <c r="AQ34" i="2"/>
  <c r="BP70" i="5"/>
  <c r="BL70" i="5"/>
  <c r="AZ70" i="5"/>
  <c r="AF70" i="5"/>
  <c r="BH70" i="5"/>
  <c r="AV70" i="5"/>
  <c r="T70" i="5"/>
  <c r="AJ70" i="5"/>
  <c r="AR70" i="5"/>
  <c r="AB70" i="5"/>
  <c r="L70" i="5"/>
  <c r="AQ30" i="2"/>
  <c r="BP66" i="5"/>
  <c r="AZ66" i="5"/>
  <c r="AF66" i="5"/>
  <c r="BH66" i="5"/>
  <c r="T66" i="5"/>
  <c r="AV66" i="5"/>
  <c r="AR66" i="5"/>
  <c r="AJ66" i="5"/>
  <c r="AB66" i="5"/>
  <c r="BL66" i="5"/>
  <c r="L66" i="5"/>
  <c r="AQ26" i="2"/>
  <c r="BP62" i="5"/>
  <c r="BH62" i="5"/>
  <c r="T62" i="5"/>
  <c r="AR62" i="5"/>
  <c r="AJ62" i="5"/>
  <c r="AB62" i="5"/>
  <c r="BL62" i="5"/>
  <c r="AV62" i="5"/>
  <c r="AZ62" i="5"/>
  <c r="AF62" i="5"/>
  <c r="L62" i="5"/>
  <c r="AQ22" i="2"/>
  <c r="BP58" i="5"/>
  <c r="AR58" i="5"/>
  <c r="AJ58" i="5"/>
  <c r="AB58" i="5"/>
  <c r="BL58" i="5"/>
  <c r="AZ58" i="5"/>
  <c r="AV58" i="5"/>
  <c r="AF58" i="5"/>
  <c r="BH58" i="5"/>
  <c r="T58" i="5"/>
  <c r="L58" i="5"/>
  <c r="AQ18" i="2"/>
  <c r="BH56" i="5"/>
  <c r="AZ56" i="5"/>
  <c r="AJ56" i="5"/>
  <c r="AB56" i="5"/>
  <c r="T56" i="5"/>
  <c r="AV56" i="5"/>
  <c r="BP56" i="5"/>
  <c r="BL56" i="5"/>
  <c r="AF56" i="5"/>
  <c r="AR56" i="5"/>
  <c r="AQ16" i="2"/>
  <c r="Q50" i="5"/>
  <c r="AE50" i="5"/>
  <c r="AS50" i="5"/>
  <c r="BA50" i="5"/>
  <c r="BM50" i="5"/>
  <c r="S50" i="5"/>
  <c r="U50" i="5"/>
  <c r="AG50" i="5"/>
  <c r="AU50" i="5"/>
  <c r="BC50" i="5"/>
  <c r="BO50" i="5"/>
  <c r="S28" i="5"/>
  <c r="O50" i="5"/>
  <c r="AC50" i="5"/>
  <c r="AK50" i="5"/>
  <c r="AY50" i="5"/>
  <c r="BK50" i="5"/>
  <c r="BS86" i="5"/>
  <c r="C54" i="4"/>
  <c r="D66" i="5" s="1"/>
  <c r="C28" i="4"/>
  <c r="D40" i="5" s="1"/>
  <c r="C27" i="4"/>
  <c r="D39" i="5" s="1"/>
  <c r="C23" i="4"/>
  <c r="D35" i="5" s="1"/>
  <c r="C59" i="4"/>
  <c r="D71" i="5" s="1"/>
  <c r="C38" i="4"/>
  <c r="D50" i="5" s="1"/>
  <c r="C69" i="4"/>
  <c r="C30" i="4"/>
  <c r="D42" i="5" s="1"/>
  <c r="C50" i="4"/>
  <c r="D62" i="5" s="1"/>
  <c r="C60" i="4"/>
  <c r="D72" i="5" s="1"/>
  <c r="BQ86" i="5"/>
  <c r="BQ85" i="5"/>
  <c r="AE85" i="5"/>
  <c r="AM85" i="5"/>
  <c r="AY85" i="5"/>
  <c r="S85" i="5"/>
  <c r="S86" i="5"/>
  <c r="AE86" i="5"/>
  <c r="AM86" i="5"/>
  <c r="BK86" i="5"/>
  <c r="M85" i="5"/>
  <c r="U85" i="5"/>
  <c r="AS85" i="5"/>
  <c r="BA85" i="5"/>
  <c r="BM85" i="5"/>
  <c r="U86" i="5"/>
  <c r="AG86" i="5"/>
  <c r="AS86" i="5"/>
  <c r="BM86" i="5"/>
  <c r="O85" i="5"/>
  <c r="W85" i="5"/>
  <c r="AU85" i="5"/>
  <c r="BC85" i="5"/>
  <c r="BO85" i="5"/>
  <c r="W86" i="5"/>
  <c r="AI86" i="5"/>
  <c r="AU86" i="5"/>
  <c r="BO86" i="5"/>
  <c r="Q85" i="5"/>
  <c r="AC85" i="5"/>
  <c r="AW85" i="5"/>
  <c r="BI85" i="5"/>
  <c r="Q86" i="5"/>
  <c r="AK86" i="5"/>
  <c r="AW86" i="5"/>
  <c r="BI86" i="5"/>
  <c r="H69" i="5"/>
  <c r="E44" i="4"/>
  <c r="AJ46" i="5"/>
  <c r="BH45" i="5"/>
  <c r="BH37" i="5"/>
  <c r="BH31" i="5"/>
  <c r="AL50" i="4"/>
  <c r="AV38" i="5"/>
  <c r="AJ31" i="5"/>
  <c r="BH43" i="5"/>
  <c r="BH33" i="5"/>
  <c r="AJ35" i="5"/>
  <c r="V50" i="4"/>
  <c r="U65" i="4"/>
  <c r="BH29" i="5"/>
  <c r="BH41" i="5"/>
  <c r="BH34" i="5"/>
  <c r="AJ47" i="5"/>
  <c r="AJ43" i="5"/>
  <c r="BJ86" i="5"/>
  <c r="C49" i="4"/>
  <c r="D61" i="5" s="1"/>
  <c r="C21" i="4"/>
  <c r="D33" i="5" s="1"/>
  <c r="N20" i="4"/>
  <c r="E53" i="4"/>
  <c r="H61" i="5"/>
  <c r="AK48" i="4"/>
  <c r="H36" i="4"/>
  <c r="H40" i="4" s="1"/>
  <c r="E45" i="4"/>
  <c r="H77" i="5"/>
  <c r="N23" i="4"/>
  <c r="H65" i="5"/>
  <c r="AF36" i="4"/>
  <c r="AF40" i="4" s="1"/>
  <c r="H57" i="5"/>
  <c r="G48" i="5"/>
  <c r="G52" i="5" s="1"/>
  <c r="C63" i="4"/>
  <c r="D75" i="5" s="1"/>
  <c r="C25" i="4"/>
  <c r="D37" i="5" s="1"/>
  <c r="C74" i="4"/>
  <c r="C75" i="4" s="1"/>
  <c r="D87" i="5" s="1"/>
  <c r="AL66" i="4"/>
  <c r="H75" i="5"/>
  <c r="H67" i="5"/>
  <c r="H59" i="5"/>
  <c r="H56" i="5"/>
  <c r="C18" i="4"/>
  <c r="D30" i="5" s="1"/>
  <c r="C58" i="4"/>
  <c r="D70" i="5" s="1"/>
  <c r="C55" i="4"/>
  <c r="D67" i="5" s="1"/>
  <c r="C65" i="4"/>
  <c r="D77" i="5" s="1"/>
  <c r="AL53" i="4"/>
  <c r="H79" i="5"/>
  <c r="H71" i="5"/>
  <c r="H63" i="5"/>
  <c r="M34" i="4"/>
  <c r="X46" i="5" s="1"/>
  <c r="AS60" i="5"/>
  <c r="H60" i="5"/>
  <c r="H64" i="5"/>
  <c r="H68" i="5"/>
  <c r="H72" i="5"/>
  <c r="H76" i="5"/>
  <c r="H80" i="5"/>
  <c r="BD75" i="5"/>
  <c r="H58" i="5"/>
  <c r="H62" i="5"/>
  <c r="H66" i="5"/>
  <c r="H70" i="5"/>
  <c r="H74" i="5"/>
  <c r="H78" i="5"/>
  <c r="E59" i="4"/>
  <c r="AD39" i="5"/>
  <c r="E58" i="5"/>
  <c r="E46" i="4"/>
  <c r="C31" i="4"/>
  <c r="D43" i="5" s="1"/>
  <c r="C46" i="4"/>
  <c r="D58" i="5" s="1"/>
  <c r="C57" i="4"/>
  <c r="D69" i="5" s="1"/>
  <c r="C47" i="4"/>
  <c r="D59" i="5" s="1"/>
  <c r="C56" i="4"/>
  <c r="D68" i="5" s="1"/>
  <c r="C22" i="4"/>
  <c r="D34" i="5" s="1"/>
  <c r="C73" i="4"/>
  <c r="D85" i="5" s="1"/>
  <c r="M22" i="4"/>
  <c r="X34" i="5" s="1"/>
  <c r="V66" i="4"/>
  <c r="U68" i="4"/>
  <c r="AL42" i="5"/>
  <c r="AL35" i="5"/>
  <c r="AL28" i="5"/>
  <c r="AJ25" i="5"/>
  <c r="M61" i="4"/>
  <c r="V46" i="4"/>
  <c r="AJ40" i="5"/>
  <c r="BR31" i="5"/>
  <c r="BR41" i="5"/>
  <c r="AL55" i="4"/>
  <c r="BR35" i="5"/>
  <c r="BP25" i="5"/>
  <c r="BB44" i="5"/>
  <c r="BB36" i="5"/>
  <c r="BF36" i="5" s="1"/>
  <c r="BB28" i="5"/>
  <c r="AD60" i="4"/>
  <c r="AD57" i="4"/>
  <c r="BB50" i="5"/>
  <c r="BB40" i="5"/>
  <c r="BB32" i="5"/>
  <c r="AZ36" i="5"/>
  <c r="AB41" i="5"/>
  <c r="AB36" i="5"/>
  <c r="AD50" i="5"/>
  <c r="U52" i="4"/>
  <c r="AD35" i="5"/>
  <c r="V49" i="4"/>
  <c r="V57" i="4"/>
  <c r="E76" i="5"/>
  <c r="E64" i="4"/>
  <c r="C28" i="5"/>
  <c r="C48" i="5" s="1"/>
  <c r="C52" i="5" s="1"/>
  <c r="R40" i="5"/>
  <c r="Z40" i="5" s="1"/>
  <c r="BJ35" i="5"/>
  <c r="AL58" i="4"/>
  <c r="AL50" i="5"/>
  <c r="AL41" i="5"/>
  <c r="AL36" i="5"/>
  <c r="AD29" i="5"/>
  <c r="V62" i="4"/>
  <c r="AJ32" i="5"/>
  <c r="AR25" i="5"/>
  <c r="AR31" i="5"/>
  <c r="AT28" i="5"/>
  <c r="AR40" i="5"/>
  <c r="AD65" i="4"/>
  <c r="AL86" i="5"/>
  <c r="AJ86" i="5"/>
  <c r="AJ85" i="5"/>
  <c r="AJ34" i="5"/>
  <c r="AJ50" i="5"/>
  <c r="AL33" i="5"/>
  <c r="AP33" i="5" s="1"/>
  <c r="AL34" i="5"/>
  <c r="V65" i="4"/>
  <c r="AJ42" i="5"/>
  <c r="AJ36" i="5"/>
  <c r="AJ33" i="5"/>
  <c r="AJ30" i="5"/>
  <c r="AJ44" i="5"/>
  <c r="U55" i="4"/>
  <c r="AL29" i="5"/>
  <c r="AL37" i="5"/>
  <c r="AL38" i="5"/>
  <c r="AL39" i="5"/>
  <c r="AL40" i="5"/>
  <c r="AL45" i="5"/>
  <c r="U50" i="4"/>
  <c r="N57" i="4"/>
  <c r="B17" i="5"/>
  <c r="F19" i="5" s="1"/>
  <c r="BM65" i="5"/>
  <c r="U71" i="5"/>
  <c r="Z35" i="5"/>
  <c r="E86" i="5"/>
  <c r="H17" i="5"/>
  <c r="I17" i="5" s="1"/>
  <c r="AS56" i="5"/>
  <c r="BM61" i="5"/>
  <c r="U67" i="5"/>
  <c r="AS72" i="5"/>
  <c r="BM57" i="5"/>
  <c r="U63" i="5"/>
  <c r="AS68" i="5"/>
  <c r="U59" i="5"/>
  <c r="AS64" i="5"/>
  <c r="BM69" i="5"/>
  <c r="BP86" i="5"/>
  <c r="BP44" i="5"/>
  <c r="AL54" i="4"/>
  <c r="BP34" i="5"/>
  <c r="BP41" i="5"/>
  <c r="BP47" i="5"/>
  <c r="AL64" i="4"/>
  <c r="BP46" i="5"/>
  <c r="BP35" i="5"/>
  <c r="BP40" i="5"/>
  <c r="BP42" i="5"/>
  <c r="BP45" i="5"/>
  <c r="BR86" i="5"/>
  <c r="BP29" i="5"/>
  <c r="BP28" i="5"/>
  <c r="AK19" i="4"/>
  <c r="BT31" i="5" s="1"/>
  <c r="BP36" i="5"/>
  <c r="BR36" i="5"/>
  <c r="BR45" i="5"/>
  <c r="AK45" i="4"/>
  <c r="AL68" i="4"/>
  <c r="AK63" i="4"/>
  <c r="BP30" i="5"/>
  <c r="AK58" i="4"/>
  <c r="BP38" i="5"/>
  <c r="BR34" i="5"/>
  <c r="E72" i="5"/>
  <c r="E60" i="4"/>
  <c r="E68" i="5"/>
  <c r="E56" i="4"/>
  <c r="AL30" i="5"/>
  <c r="T36" i="4"/>
  <c r="T40" i="4" s="1"/>
  <c r="AK49" i="4"/>
  <c r="R29" i="5"/>
  <c r="J36" i="4"/>
  <c r="J40" i="4" s="1"/>
  <c r="C34" i="4"/>
  <c r="D46" i="5" s="1"/>
  <c r="C17" i="4"/>
  <c r="D29" i="5" s="1"/>
  <c r="C64" i="4"/>
  <c r="D76" i="5" s="1"/>
  <c r="C61" i="4"/>
  <c r="D73" i="5" s="1"/>
  <c r="C53" i="4"/>
  <c r="D65" i="5" s="1"/>
  <c r="C45" i="4"/>
  <c r="D57" i="5" s="1"/>
  <c r="C66" i="4"/>
  <c r="D78" i="5" s="1"/>
  <c r="C52" i="4"/>
  <c r="D64" i="5" s="1"/>
  <c r="C32" i="4"/>
  <c r="D44" i="5" s="1"/>
  <c r="AL57" i="4"/>
  <c r="Z32" i="5"/>
  <c r="M60" i="4"/>
  <c r="BR50" i="5"/>
  <c r="BV50" i="5" s="1"/>
  <c r="AL38" i="4"/>
  <c r="BP39" i="5"/>
  <c r="AD86" i="5"/>
  <c r="AB86" i="5"/>
  <c r="V67" i="4"/>
  <c r="AB28" i="5"/>
  <c r="AB29" i="5"/>
  <c r="V54" i="4"/>
  <c r="AB46" i="5"/>
  <c r="U51" i="4"/>
  <c r="AB37" i="5"/>
  <c r="AB39" i="5"/>
  <c r="V61" i="4"/>
  <c r="U44" i="4"/>
  <c r="V47" i="4"/>
  <c r="U48" i="4"/>
  <c r="U58" i="4"/>
  <c r="V56" i="4"/>
  <c r="U57" i="4"/>
  <c r="AB25" i="5"/>
  <c r="U63" i="4"/>
  <c r="V45" i="4"/>
  <c r="U46" i="4"/>
  <c r="U62" i="4"/>
  <c r="U47" i="4"/>
  <c r="V55" i="4"/>
  <c r="U56" i="4"/>
  <c r="V64" i="4"/>
  <c r="V48" i="4"/>
  <c r="U49" i="4"/>
  <c r="E74" i="5"/>
  <c r="E62" i="4"/>
  <c r="E70" i="5"/>
  <c r="E58" i="4"/>
  <c r="E62" i="5"/>
  <c r="E50" i="4"/>
  <c r="AK66" i="4"/>
  <c r="G69" i="4"/>
  <c r="BP37" i="5"/>
  <c r="BP33" i="5"/>
  <c r="BP85" i="5"/>
  <c r="AB85" i="5"/>
  <c r="AV34" i="5"/>
  <c r="AV31" i="5"/>
  <c r="AV35" i="5"/>
  <c r="AV28" i="5"/>
  <c r="AV39" i="5"/>
  <c r="U60" i="4"/>
  <c r="U67" i="4"/>
  <c r="V60" i="4"/>
  <c r="V58" i="4"/>
  <c r="V51" i="4"/>
  <c r="AH45" i="5"/>
  <c r="AH38" i="5"/>
  <c r="AH32" i="5"/>
  <c r="V63" i="4"/>
  <c r="AF75" i="4"/>
  <c r="BJ87" i="5" s="1"/>
  <c r="BH85" i="5"/>
  <c r="BH86" i="5"/>
  <c r="BH36" i="5"/>
  <c r="BH44" i="5"/>
  <c r="BH32" i="5"/>
  <c r="BH28" i="5"/>
  <c r="AK26" i="4"/>
  <c r="BT38" i="5" s="1"/>
  <c r="BH42" i="5"/>
  <c r="H69" i="4"/>
  <c r="L43" i="5"/>
  <c r="L38" i="5"/>
  <c r="L33" i="5"/>
  <c r="AK46" i="4"/>
  <c r="BP31" i="5"/>
  <c r="N60" i="4"/>
  <c r="M50" i="4"/>
  <c r="P44" i="5"/>
  <c r="V86" i="5"/>
  <c r="T37" i="5"/>
  <c r="M63" i="4"/>
  <c r="N65" i="4"/>
  <c r="M46" i="4"/>
  <c r="M65" i="4"/>
  <c r="N55" i="4"/>
  <c r="T86" i="5"/>
  <c r="N53" i="4"/>
  <c r="N61" i="4"/>
  <c r="M48" i="4"/>
  <c r="V39" i="5"/>
  <c r="T44" i="5"/>
  <c r="M47" i="4"/>
  <c r="T39" i="5"/>
  <c r="T41" i="5"/>
  <c r="T43" i="5"/>
  <c r="M51" i="4"/>
  <c r="N62" i="4"/>
  <c r="N49" i="4"/>
  <c r="M52" i="4"/>
  <c r="V47" i="5"/>
  <c r="Z47" i="5" s="1"/>
  <c r="V36" i="5"/>
  <c r="Z36" i="5" s="1"/>
  <c r="T33" i="5"/>
  <c r="M62" i="4"/>
  <c r="T31" i="5"/>
  <c r="T38" i="5"/>
  <c r="T40" i="5"/>
  <c r="T42" i="5"/>
  <c r="E56" i="5"/>
  <c r="D69" i="4"/>
  <c r="E69" i="4" s="1"/>
  <c r="E73" i="5"/>
  <c r="E61" i="4"/>
  <c r="E61" i="5"/>
  <c r="E49" i="4"/>
  <c r="Z36" i="4"/>
  <c r="Z40" i="4" s="1"/>
  <c r="N34" i="4"/>
  <c r="N31" i="4"/>
  <c r="AD16" i="4"/>
  <c r="N26" i="4"/>
  <c r="N47" i="4"/>
  <c r="R39" i="5"/>
  <c r="AL52" i="4"/>
  <c r="BL34" i="5"/>
  <c r="AK22" i="4"/>
  <c r="BT34" i="5" s="1"/>
  <c r="N50" i="4"/>
  <c r="AJ28" i="5"/>
  <c r="AR38" i="5"/>
  <c r="AR33" i="5"/>
  <c r="AC51" i="4"/>
  <c r="AR30" i="5"/>
  <c r="AR41" i="5"/>
  <c r="AR35" i="5"/>
  <c r="AR45" i="5"/>
  <c r="E79" i="5"/>
  <c r="E67" i="4"/>
  <c r="E75" i="5"/>
  <c r="E63" i="4"/>
  <c r="S69" i="4"/>
  <c r="C26" i="4"/>
  <c r="D38" i="5" s="1"/>
  <c r="C20" i="4"/>
  <c r="D32" i="5" s="1"/>
  <c r="C67" i="4"/>
  <c r="D79" i="5" s="1"/>
  <c r="C51" i="4"/>
  <c r="D63" i="5" s="1"/>
  <c r="C48" i="4"/>
  <c r="D60" i="5" s="1"/>
  <c r="C29" i="4"/>
  <c r="D41" i="5" s="1"/>
  <c r="C68" i="4"/>
  <c r="D80" i="5" s="1"/>
  <c r="C62" i="4"/>
  <c r="D74" i="5" s="1"/>
  <c r="E75" i="4"/>
  <c r="H87" i="5" s="1"/>
  <c r="C33" i="4"/>
  <c r="D45" i="5" s="1"/>
  <c r="C16" i="4"/>
  <c r="D28" i="5" s="1"/>
  <c r="C19" i="4"/>
  <c r="D31" i="5" s="1"/>
  <c r="C35" i="4"/>
  <c r="D47" i="5" s="1"/>
  <c r="U54" i="4"/>
  <c r="N54" i="4"/>
  <c r="AL48" i="4"/>
  <c r="BL30" i="5"/>
  <c r="AK18" i="4"/>
  <c r="BT30" i="5" s="1"/>
  <c r="U34" i="4"/>
  <c r="AN46" i="5" s="1"/>
  <c r="BL25" i="5"/>
  <c r="AK61" i="4"/>
  <c r="AK59" i="4"/>
  <c r="AK52" i="4"/>
  <c r="AK44" i="4"/>
  <c r="BN45" i="5"/>
  <c r="AK51" i="4"/>
  <c r="AL46" i="4"/>
  <c r="AL61" i="4"/>
  <c r="AK50" i="4"/>
  <c r="AK68" i="4"/>
  <c r="AK65" i="4"/>
  <c r="AL65" i="4"/>
  <c r="AL51" i="4"/>
  <c r="BN47" i="5"/>
  <c r="BV47" i="5" s="1"/>
  <c r="AK64" i="4"/>
  <c r="AL67" i="4"/>
  <c r="AK54" i="4"/>
  <c r="AL45" i="4"/>
  <c r="AL44" i="4"/>
  <c r="AK67" i="4"/>
  <c r="AL60" i="4"/>
  <c r="AK56" i="4"/>
  <c r="AL47" i="4"/>
  <c r="AK55" i="4"/>
  <c r="AK47" i="4"/>
  <c r="BL44" i="5"/>
  <c r="AL62" i="4"/>
  <c r="AL49" i="4"/>
  <c r="AK57" i="4"/>
  <c r="AL56" i="4"/>
  <c r="AK60" i="4"/>
  <c r="AZ28" i="5"/>
  <c r="AZ25" i="5"/>
  <c r="AZ44" i="5"/>
  <c r="AZ50" i="5"/>
  <c r="AL59" i="4"/>
  <c r="AL35" i="4"/>
  <c r="V59" i="4"/>
  <c r="V68" i="4"/>
  <c r="AJ45" i="5"/>
  <c r="AV42" i="5"/>
  <c r="L40" i="5"/>
  <c r="L32" i="5"/>
  <c r="G36" i="4"/>
  <c r="G40" i="4" s="1"/>
  <c r="E16" i="4"/>
  <c r="E22" i="4"/>
  <c r="H34" i="5" s="1"/>
  <c r="E38" i="4"/>
  <c r="H50" i="5" s="1"/>
  <c r="E31" i="4"/>
  <c r="H43" i="5" s="1"/>
  <c r="E18" i="4"/>
  <c r="H30" i="5" s="1"/>
  <c r="E30" i="4"/>
  <c r="H42" i="5" s="1"/>
  <c r="E35" i="4"/>
  <c r="H47" i="5" s="1"/>
  <c r="E17" i="4"/>
  <c r="H29" i="5" s="1"/>
  <c r="E33" i="4"/>
  <c r="H45" i="5" s="1"/>
  <c r="E28" i="4"/>
  <c r="H40" i="5" s="1"/>
  <c r="E26" i="4"/>
  <c r="H38" i="5" s="1"/>
  <c r="E29" i="4"/>
  <c r="H41" i="5" s="1"/>
  <c r="E24" i="4"/>
  <c r="H36" i="5" s="1"/>
  <c r="E19" i="4"/>
  <c r="H31" i="5" s="1"/>
  <c r="E34" i="4"/>
  <c r="H46" i="5" s="1"/>
  <c r="E23" i="4"/>
  <c r="H35" i="5" s="1"/>
  <c r="E21" i="4"/>
  <c r="H33" i="5" s="1"/>
  <c r="E32" i="4"/>
  <c r="H44" i="5" s="1"/>
  <c r="E20" i="4"/>
  <c r="H32" i="5" s="1"/>
  <c r="E27" i="4"/>
  <c r="H39" i="5" s="1"/>
  <c r="E25" i="4"/>
  <c r="H37" i="5" s="1"/>
  <c r="D86" i="5"/>
  <c r="T69" i="4"/>
  <c r="AK53" i="4"/>
  <c r="C81" i="5"/>
  <c r="AJ69" i="4"/>
  <c r="V53" i="4"/>
  <c r="AE69" i="4"/>
  <c r="R30" i="5"/>
  <c r="Z30" i="5" s="1"/>
  <c r="N18" i="4"/>
  <c r="AZ33" i="5"/>
  <c r="AZ39" i="5"/>
  <c r="AD50" i="4"/>
  <c r="BB47" i="5"/>
  <c r="BB45" i="5"/>
  <c r="BB43" i="5"/>
  <c r="BB41" i="5"/>
  <c r="BB39" i="5"/>
  <c r="BB37" i="5"/>
  <c r="BB35" i="5"/>
  <c r="BB33" i="5"/>
  <c r="BB31" i="5"/>
  <c r="AZ32" i="5"/>
  <c r="AC62" i="4"/>
  <c r="AD66" i="4"/>
  <c r="AD64" i="4"/>
  <c r="AD67" i="4"/>
  <c r="AD46" i="4"/>
  <c r="M58" i="4"/>
  <c r="M64" i="4"/>
  <c r="AZ40" i="5"/>
  <c r="AZ43" i="5"/>
  <c r="AZ41" i="5"/>
  <c r="AV32" i="5"/>
  <c r="AV36" i="5"/>
  <c r="AC68" i="4"/>
  <c r="AC50" i="4"/>
  <c r="AC61" i="4"/>
  <c r="AC52" i="4"/>
  <c r="AC47" i="4"/>
  <c r="AC55" i="4"/>
  <c r="AC67" i="4"/>
  <c r="AC59" i="4"/>
  <c r="AC54" i="4"/>
  <c r="AC46" i="4"/>
  <c r="AD61" i="4"/>
  <c r="AD52" i="4"/>
  <c r="AC56" i="4"/>
  <c r="AC48" i="4"/>
  <c r="V52" i="4"/>
  <c r="U53" i="4"/>
  <c r="N52" i="4"/>
  <c r="M66" i="4"/>
  <c r="M49" i="4"/>
  <c r="M53" i="4"/>
  <c r="M57" i="4"/>
  <c r="E64" i="5"/>
  <c r="E52" i="4"/>
  <c r="E60" i="5"/>
  <c r="E48" i="4"/>
  <c r="AZ86" i="5"/>
  <c r="BB86" i="5"/>
  <c r="AV86" i="5"/>
  <c r="AX86" i="5"/>
  <c r="AC60" i="4"/>
  <c r="N63" i="4"/>
  <c r="M16" i="4"/>
  <c r="N56" i="4"/>
  <c r="M68" i="4"/>
  <c r="Z38" i="5"/>
  <c r="Z43" i="5"/>
  <c r="Z46" i="5"/>
  <c r="U56" i="5"/>
  <c r="AS57" i="5"/>
  <c r="BM58" i="5"/>
  <c r="U60" i="5"/>
  <c r="AS61" i="5"/>
  <c r="BM62" i="5"/>
  <c r="U64" i="5"/>
  <c r="AS65" i="5"/>
  <c r="BM66" i="5"/>
  <c r="U68" i="5"/>
  <c r="AS69" i="5"/>
  <c r="BM70" i="5"/>
  <c r="U72" i="5"/>
  <c r="BM56" i="5"/>
  <c r="U58" i="5"/>
  <c r="AS59" i="5"/>
  <c r="BM60" i="5"/>
  <c r="U62" i="5"/>
  <c r="AS63" i="5"/>
  <c r="BM64" i="5"/>
  <c r="U66" i="5"/>
  <c r="AS67" i="5"/>
  <c r="BM68" i="5"/>
  <c r="U70" i="5"/>
  <c r="AS71" i="5"/>
  <c r="BM72" i="5"/>
  <c r="F81" i="5"/>
  <c r="U57" i="5"/>
  <c r="AS58" i="5"/>
  <c r="BM59" i="5"/>
  <c r="U61" i="5"/>
  <c r="AS62" i="5"/>
  <c r="BM63" i="5"/>
  <c r="U65" i="5"/>
  <c r="AS66" i="5"/>
  <c r="BM67" i="5"/>
  <c r="U69" i="5"/>
  <c r="AS70" i="5"/>
  <c r="BM71" i="5"/>
  <c r="AX48" i="5"/>
  <c r="AX52" i="5" s="1"/>
  <c r="I87" i="5"/>
  <c r="N48" i="5"/>
  <c r="N52" i="5" s="1"/>
  <c r="C102" i="5"/>
  <c r="E85" i="5"/>
  <c r="M56" i="5"/>
  <c r="N56" i="5" s="1"/>
  <c r="AG56" i="5"/>
  <c r="BA56" i="5"/>
  <c r="M57" i="5"/>
  <c r="AG57" i="5"/>
  <c r="BA57" i="5"/>
  <c r="M58" i="5"/>
  <c r="AG58" i="5"/>
  <c r="BA58" i="5"/>
  <c r="M59" i="5"/>
  <c r="AG59" i="5"/>
  <c r="BA59" i="5"/>
  <c r="M60" i="5"/>
  <c r="AG60" i="5"/>
  <c r="BA60" i="5"/>
  <c r="M61" i="5"/>
  <c r="AG61" i="5"/>
  <c r="BA61" i="5"/>
  <c r="M62" i="5"/>
  <c r="AG62" i="5"/>
  <c r="BA62" i="5"/>
  <c r="M63" i="5"/>
  <c r="AG63" i="5"/>
  <c r="BA63" i="5"/>
  <c r="M64" i="5"/>
  <c r="AG64" i="5"/>
  <c r="BA64" i="5"/>
  <c r="M65" i="5"/>
  <c r="AG65" i="5"/>
  <c r="BA65" i="5"/>
  <c r="M66" i="5"/>
  <c r="AG66" i="5"/>
  <c r="BA66" i="5"/>
  <c r="M67" i="5"/>
  <c r="AG67" i="5"/>
  <c r="BA67" i="5"/>
  <c r="M68" i="5"/>
  <c r="AG68" i="5"/>
  <c r="BA68" i="5"/>
  <c r="M69" i="5"/>
  <c r="AG69" i="5"/>
  <c r="BA69" i="5"/>
  <c r="M70" i="5"/>
  <c r="AG70" i="5"/>
  <c r="BA70" i="5"/>
  <c r="M71" i="5"/>
  <c r="AG71" i="5"/>
  <c r="BA71" i="5"/>
  <c r="M72" i="5"/>
  <c r="AG72" i="5"/>
  <c r="BA72" i="5"/>
  <c r="Q56" i="5"/>
  <c r="AK56" i="5"/>
  <c r="BI56" i="5"/>
  <c r="Q57" i="5"/>
  <c r="AK57" i="5"/>
  <c r="BI57" i="5"/>
  <c r="Q58" i="5"/>
  <c r="AK58" i="5"/>
  <c r="BI58" i="5"/>
  <c r="Q59" i="5"/>
  <c r="AK59" i="5"/>
  <c r="BI59" i="5"/>
  <c r="Q60" i="5"/>
  <c r="AK60" i="5"/>
  <c r="BI60" i="5"/>
  <c r="Q61" i="5"/>
  <c r="AK61" i="5"/>
  <c r="BI61" i="5"/>
  <c r="Q62" i="5"/>
  <c r="AK62" i="5"/>
  <c r="BI62" i="5"/>
  <c r="Q63" i="5"/>
  <c r="AK63" i="5"/>
  <c r="BI63" i="5"/>
  <c r="Q64" i="5"/>
  <c r="AK64" i="5"/>
  <c r="BI64" i="5"/>
  <c r="Q65" i="5"/>
  <c r="AK65" i="5"/>
  <c r="BI65" i="5"/>
  <c r="Q66" i="5"/>
  <c r="AK66" i="5"/>
  <c r="BI66" i="5"/>
  <c r="Q67" i="5"/>
  <c r="AK67" i="5"/>
  <c r="BI67" i="5"/>
  <c r="Q68" i="5"/>
  <c r="AK68" i="5"/>
  <c r="BI68" i="5"/>
  <c r="Q69" i="5"/>
  <c r="AK69" i="5"/>
  <c r="BI69" i="5"/>
  <c r="Q70" i="5"/>
  <c r="AK70" i="5"/>
  <c r="BI70" i="5"/>
  <c r="Q71" i="5"/>
  <c r="AK71" i="5"/>
  <c r="BI71" i="5"/>
  <c r="Q72" i="5"/>
  <c r="AK72" i="5"/>
  <c r="BI72" i="5"/>
  <c r="AC56" i="5"/>
  <c r="AW56" i="5"/>
  <c r="BQ56" i="5"/>
  <c r="AC57" i="5"/>
  <c r="AW57" i="5"/>
  <c r="BQ57" i="5"/>
  <c r="AC58" i="5"/>
  <c r="AW58" i="5"/>
  <c r="BQ58" i="5"/>
  <c r="AC59" i="5"/>
  <c r="AW59" i="5"/>
  <c r="BQ59" i="5"/>
  <c r="AC60" i="5"/>
  <c r="AW60" i="5"/>
  <c r="BQ60" i="5"/>
  <c r="AC61" i="5"/>
  <c r="AW61" i="5"/>
  <c r="BQ61" i="5"/>
  <c r="AC62" i="5"/>
  <c r="AW62" i="5"/>
  <c r="BQ62" i="5"/>
  <c r="AC63" i="5"/>
  <c r="AW63" i="5"/>
  <c r="BQ63" i="5"/>
  <c r="AC64" i="5"/>
  <c r="AW64" i="5"/>
  <c r="BQ64" i="5"/>
  <c r="AC65" i="5"/>
  <c r="AW65" i="5"/>
  <c r="BQ65" i="5"/>
  <c r="AC66" i="5"/>
  <c r="AW66" i="5"/>
  <c r="BQ66" i="5"/>
  <c r="AC67" i="5"/>
  <c r="AW67" i="5"/>
  <c r="BQ67" i="5"/>
  <c r="AC68" i="5"/>
  <c r="AW68" i="5"/>
  <c r="BQ68" i="5"/>
  <c r="AC69" i="5"/>
  <c r="AW69" i="5"/>
  <c r="BQ69" i="5"/>
  <c r="AC70" i="5"/>
  <c r="AW70" i="5"/>
  <c r="BQ70" i="5"/>
  <c r="AC71" i="5"/>
  <c r="AW71" i="5"/>
  <c r="BQ71" i="5"/>
  <c r="AC72" i="5"/>
  <c r="AW72" i="5"/>
  <c r="BQ72" i="5"/>
  <c r="I48" i="5" l="1"/>
  <c r="I52" i="5" s="1"/>
  <c r="J86" i="5" s="1"/>
  <c r="BQ110" i="5"/>
  <c r="BA110" i="5"/>
  <c r="M110" i="5"/>
  <c r="BI110" i="5"/>
  <c r="BM110" i="5"/>
  <c r="BN110" i="5" s="1"/>
  <c r="BO110" i="5" s="1"/>
  <c r="AG110" i="5"/>
  <c r="Q110" i="5"/>
  <c r="AC110" i="5"/>
  <c r="AW110" i="5"/>
  <c r="AK110" i="5"/>
  <c r="AL110" i="5" s="1"/>
  <c r="AM110" i="5" s="1"/>
  <c r="AS110" i="5"/>
  <c r="U110" i="5"/>
  <c r="V110" i="5" s="1"/>
  <c r="W110" i="5" s="1"/>
  <c r="AW107" i="5"/>
  <c r="BQ107" i="5"/>
  <c r="BA107" i="5"/>
  <c r="Q107" i="5"/>
  <c r="BI107" i="5"/>
  <c r="AK107" i="5"/>
  <c r="U107" i="5"/>
  <c r="M107" i="5"/>
  <c r="AS107" i="5"/>
  <c r="AC107" i="5"/>
  <c r="AG107" i="5"/>
  <c r="BM107" i="5"/>
  <c r="E48" i="5"/>
  <c r="AC86" i="5"/>
  <c r="AK85" i="5"/>
  <c r="BC86" i="5"/>
  <c r="O86" i="5"/>
  <c r="AI85" i="5"/>
  <c r="BA86" i="5"/>
  <c r="M86" i="5"/>
  <c r="AG85" i="5"/>
  <c r="BK85" i="5"/>
  <c r="BQ108" i="5"/>
  <c r="BR108" i="5" s="1"/>
  <c r="BS108" i="5" s="1"/>
  <c r="AK108" i="5"/>
  <c r="U108" i="5"/>
  <c r="V108" i="5" s="1"/>
  <c r="W108" i="5" s="1"/>
  <c r="AW108" i="5"/>
  <c r="AX108" i="5" s="1"/>
  <c r="AY108" i="5" s="1"/>
  <c r="AC108" i="5"/>
  <c r="BM108" i="5"/>
  <c r="M108" i="5"/>
  <c r="BI108" i="5"/>
  <c r="AS108" i="5"/>
  <c r="AG108" i="5"/>
  <c r="BA108" i="5"/>
  <c r="BB108" i="5" s="1"/>
  <c r="BC108" i="5" s="1"/>
  <c r="Q108" i="5"/>
  <c r="R108" i="5" s="1"/>
  <c r="S108" i="5" s="1"/>
  <c r="E52" i="5"/>
  <c r="G71" i="5" s="1"/>
  <c r="G108" i="5"/>
  <c r="G110" i="5"/>
  <c r="BT56" i="5"/>
  <c r="C44" i="4"/>
  <c r="D56" i="5" s="1"/>
  <c r="C87" i="4"/>
  <c r="D110" i="5" s="1"/>
  <c r="C85" i="4"/>
  <c r="D108" i="5" s="1"/>
  <c r="C84" i="4"/>
  <c r="D107" i="5" s="1"/>
  <c r="C86" i="4"/>
  <c r="D109" i="5" s="1"/>
  <c r="S42" i="5"/>
  <c r="BQ42" i="5"/>
  <c r="BI42" i="5"/>
  <c r="AW42" i="5"/>
  <c r="AK42" i="5"/>
  <c r="AC42" i="5"/>
  <c r="O42" i="5"/>
  <c r="BO42" i="5"/>
  <c r="BC42" i="5"/>
  <c r="AU42" i="5"/>
  <c r="AI42" i="5"/>
  <c r="W42" i="5"/>
  <c r="BM42" i="5"/>
  <c r="BA42" i="5"/>
  <c r="AS42" i="5"/>
  <c r="AG42" i="5"/>
  <c r="U42" i="5"/>
  <c r="BS42" i="5"/>
  <c r="BK42" i="5"/>
  <c r="AY42" i="5"/>
  <c r="AM42" i="5"/>
  <c r="AE42" i="5"/>
  <c r="Q42" i="5"/>
  <c r="M42" i="5"/>
  <c r="S35" i="5"/>
  <c r="BM35" i="5"/>
  <c r="BA35" i="5"/>
  <c r="AS35" i="5"/>
  <c r="AG35" i="5"/>
  <c r="U35" i="5"/>
  <c r="BS35" i="5"/>
  <c r="BK35" i="5"/>
  <c r="AY35" i="5"/>
  <c r="AM35" i="5"/>
  <c r="AE35" i="5"/>
  <c r="Q35" i="5"/>
  <c r="BQ35" i="5"/>
  <c r="BI35" i="5"/>
  <c r="AW35" i="5"/>
  <c r="AK35" i="5"/>
  <c r="AC35" i="5"/>
  <c r="O35" i="5"/>
  <c r="BO35" i="5"/>
  <c r="BC35" i="5"/>
  <c r="AU35" i="5"/>
  <c r="AI35" i="5"/>
  <c r="W35" i="5"/>
  <c r="M35" i="5"/>
  <c r="BQ79" i="5"/>
  <c r="BM79" i="5"/>
  <c r="BI79" i="5"/>
  <c r="BA79" i="5"/>
  <c r="AW79" i="5"/>
  <c r="AK79" i="5"/>
  <c r="AG79" i="5"/>
  <c r="AC79" i="5"/>
  <c r="U79" i="5"/>
  <c r="V79" i="5" s="1"/>
  <c r="Q79" i="5"/>
  <c r="M79" i="5"/>
  <c r="AS79" i="5"/>
  <c r="S41" i="5"/>
  <c r="BM41" i="5"/>
  <c r="BA41" i="5"/>
  <c r="AS41" i="5"/>
  <c r="AG41" i="5"/>
  <c r="U41" i="5"/>
  <c r="BS41" i="5"/>
  <c r="BK41" i="5"/>
  <c r="AY41" i="5"/>
  <c r="AM41" i="5"/>
  <c r="AE41" i="5"/>
  <c r="Q41" i="5"/>
  <c r="BQ41" i="5"/>
  <c r="BI41" i="5"/>
  <c r="AW41" i="5"/>
  <c r="AK41" i="5"/>
  <c r="AC41" i="5"/>
  <c r="O41" i="5"/>
  <c r="BO41" i="5"/>
  <c r="BC41" i="5"/>
  <c r="AU41" i="5"/>
  <c r="AI41" i="5"/>
  <c r="W41" i="5"/>
  <c r="M41" i="5"/>
  <c r="S36" i="5"/>
  <c r="BQ36" i="5"/>
  <c r="BI36" i="5"/>
  <c r="AW36" i="5"/>
  <c r="AK36" i="5"/>
  <c r="AC36" i="5"/>
  <c r="O36" i="5"/>
  <c r="BO36" i="5"/>
  <c r="BC36" i="5"/>
  <c r="AU36" i="5"/>
  <c r="AI36" i="5"/>
  <c r="W36" i="5"/>
  <c r="BM36" i="5"/>
  <c r="BA36" i="5"/>
  <c r="AS36" i="5"/>
  <c r="AG36" i="5"/>
  <c r="U36" i="5"/>
  <c r="BS36" i="5"/>
  <c r="BK36" i="5"/>
  <c r="AY36" i="5"/>
  <c r="AM36" i="5"/>
  <c r="AE36" i="5"/>
  <c r="Q36" i="5"/>
  <c r="M36" i="5"/>
  <c r="S30" i="5"/>
  <c r="BO30" i="5"/>
  <c r="BC30" i="5"/>
  <c r="AU30" i="5"/>
  <c r="AI30" i="5"/>
  <c r="W30" i="5"/>
  <c r="AW30" i="5"/>
  <c r="O30" i="5"/>
  <c r="BM30" i="5"/>
  <c r="BA30" i="5"/>
  <c r="AS30" i="5"/>
  <c r="AG30" i="5"/>
  <c r="U30" i="5"/>
  <c r="BQ30" i="5"/>
  <c r="AK30" i="5"/>
  <c r="BS30" i="5"/>
  <c r="BK30" i="5"/>
  <c r="AY30" i="5"/>
  <c r="AM30" i="5"/>
  <c r="AE30" i="5"/>
  <c r="Q30" i="5"/>
  <c r="BI30" i="5"/>
  <c r="AC30" i="5"/>
  <c r="M30" i="5"/>
  <c r="S46" i="5"/>
  <c r="BM74" i="5"/>
  <c r="BA74" i="5"/>
  <c r="AK74" i="5"/>
  <c r="AC74" i="5"/>
  <c r="Q74" i="5"/>
  <c r="AS74" i="5"/>
  <c r="AT74" i="5" s="1"/>
  <c r="BQ74" i="5"/>
  <c r="BI74" i="5"/>
  <c r="AW74" i="5"/>
  <c r="AG74" i="5"/>
  <c r="U74" i="5"/>
  <c r="M74" i="5"/>
  <c r="BQ46" i="5"/>
  <c r="BI46" i="5"/>
  <c r="AW46" i="5"/>
  <c r="AK46" i="5"/>
  <c r="AC46" i="5"/>
  <c r="O46" i="5"/>
  <c r="BO46" i="5"/>
  <c r="BC46" i="5"/>
  <c r="AU46" i="5"/>
  <c r="AI46" i="5"/>
  <c r="W46" i="5"/>
  <c r="BM46" i="5"/>
  <c r="BA46" i="5"/>
  <c r="AS46" i="5"/>
  <c r="AG46" i="5"/>
  <c r="U46" i="5"/>
  <c r="BS46" i="5"/>
  <c r="BK46" i="5"/>
  <c r="AY46" i="5"/>
  <c r="AM46" i="5"/>
  <c r="AE46" i="5"/>
  <c r="Q46" i="5"/>
  <c r="M46" i="5"/>
  <c r="S39" i="5"/>
  <c r="BM39" i="5"/>
  <c r="BA39" i="5"/>
  <c r="AS39" i="5"/>
  <c r="AG39" i="5"/>
  <c r="U39" i="5"/>
  <c r="BS39" i="5"/>
  <c r="BK39" i="5"/>
  <c r="AY39" i="5"/>
  <c r="AM39" i="5"/>
  <c r="AE39" i="5"/>
  <c r="Q39" i="5"/>
  <c r="BQ39" i="5"/>
  <c r="BI39" i="5"/>
  <c r="AW39" i="5"/>
  <c r="AK39" i="5"/>
  <c r="AC39" i="5"/>
  <c r="O39" i="5"/>
  <c r="BO39" i="5"/>
  <c r="BC39" i="5"/>
  <c r="AU39" i="5"/>
  <c r="AI39" i="5"/>
  <c r="W39" i="5"/>
  <c r="M39" i="5"/>
  <c r="S29" i="5"/>
  <c r="BS29" i="5"/>
  <c r="BK29" i="5"/>
  <c r="AY29" i="5"/>
  <c r="AM29" i="5"/>
  <c r="AE29" i="5"/>
  <c r="Q29" i="5"/>
  <c r="AG29" i="5"/>
  <c r="BQ29" i="5"/>
  <c r="BI29" i="5"/>
  <c r="AW29" i="5"/>
  <c r="AK29" i="5"/>
  <c r="AC29" i="5"/>
  <c r="O29" i="5"/>
  <c r="BM29" i="5"/>
  <c r="BA29" i="5"/>
  <c r="U29" i="5"/>
  <c r="BO29" i="5"/>
  <c r="BC29" i="5"/>
  <c r="AU29" i="5"/>
  <c r="AI29" i="5"/>
  <c r="W29" i="5"/>
  <c r="M29" i="5"/>
  <c r="AS29" i="5"/>
  <c r="BE29" i="5" s="1"/>
  <c r="S45" i="5"/>
  <c r="BQ73" i="5"/>
  <c r="BM73" i="5"/>
  <c r="BI73" i="5"/>
  <c r="BA73" i="5"/>
  <c r="AW73" i="5"/>
  <c r="AK73" i="5"/>
  <c r="AG73" i="5"/>
  <c r="AC73" i="5"/>
  <c r="U73" i="5"/>
  <c r="Q73" i="5"/>
  <c r="M73" i="5"/>
  <c r="AS73" i="5"/>
  <c r="BM45" i="5"/>
  <c r="BA45" i="5"/>
  <c r="AS45" i="5"/>
  <c r="AG45" i="5"/>
  <c r="U45" i="5"/>
  <c r="BS45" i="5"/>
  <c r="BK45" i="5"/>
  <c r="AY45" i="5"/>
  <c r="AM45" i="5"/>
  <c r="AE45" i="5"/>
  <c r="Q45" i="5"/>
  <c r="BQ45" i="5"/>
  <c r="BI45" i="5"/>
  <c r="AW45" i="5"/>
  <c r="AK45" i="5"/>
  <c r="AC45" i="5"/>
  <c r="O45" i="5"/>
  <c r="BO45" i="5"/>
  <c r="BC45" i="5"/>
  <c r="AU45" i="5"/>
  <c r="AI45" i="5"/>
  <c r="W45" i="5"/>
  <c r="M45" i="5"/>
  <c r="Y45" i="5" s="1"/>
  <c r="S40" i="5"/>
  <c r="BQ40" i="5"/>
  <c r="BI40" i="5"/>
  <c r="AW40" i="5"/>
  <c r="AK40" i="5"/>
  <c r="AC40" i="5"/>
  <c r="O40" i="5"/>
  <c r="BO40" i="5"/>
  <c r="BC40" i="5"/>
  <c r="AU40" i="5"/>
  <c r="AI40" i="5"/>
  <c r="W40" i="5"/>
  <c r="BM40" i="5"/>
  <c r="BA40" i="5"/>
  <c r="AS40" i="5"/>
  <c r="AG40" i="5"/>
  <c r="U40" i="5"/>
  <c r="BS40" i="5"/>
  <c r="BK40" i="5"/>
  <c r="AY40" i="5"/>
  <c r="AM40" i="5"/>
  <c r="AE40" i="5"/>
  <c r="Q40" i="5"/>
  <c r="M40" i="5"/>
  <c r="S34" i="5"/>
  <c r="BQ34" i="5"/>
  <c r="BI34" i="5"/>
  <c r="AW34" i="5"/>
  <c r="BO34" i="5"/>
  <c r="BC34" i="5"/>
  <c r="AU34" i="5"/>
  <c r="AI34" i="5"/>
  <c r="BM34" i="5"/>
  <c r="BA34" i="5"/>
  <c r="AS34" i="5"/>
  <c r="AG34" i="5"/>
  <c r="U34" i="5"/>
  <c r="BS34" i="5"/>
  <c r="BK34" i="5"/>
  <c r="AY34" i="5"/>
  <c r="AM34" i="5"/>
  <c r="AE34" i="5"/>
  <c r="O34" i="5"/>
  <c r="Q34" i="5"/>
  <c r="M34" i="5"/>
  <c r="AC34" i="5"/>
  <c r="W34" i="5"/>
  <c r="AK34" i="5"/>
  <c r="AK78" i="5"/>
  <c r="BQ78" i="5"/>
  <c r="BI78" i="5"/>
  <c r="AW78" i="5"/>
  <c r="AG78" i="5"/>
  <c r="U78" i="5"/>
  <c r="M78" i="5"/>
  <c r="BA78" i="5"/>
  <c r="Q78" i="5"/>
  <c r="BM78" i="5"/>
  <c r="AC78" i="5"/>
  <c r="AS78" i="5"/>
  <c r="S43" i="5"/>
  <c r="BM43" i="5"/>
  <c r="BA43" i="5"/>
  <c r="AS43" i="5"/>
  <c r="BE43" i="5" s="1"/>
  <c r="AG43" i="5"/>
  <c r="U43" i="5"/>
  <c r="BS43" i="5"/>
  <c r="BK43" i="5"/>
  <c r="BW43" i="5" s="1"/>
  <c r="AY43" i="5"/>
  <c r="AM43" i="5"/>
  <c r="AE43" i="5"/>
  <c r="Q43" i="5"/>
  <c r="BQ43" i="5"/>
  <c r="BI43" i="5"/>
  <c r="AW43" i="5"/>
  <c r="AK43" i="5"/>
  <c r="AC43" i="5"/>
  <c r="O43" i="5"/>
  <c r="BO43" i="5"/>
  <c r="BC43" i="5"/>
  <c r="AU43" i="5"/>
  <c r="AI43" i="5"/>
  <c r="W43" i="5"/>
  <c r="M43" i="5"/>
  <c r="S33" i="5"/>
  <c r="BQ33" i="5"/>
  <c r="BK33" i="5"/>
  <c r="AY33" i="5"/>
  <c r="AM33" i="5"/>
  <c r="AE33" i="5"/>
  <c r="Q33" i="5"/>
  <c r="AS33" i="5"/>
  <c r="U33" i="5"/>
  <c r="BS33" i="5"/>
  <c r="BI33" i="5"/>
  <c r="AW33" i="5"/>
  <c r="AK33" i="5"/>
  <c r="AC33" i="5"/>
  <c r="O33" i="5"/>
  <c r="BM33" i="5"/>
  <c r="AG33" i="5"/>
  <c r="BO33" i="5"/>
  <c r="BC33" i="5"/>
  <c r="AU33" i="5"/>
  <c r="BG33" i="5" s="1"/>
  <c r="AI33" i="5"/>
  <c r="W33" i="5"/>
  <c r="M33" i="5"/>
  <c r="BA33" i="5"/>
  <c r="BQ77" i="5"/>
  <c r="BM77" i="5"/>
  <c r="BN77" i="5" s="1"/>
  <c r="BO77" i="5" s="1"/>
  <c r="BI77" i="5"/>
  <c r="BA77" i="5"/>
  <c r="AW77" i="5"/>
  <c r="AK77" i="5"/>
  <c r="AG77" i="5"/>
  <c r="AC77" i="5"/>
  <c r="U77" i="5"/>
  <c r="Q77" i="5"/>
  <c r="M77" i="5"/>
  <c r="AS77" i="5"/>
  <c r="S44" i="5"/>
  <c r="BQ44" i="5"/>
  <c r="BI44" i="5"/>
  <c r="AW44" i="5"/>
  <c r="AK44" i="5"/>
  <c r="AC44" i="5"/>
  <c r="O44" i="5"/>
  <c r="BO44" i="5"/>
  <c r="BC44" i="5"/>
  <c r="AU44" i="5"/>
  <c r="AI44" i="5"/>
  <c r="W44" i="5"/>
  <c r="BM44" i="5"/>
  <c r="BA44" i="5"/>
  <c r="AS44" i="5"/>
  <c r="AG44" i="5"/>
  <c r="U44" i="5"/>
  <c r="BS44" i="5"/>
  <c r="BK44" i="5"/>
  <c r="AY44" i="5"/>
  <c r="AM44" i="5"/>
  <c r="AE44" i="5"/>
  <c r="Q44" i="5"/>
  <c r="M44" i="5"/>
  <c r="Y44" i="5" s="1"/>
  <c r="BS50" i="5"/>
  <c r="BQ76" i="5"/>
  <c r="BM76" i="5"/>
  <c r="BI76" i="5"/>
  <c r="BA76" i="5"/>
  <c r="AW76" i="5"/>
  <c r="AX76" i="5" s="1"/>
  <c r="AY76" i="5" s="1"/>
  <c r="AK76" i="5"/>
  <c r="AG76" i="5"/>
  <c r="AC76" i="5"/>
  <c r="U76" i="5"/>
  <c r="V76" i="5" s="1"/>
  <c r="W76" i="5" s="1"/>
  <c r="Q76" i="5"/>
  <c r="M76" i="5"/>
  <c r="AS76" i="5"/>
  <c r="AT76" i="5" s="1"/>
  <c r="BI50" i="5"/>
  <c r="M50" i="5"/>
  <c r="AW50" i="5"/>
  <c r="AI50" i="5"/>
  <c r="AQ50" i="5" s="1"/>
  <c r="BQ50" i="5"/>
  <c r="W50" i="5"/>
  <c r="AA50" i="5" s="1"/>
  <c r="S38" i="5"/>
  <c r="BQ38" i="5"/>
  <c r="BI38" i="5"/>
  <c r="AW38" i="5"/>
  <c r="AK38" i="5"/>
  <c r="AC38" i="5"/>
  <c r="O38" i="5"/>
  <c r="BO38" i="5"/>
  <c r="BC38" i="5"/>
  <c r="AU38" i="5"/>
  <c r="AI38" i="5"/>
  <c r="W38" i="5"/>
  <c r="BM38" i="5"/>
  <c r="BA38" i="5"/>
  <c r="AS38" i="5"/>
  <c r="AG38" i="5"/>
  <c r="U38" i="5"/>
  <c r="BS38" i="5"/>
  <c r="BK38" i="5"/>
  <c r="AY38" i="5"/>
  <c r="AM38" i="5"/>
  <c r="AE38" i="5"/>
  <c r="Q38" i="5"/>
  <c r="M38" i="5"/>
  <c r="S31" i="5"/>
  <c r="BS31" i="5"/>
  <c r="BK31" i="5"/>
  <c r="AY31" i="5"/>
  <c r="AM31" i="5"/>
  <c r="AE31" i="5"/>
  <c r="Q31" i="5"/>
  <c r="M31" i="5"/>
  <c r="BA31" i="5"/>
  <c r="U31" i="5"/>
  <c r="BQ31" i="5"/>
  <c r="BI31" i="5"/>
  <c r="AW31" i="5"/>
  <c r="AK31" i="5"/>
  <c r="AC31" i="5"/>
  <c r="O31" i="5"/>
  <c r="AS31" i="5"/>
  <c r="BE31" i="5" s="1"/>
  <c r="BO31" i="5"/>
  <c r="BC31" i="5"/>
  <c r="AU31" i="5"/>
  <c r="AI31" i="5"/>
  <c r="W31" i="5"/>
  <c r="BM31" i="5"/>
  <c r="AG31" i="5"/>
  <c r="S47" i="5"/>
  <c r="BQ75" i="5"/>
  <c r="BM75" i="5"/>
  <c r="BN75" i="5" s="1"/>
  <c r="BO75" i="5" s="1"/>
  <c r="BI75" i="5"/>
  <c r="BA75" i="5"/>
  <c r="BB75" i="5" s="1"/>
  <c r="AW75" i="5"/>
  <c r="AK75" i="5"/>
  <c r="AG75" i="5"/>
  <c r="AC75" i="5"/>
  <c r="AD75" i="5" s="1"/>
  <c r="AE75" i="5" s="1"/>
  <c r="U75" i="5"/>
  <c r="Q75" i="5"/>
  <c r="Y75" i="5" s="1"/>
  <c r="M75" i="5"/>
  <c r="AS75" i="5"/>
  <c r="AT75" i="5" s="1"/>
  <c r="AU75" i="5" s="1"/>
  <c r="BM47" i="5"/>
  <c r="BA47" i="5"/>
  <c r="AS47" i="5"/>
  <c r="AG47" i="5"/>
  <c r="U47" i="5"/>
  <c r="BS47" i="5"/>
  <c r="BK47" i="5"/>
  <c r="AY47" i="5"/>
  <c r="AM47" i="5"/>
  <c r="AE47" i="5"/>
  <c r="Q47" i="5"/>
  <c r="BQ47" i="5"/>
  <c r="BI47" i="5"/>
  <c r="AW47" i="5"/>
  <c r="AK47" i="5"/>
  <c r="AC47" i="5"/>
  <c r="O47" i="5"/>
  <c r="BO47" i="5"/>
  <c r="BC47" i="5"/>
  <c r="AU47" i="5"/>
  <c r="AI47" i="5"/>
  <c r="W47" i="5"/>
  <c r="M47" i="5"/>
  <c r="S37" i="5"/>
  <c r="BM37" i="5"/>
  <c r="BA37" i="5"/>
  <c r="AS37" i="5"/>
  <c r="AG37" i="5"/>
  <c r="U37" i="5"/>
  <c r="BS37" i="5"/>
  <c r="BK37" i="5"/>
  <c r="AY37" i="5"/>
  <c r="AM37" i="5"/>
  <c r="AE37" i="5"/>
  <c r="Q37" i="5"/>
  <c r="BQ37" i="5"/>
  <c r="BI37" i="5"/>
  <c r="AW37" i="5"/>
  <c r="AK37" i="5"/>
  <c r="AC37" i="5"/>
  <c r="O37" i="5"/>
  <c r="BO37" i="5"/>
  <c r="BC37" i="5"/>
  <c r="AU37" i="5"/>
  <c r="AI37" i="5"/>
  <c r="W37" i="5"/>
  <c r="M37" i="5"/>
  <c r="S32" i="5"/>
  <c r="S48" i="5" s="1"/>
  <c r="S52" i="5" s="1"/>
  <c r="BO32" i="5"/>
  <c r="BC32" i="5"/>
  <c r="AU32" i="5"/>
  <c r="AI32" i="5"/>
  <c r="W32" i="5"/>
  <c r="AC32" i="5"/>
  <c r="BM32" i="5"/>
  <c r="BA32" i="5"/>
  <c r="AS32" i="5"/>
  <c r="AG32" i="5"/>
  <c r="U32" i="5"/>
  <c r="M32" i="5"/>
  <c r="BI32" i="5"/>
  <c r="AW32" i="5"/>
  <c r="O32" i="5"/>
  <c r="BS32" i="5"/>
  <c r="BK32" i="5"/>
  <c r="AY32" i="5"/>
  <c r="AM32" i="5"/>
  <c r="AE32" i="5"/>
  <c r="Q32" i="5"/>
  <c r="BQ32" i="5"/>
  <c r="AK32" i="5"/>
  <c r="BQ80" i="5"/>
  <c r="BM80" i="5"/>
  <c r="BI80" i="5"/>
  <c r="BJ80" i="5" s="1"/>
  <c r="BK80" i="5" s="1"/>
  <c r="BA80" i="5"/>
  <c r="AW80" i="5"/>
  <c r="AK80" i="5"/>
  <c r="AL80" i="5" s="1"/>
  <c r="AG80" i="5"/>
  <c r="AG81" i="5" s="1"/>
  <c r="AC80" i="5"/>
  <c r="AD80" i="5" s="1"/>
  <c r="U80" i="5"/>
  <c r="Q80" i="5"/>
  <c r="M80" i="5"/>
  <c r="N80" i="5" s="1"/>
  <c r="AS80" i="5"/>
  <c r="BF28" i="5"/>
  <c r="M28" i="5"/>
  <c r="BS28" i="5"/>
  <c r="BK28" i="5"/>
  <c r="AY28" i="5"/>
  <c r="AM28" i="5"/>
  <c r="AE28" i="5"/>
  <c r="Q28" i="5"/>
  <c r="BQ28" i="5"/>
  <c r="BI28" i="5"/>
  <c r="AW28" i="5"/>
  <c r="AK28" i="5"/>
  <c r="AK48" i="5" s="1"/>
  <c r="AK52" i="5" s="1"/>
  <c r="AC28" i="5"/>
  <c r="O28" i="5"/>
  <c r="BO28" i="5"/>
  <c r="BC28" i="5"/>
  <c r="BC48" i="5" s="1"/>
  <c r="BC52" i="5" s="1"/>
  <c r="AU28" i="5"/>
  <c r="AI28" i="5"/>
  <c r="W28" i="5"/>
  <c r="BM28" i="5"/>
  <c r="BM48" i="5" s="1"/>
  <c r="BM52" i="5" s="1"/>
  <c r="BA28" i="5"/>
  <c r="BA48" i="5" s="1"/>
  <c r="BA52" i="5" s="1"/>
  <c r="AS28" i="5"/>
  <c r="AG28" i="5"/>
  <c r="U28" i="5"/>
  <c r="U48" i="5" s="1"/>
  <c r="U52" i="5" s="1"/>
  <c r="F30" i="5"/>
  <c r="R56" i="5"/>
  <c r="S56" i="5" s="1"/>
  <c r="BW50" i="5"/>
  <c r="S87" i="5"/>
  <c r="BG50" i="5"/>
  <c r="BS87" i="5"/>
  <c r="BE50" i="5"/>
  <c r="BU86" i="5"/>
  <c r="Y50" i="5"/>
  <c r="AO50" i="5"/>
  <c r="X60" i="5"/>
  <c r="AN64" i="5"/>
  <c r="X56" i="5"/>
  <c r="F37" i="5"/>
  <c r="G56" i="5"/>
  <c r="X80" i="5"/>
  <c r="X67" i="5"/>
  <c r="BD70" i="5"/>
  <c r="AN60" i="5"/>
  <c r="BD68" i="5"/>
  <c r="BQ87" i="5"/>
  <c r="AF81" i="5"/>
  <c r="X71" i="5"/>
  <c r="BT67" i="5"/>
  <c r="BT64" i="5"/>
  <c r="G81" i="5"/>
  <c r="F42" i="5"/>
  <c r="F38" i="5"/>
  <c r="F47" i="5"/>
  <c r="F44" i="5"/>
  <c r="F32" i="5"/>
  <c r="G75" i="5"/>
  <c r="G73" i="5"/>
  <c r="G65" i="5"/>
  <c r="F29" i="5"/>
  <c r="F40" i="5"/>
  <c r="F45" i="5"/>
  <c r="G62" i="5"/>
  <c r="G60" i="5"/>
  <c r="F35" i="5"/>
  <c r="F50" i="5"/>
  <c r="G64" i="5"/>
  <c r="G57" i="5"/>
  <c r="F36" i="5"/>
  <c r="G76" i="5"/>
  <c r="BV45" i="5"/>
  <c r="AI75" i="4"/>
  <c r="BP87" i="5" s="1"/>
  <c r="Z39" i="5"/>
  <c r="L75" i="4"/>
  <c r="V87" i="5" s="1"/>
  <c r="V85" i="5"/>
  <c r="S75" i="4"/>
  <c r="AJ87" i="5" s="1"/>
  <c r="AB87" i="5"/>
  <c r="AD48" i="4"/>
  <c r="AD59" i="4"/>
  <c r="X76" i="5"/>
  <c r="X77" i="5"/>
  <c r="X66" i="5"/>
  <c r="X61" i="5"/>
  <c r="X62" i="5"/>
  <c r="BT69" i="5"/>
  <c r="BT63" i="5"/>
  <c r="BD67" i="5"/>
  <c r="BD62" i="5"/>
  <c r="BD56" i="5"/>
  <c r="AN76" i="5"/>
  <c r="AN71" i="5"/>
  <c r="X75" i="5"/>
  <c r="X69" i="5"/>
  <c r="X59" i="5"/>
  <c r="BT71" i="5"/>
  <c r="BD64" i="5"/>
  <c r="AN78" i="5"/>
  <c r="X74" i="5"/>
  <c r="AN80" i="5"/>
  <c r="BT62" i="5"/>
  <c r="BT68" i="5"/>
  <c r="BD77" i="5"/>
  <c r="X72" i="5"/>
  <c r="BT73" i="5"/>
  <c r="BT57" i="5"/>
  <c r="AN75" i="5"/>
  <c r="X79" i="5"/>
  <c r="X68" i="5"/>
  <c r="AN70" i="5"/>
  <c r="N73" i="4"/>
  <c r="Z85" i="5" s="1"/>
  <c r="N59" i="4"/>
  <c r="U64" i="4"/>
  <c r="AC63" i="4"/>
  <c r="AC66" i="4"/>
  <c r="BV35" i="5"/>
  <c r="AC65" i="4"/>
  <c r="AD62" i="4"/>
  <c r="AL33" i="4"/>
  <c r="AL63" i="4"/>
  <c r="AL69" i="4" s="1"/>
  <c r="AD63" i="4"/>
  <c r="T75" i="4"/>
  <c r="AL87" i="5" s="1"/>
  <c r="BT74" i="5"/>
  <c r="BD78" i="5"/>
  <c r="BT76" i="5"/>
  <c r="BT65" i="5"/>
  <c r="BD80" i="5"/>
  <c r="BD69" i="5"/>
  <c r="BD58" i="5"/>
  <c r="AN73" i="5"/>
  <c r="AN62" i="5"/>
  <c r="AN69" i="5"/>
  <c r="BD65" i="5"/>
  <c r="BD76" i="5"/>
  <c r="AN66" i="5"/>
  <c r="BT80" i="5"/>
  <c r="AC58" i="4"/>
  <c r="AD54" i="4"/>
  <c r="AC45" i="4"/>
  <c r="AP39" i="5"/>
  <c r="BT79" i="5"/>
  <c r="BP81" i="5"/>
  <c r="AE75" i="4"/>
  <c r="BH87" i="5" s="1"/>
  <c r="BD71" i="5"/>
  <c r="X65" i="5"/>
  <c r="C36" i="4"/>
  <c r="C40" i="4" s="1"/>
  <c r="AN56" i="5"/>
  <c r="BT70" i="5"/>
  <c r="X78" i="5"/>
  <c r="AJ81" i="5"/>
  <c r="AN74" i="5"/>
  <c r="AM87" i="5"/>
  <c r="BT78" i="5"/>
  <c r="BD66" i="5"/>
  <c r="BD60" i="5"/>
  <c r="X73" i="5"/>
  <c r="BT75" i="5"/>
  <c r="BT59" i="5"/>
  <c r="BD73" i="5"/>
  <c r="BD57" i="5"/>
  <c r="AN77" i="5"/>
  <c r="AN61" i="5"/>
  <c r="AN72" i="5"/>
  <c r="BD79" i="5"/>
  <c r="AN68" i="5"/>
  <c r="AN67" i="5"/>
  <c r="BD63" i="5"/>
  <c r="BD61" i="5"/>
  <c r="H81" i="5"/>
  <c r="AB81" i="5"/>
  <c r="X64" i="5"/>
  <c r="T81" i="5"/>
  <c r="X70" i="5"/>
  <c r="AN65" i="5"/>
  <c r="BD72" i="5"/>
  <c r="BT58" i="5"/>
  <c r="AV81" i="5"/>
  <c r="L81" i="5"/>
  <c r="BT60" i="5"/>
  <c r="BD74" i="5"/>
  <c r="AY87" i="5"/>
  <c r="AN59" i="5"/>
  <c r="X58" i="5"/>
  <c r="P81" i="5"/>
  <c r="AN58" i="5"/>
  <c r="BT72" i="5"/>
  <c r="BL81" i="5"/>
  <c r="BG86" i="5"/>
  <c r="W87" i="5"/>
  <c r="F34" i="5"/>
  <c r="F28" i="5"/>
  <c r="G77" i="5"/>
  <c r="G79" i="5"/>
  <c r="G66" i="5"/>
  <c r="G58" i="5"/>
  <c r="F31" i="5"/>
  <c r="BT77" i="5"/>
  <c r="BT66" i="5"/>
  <c r="BT61" i="5"/>
  <c r="AN79" i="5"/>
  <c r="AN63" i="5"/>
  <c r="BC87" i="5"/>
  <c r="AU76" i="5"/>
  <c r="AZ81" i="5"/>
  <c r="AR81" i="5"/>
  <c r="AN57" i="5"/>
  <c r="BU85" i="5"/>
  <c r="BI87" i="5"/>
  <c r="Q87" i="5"/>
  <c r="BW85" i="5"/>
  <c r="BO87" i="5"/>
  <c r="BE86" i="5"/>
  <c r="BM87" i="5"/>
  <c r="U87" i="5"/>
  <c r="X57" i="5"/>
  <c r="BJ48" i="5"/>
  <c r="BJ52" i="5" s="1"/>
  <c r="BH81" i="5"/>
  <c r="AW87" i="5"/>
  <c r="O87" i="5"/>
  <c r="AA85" i="5"/>
  <c r="BA87" i="5"/>
  <c r="M87" i="5"/>
  <c r="Y85" i="5"/>
  <c r="AE87" i="5"/>
  <c r="AQ86" i="5"/>
  <c r="G70" i="5"/>
  <c r="F39" i="5"/>
  <c r="G69" i="5"/>
  <c r="G72" i="5"/>
  <c r="F46" i="5"/>
  <c r="F41" i="5"/>
  <c r="F43" i="5"/>
  <c r="G63" i="5"/>
  <c r="AL48" i="5"/>
  <c r="AL52" i="5" s="1"/>
  <c r="G61" i="5"/>
  <c r="AO86" i="5"/>
  <c r="AK87" i="5"/>
  <c r="AU87" i="5"/>
  <c r="BG85" i="5"/>
  <c r="BE85" i="5"/>
  <c r="AS87" i="5"/>
  <c r="BW86" i="5"/>
  <c r="BK87" i="5"/>
  <c r="AO85" i="5"/>
  <c r="AC87" i="5"/>
  <c r="AA86" i="5"/>
  <c r="AQ85" i="5"/>
  <c r="AI87" i="5"/>
  <c r="Y86" i="5"/>
  <c r="AG87" i="5"/>
  <c r="X63" i="5"/>
  <c r="D48" i="5"/>
  <c r="D52" i="5" s="1"/>
  <c r="BD59" i="5"/>
  <c r="AC64" i="4"/>
  <c r="D81" i="5"/>
  <c r="AD53" i="4"/>
  <c r="AD56" i="4"/>
  <c r="AD47" i="4"/>
  <c r="AD58" i="4"/>
  <c r="AT60" i="5"/>
  <c r="AU60" i="5" s="1"/>
  <c r="L28" i="5"/>
  <c r="U61" i="4"/>
  <c r="AD41" i="5"/>
  <c r="AP41" i="5" s="1"/>
  <c r="V29" i="4"/>
  <c r="N24" i="4"/>
  <c r="AB43" i="5"/>
  <c r="U31" i="4"/>
  <c r="AN43" i="5" s="1"/>
  <c r="AD31" i="5"/>
  <c r="AP31" i="5" s="1"/>
  <c r="V19" i="4"/>
  <c r="BR46" i="5"/>
  <c r="BV46" i="5" s="1"/>
  <c r="AL34" i="4"/>
  <c r="U66" i="4"/>
  <c r="S36" i="4"/>
  <c r="S40" i="4" s="1"/>
  <c r="AD51" i="4"/>
  <c r="G59" i="5"/>
  <c r="G80" i="5"/>
  <c r="G74" i="5"/>
  <c r="AT44" i="5"/>
  <c r="BF44" i="5" s="1"/>
  <c r="AD32" i="4"/>
  <c r="V21" i="4"/>
  <c r="AD28" i="5"/>
  <c r="AP28" i="5" s="1"/>
  <c r="V16" i="4"/>
  <c r="AD46" i="5"/>
  <c r="AP46" i="5" s="1"/>
  <c r="V34" i="4"/>
  <c r="AL23" i="4"/>
  <c r="E81" i="5"/>
  <c r="AD68" i="4"/>
  <c r="AD45" i="4"/>
  <c r="M67" i="4"/>
  <c r="G67" i="5"/>
  <c r="G68" i="5"/>
  <c r="F86" i="5"/>
  <c r="U59" i="4"/>
  <c r="AD24" i="4"/>
  <c r="V31" i="4"/>
  <c r="AD43" i="5"/>
  <c r="AP43" i="5" s="1"/>
  <c r="BR38" i="5"/>
  <c r="BV38" i="5" s="1"/>
  <c r="AL26" i="4"/>
  <c r="AD37" i="5"/>
  <c r="AP37" i="5" s="1"/>
  <c r="V25" i="4"/>
  <c r="V27" i="4"/>
  <c r="R48" i="5"/>
  <c r="R52" i="5" s="1"/>
  <c r="W79" i="5"/>
  <c r="V71" i="5"/>
  <c r="W71" i="5" s="1"/>
  <c r="BN65" i="5"/>
  <c r="BO65" i="5" s="1"/>
  <c r="BN69" i="5"/>
  <c r="BO69" i="5" s="1"/>
  <c r="AT68" i="5"/>
  <c r="AU68" i="5" s="1"/>
  <c r="BN80" i="5"/>
  <c r="BN61" i="5"/>
  <c r="BO61" i="5" s="1"/>
  <c r="AT64" i="5"/>
  <c r="AU64" i="5" s="1"/>
  <c r="V63" i="5"/>
  <c r="W63" i="5" s="1"/>
  <c r="AT56" i="5"/>
  <c r="AU56" i="5" s="1"/>
  <c r="V59" i="5"/>
  <c r="W59" i="5" s="1"/>
  <c r="BN57" i="5"/>
  <c r="BO57" i="5" s="1"/>
  <c r="AT72" i="5"/>
  <c r="AU72" i="5" s="1"/>
  <c r="V75" i="5"/>
  <c r="W75" i="5" s="1"/>
  <c r="BN73" i="5"/>
  <c r="BO73" i="5" s="1"/>
  <c r="V67" i="5"/>
  <c r="W67" i="5" s="1"/>
  <c r="AD49" i="4"/>
  <c r="N64" i="4"/>
  <c r="N67" i="4"/>
  <c r="BH38" i="5"/>
  <c r="N27" i="4"/>
  <c r="BH46" i="5"/>
  <c r="AK34" i="4"/>
  <c r="BT46" i="5" s="1"/>
  <c r="V35" i="4"/>
  <c r="AD47" i="5"/>
  <c r="AP47" i="5" s="1"/>
  <c r="P36" i="4"/>
  <c r="P40" i="4" s="1"/>
  <c r="AD30" i="5"/>
  <c r="V18" i="4"/>
  <c r="AD44" i="5"/>
  <c r="AP44" i="5" s="1"/>
  <c r="V32" i="4"/>
  <c r="AB40" i="5"/>
  <c r="U28" i="4"/>
  <c r="AN40" i="5" s="1"/>
  <c r="AL31" i="4"/>
  <c r="BR43" i="5"/>
  <c r="BV43" i="5" s="1"/>
  <c r="BR40" i="5"/>
  <c r="BV40" i="5" s="1"/>
  <c r="AL28" i="4"/>
  <c r="AJ75" i="4"/>
  <c r="BR87" i="5" s="1"/>
  <c r="BR85" i="5"/>
  <c r="Y69" i="4"/>
  <c r="AC53" i="4"/>
  <c r="AK32" i="4"/>
  <c r="BT44" i="5" s="1"/>
  <c r="N58" i="4"/>
  <c r="N68" i="4"/>
  <c r="AE40" i="4"/>
  <c r="AH29" i="5"/>
  <c r="R36" i="4"/>
  <c r="R40" i="4" s="1"/>
  <c r="V17" i="4"/>
  <c r="AD42" i="5"/>
  <c r="AP42" i="5" s="1"/>
  <c r="V30" i="4"/>
  <c r="AB42" i="5"/>
  <c r="U30" i="4"/>
  <c r="AN42" i="5" s="1"/>
  <c r="AD40" i="5"/>
  <c r="AP40" i="5" s="1"/>
  <c r="V28" i="4"/>
  <c r="AB47" i="5"/>
  <c r="U35" i="4"/>
  <c r="AN47" i="5" s="1"/>
  <c r="AB33" i="5"/>
  <c r="U21" i="4"/>
  <c r="AN33" i="5" s="1"/>
  <c r="AB50" i="5"/>
  <c r="AN50" i="5" s="1"/>
  <c r="U38" i="4"/>
  <c r="N35" i="4"/>
  <c r="L69" i="4"/>
  <c r="M54" i="4"/>
  <c r="N48" i="4"/>
  <c r="AI40" i="4"/>
  <c r="L85" i="5"/>
  <c r="G75" i="4"/>
  <c r="L87" i="5" s="1"/>
  <c r="BH35" i="5"/>
  <c r="AK23" i="4"/>
  <c r="BT35" i="5" s="1"/>
  <c r="BH40" i="5"/>
  <c r="AK28" i="4"/>
  <c r="BT40" i="5" s="1"/>
  <c r="AH50" i="5"/>
  <c r="AP50" i="5" s="1"/>
  <c r="V38" i="4"/>
  <c r="AB31" i="5"/>
  <c r="U19" i="4"/>
  <c r="AN31" i="5" s="1"/>
  <c r="AD38" i="5"/>
  <c r="AP38" i="5" s="1"/>
  <c r="V26" i="4"/>
  <c r="AB35" i="5"/>
  <c r="U23" i="4"/>
  <c r="AN35" i="5" s="1"/>
  <c r="AD36" i="5"/>
  <c r="AP36" i="5" s="1"/>
  <c r="V24" i="4"/>
  <c r="AB34" i="5"/>
  <c r="U22" i="4"/>
  <c r="AN34" i="5" s="1"/>
  <c r="AB44" i="5"/>
  <c r="U32" i="4"/>
  <c r="AN44" i="5" s="1"/>
  <c r="AD85" i="5"/>
  <c r="P75" i="4"/>
  <c r="AD87" i="5" s="1"/>
  <c r="BR30" i="5"/>
  <c r="BV30" i="5" s="1"/>
  <c r="AL18" i="4"/>
  <c r="BR32" i="5"/>
  <c r="BV32" i="5" s="1"/>
  <c r="AL20" i="4"/>
  <c r="BP43" i="5"/>
  <c r="BP48" i="5" s="1"/>
  <c r="AK31" i="4"/>
  <c r="BT43" i="5" s="1"/>
  <c r="AH35" i="5"/>
  <c r="AP35" i="5" s="1"/>
  <c r="V23" i="4"/>
  <c r="V22" i="4"/>
  <c r="AD34" i="5"/>
  <c r="AP34" i="5" s="1"/>
  <c r="V33" i="4"/>
  <c r="AD45" i="5"/>
  <c r="AP45" i="5" s="1"/>
  <c r="AD32" i="5"/>
  <c r="AP32" i="5" s="1"/>
  <c r="V20" i="4"/>
  <c r="AB38" i="5"/>
  <c r="U26" i="4"/>
  <c r="AN38" i="5" s="1"/>
  <c r="AJ36" i="4"/>
  <c r="AJ40" i="4" s="1"/>
  <c r="BR28" i="5"/>
  <c r="BP50" i="5"/>
  <c r="BT50" i="5" s="1"/>
  <c r="AK38" i="4"/>
  <c r="K69" i="4"/>
  <c r="AH69" i="4"/>
  <c r="N46" i="4"/>
  <c r="AK69" i="4"/>
  <c r="N85" i="5"/>
  <c r="H75" i="4"/>
  <c r="N87" i="5" s="1"/>
  <c r="L36" i="5"/>
  <c r="M24" i="4"/>
  <c r="X36" i="5" s="1"/>
  <c r="L44" i="5"/>
  <c r="M32" i="4"/>
  <c r="X44" i="5" s="1"/>
  <c r="AB45" i="5"/>
  <c r="U33" i="4"/>
  <c r="AN45" i="5" s="1"/>
  <c r="AJ41" i="5"/>
  <c r="U29" i="4"/>
  <c r="AN41" i="5" s="1"/>
  <c r="AJ39" i="5"/>
  <c r="U27" i="4"/>
  <c r="AN39" i="5" s="1"/>
  <c r="AJ37" i="5"/>
  <c r="U25" i="4"/>
  <c r="AN37" i="5" s="1"/>
  <c r="AJ29" i="5"/>
  <c r="U17" i="4"/>
  <c r="AN29" i="5" s="1"/>
  <c r="O40" i="4"/>
  <c r="AB30" i="5"/>
  <c r="AF85" i="5"/>
  <c r="U73" i="4"/>
  <c r="AN85" i="5" s="1"/>
  <c r="BL39" i="5"/>
  <c r="AK27" i="4"/>
  <c r="BT39" i="5" s="1"/>
  <c r="AL16" i="4"/>
  <c r="BN28" i="5"/>
  <c r="AH36" i="4"/>
  <c r="AH40" i="4" s="1"/>
  <c r="BN34" i="5"/>
  <c r="BV34" i="5" s="1"/>
  <c r="AL22" i="4"/>
  <c r="BN39" i="5"/>
  <c r="BV39" i="5" s="1"/>
  <c r="AL27" i="4"/>
  <c r="BN44" i="5"/>
  <c r="BV44" i="5" s="1"/>
  <c r="AL32" i="4"/>
  <c r="BL33" i="5"/>
  <c r="AK21" i="4"/>
  <c r="BT33" i="5" s="1"/>
  <c r="BL29" i="5"/>
  <c r="AK17" i="4"/>
  <c r="BT29" i="5" s="1"/>
  <c r="BL42" i="5"/>
  <c r="AK30" i="4"/>
  <c r="BT42" i="5" s="1"/>
  <c r="BL47" i="5"/>
  <c r="AK35" i="4"/>
  <c r="BT47" i="5" s="1"/>
  <c r="BN31" i="5"/>
  <c r="BV31" i="5" s="1"/>
  <c r="AL19" i="4"/>
  <c r="BN36" i="5"/>
  <c r="BV36" i="5" s="1"/>
  <c r="AL24" i="4"/>
  <c r="BN42" i="5"/>
  <c r="BV42" i="5" s="1"/>
  <c r="AL30" i="4"/>
  <c r="BL37" i="5"/>
  <c r="AK25" i="4"/>
  <c r="BT37" i="5" s="1"/>
  <c r="BL41" i="5"/>
  <c r="AK29" i="4"/>
  <c r="BT41" i="5" s="1"/>
  <c r="BL45" i="5"/>
  <c r="AK33" i="4"/>
  <c r="BT45" i="5" s="1"/>
  <c r="BN29" i="5"/>
  <c r="BV29" i="5" s="1"/>
  <c r="AL17" i="4"/>
  <c r="BN33" i="5"/>
  <c r="BV33" i="5" s="1"/>
  <c r="AL21" i="4"/>
  <c r="BN37" i="5"/>
  <c r="BV37" i="5" s="1"/>
  <c r="AL25" i="4"/>
  <c r="BN41" i="5"/>
  <c r="BV41" i="5" s="1"/>
  <c r="AL29" i="4"/>
  <c r="AK16" i="4"/>
  <c r="BT28" i="5" s="1"/>
  <c r="BL28" i="5"/>
  <c r="P43" i="5"/>
  <c r="M31" i="4"/>
  <c r="X43" i="5" s="1"/>
  <c r="P29" i="5"/>
  <c r="M17" i="4"/>
  <c r="X29" i="5" s="1"/>
  <c r="P35" i="5"/>
  <c r="M23" i="4"/>
  <c r="X35" i="5" s="1"/>
  <c r="P37" i="5"/>
  <c r="M25" i="4"/>
  <c r="X37" i="5" s="1"/>
  <c r="AR50" i="5"/>
  <c r="BD50" i="5" s="1"/>
  <c r="AC38" i="4"/>
  <c r="AT40" i="5"/>
  <c r="BF40" i="5" s="1"/>
  <c r="AD28" i="4"/>
  <c r="AD18" i="4"/>
  <c r="AT30" i="5"/>
  <c r="BF30" i="5" s="1"/>
  <c r="AR46" i="5"/>
  <c r="AC34" i="4"/>
  <c r="BD46" i="5" s="1"/>
  <c r="AR28" i="5"/>
  <c r="AC16" i="4"/>
  <c r="BD28" i="5" s="1"/>
  <c r="AD20" i="4"/>
  <c r="AT32" i="5"/>
  <c r="BF32" i="5" s="1"/>
  <c r="AD38" i="4"/>
  <c r="AT50" i="5"/>
  <c r="BF50" i="5" s="1"/>
  <c r="K36" i="4"/>
  <c r="K40" i="4" s="1"/>
  <c r="T28" i="5"/>
  <c r="V31" i="5"/>
  <c r="Z31" i="5" s="1"/>
  <c r="N19" i="4"/>
  <c r="V42" i="5"/>
  <c r="Z42" i="5" s="1"/>
  <c r="N30" i="4"/>
  <c r="M33" i="4"/>
  <c r="X45" i="5" s="1"/>
  <c r="T45" i="5"/>
  <c r="T50" i="5"/>
  <c r="X50" i="5" s="1"/>
  <c r="M38" i="4"/>
  <c r="L36" i="4"/>
  <c r="L40" i="4" s="1"/>
  <c r="N16" i="4"/>
  <c r="V28" i="5"/>
  <c r="V34" i="5"/>
  <c r="Z34" i="5" s="1"/>
  <c r="N22" i="4"/>
  <c r="V44" i="5"/>
  <c r="Z44" i="5" s="1"/>
  <c r="N32" i="4"/>
  <c r="T47" i="5"/>
  <c r="M35" i="4"/>
  <c r="X47" i="5" s="1"/>
  <c r="K75" i="4"/>
  <c r="T87" i="5" s="1"/>
  <c r="T85" i="5"/>
  <c r="V29" i="5"/>
  <c r="Z29" i="5" s="1"/>
  <c r="N17" i="4"/>
  <c r="V33" i="5"/>
  <c r="Z33" i="5" s="1"/>
  <c r="N21" i="4"/>
  <c r="V37" i="5"/>
  <c r="Z37" i="5" s="1"/>
  <c r="N25" i="4"/>
  <c r="V41" i="5"/>
  <c r="Z41" i="5" s="1"/>
  <c r="N29" i="4"/>
  <c r="V45" i="5"/>
  <c r="Z45" i="5" s="1"/>
  <c r="N33" i="4"/>
  <c r="V50" i="5"/>
  <c r="Z50" i="5" s="1"/>
  <c r="N38" i="4"/>
  <c r="P41" i="5"/>
  <c r="M29" i="4"/>
  <c r="X41" i="5" s="1"/>
  <c r="P39" i="5"/>
  <c r="M27" i="4"/>
  <c r="X39" i="5" s="1"/>
  <c r="X28" i="5"/>
  <c r="P31" i="5"/>
  <c r="M19" i="4"/>
  <c r="X31" i="5" s="1"/>
  <c r="AH86" i="5"/>
  <c r="V74" i="4"/>
  <c r="AP86" i="5" s="1"/>
  <c r="AV85" i="5"/>
  <c r="Y75" i="4"/>
  <c r="AV87" i="5" s="1"/>
  <c r="AH75" i="4"/>
  <c r="BN87" i="5" s="1"/>
  <c r="BN85" i="5"/>
  <c r="AL73" i="4"/>
  <c r="M30" i="4"/>
  <c r="X42" i="5" s="1"/>
  <c r="P42" i="5"/>
  <c r="AF36" i="5"/>
  <c r="U24" i="4"/>
  <c r="AN36" i="5" s="1"/>
  <c r="U16" i="4"/>
  <c r="AF28" i="5"/>
  <c r="Q36" i="4"/>
  <c r="Q40" i="4" s="1"/>
  <c r="AD23" i="4"/>
  <c r="AT35" i="5"/>
  <c r="BF35" i="5" s="1"/>
  <c r="AC32" i="4"/>
  <c r="BD44" i="5" s="1"/>
  <c r="AR44" i="5"/>
  <c r="AT41" i="5"/>
  <c r="BF41" i="5" s="1"/>
  <c r="AD29" i="4"/>
  <c r="AZ38" i="5"/>
  <c r="AC26" i="4"/>
  <c r="BD38" i="5" s="1"/>
  <c r="AZ47" i="5"/>
  <c r="AC35" i="4"/>
  <c r="BD47" i="5" s="1"/>
  <c r="BL32" i="5"/>
  <c r="AK20" i="4"/>
  <c r="AG36" i="4"/>
  <c r="AG40" i="4" s="1"/>
  <c r="P30" i="5"/>
  <c r="M18" i="4"/>
  <c r="X30" i="5" s="1"/>
  <c r="AC31" i="4"/>
  <c r="BD43" i="5" s="1"/>
  <c r="AR43" i="5"/>
  <c r="AD26" i="4"/>
  <c r="AT38" i="5"/>
  <c r="BF38" i="5" s="1"/>
  <c r="AT34" i="5"/>
  <c r="BF34" i="5" s="1"/>
  <c r="AD22" i="4"/>
  <c r="AC57" i="4"/>
  <c r="X75" i="4"/>
  <c r="AT87" i="5" s="1"/>
  <c r="AD73" i="4"/>
  <c r="AT85" i="5"/>
  <c r="P38" i="5"/>
  <c r="M26" i="4"/>
  <c r="X38" i="5" s="1"/>
  <c r="P40" i="5"/>
  <c r="M28" i="4"/>
  <c r="X40" i="5" s="1"/>
  <c r="AF30" i="5"/>
  <c r="U18" i="4"/>
  <c r="AN30" i="5" s="1"/>
  <c r="AT39" i="5"/>
  <c r="BF39" i="5" s="1"/>
  <c r="AD27" i="4"/>
  <c r="AC20" i="4"/>
  <c r="BD32" i="5" s="1"/>
  <c r="AR32" i="5"/>
  <c r="AD33" i="4"/>
  <c r="AT45" i="5"/>
  <c r="BF45" i="5" s="1"/>
  <c r="AV30" i="5"/>
  <c r="AC18" i="4"/>
  <c r="BD30" i="5" s="1"/>
  <c r="AV40" i="5"/>
  <c r="AC28" i="4"/>
  <c r="BD40" i="5" s="1"/>
  <c r="AC23" i="4"/>
  <c r="BD35" i="5" s="1"/>
  <c r="AZ35" i="5"/>
  <c r="AZ45" i="5"/>
  <c r="AC33" i="4"/>
  <c r="BD45" i="5" s="1"/>
  <c r="AC17" i="4"/>
  <c r="AC27" i="4"/>
  <c r="BD39" i="5" s="1"/>
  <c r="AR39" i="5"/>
  <c r="AT46" i="5"/>
  <c r="BF46" i="5" s="1"/>
  <c r="AD34" i="4"/>
  <c r="AD30" i="4"/>
  <c r="AT42" i="5"/>
  <c r="BF42" i="5" s="1"/>
  <c r="P86" i="5"/>
  <c r="M74" i="4"/>
  <c r="X86" i="5" s="1"/>
  <c r="P85" i="5"/>
  <c r="M73" i="4"/>
  <c r="I75" i="4"/>
  <c r="P87" i="5" s="1"/>
  <c r="W75" i="4"/>
  <c r="AR87" i="5" s="1"/>
  <c r="AC73" i="4"/>
  <c r="AR85" i="5"/>
  <c r="AV29" i="5"/>
  <c r="Y36" i="4"/>
  <c r="Y40" i="4" s="1"/>
  <c r="BB85" i="5"/>
  <c r="AB75" i="4"/>
  <c r="BB87" i="5" s="1"/>
  <c r="BL85" i="5"/>
  <c r="AK73" i="4"/>
  <c r="AG75" i="4"/>
  <c r="BL87" i="5" s="1"/>
  <c r="N44" i="4"/>
  <c r="V44" i="4"/>
  <c r="V69" i="4" s="1"/>
  <c r="AD31" i="4"/>
  <c r="AT43" i="5"/>
  <c r="BF43" i="5" s="1"/>
  <c r="AD44" i="4"/>
  <c r="X69" i="4"/>
  <c r="AT33" i="5"/>
  <c r="BF33" i="5" s="1"/>
  <c r="AD21" i="4"/>
  <c r="AC44" i="4"/>
  <c r="AR36" i="5"/>
  <c r="AC24" i="4"/>
  <c r="BD36" i="5" s="1"/>
  <c r="AV33" i="5"/>
  <c r="AC21" i="4"/>
  <c r="BD33" i="5" s="1"/>
  <c r="AZ31" i="5"/>
  <c r="AC19" i="4"/>
  <c r="BD31" i="5" s="1"/>
  <c r="AD55" i="4"/>
  <c r="BB29" i="5"/>
  <c r="BB48" i="5" s="1"/>
  <c r="BB52" i="5" s="1"/>
  <c r="AB36" i="4"/>
  <c r="AB40" i="4" s="1"/>
  <c r="AB69" i="4"/>
  <c r="H28" i="5"/>
  <c r="H48" i="5" s="1"/>
  <c r="H52" i="5" s="1"/>
  <c r="E36" i="4"/>
  <c r="E40" i="4" s="1"/>
  <c r="P28" i="5"/>
  <c r="I36" i="4"/>
  <c r="I40" i="4" s="1"/>
  <c r="BL86" i="5"/>
  <c r="AK74" i="4"/>
  <c r="BT86" i="5" s="1"/>
  <c r="R86" i="5"/>
  <c r="N74" i="4"/>
  <c r="Z86" i="5" s="1"/>
  <c r="AF86" i="5"/>
  <c r="Q75" i="4"/>
  <c r="AF87" i="5" s="1"/>
  <c r="U74" i="4"/>
  <c r="AR86" i="5"/>
  <c r="AC74" i="4"/>
  <c r="BD86" i="5" s="1"/>
  <c r="AX85" i="5"/>
  <c r="Z75" i="4"/>
  <c r="AX87" i="5" s="1"/>
  <c r="BN86" i="5"/>
  <c r="AL74" i="4"/>
  <c r="BV86" i="5" s="1"/>
  <c r="P32" i="5"/>
  <c r="M20" i="4"/>
  <c r="X32" i="5" s="1"/>
  <c r="M45" i="4"/>
  <c r="I69" i="4"/>
  <c r="P33" i="5"/>
  <c r="M21" i="4"/>
  <c r="X33" i="5" s="1"/>
  <c r="U45" i="4"/>
  <c r="R75" i="4"/>
  <c r="AH87" i="5" s="1"/>
  <c r="V73" i="4"/>
  <c r="AH85" i="5"/>
  <c r="AT47" i="5"/>
  <c r="BF47" i="5" s="1"/>
  <c r="AD35" i="4"/>
  <c r="AD25" i="4"/>
  <c r="AT37" i="5"/>
  <c r="BF37" i="5" s="1"/>
  <c r="AT86" i="5"/>
  <c r="AD74" i="4"/>
  <c r="BF86" i="5" s="1"/>
  <c r="AV41" i="5"/>
  <c r="AC29" i="4"/>
  <c r="BD41" i="5" s="1"/>
  <c r="AA75" i="4"/>
  <c r="AZ87" i="5" s="1"/>
  <c r="AZ85" i="5"/>
  <c r="AT31" i="5"/>
  <c r="BF31" i="5" s="1"/>
  <c r="AD19" i="4"/>
  <c r="AC49" i="4"/>
  <c r="AD17" i="4"/>
  <c r="AT29" i="5"/>
  <c r="X36" i="4"/>
  <c r="X40" i="4" s="1"/>
  <c r="AR34" i="5"/>
  <c r="AC22" i="4"/>
  <c r="BD34" i="5" s="1"/>
  <c r="AZ29" i="5"/>
  <c r="AA36" i="4"/>
  <c r="AA40" i="4" s="1"/>
  <c r="Z69" i="4"/>
  <c r="AF32" i="5"/>
  <c r="U20" i="4"/>
  <c r="AN32" i="5" s="1"/>
  <c r="AV37" i="5"/>
  <c r="AC25" i="4"/>
  <c r="BD37" i="5" s="1"/>
  <c r="BL36" i="5"/>
  <c r="AK24" i="4"/>
  <c r="BT36" i="5" s="1"/>
  <c r="W36" i="4"/>
  <c r="W40" i="4" s="1"/>
  <c r="AR29" i="5"/>
  <c r="AZ42" i="5"/>
  <c r="AC30" i="4"/>
  <c r="BD42" i="5" s="1"/>
  <c r="J75" i="4"/>
  <c r="R87" i="5" s="1"/>
  <c r="R85" i="5"/>
  <c r="V73" i="5"/>
  <c r="W73" i="5" s="1"/>
  <c r="AT62" i="5"/>
  <c r="AU62" i="5" s="1"/>
  <c r="V78" i="5"/>
  <c r="W78" i="5" s="1"/>
  <c r="AT67" i="5"/>
  <c r="AU67" i="5" s="1"/>
  <c r="BO56" i="5"/>
  <c r="BN56" i="5"/>
  <c r="BN70" i="5"/>
  <c r="BO70" i="5"/>
  <c r="W77" i="5"/>
  <c r="V77" i="5"/>
  <c r="BN71" i="5"/>
  <c r="BO71" i="5" s="1"/>
  <c r="AT66" i="5"/>
  <c r="AU66" i="5" s="1"/>
  <c r="W61" i="5"/>
  <c r="V61" i="5"/>
  <c r="BN76" i="5"/>
  <c r="BO76" i="5" s="1"/>
  <c r="AT71" i="5"/>
  <c r="AU71" i="5" s="1"/>
  <c r="V66" i="5"/>
  <c r="W66" i="5" s="1"/>
  <c r="BN60" i="5"/>
  <c r="BO60" i="5" s="1"/>
  <c r="BB80" i="5"/>
  <c r="BN74" i="5"/>
  <c r="BO74" i="5" s="1"/>
  <c r="AT69" i="5"/>
  <c r="AU69" i="5" s="1"/>
  <c r="V64" i="5"/>
  <c r="W64" i="5" s="1"/>
  <c r="BN58" i="5"/>
  <c r="BO58" i="5" s="1"/>
  <c r="BN79" i="5"/>
  <c r="BO79" i="5" s="1"/>
  <c r="AU74" i="5"/>
  <c r="V69" i="5"/>
  <c r="W69" i="5" s="1"/>
  <c r="BN63" i="5"/>
  <c r="BO63" i="5" s="1"/>
  <c r="AT58" i="5"/>
  <c r="AU58" i="5" s="1"/>
  <c r="AT79" i="5"/>
  <c r="AU79" i="5" s="1"/>
  <c r="V74" i="5"/>
  <c r="W74" i="5" s="1"/>
  <c r="BN68" i="5"/>
  <c r="BO68" i="5" s="1"/>
  <c r="AT63" i="5"/>
  <c r="AU63" i="5" s="1"/>
  <c r="V58" i="5"/>
  <c r="W58" i="5" s="1"/>
  <c r="AT77" i="5"/>
  <c r="AU77" i="5" s="1"/>
  <c r="V72" i="5"/>
  <c r="W72" i="5"/>
  <c r="BN66" i="5"/>
  <c r="BO66" i="5" s="1"/>
  <c r="AT61" i="5"/>
  <c r="AU61" i="5" s="1"/>
  <c r="V56" i="5"/>
  <c r="W56" i="5" s="1"/>
  <c r="AT78" i="5"/>
  <c r="AU78" i="5" s="1"/>
  <c r="BN67" i="5"/>
  <c r="BO67" i="5" s="1"/>
  <c r="V57" i="5"/>
  <c r="W57" i="5" s="1"/>
  <c r="BO72" i="5"/>
  <c r="BN72" i="5"/>
  <c r="V62" i="5"/>
  <c r="W62" i="5" s="1"/>
  <c r="AT65" i="5"/>
  <c r="AU65" i="5" s="1"/>
  <c r="AT70" i="5"/>
  <c r="AU70" i="5" s="1"/>
  <c r="V65" i="5"/>
  <c r="W65" i="5" s="1"/>
  <c r="BN59" i="5"/>
  <c r="BO59" i="5" s="1"/>
  <c r="V70" i="5"/>
  <c r="W70" i="5" s="1"/>
  <c r="BN64" i="5"/>
  <c r="BO64" i="5" s="1"/>
  <c r="AT59" i="5"/>
  <c r="AU59" i="5" s="1"/>
  <c r="BN78" i="5"/>
  <c r="BO78" i="5" s="1"/>
  <c r="AT73" i="5"/>
  <c r="AU73" i="5" s="1"/>
  <c r="V68" i="5"/>
  <c r="W68" i="5" s="1"/>
  <c r="BN62" i="5"/>
  <c r="BO62" i="5" s="1"/>
  <c r="AT57" i="5"/>
  <c r="AU57" i="5" s="1"/>
  <c r="V60" i="5"/>
  <c r="W60" i="5" s="1"/>
  <c r="BE76" i="5"/>
  <c r="BR73" i="5"/>
  <c r="BS73" i="5" s="1"/>
  <c r="BR69" i="5"/>
  <c r="BS69" i="5" s="1"/>
  <c r="AX64" i="5"/>
  <c r="AY64" i="5" s="1"/>
  <c r="BE64" i="5"/>
  <c r="AX60" i="5"/>
  <c r="AY60" i="5" s="1"/>
  <c r="BE60" i="5"/>
  <c r="AX56" i="5"/>
  <c r="AY56" i="5" s="1"/>
  <c r="BE56" i="5"/>
  <c r="BK78" i="5"/>
  <c r="BU78" i="5"/>
  <c r="BJ78" i="5"/>
  <c r="BK74" i="5"/>
  <c r="BJ74" i="5"/>
  <c r="BU74" i="5"/>
  <c r="BJ70" i="5"/>
  <c r="BU70" i="5"/>
  <c r="BK70" i="5"/>
  <c r="R64" i="5"/>
  <c r="S64" i="5" s="1"/>
  <c r="R60" i="5"/>
  <c r="S60" i="5" s="1"/>
  <c r="Y78" i="5"/>
  <c r="N78" i="5"/>
  <c r="O78" i="5" s="1"/>
  <c r="BB72" i="5"/>
  <c r="BC72" i="5"/>
  <c r="BB68" i="5"/>
  <c r="BC68" i="5" s="1"/>
  <c r="Y66" i="5"/>
  <c r="N66" i="5"/>
  <c r="O66" i="5" s="1"/>
  <c r="Y62" i="5"/>
  <c r="O62" i="5"/>
  <c r="N62" i="5"/>
  <c r="Y58" i="5"/>
  <c r="N58" i="5"/>
  <c r="O58" i="5" s="1"/>
  <c r="AX77" i="5"/>
  <c r="AY77" i="5" s="1"/>
  <c r="BE77" i="5"/>
  <c r="BR74" i="5"/>
  <c r="BS74" i="5" s="1"/>
  <c r="AX73" i="5"/>
  <c r="AY73" i="5" s="1"/>
  <c r="BE73" i="5"/>
  <c r="AD72" i="5"/>
  <c r="AE72" i="5" s="1"/>
  <c r="AO72" i="5"/>
  <c r="BR70" i="5"/>
  <c r="BS70" i="5" s="1"/>
  <c r="AX69" i="5"/>
  <c r="AY69" i="5" s="1"/>
  <c r="BE69" i="5"/>
  <c r="AD68" i="5"/>
  <c r="AE68" i="5" s="1"/>
  <c r="AO68" i="5"/>
  <c r="BR66" i="5"/>
  <c r="BS66" i="5" s="1"/>
  <c r="AX65" i="5"/>
  <c r="AY65" i="5" s="1"/>
  <c r="BE65" i="5"/>
  <c r="AD64" i="5"/>
  <c r="AE64" i="5" s="1"/>
  <c r="AO64" i="5"/>
  <c r="BR62" i="5"/>
  <c r="BS62" i="5" s="1"/>
  <c r="AX61" i="5"/>
  <c r="AY61" i="5" s="1"/>
  <c r="BE61" i="5"/>
  <c r="AD60" i="5"/>
  <c r="AE60" i="5" s="1"/>
  <c r="AO60" i="5"/>
  <c r="BS58" i="5"/>
  <c r="BR58" i="5"/>
  <c r="AX57" i="5"/>
  <c r="AY57" i="5" s="1"/>
  <c r="BE57" i="5"/>
  <c r="AD56" i="5"/>
  <c r="AE56" i="5" s="1"/>
  <c r="AO56" i="5"/>
  <c r="BJ79" i="5"/>
  <c r="BK79" i="5" s="1"/>
  <c r="BU79" i="5"/>
  <c r="AL78" i="5"/>
  <c r="AM78" i="5" s="1"/>
  <c r="R77" i="5"/>
  <c r="S77" i="5" s="1"/>
  <c r="BJ75" i="5"/>
  <c r="BK75" i="5" s="1"/>
  <c r="BU75" i="5"/>
  <c r="AL74" i="5"/>
  <c r="AM74" i="5" s="1"/>
  <c r="R73" i="5"/>
  <c r="S73" i="5" s="1"/>
  <c r="BJ71" i="5"/>
  <c r="BK71" i="5" s="1"/>
  <c r="BU71" i="5"/>
  <c r="AL70" i="5"/>
  <c r="AM70" i="5" s="1"/>
  <c r="R69" i="5"/>
  <c r="S69" i="5" s="1"/>
  <c r="BJ67" i="5"/>
  <c r="BK67" i="5" s="1"/>
  <c r="BU67" i="5"/>
  <c r="AL66" i="5"/>
  <c r="AM66" i="5" s="1"/>
  <c r="R65" i="5"/>
  <c r="S65" i="5" s="1"/>
  <c r="BJ63" i="5"/>
  <c r="BK63" i="5" s="1"/>
  <c r="BU63" i="5"/>
  <c r="AL62" i="5"/>
  <c r="AM62" i="5" s="1"/>
  <c r="R61" i="5"/>
  <c r="S61" i="5" s="1"/>
  <c r="BJ59" i="5"/>
  <c r="BK59" i="5" s="1"/>
  <c r="BU59" i="5"/>
  <c r="AL58" i="5"/>
  <c r="AM58" i="5" s="1"/>
  <c r="R57" i="5"/>
  <c r="S57" i="5" s="1"/>
  <c r="Y79" i="5"/>
  <c r="N79" i="5"/>
  <c r="O79" i="5" s="1"/>
  <c r="BB77" i="5"/>
  <c r="BC77" i="5" s="1"/>
  <c r="AH76" i="5"/>
  <c r="AI76" i="5" s="1"/>
  <c r="O75" i="5"/>
  <c r="N75" i="5"/>
  <c r="BB73" i="5"/>
  <c r="BC73" i="5" s="1"/>
  <c r="AI72" i="5"/>
  <c r="AH72" i="5"/>
  <c r="Y71" i="5"/>
  <c r="N71" i="5"/>
  <c r="O71" i="5" s="1"/>
  <c r="BC69" i="5"/>
  <c r="BB69" i="5"/>
  <c r="AH68" i="5"/>
  <c r="AI68" i="5"/>
  <c r="Y67" i="5"/>
  <c r="N67" i="5"/>
  <c r="O67" i="5" s="1"/>
  <c r="BB65" i="5"/>
  <c r="BC65" i="5" s="1"/>
  <c r="AI64" i="5"/>
  <c r="AH64" i="5"/>
  <c r="N63" i="5"/>
  <c r="O63" i="5" s="1"/>
  <c r="Y63" i="5"/>
  <c r="BC61" i="5"/>
  <c r="BB61" i="5"/>
  <c r="AH60" i="5"/>
  <c r="AI60" i="5" s="1"/>
  <c r="Y59" i="5"/>
  <c r="N59" i="5"/>
  <c r="O59" i="5" s="1"/>
  <c r="BC57" i="5"/>
  <c r="BB57" i="5"/>
  <c r="AH56" i="5"/>
  <c r="AI56" i="5" s="1"/>
  <c r="J35" i="5"/>
  <c r="AD79" i="5"/>
  <c r="AE79" i="5" s="1"/>
  <c r="AO79" i="5"/>
  <c r="AO75" i="5"/>
  <c r="AD71" i="5"/>
  <c r="AE71" i="5" s="1"/>
  <c r="AO71" i="5"/>
  <c r="AD67" i="5"/>
  <c r="AE67" i="5"/>
  <c r="AO67" i="5"/>
  <c r="AD63" i="5"/>
  <c r="AE63" i="5" s="1"/>
  <c r="AO63" i="5"/>
  <c r="AD59" i="5"/>
  <c r="AE59" i="5" s="1"/>
  <c r="AO59" i="5"/>
  <c r="R76" i="5"/>
  <c r="S76" i="5" s="1"/>
  <c r="AM73" i="5"/>
  <c r="AL73" i="5"/>
  <c r="AL69" i="5"/>
  <c r="AM69" i="5"/>
  <c r="BJ66" i="5"/>
  <c r="BK66" i="5" s="1"/>
  <c r="BU66" i="5"/>
  <c r="BJ62" i="5"/>
  <c r="BK62" i="5" s="1"/>
  <c r="BU62" i="5"/>
  <c r="BJ58" i="5"/>
  <c r="BK58" i="5"/>
  <c r="BU58" i="5"/>
  <c r="AI79" i="5"/>
  <c r="AH79" i="5"/>
  <c r="AH75" i="5"/>
  <c r="AI75" i="5" s="1"/>
  <c r="AI71" i="5"/>
  <c r="AH71" i="5"/>
  <c r="AH67" i="5"/>
  <c r="AI67" i="5" s="1"/>
  <c r="AH63" i="5"/>
  <c r="AI63" i="5" s="1"/>
  <c r="AH59" i="5"/>
  <c r="AI59" i="5" s="1"/>
  <c r="BB56" i="5"/>
  <c r="BC56" i="5" s="1"/>
  <c r="BS78" i="5"/>
  <c r="BR78" i="5"/>
  <c r="AD76" i="5"/>
  <c r="AE76" i="5" s="1"/>
  <c r="AO76" i="5"/>
  <c r="BS79" i="5"/>
  <c r="BR79" i="5"/>
  <c r="AX78" i="5"/>
  <c r="AY78" i="5" s="1"/>
  <c r="BE78" i="5"/>
  <c r="AD77" i="5"/>
  <c r="AE77" i="5" s="1"/>
  <c r="AO77" i="5"/>
  <c r="BR75" i="5"/>
  <c r="BS75" i="5"/>
  <c r="AX74" i="5"/>
  <c r="BE74" i="5"/>
  <c r="AY74" i="5"/>
  <c r="AO73" i="5"/>
  <c r="AD73" i="5"/>
  <c r="AE73" i="5" s="1"/>
  <c r="BR71" i="5"/>
  <c r="BS71" i="5" s="1"/>
  <c r="AY70" i="5"/>
  <c r="AX70" i="5"/>
  <c r="BE70" i="5"/>
  <c r="AO69" i="5"/>
  <c r="AD69" i="5"/>
  <c r="AE69" i="5" s="1"/>
  <c r="BS67" i="5"/>
  <c r="BR67" i="5"/>
  <c r="AX66" i="5"/>
  <c r="AY66" i="5" s="1"/>
  <c r="BE66" i="5"/>
  <c r="AD65" i="5"/>
  <c r="AE65" i="5" s="1"/>
  <c r="AO65" i="5"/>
  <c r="BR63" i="5"/>
  <c r="BS63" i="5" s="1"/>
  <c r="AX62" i="5"/>
  <c r="AY62" i="5" s="1"/>
  <c r="BE62" i="5"/>
  <c r="AD61" i="5"/>
  <c r="AE61" i="5" s="1"/>
  <c r="AO61" i="5"/>
  <c r="BR59" i="5"/>
  <c r="BS59" i="5" s="1"/>
  <c r="AY58" i="5"/>
  <c r="AX58" i="5"/>
  <c r="BE58" i="5"/>
  <c r="AD57" i="5"/>
  <c r="AE57" i="5" s="1"/>
  <c r="AO57" i="5"/>
  <c r="AL79" i="5"/>
  <c r="AM79" i="5" s="1"/>
  <c r="R78" i="5"/>
  <c r="S78" i="5" s="1"/>
  <c r="BK76" i="5"/>
  <c r="BJ76" i="5"/>
  <c r="BU76" i="5"/>
  <c r="AL75" i="5"/>
  <c r="AM75" i="5" s="1"/>
  <c r="R74" i="5"/>
  <c r="S74" i="5" s="1"/>
  <c r="BJ72" i="5"/>
  <c r="BK72" i="5"/>
  <c r="BU72" i="5"/>
  <c r="AL71" i="5"/>
  <c r="AM71" i="5" s="1"/>
  <c r="R70" i="5"/>
  <c r="S70" i="5" s="1"/>
  <c r="BU68" i="5"/>
  <c r="BJ68" i="5"/>
  <c r="BK68" i="5" s="1"/>
  <c r="AL67" i="5"/>
  <c r="AM67" i="5" s="1"/>
  <c r="R66" i="5"/>
  <c r="S66" i="5" s="1"/>
  <c r="BJ64" i="5"/>
  <c r="BK64" i="5" s="1"/>
  <c r="BU64" i="5"/>
  <c r="AL63" i="5"/>
  <c r="AM63" i="5" s="1"/>
  <c r="R62" i="5"/>
  <c r="S62" i="5" s="1"/>
  <c r="BJ60" i="5"/>
  <c r="BK60" i="5" s="1"/>
  <c r="BU60" i="5"/>
  <c r="AL59" i="5"/>
  <c r="AM59" i="5" s="1"/>
  <c r="R58" i="5"/>
  <c r="S58" i="5" s="1"/>
  <c r="BJ56" i="5"/>
  <c r="BK56" i="5"/>
  <c r="BI81" i="5"/>
  <c r="BU56" i="5"/>
  <c r="BB78" i="5"/>
  <c r="BC78" i="5" s="1"/>
  <c r="AH77" i="5"/>
  <c r="AI77" i="5" s="1"/>
  <c r="Y76" i="5"/>
  <c r="N76" i="5"/>
  <c r="O76" i="5"/>
  <c r="BC74" i="5"/>
  <c r="BB74" i="5"/>
  <c r="AH73" i="5"/>
  <c r="AI73" i="5" s="1"/>
  <c r="Y72" i="5"/>
  <c r="N72" i="5"/>
  <c r="O72" i="5" s="1"/>
  <c r="BB70" i="5"/>
  <c r="BC70" i="5" s="1"/>
  <c r="AH69" i="5"/>
  <c r="AI69" i="5" s="1"/>
  <c r="N68" i="5"/>
  <c r="O68" i="5" s="1"/>
  <c r="Y68" i="5"/>
  <c r="BB66" i="5"/>
  <c r="BC66" i="5" s="1"/>
  <c r="AH65" i="5"/>
  <c r="AI65" i="5" s="1"/>
  <c r="Y64" i="5"/>
  <c r="N64" i="5"/>
  <c r="O64" i="5" s="1"/>
  <c r="BC62" i="5"/>
  <c r="BB62" i="5"/>
  <c r="AH61" i="5"/>
  <c r="AI61" i="5"/>
  <c r="N60" i="5"/>
  <c r="O60" i="5" s="1"/>
  <c r="Y60" i="5"/>
  <c r="BB58" i="5"/>
  <c r="BC58" i="5"/>
  <c r="AI57" i="5"/>
  <c r="AH57" i="5"/>
  <c r="Y56" i="5"/>
  <c r="O56" i="5"/>
  <c r="J39" i="5"/>
  <c r="BR77" i="5"/>
  <c r="BS77" i="5" s="1"/>
  <c r="AX72" i="5"/>
  <c r="AY72" i="5" s="1"/>
  <c r="BE72" i="5"/>
  <c r="AX68" i="5"/>
  <c r="AY68" i="5" s="1"/>
  <c r="BE68" i="5"/>
  <c r="BR65" i="5"/>
  <c r="BS65" i="5" s="1"/>
  <c r="BR61" i="5"/>
  <c r="BS61" i="5" s="1"/>
  <c r="BR57" i="5"/>
  <c r="BS57" i="5"/>
  <c r="AL77" i="5"/>
  <c r="AM77" i="5" s="1"/>
  <c r="R72" i="5"/>
  <c r="S72" i="5" s="1"/>
  <c r="R68" i="5"/>
  <c r="S68" i="5" s="1"/>
  <c r="AL65" i="5"/>
  <c r="AM65" i="5" s="1"/>
  <c r="AL61" i="5"/>
  <c r="AM61" i="5"/>
  <c r="AL57" i="5"/>
  <c r="AM57" i="5" s="1"/>
  <c r="BC76" i="5"/>
  <c r="BB76" i="5"/>
  <c r="Y74" i="5"/>
  <c r="N74" i="5"/>
  <c r="O74" i="5" s="1"/>
  <c r="Y70" i="5"/>
  <c r="N70" i="5"/>
  <c r="O70" i="5" s="1"/>
  <c r="BB64" i="5"/>
  <c r="BC64" i="5"/>
  <c r="BC60" i="5"/>
  <c r="BB60" i="5"/>
  <c r="AX79" i="5"/>
  <c r="AY79" i="5" s="1"/>
  <c r="BE79" i="5"/>
  <c r="AD78" i="5"/>
  <c r="AE78" i="5" s="1"/>
  <c r="AO78" i="5"/>
  <c r="BR76" i="5"/>
  <c r="BS76" i="5" s="1"/>
  <c r="AX75" i="5"/>
  <c r="AY75" i="5" s="1"/>
  <c r="BE75" i="5"/>
  <c r="AD74" i="5"/>
  <c r="AE74" i="5" s="1"/>
  <c r="AO74" i="5"/>
  <c r="BR72" i="5"/>
  <c r="BS72" i="5" s="1"/>
  <c r="AX71" i="5"/>
  <c r="AY71" i="5" s="1"/>
  <c r="BE71" i="5"/>
  <c r="AD70" i="5"/>
  <c r="AE70" i="5" s="1"/>
  <c r="AO70" i="5"/>
  <c r="BR68" i="5"/>
  <c r="BS68" i="5" s="1"/>
  <c r="BE67" i="5"/>
  <c r="AX67" i="5"/>
  <c r="AY67" i="5" s="1"/>
  <c r="AO66" i="5"/>
  <c r="AD66" i="5"/>
  <c r="AE66" i="5" s="1"/>
  <c r="BR64" i="5"/>
  <c r="BS64" i="5" s="1"/>
  <c r="BE63" i="5"/>
  <c r="AX63" i="5"/>
  <c r="AY63" i="5" s="1"/>
  <c r="AD62" i="5"/>
  <c r="AE62" i="5" s="1"/>
  <c r="AO62" i="5"/>
  <c r="BR60" i="5"/>
  <c r="BS60" i="5" s="1"/>
  <c r="AX59" i="5"/>
  <c r="AY59" i="5" s="1"/>
  <c r="BE59" i="5"/>
  <c r="AD58" i="5"/>
  <c r="AE58" i="5" s="1"/>
  <c r="AO58" i="5"/>
  <c r="BS56" i="5"/>
  <c r="BR56" i="5"/>
  <c r="R79" i="5"/>
  <c r="S79" i="5" s="1"/>
  <c r="BJ77" i="5"/>
  <c r="BU77" i="5"/>
  <c r="BK77" i="5"/>
  <c r="AL76" i="5"/>
  <c r="AM76" i="5" s="1"/>
  <c r="R75" i="5"/>
  <c r="S75" i="5" s="1"/>
  <c r="BU73" i="5"/>
  <c r="BJ73" i="5"/>
  <c r="BK73" i="5" s="1"/>
  <c r="AL72" i="5"/>
  <c r="AM72" i="5" s="1"/>
  <c r="R71" i="5"/>
  <c r="S71" i="5" s="1"/>
  <c r="BJ69" i="5"/>
  <c r="BK69" i="5" s="1"/>
  <c r="BU69" i="5"/>
  <c r="AL68" i="5"/>
  <c r="AM68" i="5" s="1"/>
  <c r="R67" i="5"/>
  <c r="S67" i="5" s="1"/>
  <c r="BU65" i="5"/>
  <c r="BJ65" i="5"/>
  <c r="BK65" i="5" s="1"/>
  <c r="AL64" i="5"/>
  <c r="AM64" i="5"/>
  <c r="R63" i="5"/>
  <c r="S63" i="5" s="1"/>
  <c r="BJ61" i="5"/>
  <c r="BK61" i="5" s="1"/>
  <c r="BU61" i="5"/>
  <c r="AL60" i="5"/>
  <c r="AM60" i="5" s="1"/>
  <c r="R59" i="5"/>
  <c r="S59" i="5" s="1"/>
  <c r="BU57" i="5"/>
  <c r="BJ57" i="5"/>
  <c r="BK57" i="5" s="1"/>
  <c r="AL56" i="5"/>
  <c r="AM56" i="5" s="1"/>
  <c r="BB79" i="5"/>
  <c r="BC79" i="5"/>
  <c r="AI78" i="5"/>
  <c r="AH78" i="5"/>
  <c r="Y77" i="5"/>
  <c r="N77" i="5"/>
  <c r="O77" i="5" s="1"/>
  <c r="AH74" i="5"/>
  <c r="AI74" i="5"/>
  <c r="Y73" i="5"/>
  <c r="N73" i="5"/>
  <c r="O73" i="5" s="1"/>
  <c r="BB71" i="5"/>
  <c r="BC71" i="5" s="1"/>
  <c r="AI70" i="5"/>
  <c r="AH70" i="5"/>
  <c r="N69" i="5"/>
  <c r="Y69" i="5"/>
  <c r="O69" i="5"/>
  <c r="BC67" i="5"/>
  <c r="BB67" i="5"/>
  <c r="AH66" i="5"/>
  <c r="AI66" i="5" s="1"/>
  <c r="Y65" i="5"/>
  <c r="N65" i="5"/>
  <c r="O65" i="5"/>
  <c r="BB63" i="5"/>
  <c r="BC63" i="5" s="1"/>
  <c r="AH62" i="5"/>
  <c r="AI62" i="5" s="1"/>
  <c r="Y61" i="5"/>
  <c r="O61" i="5"/>
  <c r="N61" i="5"/>
  <c r="BC59" i="5"/>
  <c r="BB59" i="5"/>
  <c r="AH58" i="5"/>
  <c r="AI58" i="5" s="1"/>
  <c r="Y57" i="5"/>
  <c r="N57" i="5"/>
  <c r="O57" i="5" s="1"/>
  <c r="J31" i="5"/>
  <c r="E87" i="5"/>
  <c r="F85" i="5"/>
  <c r="J30" i="5"/>
  <c r="J32" i="5"/>
  <c r="J28" i="5"/>
  <c r="J43" i="5"/>
  <c r="J45" i="5"/>
  <c r="J46" i="5"/>
  <c r="J50" i="5"/>
  <c r="J34" i="5"/>
  <c r="J42" i="5"/>
  <c r="J36" i="5"/>
  <c r="J37" i="5"/>
  <c r="J40" i="5"/>
  <c r="J44" i="5"/>
  <c r="J38" i="5"/>
  <c r="J47" i="5"/>
  <c r="J41" i="5"/>
  <c r="J85" i="5"/>
  <c r="J87" i="5" s="1"/>
  <c r="J33" i="5"/>
  <c r="J29" i="5"/>
  <c r="AH80" i="5" l="1"/>
  <c r="Q81" i="5"/>
  <c r="R81" i="5" s="1"/>
  <c r="S81" i="5" s="1"/>
  <c r="BM81" i="5"/>
  <c r="AM80" i="5"/>
  <c r="BW87" i="5"/>
  <c r="W48" i="5"/>
  <c r="W52" i="5" s="1"/>
  <c r="BO48" i="5"/>
  <c r="BO52" i="5" s="1"/>
  <c r="BU30" i="5"/>
  <c r="BU41" i="5"/>
  <c r="BU35" i="5"/>
  <c r="Y40" i="5"/>
  <c r="Y36" i="5"/>
  <c r="BC75" i="5"/>
  <c r="AK81" i="5"/>
  <c r="AL81" i="5" s="1"/>
  <c r="AM81" i="5" s="1"/>
  <c r="R80" i="5"/>
  <c r="S80" i="5" s="1"/>
  <c r="AA39" i="5"/>
  <c r="AA41" i="5"/>
  <c r="G78" i="5"/>
  <c r="F33" i="5"/>
  <c r="AH108" i="5"/>
  <c r="AI108" i="5" s="1"/>
  <c r="BN108" i="5"/>
  <c r="BO108" i="5" s="1"/>
  <c r="AL108" i="5"/>
  <c r="AM108" i="5" s="1"/>
  <c r="BN107" i="5"/>
  <c r="BO107" i="5" s="1"/>
  <c r="BM109" i="5"/>
  <c r="BN109" i="5" s="1"/>
  <c r="BO109" i="5" s="1"/>
  <c r="M109" i="5"/>
  <c r="N107" i="5"/>
  <c r="O107" i="5" s="1"/>
  <c r="Y107" i="5"/>
  <c r="R107" i="5"/>
  <c r="S107" i="5" s="1"/>
  <c r="Q109" i="5"/>
  <c r="AD110" i="5"/>
  <c r="AE110" i="5" s="1"/>
  <c r="AO110" i="5"/>
  <c r="AP110" i="5" s="1"/>
  <c r="AQ110" i="5" s="1"/>
  <c r="BU110" i="5"/>
  <c r="BV110" i="5" s="1"/>
  <c r="BW110" i="5" s="1"/>
  <c r="BJ110" i="5"/>
  <c r="BK110" i="5" s="1"/>
  <c r="AT108" i="5"/>
  <c r="AU108" i="5" s="1"/>
  <c r="BE108" i="5"/>
  <c r="BF108" i="5" s="1"/>
  <c r="BG108" i="5" s="1"/>
  <c r="AD108" i="5"/>
  <c r="AE108" i="5" s="1"/>
  <c r="AO108" i="5"/>
  <c r="AG109" i="5"/>
  <c r="AH109" i="5" s="1"/>
  <c r="AI109" i="5" s="1"/>
  <c r="AH107" i="5"/>
  <c r="AI107" i="5" s="1"/>
  <c r="V107" i="5"/>
  <c r="W107" i="5" s="1"/>
  <c r="U109" i="5"/>
  <c r="V109" i="5" s="1"/>
  <c r="W109" i="5" s="1"/>
  <c r="BB107" i="5"/>
  <c r="BC107" i="5" s="1"/>
  <c r="BA109" i="5"/>
  <c r="BB109" i="5" s="1"/>
  <c r="BC109" i="5" s="1"/>
  <c r="BE110" i="5"/>
  <c r="BF110" i="5" s="1"/>
  <c r="BG110" i="5" s="1"/>
  <c r="AT110" i="5"/>
  <c r="AU110" i="5" s="1"/>
  <c r="R110" i="5"/>
  <c r="S110" i="5" s="1"/>
  <c r="Y110" i="5"/>
  <c r="Z110" i="5" s="1"/>
  <c r="N110" i="5"/>
  <c r="O110" i="5" s="1"/>
  <c r="G109" i="5"/>
  <c r="BU108" i="5"/>
  <c r="BV108" i="5" s="1"/>
  <c r="BW108" i="5" s="1"/>
  <c r="BJ108" i="5"/>
  <c r="BK108" i="5" s="1"/>
  <c r="AD107" i="5"/>
  <c r="AE107" i="5" s="1"/>
  <c r="AC109" i="5"/>
  <c r="AO107" i="5"/>
  <c r="AL107" i="5"/>
  <c r="AM107" i="5" s="1"/>
  <c r="AK109" i="5"/>
  <c r="BQ109" i="5"/>
  <c r="BR109" i="5" s="1"/>
  <c r="BS109" i="5" s="1"/>
  <c r="BR107" i="5"/>
  <c r="BS107" i="5" s="1"/>
  <c r="AH110" i="5"/>
  <c r="AI110" i="5" s="1"/>
  <c r="BB110" i="5"/>
  <c r="BC110" i="5" s="1"/>
  <c r="N108" i="5"/>
  <c r="O108" i="5" s="1"/>
  <c r="Y108" i="5"/>
  <c r="Z108" i="5" s="1"/>
  <c r="AT107" i="5"/>
  <c r="AU107" i="5" s="1"/>
  <c r="AS109" i="5"/>
  <c r="BE107" i="5"/>
  <c r="BF107" i="5" s="1"/>
  <c r="BG107" i="5" s="1"/>
  <c r="BJ107" i="5"/>
  <c r="BK107" i="5" s="1"/>
  <c r="BI109" i="5"/>
  <c r="BU107" i="5"/>
  <c r="AW109" i="5"/>
  <c r="AX109" i="5" s="1"/>
  <c r="AY109" i="5" s="1"/>
  <c r="AX107" i="5"/>
  <c r="AY107" i="5" s="1"/>
  <c r="AX110" i="5"/>
  <c r="AY110" i="5" s="1"/>
  <c r="BR110" i="5"/>
  <c r="BS110" i="5" s="1"/>
  <c r="AA43" i="5"/>
  <c r="F87" i="5"/>
  <c r="Y30" i="5"/>
  <c r="BU39" i="5"/>
  <c r="AW48" i="5"/>
  <c r="AW52" i="5" s="1"/>
  <c r="BW41" i="5"/>
  <c r="BE41" i="5"/>
  <c r="AA35" i="5"/>
  <c r="BO80" i="5"/>
  <c r="Q48" i="5"/>
  <c r="Q52" i="5" s="1"/>
  <c r="BC80" i="5"/>
  <c r="AS81" i="5"/>
  <c r="AT81" i="5" s="1"/>
  <c r="AU81" i="5" s="1"/>
  <c r="BQ81" i="5"/>
  <c r="AW81" i="5"/>
  <c r="AX81" i="5" s="1"/>
  <c r="AX80" i="5"/>
  <c r="AY80" i="5" s="1"/>
  <c r="AA32" i="5"/>
  <c r="BG32" i="5"/>
  <c r="BW37" i="5"/>
  <c r="BE37" i="5"/>
  <c r="Y47" i="5"/>
  <c r="BW47" i="5"/>
  <c r="BE47" i="5"/>
  <c r="BG31" i="5"/>
  <c r="AA31" i="5"/>
  <c r="BU31" i="5"/>
  <c r="Y38" i="5"/>
  <c r="BU44" i="5"/>
  <c r="AA33" i="5"/>
  <c r="BW34" i="5"/>
  <c r="BU34" i="5"/>
  <c r="BU40" i="5"/>
  <c r="AA46" i="5"/>
  <c r="AO30" i="5"/>
  <c r="BR80" i="5"/>
  <c r="BS80" i="5" s="1"/>
  <c r="U81" i="5"/>
  <c r="V81" i="5" s="1"/>
  <c r="V80" i="5"/>
  <c r="W80" i="5" s="1"/>
  <c r="AG48" i="5"/>
  <c r="AG52" i="5" s="1"/>
  <c r="BS48" i="5"/>
  <c r="BS52" i="5" s="1"/>
  <c r="Y80" i="5"/>
  <c r="Y81" i="5" s="1"/>
  <c r="BU80" i="5"/>
  <c r="BV80" i="5" s="1"/>
  <c r="BW80" i="5" s="1"/>
  <c r="AQ47" i="5"/>
  <c r="BU38" i="5"/>
  <c r="BU50" i="5"/>
  <c r="AQ44" i="5"/>
  <c r="AO33" i="5"/>
  <c r="AQ33" i="5"/>
  <c r="BU43" i="5"/>
  <c r="AQ40" i="5"/>
  <c r="AQ29" i="5"/>
  <c r="Y39" i="5"/>
  <c r="AQ46" i="5"/>
  <c r="BG46" i="5"/>
  <c r="AO46" i="5"/>
  <c r="AI48" i="5"/>
  <c r="AI52" i="5" s="1"/>
  <c r="BW32" i="5"/>
  <c r="BU37" i="5"/>
  <c r="BU47" i="5"/>
  <c r="AQ31" i="5"/>
  <c r="AQ38" i="5"/>
  <c r="BG35" i="5"/>
  <c r="AO35" i="5"/>
  <c r="O80" i="5"/>
  <c r="AI80" i="5"/>
  <c r="AO80" i="5"/>
  <c r="AO81" i="5" s="1"/>
  <c r="AA28" i="5"/>
  <c r="AM48" i="5"/>
  <c r="AM52" i="5" s="1"/>
  <c r="BU32" i="5"/>
  <c r="BE32" i="5"/>
  <c r="AA37" i="5"/>
  <c r="Y37" i="5"/>
  <c r="AA47" i="5"/>
  <c r="Y31" i="5"/>
  <c r="BG38" i="5"/>
  <c r="AO38" i="5"/>
  <c r="BG44" i="5"/>
  <c r="AO44" i="5"/>
  <c r="Y43" i="5"/>
  <c r="AO34" i="5"/>
  <c r="AQ34" i="5"/>
  <c r="BG40" i="5"/>
  <c r="AO40" i="5"/>
  <c r="AA45" i="5"/>
  <c r="BU45" i="5"/>
  <c r="AA29" i="5"/>
  <c r="BU29" i="5"/>
  <c r="BW35" i="5"/>
  <c r="BE35" i="5"/>
  <c r="Y42" i="5"/>
  <c r="O48" i="5"/>
  <c r="O52" i="5" s="1"/>
  <c r="M81" i="5"/>
  <c r="N81" i="5" s="1"/>
  <c r="O81" i="5" s="1"/>
  <c r="BA81" i="5"/>
  <c r="BB81" i="5" s="1"/>
  <c r="AE80" i="5"/>
  <c r="BE80" i="5"/>
  <c r="BE81" i="5" s="1"/>
  <c r="AT80" i="5"/>
  <c r="AU80" i="5" s="1"/>
  <c r="BQ48" i="5"/>
  <c r="BQ52" i="5" s="1"/>
  <c r="AY48" i="5"/>
  <c r="AY52" i="5" s="1"/>
  <c r="AQ32" i="5"/>
  <c r="Y32" i="5"/>
  <c r="BG37" i="5"/>
  <c r="AO37" i="5"/>
  <c r="BG47" i="5"/>
  <c r="AO47" i="5"/>
  <c r="Y33" i="5"/>
  <c r="BG43" i="5"/>
  <c r="AO43" i="5"/>
  <c r="Y34" i="5"/>
  <c r="BG45" i="5"/>
  <c r="AO45" i="5"/>
  <c r="Y29" i="5"/>
  <c r="AO29" i="5"/>
  <c r="BG39" i="5"/>
  <c r="AO39" i="5"/>
  <c r="BW30" i="5"/>
  <c r="BW36" i="5"/>
  <c r="BE36" i="5"/>
  <c r="AA36" i="5"/>
  <c r="BU36" i="5"/>
  <c r="AQ41" i="5"/>
  <c r="AQ35" i="5"/>
  <c r="BW42" i="5"/>
  <c r="BE42" i="5"/>
  <c r="AA42" i="5"/>
  <c r="BU42" i="5"/>
  <c r="BE33" i="5"/>
  <c r="BW45" i="5"/>
  <c r="BE45" i="5"/>
  <c r="BG29" i="5"/>
  <c r="BW39" i="5"/>
  <c r="BE39" i="5"/>
  <c r="Y46" i="5"/>
  <c r="AQ30" i="5"/>
  <c r="AA30" i="5"/>
  <c r="BG30" i="5"/>
  <c r="AQ36" i="5"/>
  <c r="BG36" i="5"/>
  <c r="AO36" i="5"/>
  <c r="Y41" i="5"/>
  <c r="Y35" i="5"/>
  <c r="AQ42" i="5"/>
  <c r="BG42" i="5"/>
  <c r="AO42" i="5"/>
  <c r="AC81" i="5"/>
  <c r="AD81" i="5" s="1"/>
  <c r="AE81" i="5" s="1"/>
  <c r="AO32" i="5"/>
  <c r="AQ37" i="5"/>
  <c r="AO31" i="5"/>
  <c r="BW31" i="5"/>
  <c r="BW38" i="5"/>
  <c r="BE38" i="5"/>
  <c r="AA38" i="5"/>
  <c r="BW44" i="5"/>
  <c r="BE44" i="5"/>
  <c r="AA44" i="5"/>
  <c r="BU33" i="5"/>
  <c r="BW33" i="5"/>
  <c r="AQ43" i="5"/>
  <c r="AA34" i="5"/>
  <c r="BE34" i="5"/>
  <c r="BG34" i="5"/>
  <c r="BW40" i="5"/>
  <c r="BE40" i="5"/>
  <c r="AA40" i="5"/>
  <c r="AQ45" i="5"/>
  <c r="BW29" i="5"/>
  <c r="AQ39" i="5"/>
  <c r="BW46" i="5"/>
  <c r="BE46" i="5"/>
  <c r="BU46" i="5"/>
  <c r="BE30" i="5"/>
  <c r="BG41" i="5"/>
  <c r="AO41" i="5"/>
  <c r="AU48" i="5"/>
  <c r="AU52" i="5" s="1"/>
  <c r="BG28" i="5"/>
  <c r="AC48" i="5"/>
  <c r="AC52" i="5" s="1"/>
  <c r="AO28" i="5"/>
  <c r="BK48" i="5"/>
  <c r="BK52" i="5" s="1"/>
  <c r="BW28" i="5"/>
  <c r="BG87" i="5"/>
  <c r="AQ28" i="5"/>
  <c r="AE48" i="5"/>
  <c r="AE52" i="5" s="1"/>
  <c r="AA87" i="5"/>
  <c r="AS48" i="5"/>
  <c r="AS52" i="5" s="1"/>
  <c r="BE28" i="5"/>
  <c r="BU28" i="5"/>
  <c r="BI48" i="5"/>
  <c r="BI52" i="5" s="1"/>
  <c r="M48" i="5"/>
  <c r="M52" i="5" s="1"/>
  <c r="Y28" i="5"/>
  <c r="BV73" i="5"/>
  <c r="BW73" i="5" s="1"/>
  <c r="AP66" i="5"/>
  <c r="AQ66" i="5" s="1"/>
  <c r="Z64" i="5"/>
  <c r="AA64" i="5" s="1"/>
  <c r="BV64" i="5"/>
  <c r="BW64" i="5" s="1"/>
  <c r="AP65" i="5"/>
  <c r="AQ65" i="5" s="1"/>
  <c r="AP69" i="5"/>
  <c r="AQ69" i="5" s="1"/>
  <c r="AP73" i="5"/>
  <c r="AQ73" i="5" s="1"/>
  <c r="AP76" i="5"/>
  <c r="AQ76" i="5" s="1"/>
  <c r="AP59" i="5"/>
  <c r="AQ59" i="5" s="1"/>
  <c r="AP75" i="5"/>
  <c r="AQ75" i="5" s="1"/>
  <c r="Z71" i="5"/>
  <c r="AA71" i="5" s="1"/>
  <c r="BV63" i="5"/>
  <c r="BW63" i="5" s="1"/>
  <c r="BV67" i="5"/>
  <c r="BW67" i="5" s="1"/>
  <c r="BV79" i="5"/>
  <c r="BW79" i="5" s="1"/>
  <c r="AP56" i="5"/>
  <c r="AQ56" i="5" s="1"/>
  <c r="AP60" i="5"/>
  <c r="AQ60" i="5" s="1"/>
  <c r="AP64" i="5"/>
  <c r="AQ64" i="5" s="1"/>
  <c r="BF77" i="5"/>
  <c r="BG77" i="5" s="1"/>
  <c r="Z58" i="5"/>
  <c r="AA58" i="5" s="1"/>
  <c r="BF64" i="5"/>
  <c r="BG64" i="5" s="1"/>
  <c r="BF76" i="5"/>
  <c r="BG76" i="5" s="1"/>
  <c r="Z65" i="5"/>
  <c r="AA65" i="5" s="1"/>
  <c r="BV61" i="5"/>
  <c r="BW61" i="5" s="1"/>
  <c r="BV65" i="5"/>
  <c r="BW65" i="5" s="1"/>
  <c r="Z68" i="5"/>
  <c r="AA68" i="5" s="1"/>
  <c r="Z76" i="5"/>
  <c r="AA76" i="5" s="1"/>
  <c r="BV56" i="5"/>
  <c r="BW56" i="5" s="1"/>
  <c r="BV60" i="5"/>
  <c r="BW60" i="5" s="1"/>
  <c r="BV68" i="5"/>
  <c r="BW68" i="5" s="1"/>
  <c r="BV76" i="5"/>
  <c r="BW76" i="5" s="1"/>
  <c r="BV66" i="5"/>
  <c r="BW66" i="5" s="1"/>
  <c r="AP71" i="5"/>
  <c r="AQ71" i="5" s="1"/>
  <c r="Z63" i="5"/>
  <c r="AA63" i="5" s="1"/>
  <c r="Z67" i="5"/>
  <c r="AA67" i="5" s="1"/>
  <c r="BV59" i="5"/>
  <c r="BW59" i="5" s="1"/>
  <c r="AP68" i="5"/>
  <c r="AQ68" i="5" s="1"/>
  <c r="AP72" i="5"/>
  <c r="AQ72" i="5" s="1"/>
  <c r="Z78" i="5"/>
  <c r="AA78" i="5" s="1"/>
  <c r="BV70" i="5"/>
  <c r="BW70" i="5" s="1"/>
  <c r="Z61" i="5"/>
  <c r="AA61" i="5" s="1"/>
  <c r="Z77" i="5"/>
  <c r="AA77" i="5" s="1"/>
  <c r="BV77" i="5"/>
  <c r="BW77" i="5" s="1"/>
  <c r="BF59" i="5"/>
  <c r="BG59" i="5" s="1"/>
  <c r="BF71" i="5"/>
  <c r="BG71" i="5" s="1"/>
  <c r="BF75" i="5"/>
  <c r="BG75" i="5" s="1"/>
  <c r="BF79" i="5"/>
  <c r="BG79" i="5" s="1"/>
  <c r="Z74" i="5"/>
  <c r="AA74" i="5" s="1"/>
  <c r="BF72" i="5"/>
  <c r="BG72" i="5" s="1"/>
  <c r="Z56" i="5"/>
  <c r="Z72" i="5"/>
  <c r="AA72" i="5" s="1"/>
  <c r="BV72" i="5"/>
  <c r="BW72" i="5" s="1"/>
  <c r="BF58" i="5"/>
  <c r="BG58" i="5" s="1"/>
  <c r="BF62" i="5"/>
  <c r="BG62" i="5" s="1"/>
  <c r="BF66" i="5"/>
  <c r="BG66" i="5" s="1"/>
  <c r="BF70" i="5"/>
  <c r="BG70" i="5" s="1"/>
  <c r="BF78" i="5"/>
  <c r="BG78" i="5" s="1"/>
  <c r="BV62" i="5"/>
  <c r="BW62" i="5" s="1"/>
  <c r="AP67" i="5"/>
  <c r="AQ67" i="5" s="1"/>
  <c r="Z75" i="5"/>
  <c r="AA75" i="5" s="1"/>
  <c r="Z79" i="5"/>
  <c r="AA79" i="5" s="1"/>
  <c r="BV71" i="5"/>
  <c r="BW71" i="5" s="1"/>
  <c r="BV75" i="5"/>
  <c r="BW75" i="5" s="1"/>
  <c r="Z66" i="5"/>
  <c r="AA66" i="5" s="1"/>
  <c r="BF60" i="5"/>
  <c r="BG60" i="5" s="1"/>
  <c r="BF56" i="5"/>
  <c r="Z57" i="5"/>
  <c r="AA57" i="5" s="1"/>
  <c r="Z69" i="5"/>
  <c r="AA69" i="5" s="1"/>
  <c r="Z73" i="5"/>
  <c r="AA73" i="5" s="1"/>
  <c r="BV57" i="5"/>
  <c r="BW57" i="5" s="1"/>
  <c r="BV69" i="5"/>
  <c r="BW69" i="5" s="1"/>
  <c r="AP58" i="5"/>
  <c r="AQ58" i="5" s="1"/>
  <c r="AP62" i="5"/>
  <c r="AQ62" i="5" s="1"/>
  <c r="BF63" i="5"/>
  <c r="BG63" i="5" s="1"/>
  <c r="BF67" i="5"/>
  <c r="BG67" i="5" s="1"/>
  <c r="AP70" i="5"/>
  <c r="AQ70" i="5" s="1"/>
  <c r="AP74" i="5"/>
  <c r="AQ74" i="5" s="1"/>
  <c r="AP78" i="5"/>
  <c r="AQ78" i="5" s="1"/>
  <c r="Z70" i="5"/>
  <c r="AA70" i="5" s="1"/>
  <c r="BF68" i="5"/>
  <c r="BG68" i="5" s="1"/>
  <c r="Z60" i="5"/>
  <c r="AA60" i="5" s="1"/>
  <c r="AP57" i="5"/>
  <c r="AQ57" i="5" s="1"/>
  <c r="AP61" i="5"/>
  <c r="AQ61" i="5" s="1"/>
  <c r="BF74" i="5"/>
  <c r="BG74" i="5" s="1"/>
  <c r="AP77" i="5"/>
  <c r="AQ77" i="5" s="1"/>
  <c r="BV58" i="5"/>
  <c r="BW58" i="5" s="1"/>
  <c r="AP63" i="5"/>
  <c r="AQ63" i="5" s="1"/>
  <c r="AP79" i="5"/>
  <c r="AQ79" i="5" s="1"/>
  <c r="Z59" i="5"/>
  <c r="AA59" i="5" s="1"/>
  <c r="BF57" i="5"/>
  <c r="BG57" i="5" s="1"/>
  <c r="BF61" i="5"/>
  <c r="BG61" i="5" s="1"/>
  <c r="BF65" i="5"/>
  <c r="BG65" i="5" s="1"/>
  <c r="BF69" i="5"/>
  <c r="BG69" i="5" s="1"/>
  <c r="BF73" i="5"/>
  <c r="BG73" i="5" s="1"/>
  <c r="Z62" i="5"/>
  <c r="AA62" i="5" s="1"/>
  <c r="BV74" i="5"/>
  <c r="BW74" i="5" s="1"/>
  <c r="BV78" i="5"/>
  <c r="BW78" i="5" s="1"/>
  <c r="BG56" i="5"/>
  <c r="X81" i="5"/>
  <c r="F48" i="5"/>
  <c r="F52" i="5" s="1"/>
  <c r="J48" i="5"/>
  <c r="BT81" i="5"/>
  <c r="BD81" i="5"/>
  <c r="AN81" i="5"/>
  <c r="BE87" i="5"/>
  <c r="Y87" i="5"/>
  <c r="BU87" i="5"/>
  <c r="AO87" i="5"/>
  <c r="AQ87" i="5"/>
  <c r="L48" i="5"/>
  <c r="L52" i="5" s="1"/>
  <c r="AR48" i="5"/>
  <c r="AR52" i="5" s="1"/>
  <c r="AB48" i="5"/>
  <c r="AB52" i="5" s="1"/>
  <c r="U69" i="4"/>
  <c r="M69" i="4"/>
  <c r="N69" i="4"/>
  <c r="BR48" i="5"/>
  <c r="BR52" i="5" s="1"/>
  <c r="AJ48" i="5"/>
  <c r="AJ52" i="5" s="1"/>
  <c r="BH48" i="5"/>
  <c r="BH52" i="5" s="1"/>
  <c r="V36" i="4"/>
  <c r="V40" i="4" s="1"/>
  <c r="AD48" i="5"/>
  <c r="AD52" i="5" s="1"/>
  <c r="AP30" i="5"/>
  <c r="BP52" i="5"/>
  <c r="N36" i="4"/>
  <c r="N40" i="4" s="1"/>
  <c r="AP29" i="5"/>
  <c r="AH48" i="5"/>
  <c r="AH52" i="5" s="1"/>
  <c r="T48" i="5"/>
  <c r="T52" i="5" s="1"/>
  <c r="V48" i="5"/>
  <c r="V52" i="5" s="1"/>
  <c r="Z28" i="5"/>
  <c r="Z48" i="5" s="1"/>
  <c r="Z52" i="5" s="1"/>
  <c r="BN48" i="5"/>
  <c r="BN52" i="5" s="1"/>
  <c r="BV28" i="5"/>
  <c r="BV48" i="5" s="1"/>
  <c r="BV52" i="5" s="1"/>
  <c r="AL36" i="4"/>
  <c r="AL40" i="4" s="1"/>
  <c r="AV48" i="5"/>
  <c r="AV52" i="5" s="1"/>
  <c r="BL48" i="5"/>
  <c r="BL52" i="5" s="1"/>
  <c r="AF48" i="5"/>
  <c r="AF52" i="5" s="1"/>
  <c r="BV85" i="5"/>
  <c r="AL75" i="4"/>
  <c r="BV87" i="5" s="1"/>
  <c r="AZ48" i="5"/>
  <c r="AZ52" i="5" s="1"/>
  <c r="BF29" i="5"/>
  <c r="BF48" i="5" s="1"/>
  <c r="BF52" i="5" s="1"/>
  <c r="AT48" i="5"/>
  <c r="AT52" i="5" s="1"/>
  <c r="V75" i="4"/>
  <c r="AP87" i="5" s="1"/>
  <c r="AP85" i="5"/>
  <c r="AN86" i="5"/>
  <c r="U75" i="4"/>
  <c r="AN87" i="5" s="1"/>
  <c r="P48" i="5"/>
  <c r="P52" i="5" s="1"/>
  <c r="M75" i="4"/>
  <c r="X87" i="5" s="1"/>
  <c r="X85" i="5"/>
  <c r="AN28" i="5"/>
  <c r="AN48" i="5" s="1"/>
  <c r="AN52" i="5" s="1"/>
  <c r="U36" i="4"/>
  <c r="U40" i="4" s="1"/>
  <c r="N75" i="4"/>
  <c r="Z87" i="5" s="1"/>
  <c r="AD36" i="4"/>
  <c r="AD40" i="4" s="1"/>
  <c r="AC69" i="4"/>
  <c r="BD85" i="5"/>
  <c r="AC75" i="4"/>
  <c r="BD87" i="5" s="1"/>
  <c r="M36" i="4"/>
  <c r="M40" i="4" s="1"/>
  <c r="AD69" i="4"/>
  <c r="AK75" i="4"/>
  <c r="BT87" i="5" s="1"/>
  <c r="BT85" i="5"/>
  <c r="BD29" i="5"/>
  <c r="BD48" i="5" s="1"/>
  <c r="BD52" i="5" s="1"/>
  <c r="AC36" i="4"/>
  <c r="AC40" i="4" s="1"/>
  <c r="BF85" i="5"/>
  <c r="AD75" i="4"/>
  <c r="BF87" i="5" s="1"/>
  <c r="BT32" i="5"/>
  <c r="BT48" i="5" s="1"/>
  <c r="BT52" i="5" s="1"/>
  <c r="AK36" i="4"/>
  <c r="AK40" i="4" s="1"/>
  <c r="X48" i="5"/>
  <c r="X52" i="5" s="1"/>
  <c r="J52" i="5"/>
  <c r="BN81" i="5"/>
  <c r="BO81" i="5" s="1"/>
  <c r="BJ81" i="5"/>
  <c r="BK81" i="5" s="1"/>
  <c r="AY81" i="5"/>
  <c r="BR81" i="5"/>
  <c r="BS81" i="5" s="1"/>
  <c r="AH81" i="5"/>
  <c r="AI81" i="5" s="1"/>
  <c r="BF80" i="5" l="1"/>
  <c r="BG80" i="5" s="1"/>
  <c r="BV107" i="5"/>
  <c r="BW107" i="5" s="1"/>
  <c r="AP108" i="5"/>
  <c r="AQ108" i="5" s="1"/>
  <c r="N109" i="5"/>
  <c r="O109" i="5" s="1"/>
  <c r="BJ109" i="5"/>
  <c r="BK109" i="5" s="1"/>
  <c r="BU109" i="5"/>
  <c r="BE109" i="5"/>
  <c r="AT109" i="5"/>
  <c r="AU109" i="5" s="1"/>
  <c r="AP107" i="5"/>
  <c r="AQ107" i="5" s="1"/>
  <c r="Y109" i="5"/>
  <c r="Z109" i="5" s="1"/>
  <c r="AA109" i="5" s="1"/>
  <c r="AA56" i="5"/>
  <c r="I56" i="5"/>
  <c r="J56" i="5" s="1"/>
  <c r="AA108" i="5"/>
  <c r="I108" i="5"/>
  <c r="J108" i="5" s="1"/>
  <c r="AL109" i="5"/>
  <c r="AM109" i="5" s="1"/>
  <c r="AD109" i="5"/>
  <c r="AE109" i="5" s="1"/>
  <c r="AO109" i="5"/>
  <c r="AA110" i="5"/>
  <c r="I110" i="5"/>
  <c r="J110" i="5" s="1"/>
  <c r="R109" i="5"/>
  <c r="S109" i="5" s="1"/>
  <c r="Z107" i="5"/>
  <c r="I107" i="5" s="1"/>
  <c r="AP80" i="5"/>
  <c r="AQ80" i="5" s="1"/>
  <c r="BU81" i="5"/>
  <c r="BV81" i="5" s="1"/>
  <c r="BW81" i="5" s="1"/>
  <c r="Z80" i="5"/>
  <c r="BC81" i="5"/>
  <c r="W81" i="5"/>
  <c r="I61" i="5"/>
  <c r="J61" i="5" s="1"/>
  <c r="I62" i="5"/>
  <c r="J62" i="5" s="1"/>
  <c r="AA48" i="5"/>
  <c r="AA52" i="5" s="1"/>
  <c r="I63" i="5"/>
  <c r="J63" i="5" s="1"/>
  <c r="BU48" i="5"/>
  <c r="BU52" i="5" s="1"/>
  <c r="BW48" i="5"/>
  <c r="BW52" i="5" s="1"/>
  <c r="BG48" i="5"/>
  <c r="BG52" i="5" s="1"/>
  <c r="Y48" i="5"/>
  <c r="Y52" i="5" s="1"/>
  <c r="BE48" i="5"/>
  <c r="BE52" i="5" s="1"/>
  <c r="I74" i="5"/>
  <c r="J74" i="5" s="1"/>
  <c r="AQ48" i="5"/>
  <c r="AQ52" i="5" s="1"/>
  <c r="AO48" i="5"/>
  <c r="AO52" i="5" s="1"/>
  <c r="E17" i="5"/>
  <c r="I58" i="5"/>
  <c r="J58" i="5" s="1"/>
  <c r="I67" i="5"/>
  <c r="J67" i="5" s="1"/>
  <c r="I78" i="5"/>
  <c r="J78" i="5" s="1"/>
  <c r="BF81" i="5"/>
  <c r="BG81" i="5" s="1"/>
  <c r="AP81" i="5"/>
  <c r="AQ81" i="5" s="1"/>
  <c r="I57" i="5"/>
  <c r="J57" i="5" s="1"/>
  <c r="Z81" i="5"/>
  <c r="AA81" i="5" s="1"/>
  <c r="I68" i="5"/>
  <c r="J68" i="5" s="1"/>
  <c r="I77" i="5"/>
  <c r="J77" i="5" s="1"/>
  <c r="I71" i="5"/>
  <c r="J71" i="5" s="1"/>
  <c r="I65" i="5"/>
  <c r="J65" i="5" s="1"/>
  <c r="I79" i="5"/>
  <c r="J79" i="5" s="1"/>
  <c r="I59" i="5"/>
  <c r="J59" i="5" s="1"/>
  <c r="I60" i="5"/>
  <c r="J60" i="5" s="1"/>
  <c r="I70" i="5"/>
  <c r="J70" i="5" s="1"/>
  <c r="I69" i="5"/>
  <c r="J69" i="5" s="1"/>
  <c r="I64" i="5"/>
  <c r="J64" i="5" s="1"/>
  <c r="I66" i="5"/>
  <c r="J66" i="5" s="1"/>
  <c r="I75" i="5"/>
  <c r="J75" i="5" s="1"/>
  <c r="I72" i="5"/>
  <c r="J72" i="5" s="1"/>
  <c r="I76" i="5"/>
  <c r="J76" i="5" s="1"/>
  <c r="I73" i="5"/>
  <c r="J73" i="5" s="1"/>
  <c r="AP48" i="5"/>
  <c r="AP52" i="5" s="1"/>
  <c r="BV109" i="5" l="1"/>
  <c r="BW109" i="5" s="1"/>
  <c r="J107" i="5"/>
  <c r="I109" i="5"/>
  <c r="J109" i="5" s="1"/>
  <c r="AA80" i="5"/>
  <c r="I80" i="5"/>
  <c r="J80" i="5" s="1"/>
  <c r="AA107" i="5"/>
  <c r="AP109" i="5"/>
  <c r="AQ109" i="5" s="1"/>
  <c r="BF109" i="5"/>
  <c r="BG109" i="5" s="1"/>
  <c r="I81" i="5"/>
  <c r="J81" i="5" s="1"/>
</calcChain>
</file>

<file path=xl/sharedStrings.xml><?xml version="1.0" encoding="utf-8"?>
<sst xmlns="http://schemas.openxmlformats.org/spreadsheetml/2006/main" count="2299" uniqueCount="1451">
  <si>
    <t>на ________ год (на _________ период)</t>
  </si>
  <si>
    <t>Наименование заказчика</t>
  </si>
  <si>
    <t>Адрес местонахождения заказчика</t>
  </si>
  <si>
    <t>Телефон заказчика</t>
  </si>
  <si>
    <t>Электронная почта заказчика</t>
  </si>
  <si>
    <t>ИНН</t>
  </si>
  <si>
    <t>КПП</t>
  </si>
  <si>
    <t>ОКАТО</t>
  </si>
  <si>
    <t>Условия договора</t>
  </si>
  <si>
    <t>Способ закупки</t>
  </si>
  <si>
    <t>Закупка в электронной форме</t>
  </si>
  <si>
    <t>Наименование ЭТП</t>
  </si>
  <si>
    <t>Особая закупочная ситуация</t>
  </si>
  <si>
    <t>Основание закупки у ЕП</t>
  </si>
  <si>
    <t>Инициатор закупки</t>
  </si>
  <si>
    <t>Предмет договора</t>
  </si>
  <si>
    <t>Минимально необходимые требования, предъявляемые к закупаемым товарам (работам, услугам)</t>
  </si>
  <si>
    <t>Единица измерения</t>
  </si>
  <si>
    <t>Сведения о количестве (объеме)</t>
  </si>
  <si>
    <t>Регион поставки товаров (выполнения работ, оказания услуг)</t>
  </si>
  <si>
    <t>Источник финансирования (статья расходов)</t>
  </si>
  <si>
    <t>График осуществления процедур закупки</t>
  </si>
  <si>
    <t>Наименование</t>
  </si>
  <si>
    <t>Код по ОКАТО</t>
  </si>
  <si>
    <t>Срок исполнения договора (месяц, год)</t>
  </si>
  <si>
    <t>да/нет</t>
  </si>
  <si>
    <t>Цена договора</t>
  </si>
  <si>
    <t>11.1</t>
  </si>
  <si>
    <t>11.2</t>
  </si>
  <si>
    <t>__________________________________________________________________     ________________ "  " ______________ 20__ г.</t>
  </si>
  <si>
    <t xml:space="preserve"> (Ф.И.О., должность руководителя (уполномоченного лица) заказчика)         (подпись)        (дата утверждения)</t>
  </si>
  <si>
    <t xml:space="preserve">                                                                             МП</t>
  </si>
  <si>
    <t>Сведения о НМЦ договора (цене лота)</t>
  </si>
  <si>
    <t xml:space="preserve">Дата размещения извещения о закупке </t>
  </si>
  <si>
    <t>Дата рассмотрения заявок</t>
  </si>
  <si>
    <t>Срок исполнения договора</t>
  </si>
  <si>
    <t>(дд.мм.гггг)</t>
  </si>
  <si>
    <t>План
(мм.гггг)</t>
  </si>
  <si>
    <t>Факт
(дд.мм.гггг)</t>
  </si>
  <si>
    <t>План
(дд.мм.гггг)</t>
  </si>
  <si>
    <t>План</t>
  </si>
  <si>
    <t>Особые закупочные ситуации</t>
  </si>
  <si>
    <t>Код</t>
  </si>
  <si>
    <t>Статусы закупки:</t>
  </si>
  <si>
    <t>Закупки в рамках реализации ГОЗ</t>
  </si>
  <si>
    <t>ГОЗ</t>
  </si>
  <si>
    <t>Подготовка к проведению</t>
  </si>
  <si>
    <t>Анонсирование</t>
  </si>
  <si>
    <t>Закупки в целях реализации ФЦП</t>
  </si>
  <si>
    <t>ФЦП</t>
  </si>
  <si>
    <t>Закупки для реализации системных проектов</t>
  </si>
  <si>
    <t>РСП</t>
  </si>
  <si>
    <t>Заключение договора</t>
  </si>
  <si>
    <t>Закупки продукции по инфраструктурным видам деятельности</t>
  </si>
  <si>
    <t>ИВД</t>
  </si>
  <si>
    <t>Закупки инновационной и высокотехнологичной продукции</t>
  </si>
  <si>
    <t>ИВП</t>
  </si>
  <si>
    <t>Закупки с участием субъектов малого и среднего предпринимательства</t>
  </si>
  <si>
    <t>МСП</t>
  </si>
  <si>
    <t>Признана несостоявшейся</t>
  </si>
  <si>
    <t>Отменена</t>
  </si>
  <si>
    <t>Приостановлена</t>
  </si>
  <si>
    <t>Завершена</t>
  </si>
  <si>
    <t>Планируемая дата или период размещения извещения о закупке (месяц, год)</t>
  </si>
  <si>
    <t>6.6.2(1)</t>
  </si>
  <si>
    <t>6.6.2(2)</t>
  </si>
  <si>
    <t>6.6.2(3)</t>
  </si>
  <si>
    <t>6.6.2(4)</t>
  </si>
  <si>
    <t>6.6.2(5)</t>
  </si>
  <si>
    <t>6.6.2(6)</t>
  </si>
  <si>
    <t>6.6.2(7)</t>
  </si>
  <si>
    <t>6.6.2(8)</t>
  </si>
  <si>
    <t>6.6.2(10)</t>
  </si>
  <si>
    <t>6.6.2(11)</t>
  </si>
  <si>
    <t>6.6.2(12)</t>
  </si>
  <si>
    <t>6.6.2(13)</t>
  </si>
  <si>
    <t>6.6.2(14)</t>
  </si>
  <si>
    <t>6.6.2(15)</t>
  </si>
  <si>
    <t>6.6.2(16)</t>
  </si>
  <si>
    <t>6.6.2(17)</t>
  </si>
  <si>
    <t>6.6.2(18)</t>
  </si>
  <si>
    <t>6.6.2(19)</t>
  </si>
  <si>
    <t>6.6.2(20)</t>
  </si>
  <si>
    <t>6.6.2(21)</t>
  </si>
  <si>
    <t>6.6.2(22)</t>
  </si>
  <si>
    <t>6.6.2(23)</t>
  </si>
  <si>
    <t>6.6.2(24)</t>
  </si>
  <si>
    <t>6.6.2(25)</t>
  </si>
  <si>
    <t>6.6.2(26)</t>
  </si>
  <si>
    <t>6.6.2(27)</t>
  </si>
  <si>
    <t>6.6.2(28)</t>
  </si>
  <si>
    <t>6.6.2(29)</t>
  </si>
  <si>
    <t>6.6.2(30)</t>
  </si>
  <si>
    <t>6.6.2(33)</t>
  </si>
  <si>
    <t>6.6.2(34)</t>
  </si>
  <si>
    <t>6.6.2(35)</t>
  </si>
  <si>
    <t>6.6.2(37)</t>
  </si>
  <si>
    <t>6.6.2(38)</t>
  </si>
  <si>
    <t>Не применимо</t>
  </si>
  <si>
    <t>Открытый конкурс</t>
  </si>
  <si>
    <t>ОК</t>
  </si>
  <si>
    <t>Открытый аукцион</t>
  </si>
  <si>
    <t>ОА</t>
  </si>
  <si>
    <t>Открытый редукцион</t>
  </si>
  <si>
    <t>ОР</t>
  </si>
  <si>
    <t>Открытый запрос предложений</t>
  </si>
  <si>
    <t>ОЗП</t>
  </si>
  <si>
    <t>Открытый запрос котировок</t>
  </si>
  <si>
    <t>ОЗК</t>
  </si>
  <si>
    <t>Закупка у единственного поставщика</t>
  </si>
  <si>
    <t>ЕП</t>
  </si>
  <si>
    <t>Прочие маркеры:</t>
  </si>
  <si>
    <t>Да</t>
  </si>
  <si>
    <t>Нет</t>
  </si>
  <si>
    <t>Плановые показатели закупочной деятельности</t>
  </si>
  <si>
    <t>Количество</t>
  </si>
  <si>
    <t>%</t>
  </si>
  <si>
    <t>Общее количество закупок</t>
  </si>
  <si>
    <t>Общая сумма закупок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</si>
  <si>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</si>
  <si>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</si>
  <si>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</si>
  <si>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</si>
  <si>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</si>
  <si>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</si>
  <si>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</si>
  <si>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</si>
  <si>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</si>
  <si>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</si>
  <si>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</si>
  <si>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</si>
  <si>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</si>
  <si>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</si>
  <si>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</si>
  <si>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</si>
  <si>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</si>
  <si>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</si>
  <si>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</si>
  <si>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</si>
  <si>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</si>
  <si>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</si>
  <si>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15.1</t>
  </si>
  <si>
    <t>15.3</t>
  </si>
  <si>
    <t>15.4</t>
  </si>
  <si>
    <t>15.8</t>
  </si>
  <si>
    <t>15.9</t>
  </si>
  <si>
    <t>15.10</t>
  </si>
  <si>
    <t>Участниками которых являются любые участники процедуры закупки, в том числе субъекты МСП</t>
  </si>
  <si>
    <t>Закупки у МСП:</t>
  </si>
  <si>
    <t>Участниками которых являются только субъекты МСП</t>
  </si>
  <si>
    <t>В отношении участников которых устанавливается требование о привлечении к исполнению договора субподрядчиков (соисполнителей) из числа субъектов МСП</t>
  </si>
  <si>
    <t>26</t>
  </si>
  <si>
    <t>27</t>
  </si>
  <si>
    <t>28</t>
  </si>
  <si>
    <t>По статусам закупок</t>
  </si>
  <si>
    <t>30</t>
  </si>
  <si>
    <t>Перечень потенциальных поставщиков</t>
  </si>
  <si>
    <t>15.11</t>
  </si>
  <si>
    <t>Основные условия предложения победителя/ЕП</t>
  </si>
  <si>
    <t>Код по ОКЕИ</t>
  </si>
  <si>
    <t>Дата получения ЗП запроса на проведение закупки</t>
  </si>
  <si>
    <t>Способ закупки (факт)</t>
  </si>
  <si>
    <t>19.16.3(1)</t>
  </si>
  <si>
    <t>19.16.3(2)</t>
  </si>
  <si>
    <t>19.16.3(3)</t>
  </si>
  <si>
    <t>11.3</t>
  </si>
  <si>
    <t>Закрытый конкурс</t>
  </si>
  <si>
    <t>Закрытый аукцион</t>
  </si>
  <si>
    <t>Закрытый редукцион</t>
  </si>
  <si>
    <t>Закрытый запрос предложений</t>
  </si>
  <si>
    <t>Закрытый запрос котировок</t>
  </si>
  <si>
    <t>Открытый конкурс с квалификационным отбором</t>
  </si>
  <si>
    <t>ОКсКО</t>
  </si>
  <si>
    <t>ОАсКО</t>
  </si>
  <si>
    <t>ОРсКО</t>
  </si>
  <si>
    <t>Открытый аукцион с квалификационным отбором</t>
  </si>
  <si>
    <t>Открытый редукцион с квалификационным отбором</t>
  </si>
  <si>
    <t>Открытый запрос предложений с квалификационным отбором</t>
  </si>
  <si>
    <t>ОЗПсКО</t>
  </si>
  <si>
    <t>ОЗКсКО</t>
  </si>
  <si>
    <t>Открытый запрос котировок с квалификационным отбором</t>
  </si>
  <si>
    <t>Закрытый конкурс с квалификационным отбором</t>
  </si>
  <si>
    <t>Закрытый аукцион с квалификационным отбором</t>
  </si>
  <si>
    <t>Закрытый редукцион с квалификационным отбором</t>
  </si>
  <si>
    <t>Закрытый запрос предложений с квалификационным отбором</t>
  </si>
  <si>
    <t>Закрытый запрос котировок с квалификационным отбором</t>
  </si>
  <si>
    <t>ЗК</t>
  </si>
  <si>
    <t>ЗКсКО</t>
  </si>
  <si>
    <t>ЗА</t>
  </si>
  <si>
    <t>ЗАсКО</t>
  </si>
  <si>
    <t>ЗРсКО</t>
  </si>
  <si>
    <t>ЗР</t>
  </si>
  <si>
    <t>ЗЗП</t>
  </si>
  <si>
    <t>ЗЗПсКО</t>
  </si>
  <si>
    <t>ЗЗКсКО</t>
  </si>
  <si>
    <t>ЗЗК</t>
  </si>
  <si>
    <t>Квалификационный отбор для серии закупок</t>
  </si>
  <si>
    <t>КОСЗ</t>
  </si>
  <si>
    <t>Перечень организаторов</t>
  </si>
  <si>
    <t>ОАО "РТ-Логистика"</t>
  </si>
  <si>
    <t>ОАО "РТ-Медицина"</t>
  </si>
  <si>
    <t>ООО "РТ-Информ"</t>
  </si>
  <si>
    <t>ООО "РТ-Комплектимпекс"</t>
  </si>
  <si>
    <t>ООО "РТ-Экспо"</t>
  </si>
  <si>
    <t>Сторонний организатор закупки</t>
  </si>
  <si>
    <t>Статус (этап) закупки</t>
  </si>
  <si>
    <t>Наименование контрагента</t>
  </si>
  <si>
    <t>ИНН контрагента</t>
  </si>
  <si>
    <t>ИНН победителя/ЕП</t>
  </si>
  <si>
    <t>Наименование победителя закупки/ЕП</t>
  </si>
  <si>
    <t>Наименование организатора</t>
  </si>
  <si>
    <t>Индивидуальный № квалификационного отбора</t>
  </si>
  <si>
    <t>Примечание</t>
  </si>
  <si>
    <t>Индивидуальный номер</t>
  </si>
  <si>
    <t>Предмет договора (Наименование закупаемой продукции, работ, услуг)</t>
  </si>
  <si>
    <t>23</t>
  </si>
  <si>
    <t>24</t>
  </si>
  <si>
    <t>Способ закупки (план)</t>
  </si>
  <si>
    <t>Дата заключения договора</t>
  </si>
  <si>
    <t>Экономический эффект</t>
  </si>
  <si>
    <t>В стоимостном выражении</t>
  </si>
  <si>
    <t>В процентном выражении</t>
  </si>
  <si>
    <t>руб.</t>
  </si>
  <si>
    <t>Количество участников, подавших предложения</t>
  </si>
  <si>
    <t>Количество участников, предложения которых были отклонены</t>
  </si>
  <si>
    <t>Цена договора, руб.</t>
  </si>
  <si>
    <t>Реквизиты договора</t>
  </si>
  <si>
    <t>№</t>
  </si>
  <si>
    <t>Для закрытых закупок и закупок по результатам квалификационного отбора для серии закупок</t>
  </si>
  <si>
    <t>Закупка у МСП</t>
  </si>
  <si>
    <t>32</t>
  </si>
  <si>
    <t>29</t>
  </si>
  <si>
    <t>31</t>
  </si>
  <si>
    <t>33</t>
  </si>
  <si>
    <t>34</t>
  </si>
  <si>
    <t>35</t>
  </si>
  <si>
    <t>36</t>
  </si>
  <si>
    <t>37</t>
  </si>
  <si>
    <t>Наличие жалоб по закупке</t>
  </si>
  <si>
    <t>Итого по конкурентным закупкам:</t>
  </si>
  <si>
    <t>% от общего количества</t>
  </si>
  <si>
    <t>%  от общего количества</t>
  </si>
  <si>
    <t>Итого по сторонним организаторам:</t>
  </si>
  <si>
    <t>% от общей суммы закупок</t>
  </si>
  <si>
    <t>Закупки, проводимые сторонними организаторами</t>
  </si>
  <si>
    <t>Форма закупки</t>
  </si>
  <si>
    <t>Электронная</t>
  </si>
  <si>
    <t>Факт</t>
  </si>
  <si>
    <t>Открытый конкурс с КО</t>
  </si>
  <si>
    <t>Открытый аукцион с КО</t>
  </si>
  <si>
    <t>Открытый редукцион с КО</t>
  </si>
  <si>
    <t>Открытый запрос предложений с КО</t>
  </si>
  <si>
    <t>Открытый запрос котировок с КО</t>
  </si>
  <si>
    <t>Закрытый конкурс с КО</t>
  </si>
  <si>
    <t>Закрытый аукцион с КО</t>
  </si>
  <si>
    <t>Закрытый редукцион с КО</t>
  </si>
  <si>
    <t>Закрытый запрос предложений с КО</t>
  </si>
  <si>
    <t>Закрытый запрос котировок с КО</t>
  </si>
  <si>
    <t>КО для серии закупок</t>
  </si>
  <si>
    <t>ОБЩИЙ ИТОГ:</t>
  </si>
  <si>
    <t>Итого по формам закупок:</t>
  </si>
  <si>
    <t>Экономический эффект от закупок организатора
(без учета вознаграждения)</t>
  </si>
  <si>
    <t>Закупка по результатам квалификационного отбора для серии закупок</t>
  </si>
  <si>
    <t>Заказчик</t>
  </si>
  <si>
    <t>ГК "Ростех"</t>
  </si>
  <si>
    <t>6.6.2(32)</t>
  </si>
  <si>
    <t>6.6.2(31)</t>
  </si>
  <si>
    <t>6.6.2(36)</t>
  </si>
  <si>
    <t>6.6.2(9)</t>
  </si>
  <si>
    <t>Дата подведения итогов закупки</t>
  </si>
  <si>
    <t>Сумма предложения победителя, руб. (по протоколу подведения итогов закупки/принятия решения о закупке у ЕП)</t>
  </si>
  <si>
    <t>Дата (дд.мм.гггг)</t>
  </si>
  <si>
    <t>Факт
(мм.гггг)/
(мм.гггг-мм.гггг)</t>
  </si>
  <si>
    <t>Отчет об исполнении плановых/сводных плановых показателей закупочной деятельности</t>
  </si>
  <si>
    <t>Отчет об исполнении РПЗ/ПЗ, ПЗИП</t>
  </si>
  <si>
    <t>План закупки</t>
  </si>
  <si>
    <t>РПЗ</t>
  </si>
  <si>
    <t>ПЗ</t>
  </si>
  <si>
    <t>ПЗИП</t>
  </si>
  <si>
    <t>Количество принятых решений</t>
  </si>
  <si>
    <t>Количество лотов, по которым приняты решения</t>
  </si>
  <si>
    <t>I квартал</t>
  </si>
  <si>
    <t>II квартал</t>
  </si>
  <si>
    <t>III квартал</t>
  </si>
  <si>
    <t>IV квартал</t>
  </si>
  <si>
    <t>Итого по кварталу I</t>
  </si>
  <si>
    <t>Итого по кварталу II</t>
  </si>
  <si>
    <t>Итого по кварталу III</t>
  </si>
  <si>
    <t>Итого по кварталу IV</t>
  </si>
  <si>
    <t>НМЦ, руб.</t>
  </si>
  <si>
    <t>Количество, ед.</t>
  </si>
  <si>
    <t>Плановая корректировка</t>
  </si>
  <si>
    <t>Внеплановая корректировка</t>
  </si>
  <si>
    <t>Планируемая сумма расходов в плановом периоде, руб.</t>
  </si>
  <si>
    <t>Сведения о НМЦ договора (цене лота), руб.</t>
  </si>
  <si>
    <t>15.2</t>
  </si>
  <si>
    <t>15.5</t>
  </si>
  <si>
    <t>15.6</t>
  </si>
  <si>
    <t>15.7</t>
  </si>
  <si>
    <t>Реквизиты контракта</t>
  </si>
  <si>
    <t>№, дд.мм.гггг</t>
  </si>
  <si>
    <t>25</t>
  </si>
  <si>
    <t>Стоимостное выражение, руб.</t>
  </si>
  <si>
    <t>на</t>
  </si>
  <si>
    <t>год</t>
  </si>
  <si>
    <t>Год</t>
  </si>
  <si>
    <t xml:space="preserve">Январь </t>
  </si>
  <si>
    <t xml:space="preserve">Февраль </t>
  </si>
  <si>
    <t xml:space="preserve">Март </t>
  </si>
  <si>
    <t xml:space="preserve">Апрель </t>
  </si>
  <si>
    <t xml:space="preserve">Май </t>
  </si>
  <si>
    <t xml:space="preserve">Июнь </t>
  </si>
  <si>
    <t xml:space="preserve">Июль </t>
  </si>
  <si>
    <t xml:space="preserve">Август </t>
  </si>
  <si>
    <t xml:space="preserve">Сентябрь </t>
  </si>
  <si>
    <t xml:space="preserve">Октябрь </t>
  </si>
  <si>
    <t xml:space="preserve">Ноябрь </t>
  </si>
  <si>
    <t xml:space="preserve">Декабрь </t>
  </si>
  <si>
    <t>квартал</t>
  </si>
  <si>
    <t>года</t>
  </si>
  <si>
    <t>Сведения о корректировках РПЗ, ПЗ, ПЗИП</t>
  </si>
  <si>
    <t>Ответственное лицо
(Ф. И. О., e-mail, телефон)</t>
  </si>
  <si>
    <t>АО "Технодинамика"</t>
  </si>
  <si>
    <t>Корпорация</t>
  </si>
  <si>
    <t>Холдинги</t>
  </si>
  <si>
    <t>ОПУ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</si>
  <si>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</si>
  <si>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</si>
  <si>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</si>
  <si>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</si>
  <si>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</si>
  <si>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</si>
  <si>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</si>
  <si>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</si>
  <si>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</si>
  <si>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</si>
  <si>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1200</t>
  </si>
  <si>
    <t>1400</t>
  </si>
  <si>
    <t>1500</t>
  </si>
  <si>
    <t>1600</t>
  </si>
  <si>
    <t>0201</t>
  </si>
  <si>
    <t>0301</t>
  </si>
  <si>
    <t>0401</t>
  </si>
  <si>
    <t>0501</t>
  </si>
  <si>
    <t>0601</t>
  </si>
  <si>
    <t>0701</t>
  </si>
  <si>
    <t>0801</t>
  </si>
  <si>
    <t>0901</t>
  </si>
  <si>
    <t>1001</t>
  </si>
  <si>
    <t>1201</t>
  </si>
  <si>
    <t>1401</t>
  </si>
  <si>
    <t>1501</t>
  </si>
  <si>
    <t>1601</t>
  </si>
  <si>
    <t>0202</t>
  </si>
  <si>
    <t>0302</t>
  </si>
  <si>
    <t>0402</t>
  </si>
  <si>
    <t>0502</t>
  </si>
  <si>
    <t>0602</t>
  </si>
  <si>
    <t>0702</t>
  </si>
  <si>
    <t>0802</t>
  </si>
  <si>
    <t>0902</t>
  </si>
  <si>
    <t>1002</t>
  </si>
  <si>
    <t>1202</t>
  </si>
  <si>
    <t>1402</t>
  </si>
  <si>
    <t>1502</t>
  </si>
  <si>
    <t>1602</t>
  </si>
  <si>
    <t>0203</t>
  </si>
  <si>
    <t>0303</t>
  </si>
  <si>
    <t>0403</t>
  </si>
  <si>
    <t>0603</t>
  </si>
  <si>
    <t>0703</t>
  </si>
  <si>
    <t>0903</t>
  </si>
  <si>
    <t>1003</t>
  </si>
  <si>
    <t>1203</t>
  </si>
  <si>
    <t>1403</t>
  </si>
  <si>
    <t>1603</t>
  </si>
  <si>
    <t>0204</t>
  </si>
  <si>
    <t>0404</t>
  </si>
  <si>
    <t>0504</t>
  </si>
  <si>
    <t>0604</t>
  </si>
  <si>
    <t>0804</t>
  </si>
  <si>
    <t>0904</t>
  </si>
  <si>
    <t>1004</t>
  </si>
  <si>
    <t>1204</t>
  </si>
  <si>
    <t>1404</t>
  </si>
  <si>
    <t>1504</t>
  </si>
  <si>
    <t>1604</t>
  </si>
  <si>
    <t>0205</t>
  </si>
  <si>
    <t>0405</t>
  </si>
  <si>
    <t>0505</t>
  </si>
  <si>
    <t>0605</t>
  </si>
  <si>
    <t>0805</t>
  </si>
  <si>
    <t>0905</t>
  </si>
  <si>
    <t>1005</t>
  </si>
  <si>
    <t>1205</t>
  </si>
  <si>
    <t>1405</t>
  </si>
  <si>
    <t>1605</t>
  </si>
  <si>
    <t>0206</t>
  </si>
  <si>
    <t>0406</t>
  </si>
  <si>
    <t>0506</t>
  </si>
  <si>
    <t>0606</t>
  </si>
  <si>
    <t>0806</t>
  </si>
  <si>
    <t>0906</t>
  </si>
  <si>
    <t>1006</t>
  </si>
  <si>
    <t>1206</t>
  </si>
  <si>
    <t>1406</t>
  </si>
  <si>
    <t>1606</t>
  </si>
  <si>
    <t>0207</t>
  </si>
  <si>
    <t>0407</t>
  </si>
  <si>
    <t>0507</t>
  </si>
  <si>
    <t>0607</t>
  </si>
  <si>
    <t>0807</t>
  </si>
  <si>
    <t>1007</t>
  </si>
  <si>
    <t>1207</t>
  </si>
  <si>
    <t>1407</t>
  </si>
  <si>
    <t>1607</t>
  </si>
  <si>
    <t>0208</t>
  </si>
  <si>
    <t>0408</t>
  </si>
  <si>
    <t>0508</t>
  </si>
  <si>
    <t>0608</t>
  </si>
  <si>
    <t>0808</t>
  </si>
  <si>
    <t>1008</t>
  </si>
  <si>
    <t>1208</t>
  </si>
  <si>
    <t>1408</t>
  </si>
  <si>
    <t>1608</t>
  </si>
  <si>
    <t>0209</t>
  </si>
  <si>
    <t>0409</t>
  </si>
  <si>
    <t>0609</t>
  </si>
  <si>
    <t>0809</t>
  </si>
  <si>
    <t>1009</t>
  </si>
  <si>
    <t>1209</t>
  </si>
  <si>
    <t>1409</t>
  </si>
  <si>
    <t>1609</t>
  </si>
  <si>
    <t>0210</t>
  </si>
  <si>
    <t>0410</t>
  </si>
  <si>
    <t>0610</t>
  </si>
  <si>
    <t>0810</t>
  </si>
  <si>
    <t>1010</t>
  </si>
  <si>
    <t>1210</t>
  </si>
  <si>
    <t>1410</t>
  </si>
  <si>
    <t>1610</t>
  </si>
  <si>
    <t>0211</t>
  </si>
  <si>
    <t>0411</t>
  </si>
  <si>
    <t>0511</t>
  </si>
  <si>
    <t>0611</t>
  </si>
  <si>
    <t>0811</t>
  </si>
  <si>
    <t>1011</t>
  </si>
  <si>
    <t>1211</t>
  </si>
  <si>
    <t>1411</t>
  </si>
  <si>
    <t>1611</t>
  </si>
  <si>
    <t>0412</t>
  </si>
  <si>
    <t>0512</t>
  </si>
  <si>
    <t>0612</t>
  </si>
  <si>
    <t>0812</t>
  </si>
  <si>
    <t>1012</t>
  </si>
  <si>
    <t>1212</t>
  </si>
  <si>
    <t>1412</t>
  </si>
  <si>
    <t>1612</t>
  </si>
  <si>
    <t>0413</t>
  </si>
  <si>
    <t>0613</t>
  </si>
  <si>
    <t>0813</t>
  </si>
  <si>
    <t>1013</t>
  </si>
  <si>
    <t>1213</t>
  </si>
  <si>
    <t>1413</t>
  </si>
  <si>
    <t>1613</t>
  </si>
  <si>
    <t>0214</t>
  </si>
  <si>
    <t>0414</t>
  </si>
  <si>
    <t>0514</t>
  </si>
  <si>
    <t>0614</t>
  </si>
  <si>
    <t>0814</t>
  </si>
  <si>
    <t>1014</t>
  </si>
  <si>
    <t>1214</t>
  </si>
  <si>
    <t>1414</t>
  </si>
  <si>
    <t>1614</t>
  </si>
  <si>
    <t>0515</t>
  </si>
  <si>
    <t>0615</t>
  </si>
  <si>
    <t>0815</t>
  </si>
  <si>
    <t>1215</t>
  </si>
  <si>
    <t>1415</t>
  </si>
  <si>
    <t>0616</t>
  </si>
  <si>
    <t>0816</t>
  </si>
  <si>
    <t>1216</t>
  </si>
  <si>
    <t>1416</t>
  </si>
  <si>
    <t>0517</t>
  </si>
  <si>
    <t>0617</t>
  </si>
  <si>
    <t>0817</t>
  </si>
  <si>
    <t>1217</t>
  </si>
  <si>
    <t>0618</t>
  </si>
  <si>
    <t>0818</t>
  </si>
  <si>
    <t>1418</t>
  </si>
  <si>
    <t>0519</t>
  </si>
  <si>
    <t>0619</t>
  </si>
  <si>
    <t>0819</t>
  </si>
  <si>
    <t>1219</t>
  </si>
  <si>
    <t>1419</t>
  </si>
  <si>
    <t>0620</t>
  </si>
  <si>
    <t>0820</t>
  </si>
  <si>
    <t>1420</t>
  </si>
  <si>
    <t>0521</t>
  </si>
  <si>
    <t>0621</t>
  </si>
  <si>
    <t>0821</t>
  </si>
  <si>
    <t>1421</t>
  </si>
  <si>
    <t>0522</t>
  </si>
  <si>
    <t>0622</t>
  </si>
  <si>
    <t>0822</t>
  </si>
  <si>
    <t>1422</t>
  </si>
  <si>
    <t>0523</t>
  </si>
  <si>
    <t>0623</t>
  </si>
  <si>
    <t>0823</t>
  </si>
  <si>
    <t>1423</t>
  </si>
  <si>
    <t>0524</t>
  </si>
  <si>
    <t>0624</t>
  </si>
  <si>
    <t>0824</t>
  </si>
  <si>
    <t>1424</t>
  </si>
  <si>
    <t>0525</t>
  </si>
  <si>
    <t>0625</t>
  </si>
  <si>
    <t>0825</t>
  </si>
  <si>
    <t>0526</t>
  </si>
  <si>
    <t>0626</t>
  </si>
  <si>
    <t>0826</t>
  </si>
  <si>
    <t>1426</t>
  </si>
  <si>
    <t>0527</t>
  </si>
  <si>
    <t>0627</t>
  </si>
  <si>
    <t>0528</t>
  </si>
  <si>
    <t>0628</t>
  </si>
  <si>
    <t>0828</t>
  </si>
  <si>
    <t>1428</t>
  </si>
  <si>
    <t>0529</t>
  </si>
  <si>
    <t>0629</t>
  </si>
  <si>
    <t>0829</t>
  </si>
  <si>
    <t>1429</t>
  </si>
  <si>
    <t>0530</t>
  </si>
  <si>
    <t>0630</t>
  </si>
  <si>
    <t>0830</t>
  </si>
  <si>
    <t>1430</t>
  </si>
  <si>
    <t>0531</t>
  </si>
  <si>
    <t>0631</t>
  </si>
  <si>
    <t>1431</t>
  </si>
  <si>
    <t>0532</t>
  </si>
  <si>
    <t>0632</t>
  </si>
  <si>
    <t>0832</t>
  </si>
  <si>
    <t>1432</t>
  </si>
  <si>
    <t>0533</t>
  </si>
  <si>
    <t>0633</t>
  </si>
  <si>
    <t>0833</t>
  </si>
  <si>
    <t>1433</t>
  </si>
  <si>
    <t>0534</t>
  </si>
  <si>
    <t>0634</t>
  </si>
  <si>
    <t>0834</t>
  </si>
  <si>
    <t>1434</t>
  </si>
  <si>
    <t>0535</t>
  </si>
  <si>
    <t>0635</t>
  </si>
  <si>
    <t>0835</t>
  </si>
  <si>
    <t>1435</t>
  </si>
  <si>
    <t>0536</t>
  </si>
  <si>
    <t>0636</t>
  </si>
  <si>
    <t>0836</t>
  </si>
  <si>
    <t>1436</t>
  </si>
  <si>
    <t>0537</t>
  </si>
  <si>
    <t>0637</t>
  </si>
  <si>
    <t>1437</t>
  </si>
  <si>
    <t>0538</t>
  </si>
  <si>
    <t>0638</t>
  </si>
  <si>
    <t>0838</t>
  </si>
  <si>
    <t>1438</t>
  </si>
  <si>
    <t>0539</t>
  </si>
  <si>
    <t>0639</t>
  </si>
  <si>
    <t>0839</t>
  </si>
  <si>
    <t>1439</t>
  </si>
  <si>
    <t>0540</t>
  </si>
  <si>
    <t>0640</t>
  </si>
  <si>
    <t>0840</t>
  </si>
  <si>
    <t>1440</t>
  </si>
  <si>
    <t>0541</t>
  </si>
  <si>
    <t>0641</t>
  </si>
  <si>
    <t>0841</t>
  </si>
  <si>
    <t>1441</t>
  </si>
  <si>
    <t>0542</t>
  </si>
  <si>
    <t>0642</t>
  </si>
  <si>
    <t>0842</t>
  </si>
  <si>
    <t>1442</t>
  </si>
  <si>
    <t>0643</t>
  </si>
  <si>
    <t>0843</t>
  </si>
  <si>
    <t>1443</t>
  </si>
  <si>
    <t>0544</t>
  </si>
  <si>
    <t>0644</t>
  </si>
  <si>
    <t>0844</t>
  </si>
  <si>
    <t>0545</t>
  </si>
  <si>
    <t>0645</t>
  </si>
  <si>
    <t>0646</t>
  </si>
  <si>
    <t>0846</t>
  </si>
  <si>
    <t>0647</t>
  </si>
  <si>
    <t>0847</t>
  </si>
  <si>
    <t>0548</t>
  </si>
  <si>
    <t>0648</t>
  </si>
  <si>
    <t>0848</t>
  </si>
  <si>
    <t>0549</t>
  </si>
  <si>
    <t>0649</t>
  </si>
  <si>
    <t>0650</t>
  </si>
  <si>
    <t>0651</t>
  </si>
  <si>
    <t>0653</t>
  </si>
  <si>
    <t>0654</t>
  </si>
  <si>
    <t>0655</t>
  </si>
  <si>
    <t>0656</t>
  </si>
  <si>
    <t>Расширенный план централизованных (консолидированных) закупок</t>
  </si>
  <si>
    <t>Дата открытия доступа к заявкам/вскрытия конвертов</t>
  </si>
  <si>
    <t>1615</t>
  </si>
  <si>
    <t>1616</t>
  </si>
  <si>
    <t>1617</t>
  </si>
  <si>
    <t>1618</t>
  </si>
  <si>
    <t>Прочие организации Корпорации</t>
  </si>
  <si>
    <t>Расширенный план закупки товаров (работ, услуг)</t>
  </si>
  <si>
    <t>Код по ОКДП2</t>
  </si>
  <si>
    <t>Код по ОКВЭД2</t>
  </si>
  <si>
    <t>Код по ОКПД2</t>
  </si>
  <si>
    <t>АО "Вертолеты России"</t>
  </si>
  <si>
    <t>АО "Станкопром"</t>
  </si>
  <si>
    <t>ООО "РТ-Страхование"</t>
  </si>
  <si>
    <t>АО "НПО "Высокоточные комплексы"</t>
  </si>
  <si>
    <t>В случае отсутствия организации в представленном списке, код Заказчика такой организации присваивается функцией закупочной деятельности ГК "Ростех" в индивидуальном порядке, по запросу.</t>
  </si>
  <si>
    <t>ООО "РТ-Развитие бизнеса"</t>
  </si>
  <si>
    <t>АО "Концерн "Автоматика"</t>
  </si>
  <si>
    <t>АО "Объединенная двигателестроительная корпорация"</t>
  </si>
  <si>
    <t>АО "Концерн Радиоэлектронные технологии"</t>
  </si>
  <si>
    <t>АО "НПК "Технологии машиностроения"</t>
  </si>
  <si>
    <t>АО "Объединенная приборостроительная компания"</t>
  </si>
  <si>
    <t>АО "Российская электроника"</t>
  </si>
  <si>
    <t>АО "РТ-Авто"</t>
  </si>
  <si>
    <t>АО "Национальная иммунобиологическая компания"</t>
  </si>
  <si>
    <t>АО "РТ-Химические технологии и композиционные материалы"</t>
  </si>
  <si>
    <t>АО "Швабе"</t>
  </si>
  <si>
    <t>6.6.2(39)</t>
  </si>
  <si>
    <t>6.6.2(40)</t>
  </si>
  <si>
    <t>6.6.2(41)</t>
  </si>
  <si>
    <t>6.6.2(42)</t>
  </si>
  <si>
    <t>6.6.2(43)</t>
  </si>
  <si>
    <t>6.6.2(44)</t>
  </si>
  <si>
    <t>6.6.2(45)</t>
  </si>
  <si>
    <t>6.6.2(46)</t>
  </si>
  <si>
    <t>6.6.2(47)</t>
  </si>
  <si>
    <t>6.6.2(48)</t>
  </si>
  <si>
    <t>6.6.2(49)</t>
  </si>
  <si>
    <t>6.6.2(50)</t>
  </si>
  <si>
    <t>1619</t>
  </si>
  <si>
    <t>0550</t>
  </si>
  <si>
    <t>0551</t>
  </si>
  <si>
    <t>0552</t>
  </si>
  <si>
    <t>0553</t>
  </si>
  <si>
    <t>0554</t>
  </si>
  <si>
    <t>0556</t>
  </si>
  <si>
    <t>0558</t>
  </si>
  <si>
    <t>0559</t>
  </si>
  <si>
    <t>0566</t>
  </si>
  <si>
    <t>0567</t>
  </si>
  <si>
    <t>0568</t>
  </si>
  <si>
    <t>0570</t>
  </si>
  <si>
    <t>0571</t>
  </si>
  <si>
    <t>0572</t>
  </si>
  <si>
    <t>0576</t>
  </si>
  <si>
    <t>0578</t>
  </si>
  <si>
    <t>0580</t>
  </si>
  <si>
    <t>0581</t>
  </si>
  <si>
    <t>0582</t>
  </si>
  <si>
    <t>0583</t>
  </si>
  <si>
    <t>0584</t>
  </si>
  <si>
    <t>0585</t>
  </si>
  <si>
    <t>0587</t>
  </si>
  <si>
    <t>0588</t>
  </si>
  <si>
    <t>0589</t>
  </si>
  <si>
    <t>0592</t>
  </si>
  <si>
    <t>0304</t>
  </si>
  <si>
    <t>0305</t>
  </si>
  <si>
    <t>0306</t>
  </si>
  <si>
    <t>0307</t>
  </si>
  <si>
    <t>1802</t>
  </si>
  <si>
    <t>1803</t>
  </si>
  <si>
    <t>1703</t>
  </si>
  <si>
    <t>1704</t>
  </si>
  <si>
    <t>1708</t>
  </si>
  <si>
    <t>1713</t>
  </si>
  <si>
    <t>1718</t>
  </si>
  <si>
    <t>Государственная корпорация "Ростех"</t>
  </si>
  <si>
    <t>акционерное общество Башкирское Производственное Объединение "Прогресс"</t>
  </si>
  <si>
    <t>акционерное общество "Внешнеэкономическое объединение "Станкоимпорт"</t>
  </si>
  <si>
    <t>акционерное общество "Научно-исследовательский институт "Гириконд"</t>
  </si>
  <si>
    <t>акционерное общество "Федеральный испытательный исследовательский центр машиностроения"</t>
  </si>
  <si>
    <t>акционерное общество "Научно-исследовательский машиностроительный институт"</t>
  </si>
  <si>
    <t xml:space="preserve">акционерное общество "РТ-Биотехпром" </t>
  </si>
  <si>
    <t>акционерное общество "Государственный оптический институт имени С.И. Вавилова"</t>
  </si>
  <si>
    <t>акционерное общество "Уфимское агрегатное предприятие "Гидравлика"</t>
  </si>
  <si>
    <t>акционерное общество "Научно-производственное объединение "Квант"</t>
  </si>
  <si>
    <t>акционерное общество "РТ-Охрана"</t>
  </si>
  <si>
    <t>общество с ограниченной ответственностью "Национальный Центр Информатизации"</t>
  </si>
  <si>
    <t>акционерное общество "Калугаприбор"</t>
  </si>
  <si>
    <t>общество с ограниченной ответственностью "Внешнеэкономическое объединение "Станкоимпорт"</t>
  </si>
  <si>
    <t>акционерное общество "Научно-исследовательский институт газоразрядных приборов "Плазма"</t>
  </si>
  <si>
    <t>акционерное общество "Научно-исследовательский конструкторско-технологический институт двигателей"</t>
  </si>
  <si>
    <t>акционерное общество "Ремонтно-механический завод "Енисей"</t>
  </si>
  <si>
    <t>акционерное общество "Научно-исследовательский институт резиновых полимерных изделий"</t>
  </si>
  <si>
    <t>открытое акционерное общество "Загорский оптико-механический завод"</t>
  </si>
  <si>
    <t>акционерное общество "Уральский научно-исследовательский химический институт с опытным заводом"</t>
  </si>
  <si>
    <t>акционерное общество "Уфимское агрегатное производственное объединение"</t>
  </si>
  <si>
    <t>акционерное общество "Брянский электромеханический завод"</t>
  </si>
  <si>
    <t>общество с ограниченной ответственностью "РТ-Глобальные ресурсы"</t>
  </si>
  <si>
    <t>акционерное общество "Калужский электромеханический завод"</t>
  </si>
  <si>
    <t>акционерное общество "ВНИИавтогенмаш"</t>
  </si>
  <si>
    <t>акционерное общество "Конструкторское бюро по ремонтным мастерским и автофургонам"</t>
  </si>
  <si>
    <t>акционерное общество "Государственный научно-исследовательский институт биосинтеза белковых веществ"</t>
  </si>
  <si>
    <t>акционерное общество "Национальный центр лазерных систем и комплексов "Астрофизика"</t>
  </si>
  <si>
    <t>акционерное общество "Восточный научно-исследовательский углехимический институт"</t>
  </si>
  <si>
    <t>акционерное общество "Уфимское научно- производственное предприятие "Молния"</t>
  </si>
  <si>
    <t>ООО "Управляющая компания "Верейская 29"</t>
  </si>
  <si>
    <t>акционерное общество "Всероссийский научно-исследовательский институт "Градиент"</t>
  </si>
  <si>
    <t>общество с ограниченной ответственностью "Авиакапитал-Сервис"</t>
  </si>
  <si>
    <t>акционерное общество "Пензенский Научно-исследовательский институт"</t>
  </si>
  <si>
    <t>акционерное общество "Научно-исследовательский институт природных, синтетических алмазов и инструмента"</t>
  </si>
  <si>
    <t>акционерное общество "Рязанский завод металлокерамических приборов"</t>
  </si>
  <si>
    <t>акционерное общество "Центральный институт по проектированию машиностроительных предприятий "Центромашпроект"</t>
  </si>
  <si>
    <t>открытое акционерное общество "Московское производственное объединение "Металлист"</t>
  </si>
  <si>
    <t>акционерное общество "Научно-исследовательский институт "Полюс" им. М.Ф. Стельмаха"</t>
  </si>
  <si>
    <t>акционерное общество "Обнинское научно-производственное предприятие "Технология" им. А.Г.Ромашина"</t>
  </si>
  <si>
    <t>открытое акционерное общество "Иркутский научно-исследовательский институт авиационной технологии и организации производства"</t>
  </si>
  <si>
    <t>акционерное общество "Конструкторское бюро по радиоконтролю, навигации и связи"</t>
  </si>
  <si>
    <t>акционерное общество Пензенское производственное объединение "Электроприбор"</t>
  </si>
  <si>
    <t>открытое акционерное общество "Научно-исследовательский проектно-технологический институт "МИКРОН"</t>
  </si>
  <si>
    <t>акционерное общество "Российский научно-исследовательский институт "Электронстандарт"</t>
  </si>
  <si>
    <t>акционерное общество "Центральное конструкторско-технологическое бюро полимерных материалов с опытным производством"</t>
  </si>
  <si>
    <t>акционерное общество "Кожа"</t>
  </si>
  <si>
    <t>акционерное общество "Научно-исследовательский и технологический институт оптического материаловедения Всероссийского научного центра "Государственный оптический институт им. С.И. Вавилова"</t>
  </si>
  <si>
    <t>общество с ограниченной ответственностью "Хим-Трейд"</t>
  </si>
  <si>
    <t>акционерное общество "Научно-производственное предприятие "Респиратор"</t>
  </si>
  <si>
    <t>акционерное общество "Калужский завод радиотехнической аппаратуры"</t>
  </si>
  <si>
    <t>акционерное общество "Уфимский завод микроэлектроники Магнетрон"</t>
  </si>
  <si>
    <t>акционерное общество "Омский опытно-промышленный завод "Нефтехимавтоматика"</t>
  </si>
  <si>
    <t>акционерное общество "Научно-исследовательский институт "Феррит-Домен"</t>
  </si>
  <si>
    <t>акционерное общество "Новосибирский механический завод "Искра"</t>
  </si>
  <si>
    <t>открытое акционерное общество "Колюбакинский игольный завод"</t>
  </si>
  <si>
    <t>акционерное общество "Научно-производственное объединение "Государственный институт прикладной оптики"</t>
  </si>
  <si>
    <t>акционерное общество "Государственный ордена Трудового Красного Знамени научно-исследовательский институт химии и технологии элементоорганических соединений"</t>
  </si>
  <si>
    <t>акционерное общество "Уфимский проектно-конструкторский институт авиационной промышленности "Уфаавиапроект"</t>
  </si>
  <si>
    <t>акционерное общество "Калужский научно-исследовательский радиотехнический институт"</t>
  </si>
  <si>
    <t>Общество с ограниченной ответственностью "РТ-ТехСервис"</t>
  </si>
  <si>
    <t>акционерное общество "Научно-производственное предприятие "Сигнал"</t>
  </si>
  <si>
    <t>открытое акционерное общество "РТ-Станкоинструмент"</t>
  </si>
  <si>
    <t>акционерное общество "Центральный научно-исследовательский институт измерительной аппаратуры"</t>
  </si>
  <si>
    <t>акционерное общество "Ордена Трудового Красного Знамени специальный научно-исследовательский и проектный институт "СоюзпромНИИпроект"</t>
  </si>
  <si>
    <t>акционерное общество "Научно-производственное объединение "Оптика"</t>
  </si>
  <si>
    <t>акционерное общество "Научно-исследовательский институт синтетического волокна с экспериментальным заводом"</t>
  </si>
  <si>
    <t>акционерное общество "Публичное акционерное общество "Электропривод"</t>
  </si>
  <si>
    <t>акционерное общество "Научно-исследовательский институт "Экран"</t>
  </si>
  <si>
    <t>Общество с ограниченной ответственностью "РТ-Энергоэффективность"</t>
  </si>
  <si>
    <t>общество с ограниченной ответственностью "Савеловский машиностроительный завод"</t>
  </si>
  <si>
    <t>закрытое акционерное общество "Торговый дом "РОСЭЛ"</t>
  </si>
  <si>
    <t>открытое акционерное общество "Центральное научно-конструкторское бюро"</t>
  </si>
  <si>
    <t>акционерное общество "Производственное объединение "Уральский оптико-механический завод" имени Э.С. Яламова"</t>
  </si>
  <si>
    <t>акционерное общество "Всероссийский научно-исследовательский институт токов высокой частоты имени В.П.Вологдина"</t>
  </si>
  <si>
    <t>акционерное общество "Ульяновский государственный проектно-конструкторский институт авиационной промышленности"</t>
  </si>
  <si>
    <t>акционерное общество "Научно-исследовательский институт специальных информационно-измерительных систем"</t>
  </si>
  <si>
    <t>открытое акционерное общество "ВНИИИНСТРУМЕНТ"</t>
  </si>
  <si>
    <t>открытое акционерное общество "Федеральный научно-технический центр "Информхиммаш"</t>
  </si>
  <si>
    <t>акционерное общество "Швабе – Исследования"</t>
  </si>
  <si>
    <t>открытое акционерное общество "ВНЕШНЕЭКОНОМИЧЕСКОЕ ОБЪЕДИНЕНИЕ "СОЮЗХИМЭКСПОРТ"</t>
  </si>
  <si>
    <t>открытое акционерное общество "Московский завод электромеханизмов"</t>
  </si>
  <si>
    <t>открытое акционерное общество "Микротехника"</t>
  </si>
  <si>
    <t>общество с ограниченной ответственностью "Завод индустриальных покрытий"</t>
  </si>
  <si>
    <t>открытое акционерное общество "Расчет"</t>
  </si>
  <si>
    <t>акционерное общество "Швабе – Оборона и Защита"</t>
  </si>
  <si>
    <t>открытое акционерное общество "Научно-исследовательский институт текстильных материалов"</t>
  </si>
  <si>
    <t>публичное акционерное общество "Брянское специальное конструкторское бюро"</t>
  </si>
  <si>
    <t>Общество с ограниченной ответственностью "Внешнеэкономическое объединение "Технопромэкспорт"</t>
  </si>
  <si>
    <t>открытое акционерное общество "Всероссийский научно-исследовательский проектно-конструкторский и технологический институт электромашиностроения"</t>
  </si>
  <si>
    <t>открытое акционерное общество "Центральный научно-исследовательский институт  "Циклон"</t>
  </si>
  <si>
    <t>открытое акционерное общество "Бийское производственное объединение "Сибприбормаш"</t>
  </si>
  <si>
    <t>акционерное общество "Швабе – Приборы"</t>
  </si>
  <si>
    <t>акционерное общество "Ленинградский Северный завод"</t>
  </si>
  <si>
    <t xml:space="preserve"> акционерное общество "Телевизионный завод "Садко"</t>
  </si>
  <si>
    <t>акционерное общество "РЭМОС-Пермские моторы"</t>
  </si>
  <si>
    <t>открытое акционерное общество "Научно-исследовательский институт электронных приборов"</t>
  </si>
  <si>
    <t>акционерное общество "Техмашсервис"</t>
  </si>
  <si>
    <t>акционерное общество "Швабе – Технологическая лаборатория"</t>
  </si>
  <si>
    <t>акционерное общество "Научно-исследовательский институт парашютостроения"</t>
  </si>
  <si>
    <t>акционерное общество "Научно-производственное объединение "Радиоэлектроника" им.В.И.Шимко"</t>
  </si>
  <si>
    <t>акционерное общество "Ульяновский научно-исследовательский институт авиационной технологии и организации производства"</t>
  </si>
  <si>
    <t>открытое акционерное общество "Научно-производственное предприятие "Темп"</t>
  </si>
  <si>
    <t>акционерное общество "Швабе – Фотоприбор"</t>
  </si>
  <si>
    <t>акционерное общество "Авиационно-сервисный центр  "Авиационное оборудование"</t>
  </si>
  <si>
    <t>акционерное общество "Казанское приборостроительное конструкторское бюро"</t>
  </si>
  <si>
    <t>Акционерное общество "Янтарный Ювелирпром"</t>
  </si>
  <si>
    <t>акционерное общество "Инструментальный завод-Пермские моторы"</t>
  </si>
  <si>
    <t>акционерное общество "Нижегородский институт технологии и организации производства"</t>
  </si>
  <si>
    <t>открытое акционерное общество "Испытательно-контрактное предприятие "РИТМ"</t>
  </si>
  <si>
    <t>открытое акционерное общество "Швабе – Фотосистемы"</t>
  </si>
  <si>
    <t>акционерное общество "Котласский электромеханический завод"</t>
  </si>
  <si>
    <t>акционерное общество "Научно-исследовательский институт развития соединителей и изделий специальной электроники"</t>
  </si>
  <si>
    <t>акционерное общество "Оптрон"</t>
  </si>
  <si>
    <t>акционерное общество "Чебоксарское производственное объединение имени В.И.Чапаева"</t>
  </si>
  <si>
    <t>акционерное общество "Авиаагрегат"</t>
  </si>
  <si>
    <t>открытое акционерное общество "Научно – производственный центр "САПСАН"</t>
  </si>
  <si>
    <t>открытое акционерное общество "Кемеровский механический завод"</t>
  </si>
  <si>
    <t>открытое акционерное общество "Машиностроительный завод "Маяк"</t>
  </si>
  <si>
    <t>акционерное общество "Автоматика"</t>
  </si>
  <si>
    <t>закрытое акционерное общество "Новые технологии света"</t>
  </si>
  <si>
    <t>акционерное общество "Ленинградский механический завод имени Карла Либкнехта"</t>
  </si>
  <si>
    <t>акционерное общество "Научно-производственное предприятие "Старт" им. А.И. Яскина"</t>
  </si>
  <si>
    <t>акционерное общество "Научно-исследовательский инженерный институт"</t>
  </si>
  <si>
    <t>открытое акционерное общество "Казанский научно-исследовательский технологический институт вычислительной техники"</t>
  </si>
  <si>
    <t>акционерное общество "Германий"</t>
  </si>
  <si>
    <t>акционерное общество "Государственный научно-исследовательский институт "Кристалл"</t>
  </si>
  <si>
    <t>открытое акционерное общество "Московский конструкторско-производственный комплекс "Универсал"</t>
  </si>
  <si>
    <t>акционерное общество "Радиоприборснаб"</t>
  </si>
  <si>
    <t>акционерное общество "Красноармейский научно-исследовательский институт механизации"</t>
  </si>
  <si>
    <t>открытое акционерное общество "Научно-технический центр системы и средства государственного опознавания"</t>
  </si>
  <si>
    <t>акционерное общество "Научно-исследовательский институт полупроводниковых приборов"</t>
  </si>
  <si>
    <t xml:space="preserve">акционерное общество "Завод "Пластмасс" </t>
  </si>
  <si>
    <t>акционерное общество "Нижегородское научно-производственное объединение имени М.В. Фрунзе"</t>
  </si>
  <si>
    <t>Общество с ограниченной ответственностью "РТЛ-Таможенный оператор"</t>
  </si>
  <si>
    <t>акционерное общество  "Завод полупроводниковых приборов"</t>
  </si>
  <si>
    <t>акционерное общество "Химический завод "Планта"</t>
  </si>
  <si>
    <t>открытое акционерное общество "Федеральный научно-производственный центр "Нижегородский научно-исследовательский приборостроительный институт "Кварц" имени А.П. Горшкова"</t>
  </si>
  <si>
    <t>Акционерное общество "Электронный паспорт"</t>
  </si>
  <si>
    <t>акционерное общество "Научно-производственное объединение "Пульсар"</t>
  </si>
  <si>
    <t>акционерное общество "Научно-производственное объединение "Прибор"</t>
  </si>
  <si>
    <t>акционерное общество "Специальное конструкторское бюро радиоизмерительной аппаратуры"</t>
  </si>
  <si>
    <t>акционерное общество  "Научно-производственное предприятие "Циклон-Тест"</t>
  </si>
  <si>
    <t>акционерное общество "Научно-производственное предприятие "Краснознаменец"</t>
  </si>
  <si>
    <t xml:space="preserve"> акционерное общество "Курский Завод "Маяк"</t>
  </si>
  <si>
    <t>акционерное общество  "Научно-производственное предприятие "Восток"</t>
  </si>
  <si>
    <t>акционерное общество "Научно-исследовательский институт полимерных материалов"</t>
  </si>
  <si>
    <t>акционерное общество "Государственный завод "Пульсар"</t>
  </si>
  <si>
    <t>акционерное общество "Научно-исследовательский институт электронных приборов"</t>
  </si>
  <si>
    <t>акционерное общество "Конструкторское бюро завода "Россия"</t>
  </si>
  <si>
    <t>акционерное общество "Новосибирский завод радиодеталей "Оксид"</t>
  </si>
  <si>
    <t>акционерное общество "Научно-производственное объединение "СПЛАВ"</t>
  </si>
  <si>
    <t>акционерное общество  "Научно-исследовательский институт "Платан" с заводом при НИИ"</t>
  </si>
  <si>
    <t>открытое акционерное общество "Федеральный научно-производственный центр "Научно- исследовательский институт прикладной химии"</t>
  </si>
  <si>
    <t xml:space="preserve">акционерное общество "Научно-производственная компания "РИТМ" </t>
  </si>
  <si>
    <t>акционерное общество "Научно-производственное предприятие "Контакт"</t>
  </si>
  <si>
    <t>акционерное общество "Муромский приборостроительный завод"</t>
  </si>
  <si>
    <t>открытое акционерное общество "Концерн "Авиаприборостроение" </t>
  </si>
  <si>
    <t>открытое акционерное общество "Научно-производственное предприятие "Салют"</t>
  </si>
  <si>
    <t>акционерное общество "Научно-исследовательский технологический институт имени П.И.Снегирева"</t>
  </si>
  <si>
    <t>акционерное общество "Научно-исследовательский институт авиационного оборудования"</t>
  </si>
  <si>
    <t>акционерное общество  "Омега"</t>
  </si>
  <si>
    <t>акционерное общество "Новосибирский завод искусственного волокна"</t>
  </si>
  <si>
    <t>акционерное общество "Инженерное сопровождение испытаний "Взлет"</t>
  </si>
  <si>
    <t>Открытое акционерное общество "Государственный научно-исследовательский проектный и конструкторский институт горного дела и металлургии цветных металлов"</t>
  </si>
  <si>
    <t>акционерное общество  "Специальное конструкторско-технологическое бюро по релейной технике"</t>
  </si>
  <si>
    <t>акционерное общество "Производственное объединение "Завод имени Серго"</t>
  </si>
  <si>
    <t>акционерное общество "Государственный Рязанский приборный завод" </t>
  </si>
  <si>
    <t>Общество  с ограниченной ответственностью  "Автоград-Водоканал"</t>
  </si>
  <si>
    <t>акционерное общество  "Внешнеэкономическое объединение "Радиоэкспорт"</t>
  </si>
  <si>
    <t>открытое акционерное общество "Научно-производственное предприятие "Дельта"</t>
  </si>
  <si>
    <t>акционерное общество "Опытно-конструкторское бюро "Электроавтоматика" имени П.А. Ефимова</t>
  </si>
  <si>
    <t>акционерное общество "Научно-исследовательский институт программных средств"</t>
  </si>
  <si>
    <t>открытое акционерное общество "Верхнетуринский машиностроительный завод"</t>
  </si>
  <si>
    <t>акционерное общество "Уфимское приборостроительное производственное объединение"</t>
  </si>
  <si>
    <t>акционерное общество "Информакустика"</t>
  </si>
  <si>
    <t>акционерное общество "Серовский механический завод"</t>
  </si>
  <si>
    <t>акционерное общество "Жигулевский радиозавод"</t>
  </si>
  <si>
    <t>акционерное общество "Специальное проектно-конструкторское бюро средств управления"</t>
  </si>
  <si>
    <t>открытое акционерное общество "Завод имени М.И. Калинина"</t>
  </si>
  <si>
    <t>акционерное общество "Концерн "Авионика"</t>
  </si>
  <si>
    <t>Общество с ограниченной ответственностью "РТ-Капитал"</t>
  </si>
  <si>
    <t>акционерное общество "Новосибирский завод полупроводниковых приборов с ОКБ"</t>
  </si>
  <si>
    <t>акционерное общество "Брянский химический завод имени 50-летия СССР"</t>
  </si>
  <si>
    <t>акционерное общество "Корпорация "Аэрокосмическое оборудование"</t>
  </si>
  <si>
    <t>акционерное общество "Научно-исследовательский институт микроэлектронной аппаратуры "Прогресс"</t>
  </si>
  <si>
    <t>открытое акционерное общество "Машиностроительный завод "Штамп" имени Б.Л. Ванникова"</t>
  </si>
  <si>
    <t>акционерное общество "Научно-производственное предприятие "ЭлТом"</t>
  </si>
  <si>
    <t>акционерное общество "Научно-исследовательский институт средств вычислительной техники"</t>
  </si>
  <si>
    <t>открытое акционерное общество "Нижнеломовский электромеханический завод"</t>
  </si>
  <si>
    <t>открытое акционерное общество "Конструкторское бюро автоматических систем"</t>
  </si>
  <si>
    <t>акционерное общество "Центральное конструкторское бюро специальных радиоматериалов"</t>
  </si>
  <si>
    <t>открытое акционерное общество "Сигнал"</t>
  </si>
  <si>
    <t>акционерное общество "Владыкинский механический завод" </t>
  </si>
  <si>
    <t>акционерное общество "Калужский завод телеграфной аппаратуры"</t>
  </si>
  <si>
    <t>акционерное общество "Научно-производственное объединение  "Базальт"</t>
  </si>
  <si>
    <t>закрытое акционерное общество "Ф-Финанс"</t>
  </si>
  <si>
    <t>акционерное общество "Специальное конструкторское бюро вычислительной техники"</t>
  </si>
  <si>
    <t>открытое акционерное общество "Соликамский завод "Урал"</t>
  </si>
  <si>
    <t>закрытое акционерное общество "Ф-Капитал"</t>
  </si>
  <si>
    <t>акционерное общество "Ново-Вятка"</t>
  </si>
  <si>
    <t>акционерное общество "Ростовский завод "Прибор"</t>
  </si>
  <si>
    <t>акционерное общество Научно-исследовательский институт промышленного телевидения "Растр"</t>
  </si>
  <si>
    <t>открытое акционерное общество "Нововятский механический завод"</t>
  </si>
  <si>
    <t>Общество с ограниченной ответственностью "РТ-Экспо"</t>
  </si>
  <si>
    <t>открытое акционерное общество "Научно-исследовательский информационный вычислительный центр "Контакт"</t>
  </si>
  <si>
    <t xml:space="preserve"> Акционерное общество "Нижегородский научно-технический центр программных средств вычислительной техники"</t>
  </si>
  <si>
    <t>акционерное общество "Научно-производственное объединение "Поиск"</t>
  </si>
  <si>
    <t>акционерное общество "Алексинский опытный механический завод"</t>
  </si>
  <si>
    <t xml:space="preserve"> Акционерное общество "Центральная больница экспертизы летно-испытательного состава"</t>
  </si>
  <si>
    <t>акционерное общество "Спецмагнит"</t>
  </si>
  <si>
    <t>акционерное общество "Краснозаводский химический завод"</t>
  </si>
  <si>
    <t>акционерное общество "Научно-исследовательский и проектно-технологический институт электроугольных изделий"</t>
  </si>
  <si>
    <t>Открытое акционерное общество "Всероссийский научно-исследовательский институт по осушению месторождений полезных ископаемых, защите инженерных сооружений от обводнения, специальным горным работам, геомеханике, геофизике, гидротехнике, геологии и маркшейдерскому делу"</t>
  </si>
  <si>
    <t>акционерное общество "Завод "Марс"</t>
  </si>
  <si>
    <t xml:space="preserve"> Акционерное общество "Главный информационно-вычислительный центр металлургии "Центринформ"</t>
  </si>
  <si>
    <t>акционерное общество "Центральное конструкторское бюро "Дейтон"</t>
  </si>
  <si>
    <t>Открытое акционерное общество "Проектно-конструкторское бюро металлургической теплотехники и энерготехнологии цветной металлургии"</t>
  </si>
  <si>
    <t>акционерное общество "Омский приборостроительный ордена Трудового Красного Знамени завод им. Н.Г.Козицкого"</t>
  </si>
  <si>
    <t>акционерное общество "Внешнеторговое объединение "Электронинторг"</t>
  </si>
  <si>
    <t>открытое акционерное общество "Саратовэлектронпроект"</t>
  </si>
  <si>
    <t>открытое акционерное общество "Научно-исследовательский институт электронных материалов"</t>
  </si>
  <si>
    <t>открытое акционерное общество "Алагирский завод сопротивлений"</t>
  </si>
  <si>
    <t>открытое акционерное общество "Научно-исследовательский институт электронно-механических приборов"</t>
  </si>
  <si>
    <t>акционерное общество "Научно-производственное предприятие "Исток" имени А.И. Шокина"</t>
  </si>
  <si>
    <t>открытое акционерное общество "Научно-производственное предприятие "Пульсар"</t>
  </si>
  <si>
    <t>открытое акционерное общество "Научно-исследовательский институт вакуумной техники им. С.А.Векшинского"</t>
  </si>
  <si>
    <t>Общество с ограниченной ответственностью "РТ-Комплектимпекс"</t>
  </si>
  <si>
    <t>акционерное общество "Научно-производственное предприятие "Алмаз"</t>
  </si>
  <si>
    <t>Открытое акционерное общество "Волгоградхимреактив"</t>
  </si>
  <si>
    <t>открытое акционерное общество "Концерн "Орион"</t>
  </si>
  <si>
    <t>открытое акционерное общество "Октава"</t>
  </si>
  <si>
    <t>Акционерное общество "Научно-технический комплекс Ленэлектронмаш"</t>
  </si>
  <si>
    <t>Акционерное общество "РТ-Строительные технологии"</t>
  </si>
  <si>
    <t>акционерное общество "Научно-исследовательский институт телевидения"</t>
  </si>
  <si>
    <t>Общество с ограниченной ответственностью  "Страховой брокер "РТ-Страхование"</t>
  </si>
  <si>
    <t>Открытое акционерное общество "РТ-Проектные технологии"</t>
  </si>
  <si>
    <t>открытое акционерное общество "Научно-исследовательский и опытно-экспериментальный центр интеллектуальных технологий "Петрокомета"</t>
  </si>
  <si>
    <t>акционерное общество "Конструкторское бюро полупроводникового машиностроения"</t>
  </si>
  <si>
    <t xml:space="preserve">акционерное общество "Научно-производственное предприятие "Кант" </t>
  </si>
  <si>
    <t>акционерное общество "Научно-технический центр современных навигационных технологий "Интернавигация"</t>
  </si>
  <si>
    <t>Акционерное общество "РТ-Финанс"</t>
  </si>
  <si>
    <t>акционерное общество  "Омский научно-исследовательский институт приборостроения"</t>
  </si>
  <si>
    <t>акционерное общество  "Барнаульское специальное конструкторское бюро "Восток"</t>
  </si>
  <si>
    <t>акционерное общество "Радиозавод"</t>
  </si>
  <si>
    <t>открытое акционерное общество "Супертел ДАЛС"</t>
  </si>
  <si>
    <t>акционерное общество "Омское производственное объединение "Иртыш"</t>
  </si>
  <si>
    <t>открытое акционерное общество "Внешнеэкономическое объединение "Машприборинторг"</t>
  </si>
  <si>
    <t>акционерное общество "НПП "Торий"</t>
  </si>
  <si>
    <t>Общество с ограниченной ответственностью "РТ-Интеллектэкспорт"</t>
  </si>
  <si>
    <t>% от суммы Договоров</t>
  </si>
  <si>
    <t>Общее количество закупок с заключенными договорами</t>
  </si>
  <si>
    <t>Общее количество запланированных закупок</t>
  </si>
  <si>
    <t>Общее количество объявленных закупок</t>
  </si>
  <si>
    <t>Закупка размещена</t>
  </si>
  <si>
    <t>8.1</t>
  </si>
  <si>
    <t>8.2</t>
  </si>
  <si>
    <t>Закупка у ЕП</t>
  </si>
  <si>
    <t>% от суммы договоров</t>
  </si>
  <si>
    <t>Общество с ограниченной ответственностью «БК на Русаковской»</t>
  </si>
  <si>
    <t>Акционерное общество «Димитровградский автоагрегатный завод»</t>
  </si>
  <si>
    <t>ФГУП "НПО"Микроген"</t>
  </si>
  <si>
    <t>0907</t>
  </si>
  <si>
    <t>Акционерное общество «Скопинский автоагрегатный завод»</t>
  </si>
  <si>
    <t>Акционерное общество «Сердобский машиностроительный завод»</t>
  </si>
  <si>
    <t>Акционерное общество Сельскохозяйственное предприятие "ЛИДЕР"</t>
  </si>
  <si>
    <t>акционерное общество "Вологодский оптико-механический завод"</t>
  </si>
  <si>
    <t>1015</t>
  </si>
  <si>
    <t>общество с ограниченной ответственностью 
 "Швабе – Екатеринбург"</t>
  </si>
  <si>
    <t>1016</t>
  </si>
  <si>
    <t>общество с ограниченной ответственностью 
 "Швабе – Капитал"</t>
  </si>
  <si>
    <t>1017</t>
  </si>
  <si>
    <t>общество с ограниченной ответственностью 
 "Швабе – Инжиниринг"</t>
  </si>
  <si>
    <t>1018</t>
  </si>
  <si>
    <t>общество с ограниченной ответственностью 
 "Швабе – Медиа"</t>
  </si>
  <si>
    <t>1019</t>
  </si>
  <si>
    <t>1719</t>
  </si>
  <si>
    <t>общество с ограниченной ответственностью 
 "Швабе – Ростов"</t>
  </si>
  <si>
    <t>1020</t>
  </si>
  <si>
    <t>общество с ограниченной ответственностью 
 "Северная топливно-энергетическая компания"</t>
  </si>
  <si>
    <t>1021</t>
  </si>
  <si>
    <t>общество с ограниченной ответственностью 
 "Швабе – Москва"</t>
  </si>
  <si>
    <t>1022</t>
  </si>
  <si>
    <t>общество с ограниченной ответственностью 
 "Швабе – Нижний Новгород"</t>
  </si>
  <si>
    <t>1023</t>
  </si>
  <si>
    <t>общество с ограниченной ответственностью 
 "Швабе – Омск"</t>
  </si>
  <si>
    <t>1024</t>
  </si>
  <si>
    <t>акционерное общество "Калиновский химический завод"</t>
  </si>
  <si>
    <t>0849</t>
  </si>
  <si>
    <t>Общество  с ограниченной ответственностью "Инжиниринговая компания "Технопромэкспорт"</t>
  </si>
  <si>
    <t>Открытое акционерное  общество «Научно-исследовательский институт цветных металлов» «ГИНЦВЕТМЕТ»</t>
  </si>
  <si>
    <t>Открытое акционерное общество «Топливная компания ТВК»</t>
  </si>
  <si>
    <t>112</t>
  </si>
  <si>
    <t>Количество закупок с заключенным договором</t>
  </si>
  <si>
    <t>%  от общего количества закупок с заключенными договорами</t>
  </si>
  <si>
    <t>Цена договоров, руб.</t>
  </si>
  <si>
    <t>7.1</t>
  </si>
  <si>
    <t>Бумажная</t>
  </si>
  <si>
    <t>Всего:</t>
  </si>
  <si>
    <t>Количеcтво квалификационных отборов
для серий закупок</t>
  </si>
  <si>
    <t>Факт (объявлено)</t>
  </si>
  <si>
    <t>№ мес</t>
  </si>
  <si>
    <t>Поквартальное исполнение РПЗ, %</t>
  </si>
  <si>
    <t>ГОДОВОЕ ИСПОЛНЕНИЕ РПЗ, %</t>
  </si>
  <si>
    <t>АО "СИБЕР"</t>
  </si>
  <si>
    <t>общество с ограниченной ответственностью "Частная охранная организация "РТО-Гард"</t>
  </si>
  <si>
    <t>1720</t>
  </si>
  <si>
    <t>Общая сумма закупок с заключенными договорами, руб.</t>
  </si>
  <si>
    <t>* - для закупок, извещение о проведении которых размещено до 1 апреля 2016 года, способ закупки указывается в соответствии с перечнем способов, утвержденным Единым Положением о закупке ГК "Ростех"</t>
  </si>
  <si>
    <t>Способы закупок*</t>
  </si>
  <si>
    <t>Основания ЕП**</t>
  </si>
  <si>
    <t>Иное</t>
  </si>
  <si>
    <t>**  - "Иное" в качестве основания для закупки у ЕП применимо для закупок, извещение о проведении которых размещается до 1 апреля 2016 года; при этом во вкладке "Примечание" указывается основание в соответствии с действующей редакцией положения о закупке Заказчика</t>
  </si>
  <si>
    <t>Закупки в электронной и бумажной формах</t>
  </si>
  <si>
    <t>0593</t>
  </si>
  <si>
    <t>акционерное общество "ЦНИТИ "Техномаш"</t>
  </si>
  <si>
    <t>1.1.1</t>
  </si>
  <si>
    <t>1.1.2</t>
  </si>
  <si>
    <t>1.1.3</t>
  </si>
  <si>
    <t>Номер статьи</t>
  </si>
  <si>
    <t>Наименование статьи</t>
  </si>
  <si>
    <t>1.1.4.1</t>
  </si>
  <si>
    <t>1.1.4.2</t>
  </si>
  <si>
    <t>1.1.4.3</t>
  </si>
  <si>
    <t>1.1.4.4</t>
  </si>
  <si>
    <t>1.1.4.5</t>
  </si>
  <si>
    <t>1.1.4.6</t>
  </si>
  <si>
    <t>1.1.4.7</t>
  </si>
  <si>
    <t>1.1.5</t>
  </si>
  <si>
    <t>1.1.6</t>
  </si>
  <si>
    <t>1.1.7</t>
  </si>
  <si>
    <t>1.1.8</t>
  </si>
  <si>
    <t>1.3.1</t>
  </si>
  <si>
    <t>1.3.2</t>
  </si>
  <si>
    <t>1.3.3.1</t>
  </si>
  <si>
    <t>1.3.3.2</t>
  </si>
  <si>
    <t>1.3.3.3</t>
  </si>
  <si>
    <t>1.3.3.4</t>
  </si>
  <si>
    <t>1.3.3.5</t>
  </si>
  <si>
    <t>1.3.4.1</t>
  </si>
  <si>
    <t>1.3.4.2</t>
  </si>
  <si>
    <t>1.3.4.3</t>
  </si>
  <si>
    <t>1.3.4.4</t>
  </si>
  <si>
    <t>1.3.5.1</t>
  </si>
  <si>
    <t>1.3.5.2</t>
  </si>
  <si>
    <t>1.3.5.3</t>
  </si>
  <si>
    <t>1.3.5.4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</si>
  <si>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</si>
  <si>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</si>
  <si>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</si>
  <si>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</si>
  <si>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</si>
  <si>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</si>
  <si>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</si>
  <si>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</si>
  <si>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</si>
  <si>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</si>
  <si>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</si>
  <si>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</si>
  <si>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</si>
  <si>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</si>
  <si>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</si>
  <si>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1.3.21</t>
  </si>
  <si>
    <t>1.3.22.1</t>
  </si>
  <si>
    <t>1.3.22.2</t>
  </si>
  <si>
    <t>1.3.23</t>
  </si>
  <si>
    <t>1.3.24</t>
  </si>
  <si>
    <t>1.3.25.1</t>
  </si>
  <si>
    <t>1.3.25.2</t>
  </si>
  <si>
    <t>1.3.26</t>
  </si>
  <si>
    <t>Платежи по оплате работ и услуг головной организации ХК (ИС) (за исключением комиссионных вознаграждений)</t>
  </si>
  <si>
    <t>1.3.27</t>
  </si>
  <si>
    <t>1.3.28</t>
  </si>
  <si>
    <t>1.5</t>
  </si>
  <si>
    <t>Средства, направленные на выплату процентов по кредитам и займам</t>
  </si>
  <si>
    <t>2.1.1.1</t>
  </si>
  <si>
    <t>2.1.1.2</t>
  </si>
  <si>
    <t>2.1.1.3</t>
  </si>
  <si>
    <t>2.1.1.4</t>
  </si>
  <si>
    <t>2.1.2.1</t>
  </si>
  <si>
    <t>2.1.2.2</t>
  </si>
  <si>
    <t>2.1.2.3</t>
  </si>
  <si>
    <t>2.1.3.1</t>
  </si>
  <si>
    <t>2.1.3.2</t>
  </si>
  <si>
    <t>2.1.3.3</t>
  </si>
  <si>
    <t>2.1.3.4</t>
  </si>
  <si>
    <t>2.1.4.1</t>
  </si>
  <si>
    <t>2.1.4.2</t>
  </si>
  <si>
    <t>2.1.4.3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</si>
  <si>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</si>
  <si>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</si>
  <si>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</si>
  <si>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</si>
  <si>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</si>
  <si>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</si>
  <si>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</si>
  <si>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</si>
  <si>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2.2.1.1</t>
  </si>
  <si>
    <t>2.2.1.2</t>
  </si>
  <si>
    <t>2.2.2.1</t>
  </si>
  <si>
    <t>2.2.2.2</t>
  </si>
  <si>
    <t>2.2.2.3</t>
  </si>
  <si>
    <t>2.2.2.4</t>
  </si>
  <si>
    <t>2.2.3.1</t>
  </si>
  <si>
    <t>2.2.3.1.1</t>
  </si>
  <si>
    <t>2.2.3.2</t>
  </si>
  <si>
    <t>2.2.3.3</t>
  </si>
  <si>
    <t>2.2.3.4</t>
  </si>
  <si>
    <t>2.2.3.5</t>
  </si>
  <si>
    <t>2.2.3.6</t>
  </si>
  <si>
    <t>2.2.3.7</t>
  </si>
  <si>
    <t>2.2.3.7.1</t>
  </si>
  <si>
    <t>2.2.3.8</t>
  </si>
  <si>
    <t>2.2.3.9</t>
  </si>
  <si>
    <t>2.2.4.1</t>
  </si>
  <si>
    <t>2.2.4.2</t>
  </si>
  <si>
    <t>2.2.4.3</t>
  </si>
  <si>
    <t xml:space="preserve"> акционерное общество "Центральный научно-исследоватлеьский институт автоматики и гидравлики"</t>
  </si>
  <si>
    <t>Открытое акционерное общество "Серпуховский завод "Металлист"</t>
  </si>
  <si>
    <t>Открытое акционерное общество "Специальное конструкторское бюро "Турбина"</t>
  </si>
  <si>
    <t xml:space="preserve"> акционерное общество"Ротор"</t>
  </si>
  <si>
    <t>Открытое акционерное общество "Центральное конструкторское бюро аппаратостроения"</t>
  </si>
  <si>
    <t>Открытое акционерное общество «Аркус-Д»</t>
  </si>
  <si>
    <t>0594</t>
  </si>
  <si>
    <t>Общество с ограниченной ответственностью "Тенрон"</t>
  </si>
  <si>
    <t>0595</t>
  </si>
  <si>
    <t>Общество с ограниченной ответственностью "Дочернее предприятие Медикотехнический центр НИИПП"</t>
  </si>
  <si>
    <t>0596</t>
  </si>
  <si>
    <t>Акционерное общество "Научно-производственное предприятие "Салют-25"</t>
  </si>
  <si>
    <t>Закрытое акционерное общество "Научно-производственное предприятие "Салют-МИКРО"</t>
  </si>
  <si>
    <t>0597</t>
  </si>
  <si>
    <t>0598</t>
  </si>
  <si>
    <t>Публичное акционерное общество "Институт электронных управляющих машин им. И.С. Брука"</t>
  </si>
  <si>
    <t>общество с ограниченной ответственностью  «РТ-Брокер»</t>
  </si>
  <si>
    <t>акционерное общество «Научно-исследовательский институт технического стекла»</t>
  </si>
  <si>
    <t>Открытое акционерное общество «Смоленский завод радиодеталей»</t>
  </si>
  <si>
    <t>Открытое акционерное общество «Полимер»</t>
  </si>
  <si>
    <t>0850</t>
  </si>
  <si>
    <t>0851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</si>
  <si>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</si>
  <si>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</si>
  <si>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</si>
  <si>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</si>
  <si>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</si>
  <si>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</si>
  <si>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</si>
  <si>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</si>
  <si>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</si>
  <si>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2001</t>
  </si>
  <si>
    <t>2002</t>
  </si>
  <si>
    <t>общество с ограниченной ответственностью "РТ-Развитие бизнеса"</t>
  </si>
  <si>
    <t>общество с ограниченной ответственностью « ТМТ»</t>
  </si>
  <si>
    <t>общество с ограниченной ответственностью «РТ-Мобильные решения»</t>
  </si>
  <si>
    <t>общество с ограниченной ответственностью «Русинформэкспорт»</t>
  </si>
  <si>
    <t>общество с ограниченной ответственностью "Нацпромлизинг"</t>
  </si>
  <si>
    <t>акционерное общество Московский радиозавод «Темп»</t>
  </si>
  <si>
    <t>закрытое акционерное общество «Измеритель-авто»</t>
  </si>
  <si>
    <t>1444</t>
  </si>
  <si>
    <t>1445</t>
  </si>
  <si>
    <t>1446</t>
  </si>
  <si>
    <t>1447</t>
  </si>
  <si>
    <t>1448</t>
  </si>
  <si>
    <t>акцинерное общество «Научно-производственное предприятие «Измеритель»</t>
  </si>
  <si>
    <t>акционерное общество «Раменский приборостроительный завод»</t>
  </si>
  <si>
    <t>акцинерное общество «Альметьевский завод «Радиоприбор»</t>
  </si>
  <si>
    <t>Открытое акционерное общество «Завод «Метеор»</t>
  </si>
  <si>
    <t>0599</t>
  </si>
  <si>
    <t>Общество с ограниченной ответственностью "РТ-Медицина"</t>
  </si>
  <si>
    <t>Акционерное общество"РТ-Логистика"</t>
  </si>
  <si>
    <t>Общество с ограниченной ответственностью "РТ-Информ"</t>
  </si>
  <si>
    <t>акционерное общество "РТ-Пожарная безопасность"</t>
  </si>
  <si>
    <t>Общество с ограниченной ответственностью «Центр закупок и логистики вертолетостроительной индустрии»"</t>
  </si>
  <si>
    <t>Публичное акционерное общество "Казанский вертолетный завод"</t>
  </si>
  <si>
    <t>Публичное акционерное общество "Арсеньевская авиационная компания "Прогресс" им. Н.И. Сазыкина"</t>
  </si>
  <si>
    <t>Общество с ограниченной ответственностью "ВР Литейное производство"</t>
  </si>
  <si>
    <t>акционерное общество "Саратовский агрегатный завод"</t>
  </si>
  <si>
    <t>акционерное общество "Вольский механический завод"</t>
  </si>
  <si>
    <t>акционерное общество "Всероссийский научно-исследовательский институт "Сигнал"</t>
  </si>
  <si>
    <t>акционерное общество "Научно-производственная корпорация Конструкторское бюро машиностроения"</t>
  </si>
  <si>
    <t>акционерное общество "Сафоновский завод "Гидрометприбор"</t>
  </si>
  <si>
    <t>акционерное общество "Конструкторское бюро точного машиностроения им. А.Э.Нудельмана"</t>
  </si>
  <si>
    <t>акционерное общество "Конструкторское бюро приборостроения"</t>
  </si>
  <si>
    <t xml:space="preserve">акционерное общество "НПО "Высокоточные комплексы" </t>
  </si>
  <si>
    <t>акционерное общество "Концерн "Автоматика"</t>
  </si>
  <si>
    <t>акционерное общество "Станкопром"</t>
  </si>
  <si>
    <t>акционерное общество "Росэлектроника"</t>
  </si>
  <si>
    <t>акционерное общество "РТ-Авто"</t>
  </si>
  <si>
    <t xml:space="preserve"> акционерное Общество "Объединенная приборостроительная корпорация"</t>
  </si>
  <si>
    <t>акционерное общество "Научно-производственный концерн "Технологии машиностроения"</t>
  </si>
  <si>
    <t>акционерное общество "Национальная иммунобиологическая компания"</t>
  </si>
  <si>
    <t>акционерное общество "Швабе"</t>
  </si>
  <si>
    <t>акционерное общество "Технодинамика"</t>
  </si>
  <si>
    <t>акционерное общество "Концерн Радиоэлектронные технологии"</t>
  </si>
  <si>
    <t>акционерное общество "СИБЕР"</t>
  </si>
  <si>
    <t>акционерное общество "Объединенная двигателестроительная корпорация"</t>
  </si>
  <si>
    <t>акционерное общество "Московский вертолетный завод им. М.Л. Миля"</t>
  </si>
  <si>
    <t>акционерное общество "Камов"</t>
  </si>
  <si>
    <t>акционерное общество «Ступинское машиностроительное производственное предприятие»</t>
  </si>
  <si>
    <t>акционерное общество "Редуктор-ПМ"</t>
  </si>
  <si>
    <t>акционерное общество "Вертолетная сервисная компания"</t>
  </si>
  <si>
    <t>Публичное акционерное Общество "Роствертол"</t>
  </si>
  <si>
    <t>акционерное общество "Новосибирский авиаремонтный завод"</t>
  </si>
  <si>
    <t>акционерное общество "356  авиационный ремонтный завод"</t>
  </si>
  <si>
    <t>акционерное общество "810 авиационный ремонтный завод"</t>
  </si>
  <si>
    <t>акционерное общество "419 авиационный ремонтный завод"</t>
  </si>
  <si>
    <t>акционерное общество "12 Авиационный ремонтный завод"</t>
  </si>
  <si>
    <t>акционерное общество  "150 авиационный ремонтный завод"</t>
  </si>
  <si>
    <t>акционерное общество "99 завод авиационного технологического оборудования"</t>
  </si>
  <si>
    <t>акционерное общество "Улан-Удэнский авиационный завод"</t>
  </si>
  <si>
    <t>акционерное общество "Кумертауское авиационное производственное предприятие"</t>
  </si>
  <si>
    <t>акционерное общество "Вертолеты России"</t>
  </si>
  <si>
    <t>акционерное общество "РТ-Химические технологии и композиционные материалы"</t>
  </si>
  <si>
    <t>Акционерное общество "Концерн радиостроения "Вега"</t>
  </si>
  <si>
    <t>Акционерное общество "Научно-производственное предприятие "Рубин"</t>
  </si>
  <si>
    <t>Акционерное общество "Московский научно-исследовательский институт связи"</t>
  </si>
  <si>
    <t>Акционерное общество "Рыбинский завод приборостроения"</t>
  </si>
  <si>
    <t>Акционерное общество "Конструкторское бюро "Луч"</t>
  </si>
  <si>
    <t>Акционерное общество "Всероссийский научно-исследовательский институт "ЭТАЛОН"</t>
  </si>
  <si>
    <t xml:space="preserve"> Акционерное общество "Научно-исследователський институт "Кулон"</t>
  </si>
  <si>
    <t>Акционерное общество "Инженерно-маркетинговый центр Концерна "Вега"</t>
  </si>
  <si>
    <t>Акционерное общество "Челябинский радиозавод  "Полет"</t>
  </si>
  <si>
    <t>Акционерное общество "Опытный завод "Интеграл"</t>
  </si>
  <si>
    <t>Акционерное общество "Научно-исследовательский центр электронной вычислительной техники"</t>
  </si>
  <si>
    <t>Акционерное общество "Научно-исследовательский институт "Вектор"</t>
  </si>
  <si>
    <t>Акционерное общество "Завод "Энергия"</t>
  </si>
  <si>
    <t>Акционерное общество "Калужский научно-исследовательский институт телемеханических устройств"</t>
  </si>
  <si>
    <t>Акционерное общество "Долгопрудненское конструкторское бюро автоматики"</t>
  </si>
  <si>
    <t xml:space="preserve"> Акционерное общество "Научно-исследовательский институт  "Аргон"</t>
  </si>
  <si>
    <t>Акционерное общество "Москвский ордена трудового красного знамени научно-исследовательский радиотехнический институт"</t>
  </si>
  <si>
    <t>Акционерное общество "Московский радитехнический институт Российской академии наук"</t>
  </si>
  <si>
    <t>Акционерное общество "Научно-исследовательский институт технологии и автоматизации производства"</t>
  </si>
  <si>
    <t>Акционерное общество "Специальное констукторское бюро"Топаз"</t>
  </si>
  <si>
    <t>Акционерное общество "Концерн "Созвездие"</t>
  </si>
  <si>
    <t>Акционерное общество "Воронежский научно-иследовательский институт "Вега"</t>
  </si>
  <si>
    <t>Акционерное общество "Конструкторское бюро опытных работ"</t>
  </si>
  <si>
    <t>Акционерное общество "Алмаз"</t>
  </si>
  <si>
    <t>Акционерное общество "Воронежское центральное конструкторское бюро"Полюс"</t>
  </si>
  <si>
    <t>Акционерное общество "Краснодарский приборный завод "Каскад"</t>
  </si>
  <si>
    <t>Акционерное общество "Тамбовский научно-исследовательский институт радиотехники "Эфир"</t>
  </si>
  <si>
    <t>Акционерное общество "Конструкторское бюро"Селена"</t>
  </si>
  <si>
    <t>Акционерное общество "Научно-производственное предприятие "Старт"</t>
  </si>
  <si>
    <t>Акционерное общество "Тамбовский завод "Октябрь"</t>
  </si>
  <si>
    <t>Акционерное общество "Тамбовский завод "Ревтруд"</t>
  </si>
  <si>
    <t>Акционерное общество "Научно-производственное предприятие "Волна"</t>
  </si>
  <si>
    <t>Акционерное общество "Научно-исследовательский институт систем связи и управления"</t>
  </si>
  <si>
    <t>Акционерное общество "Научно-исследовательский институт электронной техники"</t>
  </si>
  <si>
    <t>Акционерное общество "Завод "Тамбоваппарат"</t>
  </si>
  <si>
    <t>Акционерное общество "Рязанский радиозавод"</t>
  </si>
  <si>
    <t>Акционерное общество "Янтарь"</t>
  </si>
  <si>
    <t>Акционерное общество "Системы управления"</t>
  </si>
  <si>
    <t>Акционерное общество "Кимовский радиоэлектромеханический завод"</t>
  </si>
  <si>
    <t>Акционерное общество "Концерн "Системпром"</t>
  </si>
  <si>
    <t>Акционерное общество"Научно-исследовательский институт автоматизированных систем и комлексов связи "Нептун"</t>
  </si>
  <si>
    <t>Акционерное общество "Научно-исследовательский институт информационных технологий"</t>
  </si>
  <si>
    <t>Акционерное общество "Научно-исследовательский институт "Масштаб"</t>
  </si>
  <si>
    <t>Акционерное общество "Научно-исследовательский институт "Рубин"</t>
  </si>
  <si>
    <t>Акционерное общество "Научно- производственное объединение "Импульс"</t>
  </si>
  <si>
    <t>Акционерное общество "Научно- производственное предприятие "Полет"</t>
  </si>
  <si>
    <t>Акционерное общество "Научно- производственный центр "Вигстар"</t>
  </si>
  <si>
    <t xml:space="preserve"> Акционерное общество "Ордена трудового красного знамени научно-исследовательский институт автоматической аппаратуры им. Академика В. С. Семенихина"</t>
  </si>
  <si>
    <t>Публичное акционерное общество "Информационные телекоммуникационные технологии"</t>
  </si>
  <si>
    <t>Открытое акционерное общество "Научно-производственный комплекс "Красная Заря"</t>
  </si>
  <si>
    <t>Акционерное общество "ЦНИИ ЭИСУ"</t>
  </si>
  <si>
    <t xml:space="preserve"> Акционерное общество "Научно-производственное предприятие "Радиосвязь"</t>
  </si>
  <si>
    <t>Откртыое акционерное общество "Научно-координаторский центр "Новые технологии"</t>
  </si>
  <si>
    <t xml:space="preserve"> Акционерное общество "Солнечногорский приборный завод"</t>
  </si>
  <si>
    <t>1901</t>
  </si>
  <si>
    <t>акционерное общество "Авиадвигатель"</t>
  </si>
  <si>
    <t>Публичное акционерное общество "КУЗНЕЦОВ"</t>
  </si>
  <si>
    <t>Публичное акционерное общество "Научно-производственное объединение "Сатурн"</t>
  </si>
  <si>
    <t>Публичное акционерное общество "Уфимское моторостроительное производственное объединение"</t>
  </si>
  <si>
    <t>акционерное общество "Московское машиностроительное предприятие имени В.В. Чернышева"</t>
  </si>
  <si>
    <t>акционерное общество "ОДК-газовые турбины"</t>
  </si>
  <si>
    <t>акционерное общество "ЭНЕРГЕТИК-ПЕРМСКИЕ МОТОРЫ</t>
  </si>
  <si>
    <r>
      <t>акционерное общество "</t>
    </r>
    <r>
      <rPr>
        <sz val="10"/>
        <color rgb="FF000000"/>
        <rFont val="Calibri"/>
        <family val="2"/>
        <charset val="204"/>
      </rPr>
      <t>ОДК-Пермские моторы"</t>
    </r>
  </si>
  <si>
    <t>акционерное общество "218 авиационный ремонтный завод"</t>
  </si>
  <si>
    <t>акционерное общество "570 авиационный ремонтный завод"</t>
  </si>
  <si>
    <t>акционерное общество "712 авиационный ремонтный завод"</t>
  </si>
  <si>
    <t>акционерное общество "Арамильский авиационный ремонтный завод"</t>
  </si>
  <si>
    <t>акционерное общество «Научно-производственный центр газотурбостроения «Салют»</t>
  </si>
  <si>
    <t>акционерное общество "Климов"</t>
  </si>
  <si>
    <t>акционерное общество "СТАР"</t>
  </si>
  <si>
    <t>Акционерное общество "Московское конструкторское бюро Компас"</t>
  </si>
  <si>
    <t>акционерное общество «Сатурн – Инструментальный завод»</t>
  </si>
  <si>
    <t>38</t>
  </si>
  <si>
    <t>Привлечение специализированной организации</t>
  </si>
  <si>
    <t>39</t>
  </si>
  <si>
    <t>АО "НПО "Сплав"</t>
  </si>
  <si>
    <t>15.12</t>
  </si>
  <si>
    <t xml:space="preserve">Привлечение специализированной организации </t>
  </si>
  <si>
    <t>Закупка с единичными расценками</t>
  </si>
  <si>
    <t>ЗЕР</t>
  </si>
  <si>
    <t xml:space="preserve">Группа закупок </t>
  </si>
  <si>
    <t>Закупки с НМЦ 50 млн. руб. и более</t>
  </si>
  <si>
    <t>Итого по специализированной организации:</t>
  </si>
  <si>
    <t xml:space="preserve">Прочие закупки с НМЦ 50 млн. руб. и более </t>
  </si>
  <si>
    <t>% от общего количества конкурентных закупок</t>
  </si>
  <si>
    <t>% от общей суммы конкурентных закупок</t>
  </si>
  <si>
    <t xml:space="preserve">Закупки с НМЦ менее 50 млн. руб. </t>
  </si>
  <si>
    <t xml:space="preserve"> </t>
  </si>
  <si>
    <t>Закупки с привелечением специализированной организации</t>
  </si>
  <si>
    <t>Закупки, проводимые с привлечением специализированной организации</t>
  </si>
  <si>
    <t xml:space="preserve">% от общего количества конкурентных закупок </t>
  </si>
  <si>
    <t>%  от общего количества конкурентных закупок с заключенными договорами</t>
  </si>
  <si>
    <t>Экономический эффект от закупок специализированной организации
(без учета вознаграждения)</t>
  </si>
  <si>
    <t>на  ______ год</t>
  </si>
  <si>
    <t>1722</t>
  </si>
  <si>
    <t>акционерное общество «Наро-Фоминский машиностроительный завод»</t>
  </si>
  <si>
    <t>Платежи по закупке сырья и материалов, ПКИ, ТМЦ для производства продукции (прямые переменные затраты в рамках основной деятельности)</t>
  </si>
  <si>
    <t>Платежи по закупке товаров для перепродажи (прямые переменные затраты в рамках основной деятельности)</t>
  </si>
  <si>
    <t>Платежи по субподрядным работам в рамках основной деятельности  (прямые переменные затраты в рамках основной деятельности)</t>
  </si>
  <si>
    <t>Платежи за серийное сопровождение и авторский надзор  (прямые переменные затраты в рамках основной деятельности)</t>
  </si>
  <si>
    <t>Платежи прочим посредникам и агентам за продвижение продукции   (прямые переменные затраты в рамках основной деятельности)</t>
  </si>
  <si>
    <t>Платежи за услуги МО РФ за ВП  (прямые переменные затраты в рамках основной деятельности)</t>
  </si>
  <si>
    <t>Платежи за РОЯЛТИ, ФАПРИД, патентные и иные лицензионные платежи  (прямые переменные затраты в рамках основной деятельности)</t>
  </si>
  <si>
    <t>Платежи по страхованию на контракт  (прямые переменные затраты в рамках основной деятельности)</t>
  </si>
  <si>
    <t>Платежи по банковским гарантиям на контракт  (прямые переменные затраты в рамках основной деятельности)</t>
  </si>
  <si>
    <t>Платежи по прочим коммерческим расходам на контракт  (прямые переменные затраты в рамках основной деятельности)</t>
  </si>
  <si>
    <t>Платежи за транспортные (в т.ч. ж/д) услуги сторонних организаций (искл. арендную плату) (прямые переменные затраты в рамках основной деятельности)</t>
  </si>
  <si>
    <t>Платежи за таможенно-брокерские услуги сторонних организаций  (прямые переменные затраты в рамках основной деятельности)</t>
  </si>
  <si>
    <t>Платежи за складские услуги по хранению и обработке готовой продукции  (прямые переменные затраты в рамках основной деятельности)</t>
  </si>
  <si>
    <t>Платежи за прочие прямые расходы переменного характера  (прямые переменные затраты в рамках основной деятельности)</t>
  </si>
  <si>
    <t>Материальные затраты (материалы, сырье), за исключением ремонта (расходы постоянного характера по основной деятельности)</t>
  </si>
  <si>
    <t>Платежи за ТЭР и коммунальные услуги (расходы постоянного характера по основной деятельности)</t>
  </si>
  <si>
    <t>платежи по аренде зданий, сооружений, помещений (расходы постоянного характера по основной деятельности)</t>
  </si>
  <si>
    <t>платежи по аренде оборудования (искл. ИТ - оборудование) (расходы постоянного характера по основной деятельности)</t>
  </si>
  <si>
    <t>платежи по аренде транспорта (расходы постоянного характера по основной деятельности)</t>
  </si>
  <si>
    <t>платежи по аренде ИТ - оборудования (расходы постоянного характера по основной деятельности)</t>
  </si>
  <si>
    <t>платежи по прочей аренде (расходы постоянного характера по основной деятельности)</t>
  </si>
  <si>
    <t>Платежи по услугам за ремонт зданий и сооружений (расходы постоянного характера по основной деятельности)</t>
  </si>
  <si>
    <t>Платежи по услугам за ремонт оборудования (расходы постоянного характера по основной деятельности)</t>
  </si>
  <si>
    <t>Платежи по услугам за ремонт транспорта (расходы постоянного характера по основной деятельности)</t>
  </si>
  <si>
    <t>Платежи по услугам за прочий ремонт (расходы постоянного характера по основной деятельности)</t>
  </si>
  <si>
    <t>Платежи по услугам за обслуживание зданий и сооружений (расходы постоянного характера по основной деятельности)</t>
  </si>
  <si>
    <t>Платежи по услугам за обслуживание оборудования (расходы постоянного характера по основной деятельности)</t>
  </si>
  <si>
    <t>Платежи по услугам за обслуживание транспорта (расходы постоянного характера по основной деятельности)</t>
  </si>
  <si>
    <t>Платежи по услугам за прочее обслуживание (расходы постоянного характера по основной деятельности)</t>
  </si>
  <si>
    <t>Платежи за услуги страхования (расходы постоянного характера по основной деятельности)</t>
  </si>
  <si>
    <t>Платежи за медицинские осмотры и диспансеризацию (расходы постоянного характера по основной деятельности)</t>
  </si>
  <si>
    <t>Платежи за услуги связи (стационарная, мобильная, услуги передачи данных, прочие услуги связи) (расходы постоянного характера по основной деятельности)</t>
  </si>
  <si>
    <t>Платежи на IT (техподдержка и обслуживание, запчасти и комплектующие, прочие IT-Платежи) (расходы постоянного характера по основной деятельности)</t>
  </si>
  <si>
    <t>Платежи за аудиторские услуги (расходы постоянного характера по основной деятельности)</t>
  </si>
  <si>
    <t>Платежи за юридические услуги (расходы постоянного характера по основной деятельности)</t>
  </si>
  <si>
    <t>Платежи за консультационные услуги (расходы постоянного характера по основной деятельности)</t>
  </si>
  <si>
    <t>Платежи за услуги по физической охране (расходы постоянного характера по основной деятельности)</t>
  </si>
  <si>
    <t>Платежи за услуги по пожарной охране (расходы постоянного характера по основной деятельности)</t>
  </si>
  <si>
    <t>Платежи по социальным программам (расходы постоянного характера по основной деятельности)</t>
  </si>
  <si>
    <t>Платежи за проведение технологического аудита (расходы постоянного характера по основной деятельности)</t>
  </si>
  <si>
    <t>Платежи за внедрение системы управления результатами интеллектуальной деятельности (СУ РИД) (расходы постоянного характера по основной деятельности)</t>
  </si>
  <si>
    <t>Платежи за транспортные (в т.ч. ж/д) услуги сторонних организаций (искл. арендную плату) (расходы постоянного характера по основной деятельности)</t>
  </si>
  <si>
    <t>Платежи за таможенно-брокерские услуги сторонних организаций (расходы постоянного характера по основной деятельности)</t>
  </si>
  <si>
    <t>Платежи за уборку территорий, вывоз мусора, переработку ТБО (расходы постоянного характера по основной деятельности)</t>
  </si>
  <si>
    <t>Платежи за стандартизацию, сертификацию производства (расходы постоянного характера по основной деятельности)</t>
  </si>
  <si>
    <t>Платежи за услуги по рекламе (за искл. спонсорства) (расходы постоянного характера по основной деятельности)</t>
  </si>
  <si>
    <t>Прочие платежи за PR и взаимодействие со СМИ (расходы постоянного характера по основной деятельности)</t>
  </si>
  <si>
    <t>Платежи за услуги по маркетингу (расходы постоянного характера по основной деятельности)</t>
  </si>
  <si>
    <t>Платежи по оплате расходов на спонсорство (расходы постоянного характера по основной деятельности)</t>
  </si>
  <si>
    <t>Платежи по расходам на проведение зарубежных выставок (расходы постоянного характера по основной деятельности)</t>
  </si>
  <si>
    <t>Платежи по расходам на проведение выставок в РФ (расходы постоянного характера по основной деятельности)</t>
  </si>
  <si>
    <t>Экологические платежи (расходы постоянного характера по основной деятельности)</t>
  </si>
  <si>
    <t>Прочие постоянные расходы по текущей деятельности (расходы постоянного характера по основной деятельности)</t>
  </si>
  <si>
    <t>Проектно-изыскательские работы (ПИР) (платежи в составе проектов по техническому перевооружению и реконструкции действующих предприятий)</t>
  </si>
  <si>
    <t>Оборудование (платежи в составе проектов по техническому перевооружению и реконструкции действующих предприятий)</t>
  </si>
  <si>
    <t>Строительно-монтажные работы (СМР) и пуско-наладка оборудования (платежи в составе проектов по техническому перевооружению и реконструкции действующих предприятий)</t>
  </si>
  <si>
    <t>Прочие капитализируемые расходы (платежи в составе проектов по техническому перевооружению и реконструкции действующих предприятий)</t>
  </si>
  <si>
    <t>Давальческие материалы (если есть) (платежи в составе проектов по капитальному строительству продрядным способом)</t>
  </si>
  <si>
    <t>Услуги подрядных организаций (платежи в составе проектов по капитальному строительству продрядным способом)</t>
  </si>
  <si>
    <t>Прочие капитализируемые расходы (платежи в составе проектов по капитальному строительству продрядным способом)</t>
  </si>
  <si>
    <t>Строительные материалы и прочие ТМЦ в составе проекта (платежи в составе проектов по капитальному строительству хозяйственным способом)</t>
  </si>
  <si>
    <t>ФОТ (платежи в составе проектов по капитальному строительству хозяйственным способом)</t>
  </si>
  <si>
    <t>Начисления на ФОТ - обязательные страховые взносы (платежи в составе проектов по капитальному строительству хозяйственным способом)</t>
  </si>
  <si>
    <t>Прочие капитализируемые расходы (платежи в составе проектов по капитальному строительству хозяйственным способом)</t>
  </si>
  <si>
    <t>Закупка оборудования (платежи в составе ИТ-проектов)</t>
  </si>
  <si>
    <t>Закупка ПО (лицензии) (платежи в составе ИТ-проектов)</t>
  </si>
  <si>
    <t>Услуги внешних организаций (платежи в составе ИТ-проектов)</t>
  </si>
  <si>
    <t>НИОКР (платежи в составе проектов)</t>
  </si>
  <si>
    <t>Приобретение имущественных комплексовм (зданий и объектов недвижимости) (платежи в составе проектов)</t>
  </si>
  <si>
    <t>Приобретение основных средств (за искл. имущественного комплекса и оборудования) (платежи в составе проектов)</t>
  </si>
  <si>
    <t>Консультационные услуги (платежи в составе проектов)</t>
  </si>
  <si>
    <t>Юридические услуги (платежи в составе проектов)</t>
  </si>
  <si>
    <t>Стоимость заемного финансирования (капитализируемые проценты) (платежи в составе проектов)</t>
  </si>
  <si>
    <t>Капитализируемые затраты на маркетинг (платежи в составе проектов)</t>
  </si>
  <si>
    <t>Прочие капитализируемые расходы (платежи в составе проектов)</t>
  </si>
  <si>
    <t>Приобретение и реконструкция техники и оборудования (в рамках инвестиций в производственные активы по отдельным капитализируемым затратам)</t>
  </si>
  <si>
    <t>Прочие капитализируемые расходы  (в рамках инвестиций в производственные активы по отдельным капитализируемым затратам)</t>
  </si>
  <si>
    <t>Приобретение транспортных средств (вкл. реконструкцию)  (в рамках инвестиций в коммерческие активы по отдельным капитализируемым затратам)</t>
  </si>
  <si>
    <t>Приобретение оборудования, спецтранспорта (вкл. реконструкцию)  (в рамках инвестиций в коммерческие активы по отдельным капитализируемым затратам)</t>
  </si>
  <si>
    <t>Реконструкция и капитализируемый ремонт автодорог (находящихся вне территории предприятия)  (в рамках инвестиций в коммерческие активы по отдельным капитализируемым затратам)</t>
  </si>
  <si>
    <t>Прочие капитализируемые расходы  (в рамках инвестиций в коммерческие активы по отдельным капитализируемым затратам)</t>
  </si>
  <si>
    <t>Приобретение оборудования  (в рамках инвестиций в общехозяйственные активы по отдельным капитализируемым затратам)</t>
  </si>
  <si>
    <t>в т.ч. IT-оборудования   (в рамках инвестиций в общехозяйственные активы по отдельным капитализируемым затратам)</t>
  </si>
  <si>
    <t>Приобретение административного транспорта   (в рамках инвестиций в общехозяйственные активы по отдельным капитализируемым затратам)</t>
  </si>
  <si>
    <t>Приобретение офисной мебели   (в рамках инвестиций в общехозяйственные активы по отдельным капитализируемым затратам)</t>
  </si>
  <si>
    <t>Приобретение специализированного программного обеспечения (НМА)   (в рамках инвестиций в общехозяйственные активы по отдельным капитализируемым затратам)</t>
  </si>
  <si>
    <t>Приобретение средств и систем связи  (в рамках инвестиций в общехозяйственные активы по отдельным капитализируемым затратам)</t>
  </si>
  <si>
    <t>Капитализируемые расходы на бренд  (в рамках инвестиций в общехозяйственные активы по отдельным капитализируемым затратам)</t>
  </si>
  <si>
    <t>Строительство и капитальный ремонт  (в рамках инвестиций в общехозяйственные активы по отдельным капитализируемым затратам)</t>
  </si>
  <si>
    <t>в т.ч. ИТ  - инфрастркутуры  (в рамках инвестиций в общехозяйственные активы по отдельным капитализируемым затратам)</t>
  </si>
  <si>
    <t>Услуги сторонних организаций по ИТ - расходам  (в рамках инвестиций в общехозяйственные активы по отдельным капитализируемым затратам)</t>
  </si>
  <si>
    <t>Прочие капитализируемые расходы  (в рамках инвестиций в общехозяйственные активы по отдельным капитализируемым затратам)</t>
  </si>
  <si>
    <t>Приобретение оборудования  (в рамках инвестиций в непрофильные активы и объекты социальной сферы по отдельным капитализируемым затратам)</t>
  </si>
  <si>
    <t>Cтроительство  (в рамках инвестиций в непрофильные активы и объекты социальной сферы по отдельным капитализируемым затратам)</t>
  </si>
  <si>
    <t>Прочие капитализируемые расходы  (в рамках инвестиций в непрофильные активы и объекты социальной сферы по отдельным капитализируемым затратам)</t>
  </si>
  <si>
    <t>0503</t>
  </si>
  <si>
    <t>акционерное общество "Мосэлектронпроект"</t>
  </si>
  <si>
    <t>0657</t>
  </si>
  <si>
    <t>0704</t>
  </si>
  <si>
    <t>общество с ограниченной ответственностью "Промышленный холдинг "Автокомпоненты"</t>
  </si>
  <si>
    <t>акционерное общество "Рособоронэкспорт"</t>
  </si>
  <si>
    <t>акционерное общество "Судостроительный завод "Вымпел"</t>
  </si>
  <si>
    <t>акционерное общество "Банк "Российская финансовая корпорация"</t>
  </si>
  <si>
    <t>акционерное общество "ПРОМПОСТАВКА"</t>
  </si>
  <si>
    <t xml:space="preserve">общество с ограниченной ответственностью "РТ-СоцСтрой" </t>
  </si>
  <si>
    <t>общество с ограниченной ответственностью "РТ-Череповецкий завод модульных строительных конструкций"</t>
  </si>
  <si>
    <t>акционерное общество "ТЕВИС"</t>
  </si>
  <si>
    <t>акционерное общество "Тольяттинская энергосбытовая компания"</t>
  </si>
  <si>
    <t>акционерное общество "Акционерное общество "Калининградский янтарный комбинат"</t>
  </si>
  <si>
    <t>акционерное общество "Центральный научно-исследовательский институт точного машиностроения"</t>
  </si>
  <si>
    <t>акционерное общество "КБАЛ им. Л.Н.Кошкина"</t>
  </si>
  <si>
    <t>акционерное общество "Промышленные технологии"</t>
  </si>
  <si>
    <t>акционерное общество "Внешнеэкономическое объединение "Технопромэкспорт"</t>
  </si>
  <si>
    <t>акционерное общество "Внешнеэкономическое объединение "Тяжпромэкспорт"</t>
  </si>
  <si>
    <t>акционерное общество "Нефтегазавтоматика"</t>
  </si>
  <si>
    <t>акционерное общество "РТ-Техприемка"</t>
  </si>
  <si>
    <t>акционерное общество "Ижевский механический завод-2"</t>
  </si>
  <si>
    <t>акционерное общество "Транспортно-выставочный комплекс "Россия"</t>
  </si>
  <si>
    <t>акционерное общество "Научно-исследовательский институт медицинских полимеров"</t>
  </si>
  <si>
    <t>акционерное общество "РТ-Металлургия"</t>
  </si>
  <si>
    <t>акционерное общество "Щербинская типография"</t>
  </si>
  <si>
    <t>акционерное общество "90 экспериментальный завод"</t>
  </si>
  <si>
    <t>акционерное общество "Проектмашдеталь"</t>
  </si>
  <si>
    <t>акционерное общество "Самарский электромеханический завод"</t>
  </si>
  <si>
    <t>акционерное общество "Перовский опытный завод "Нестандартмаш"</t>
  </si>
  <si>
    <t xml:space="preserve">акционерное общество "Техника и технология товаров" </t>
  </si>
  <si>
    <t>акционерное общество "ОПК "ОБОРОНПРОМ"</t>
  </si>
  <si>
    <t>акционерное общество "Объединенные автомобильные технологии"</t>
  </si>
  <si>
    <t>Общество  с ограниченной ответственностью «Ситиэнерго»</t>
  </si>
  <si>
    <t>общество с ограниченной ответственностью 
 "Швабе – Казань"</t>
  </si>
  <si>
    <t>общество с ограниченной ответственностью 
 "Швабе – Санкт-Петербург"</t>
  </si>
  <si>
    <t>общество с ограниченной ответственностью 
 "Швабе – Новосибирск"</t>
  </si>
  <si>
    <t>общество с ограниченной ответственностью 
 "Швабе – Красноярск"</t>
  </si>
  <si>
    <t>общество с ограниченной ответственностью 
 "Швабе – Иркутск"</t>
  </si>
  <si>
    <t>общество с ограниченной ответственностью 
 "Швабе – Хабаровск"</t>
  </si>
  <si>
    <t>общество с ограниченной ответственностью 
 "Швабе – Гостиничный комплекс"</t>
  </si>
  <si>
    <t>общество с ограниченной ответственностью 
 "Швабе – Информационные технологии"</t>
  </si>
  <si>
    <t>общество с ограниченной ответственностью 
 "Швабе – Дизайн"</t>
  </si>
  <si>
    <t>общество с ограниченной ответственностью 
 "Швабе – Лаборатория 1"</t>
  </si>
  <si>
    <t>общество с ограниченной ответственностью 
 "Швабе – Комбинат питания"</t>
  </si>
  <si>
    <t>общество с ограниченной ответственностью 
 "Швабе – Пермь"</t>
  </si>
  <si>
    <t>общество с ограниченной ответственностью 
 "Швабе – Самара"</t>
  </si>
  <si>
    <t>общество с ограниченной ответственностью 
 "Швабе – Калининград"</t>
  </si>
  <si>
    <t>общество с ограниченной ответственностью 
 "Швабе – Волгоград"</t>
  </si>
  <si>
    <t>общество с ограниченной ответственностью 
 "Швабе – Спорт"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</si>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</sst>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_-* #,##0.00_р_._-;\-* #,##0.00_р_._-;_-* &quot;-&quot;??_р_._-;_-@_-"/>
    <numFmt numFmtId="165" formatCode="#,##0.00_р_."/>
    <numFmt numFmtId="166" formatCode="[$-419]mmmm\ yyyy;@"/>
    <numFmt numFmtId="167" formatCode="#\ ###.00_р_."/>
    <numFmt numFmtId="168" formatCode="#\ ###\ ###\ ###\ ##0.00_р_."/>
  </numFmts>
  <fonts count="28" x14ac:knownFonts="1">
    <font>
      <sz val="11"/>
      <color theme="1"/>
      <name val="Calibri"/>
      <family val="2"/>
      <charset val="204"/>
      <scheme val="minor"/>
    </font>
    <font>
      <b/>
      <sz val="10"/>
      <color rgb="FF00008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1"/>
      <color theme="1"/>
      <name val="Calibri"/>
      <family val="2"/>
      <scheme val="minor"/>
    </font>
    <font>
      <sz val="10"/>
      <color theme="1" tint="0.499984740745262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theme="1" tint="0.499984740745262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BEB0A3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9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00206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8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0" fontId="3" fillId="0" borderId="0"/>
    <xf numFmtId="0" fontId="16" fillId="0" borderId="0"/>
    <xf numFmtId="0" fontId="13" fillId="0" borderId="0"/>
    <xf numFmtId="0" fontId="18" fillId="0" borderId="0"/>
    <xf numFmtId="0" fontId="17" fillId="0" borderId="0" applyNumberFormat="0" applyFont="0" applyFill="0" applyBorder="0" applyAlignment="0" applyProtection="0">
      <alignment vertical="top"/>
    </xf>
    <xf numFmtId="0" fontId="15" fillId="0" borderId="0"/>
    <xf numFmtId="0" fontId="19" fillId="0" borderId="0"/>
    <xf numFmtId="0" fontId="1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91">
    <xf numFmtId="0" fontId="0" fillId="0" borderId="0" xfId="0"/>
    <xf numFmtId="0" fontId="0" fillId="0" borderId="0" xfId="0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14" fontId="2" fillId="0" borderId="35" xfId="0" applyNumberFormat="1" applyFont="1" applyFill="1" applyBorder="1" applyAlignment="1">
      <alignment horizontal="center" vertical="center" wrapText="1"/>
    </xf>
    <xf numFmtId="166" fontId="2" fillId="2" borderId="3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vertical="center" wrapText="1"/>
    </xf>
    <xf numFmtId="166" fontId="6" fillId="0" borderId="11" xfId="0" applyNumberFormat="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vertical="center" wrapText="1"/>
    </xf>
    <xf numFmtId="166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6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left" vertical="center" wrapText="1"/>
    </xf>
    <xf numFmtId="0" fontId="6" fillId="0" borderId="0" xfId="0" applyFont="1"/>
    <xf numFmtId="0" fontId="7" fillId="2" borderId="4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2" borderId="24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7" fillId="5" borderId="43" xfId="0" applyFont="1" applyFill="1" applyBorder="1" applyAlignment="1">
      <alignment horizontal="right" vertical="center" wrapText="1"/>
    </xf>
    <xf numFmtId="0" fontId="6" fillId="5" borderId="23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right" vertical="center"/>
    </xf>
    <xf numFmtId="0" fontId="6" fillId="0" borderId="46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right" wrapText="1"/>
    </xf>
    <xf numFmtId="0" fontId="7" fillId="6" borderId="43" xfId="0" applyFont="1" applyFill="1" applyBorder="1" applyAlignment="1">
      <alignment horizontal="right" vertical="center" wrapText="1"/>
    </xf>
    <xf numFmtId="0" fontId="7" fillId="2" borderId="57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center" vertical="center" wrapText="1"/>
    </xf>
    <xf numFmtId="9" fontId="6" fillId="0" borderId="30" xfId="0" applyNumberFormat="1" applyFont="1" applyBorder="1" applyAlignment="1">
      <alignment horizontal="center" vertical="center" wrapText="1"/>
    </xf>
    <xf numFmtId="9" fontId="6" fillId="0" borderId="31" xfId="1" applyFont="1" applyBorder="1" applyAlignment="1">
      <alignment horizontal="center" vertical="center" wrapText="1"/>
    </xf>
    <xf numFmtId="0" fontId="6" fillId="0" borderId="49" xfId="0" applyFont="1" applyBorder="1" applyAlignment="1">
      <alignment wrapText="1"/>
    </xf>
    <xf numFmtId="0" fontId="6" fillId="0" borderId="44" xfId="0" applyFont="1" applyBorder="1" applyAlignment="1">
      <alignment horizontal="center" wrapText="1"/>
    </xf>
    <xf numFmtId="0" fontId="7" fillId="0" borderId="52" xfId="0" applyFont="1" applyFill="1" applyBorder="1" applyAlignment="1">
      <alignment horizontal="right" vertical="center" wrapText="1"/>
    </xf>
    <xf numFmtId="0" fontId="6" fillId="0" borderId="53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justify" vertical="center" wrapText="1"/>
    </xf>
    <xf numFmtId="0" fontId="6" fillId="0" borderId="47" xfId="0" applyFont="1" applyBorder="1" applyAlignment="1">
      <alignment horizontal="justify" vertical="center" wrapText="1"/>
    </xf>
    <xf numFmtId="0" fontId="6" fillId="5" borderId="23" xfId="0" applyFont="1" applyFill="1" applyBorder="1" applyAlignment="1">
      <alignment horizont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  <xf numFmtId="0" fontId="7" fillId="2" borderId="62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justify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vertical="center" wrapText="1"/>
    </xf>
    <xf numFmtId="0" fontId="6" fillId="0" borderId="5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7" fontId="6" fillId="2" borderId="10" xfId="0" applyNumberFormat="1" applyFont="1" applyFill="1" applyBorder="1" applyAlignment="1">
      <alignment vertical="center" wrapText="1"/>
    </xf>
    <xf numFmtId="168" fontId="2" fillId="0" borderId="35" xfId="0" applyNumberFormat="1" applyFont="1" applyFill="1" applyBorder="1" applyAlignment="1">
      <alignment horizontal="center" vertical="center" wrapText="1"/>
    </xf>
    <xf numFmtId="168" fontId="0" fillId="0" borderId="35" xfId="0" applyNumberFormat="1" applyFont="1" applyFill="1" applyBorder="1" applyAlignment="1">
      <alignment horizontal="center" vertical="center"/>
    </xf>
    <xf numFmtId="168" fontId="6" fillId="2" borderId="11" xfId="0" applyNumberFormat="1" applyFont="1" applyFill="1" applyBorder="1" applyAlignment="1">
      <alignment vertical="center" wrapText="1"/>
    </xf>
    <xf numFmtId="168" fontId="6" fillId="0" borderId="11" xfId="0" applyNumberFormat="1" applyFont="1" applyFill="1" applyBorder="1" applyAlignment="1">
      <alignment vertical="center" wrapText="1"/>
    </xf>
    <xf numFmtId="168" fontId="6" fillId="0" borderId="1" xfId="0" applyNumberFormat="1" applyFont="1" applyFill="1" applyBorder="1" applyAlignment="1">
      <alignment vertical="center" wrapText="1"/>
    </xf>
    <xf numFmtId="168" fontId="6" fillId="2" borderId="10" xfId="0" applyNumberFormat="1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7" borderId="34" xfId="0" applyFont="1" applyFill="1" applyBorder="1" applyAlignment="1">
      <alignment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36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6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wrapText="1"/>
    </xf>
    <xf numFmtId="0" fontId="6" fillId="5" borderId="2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wrapText="1"/>
    </xf>
    <xf numFmtId="0" fontId="6" fillId="9" borderId="2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 wrapText="1"/>
    </xf>
    <xf numFmtId="0" fontId="6" fillId="10" borderId="67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80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79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2" borderId="67" xfId="0" applyFont="1" applyFill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 wrapText="1"/>
    </xf>
    <xf numFmtId="0" fontId="6" fillId="10" borderId="79" xfId="0" applyFont="1" applyFill="1" applyBorder="1" applyAlignment="1">
      <alignment horizontal="center" vertical="center" wrapText="1"/>
    </xf>
    <xf numFmtId="0" fontId="6" fillId="2" borderId="7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10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7" fillId="2" borderId="66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1" fontId="6" fillId="10" borderId="43" xfId="0" applyNumberFormat="1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 wrapText="1"/>
    </xf>
    <xf numFmtId="0" fontId="6" fillId="11" borderId="79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 wrapText="1"/>
    </xf>
    <xf numFmtId="1" fontId="6" fillId="11" borderId="43" xfId="0" applyNumberFormat="1" applyFont="1" applyFill="1" applyBorder="1" applyAlignment="1">
      <alignment horizontal="center" vertical="center" wrapText="1"/>
    </xf>
    <xf numFmtId="1" fontId="6" fillId="9" borderId="43" xfId="0" applyNumberFormat="1" applyFont="1" applyFill="1" applyBorder="1" applyAlignment="1">
      <alignment horizontal="center" vertical="center" wrapText="1"/>
    </xf>
    <xf numFmtId="0" fontId="6" fillId="9" borderId="79" xfId="0" applyFont="1" applyFill="1" applyBorder="1" applyAlignment="1">
      <alignment horizontal="center" vertical="center" wrapText="1"/>
    </xf>
    <xf numFmtId="0" fontId="6" fillId="9" borderId="30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1" fontId="6" fillId="3" borderId="43" xfId="0" applyNumberFormat="1" applyFont="1" applyFill="1" applyBorder="1" applyAlignment="1">
      <alignment horizontal="center" vertical="center" wrapText="1"/>
    </xf>
    <xf numFmtId="0" fontId="6" fillId="10" borderId="66" xfId="0" applyFont="1" applyFill="1" applyBorder="1" applyAlignment="1">
      <alignment horizontal="center" vertical="center" wrapText="1"/>
    </xf>
    <xf numFmtId="0" fontId="6" fillId="10" borderId="29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6" fillId="9" borderId="43" xfId="0" applyFont="1" applyFill="1" applyBorder="1" applyAlignment="1">
      <alignment horizontal="center" vertical="center" wrapText="1"/>
    </xf>
    <xf numFmtId="0" fontId="6" fillId="9" borderId="66" xfId="0" applyFont="1" applyFill="1" applyBorder="1" applyAlignment="1">
      <alignment horizontal="center"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6" fillId="11" borderId="43" xfId="0" applyFont="1" applyFill="1" applyBorder="1" applyAlignment="1">
      <alignment horizontal="center" vertical="center" wrapText="1"/>
    </xf>
    <xf numFmtId="0" fontId="6" fillId="11" borderId="66" xfId="0" applyFont="1" applyFill="1" applyBorder="1" applyAlignment="1">
      <alignment horizontal="center" vertical="center" wrapText="1"/>
    </xf>
    <xf numFmtId="0" fontId="6" fillId="11" borderId="29" xfId="0" applyFont="1" applyFill="1" applyBorder="1" applyAlignment="1">
      <alignment horizontal="center" vertical="center" wrapText="1"/>
    </xf>
    <xf numFmtId="0" fontId="6" fillId="11" borderId="6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84" xfId="0" applyFont="1" applyBorder="1" applyAlignment="1">
      <alignment horizontal="center" vertical="center" wrapText="1"/>
    </xf>
    <xf numFmtId="0" fontId="7" fillId="8" borderId="45" xfId="0" applyFont="1" applyFill="1" applyBorder="1" applyAlignment="1">
      <alignment vertical="center"/>
    </xf>
    <xf numFmtId="0" fontId="7" fillId="8" borderId="40" xfId="0" applyFont="1" applyFill="1" applyBorder="1" applyAlignment="1">
      <alignment vertical="center"/>
    </xf>
    <xf numFmtId="49" fontId="1" fillId="0" borderId="0" xfId="0" applyNumberFormat="1" applyFont="1" applyAlignment="1">
      <alignment horizontal="right" vertical="center" wrapText="1"/>
    </xf>
    <xf numFmtId="0" fontId="9" fillId="0" borderId="0" xfId="0" applyFont="1" applyFill="1" applyBorder="1" applyAlignment="1">
      <alignment wrapText="1"/>
    </xf>
    <xf numFmtId="49" fontId="9" fillId="0" borderId="0" xfId="0" applyNumberFormat="1" applyFont="1" applyFill="1" applyBorder="1" applyAlignment="1">
      <alignment wrapText="1"/>
    </xf>
    <xf numFmtId="0" fontId="10" fillId="12" borderId="43" xfId="0" applyFont="1" applyFill="1" applyBorder="1" applyAlignment="1">
      <alignment horizontal="center" vertical="center" wrapText="1"/>
    </xf>
    <xf numFmtId="0" fontId="11" fillId="13" borderId="43" xfId="0" applyFont="1" applyFill="1" applyBorder="1" applyAlignment="1">
      <alignment horizontal="center" vertical="center" wrapText="1"/>
    </xf>
    <xf numFmtId="0" fontId="11" fillId="14" borderId="50" xfId="0" applyNumberFormat="1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horizontal="center" vertical="center" wrapText="1"/>
    </xf>
    <xf numFmtId="49" fontId="11" fillId="0" borderId="39" xfId="0" applyNumberFormat="1" applyFont="1" applyFill="1" applyBorder="1" applyAlignment="1">
      <alignment horizontal="center" vertical="center" wrapText="1"/>
    </xf>
    <xf numFmtId="49" fontId="11" fillId="0" borderId="82" xfId="0" applyNumberFormat="1" applyFont="1" applyFill="1" applyBorder="1" applyAlignment="1">
      <alignment horizontal="center" vertical="center" wrapText="1"/>
    </xf>
    <xf numFmtId="49" fontId="11" fillId="0" borderId="28" xfId="0" applyNumberFormat="1" applyFont="1" applyFill="1" applyBorder="1" applyAlignment="1">
      <alignment horizontal="center" vertical="center" wrapText="1"/>
    </xf>
    <xf numFmtId="49" fontId="11" fillId="0" borderId="83" xfId="0" applyNumberFormat="1" applyFont="1" applyFill="1" applyBorder="1" applyAlignment="1">
      <alignment horizontal="center" vertical="center" wrapText="1"/>
    </xf>
    <xf numFmtId="49" fontId="11" fillId="0" borderId="3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wrapText="1"/>
    </xf>
    <xf numFmtId="49" fontId="11" fillId="0" borderId="38" xfId="0" applyNumberFormat="1" applyFont="1" applyFill="1" applyBorder="1" applyAlignment="1">
      <alignment horizontal="center" vertical="center" wrapText="1"/>
    </xf>
    <xf numFmtId="0" fontId="6" fillId="9" borderId="80" xfId="0" applyFont="1" applyFill="1" applyBorder="1" applyAlignment="1">
      <alignment horizontal="center" vertical="center" wrapText="1"/>
    </xf>
    <xf numFmtId="0" fontId="6" fillId="11" borderId="80" xfId="0" applyFont="1" applyFill="1" applyBorder="1" applyAlignment="1">
      <alignment horizontal="center" vertical="center" wrapText="1"/>
    </xf>
    <xf numFmtId="0" fontId="6" fillId="11" borderId="74" xfId="0" applyFont="1" applyFill="1" applyBorder="1" applyAlignment="1">
      <alignment horizontal="center" vertical="center" wrapText="1"/>
    </xf>
    <xf numFmtId="0" fontId="6" fillId="3" borderId="80" xfId="0" applyFont="1" applyFill="1" applyBorder="1" applyAlignment="1">
      <alignment horizontal="center" vertical="center" wrapText="1"/>
    </xf>
    <xf numFmtId="0" fontId="6" fillId="3" borderId="74" xfId="0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1" fillId="13" borderId="71" xfId="0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168" fontId="2" fillId="2" borderId="34" xfId="0" applyNumberFormat="1" applyFont="1" applyFill="1" applyBorder="1" applyAlignment="1">
      <alignment horizontal="center" vertical="center" wrapText="1"/>
    </xf>
    <xf numFmtId="10" fontId="2" fillId="2" borderId="34" xfId="1" applyNumberFormat="1" applyFont="1" applyFill="1" applyBorder="1" applyAlignment="1">
      <alignment horizontal="center" vertical="center" wrapText="1"/>
    </xf>
    <xf numFmtId="168" fontId="2" fillId="2" borderId="35" xfId="0" applyNumberFormat="1" applyFont="1" applyFill="1" applyBorder="1" applyAlignment="1">
      <alignment horizontal="center" vertical="center" wrapText="1"/>
    </xf>
    <xf numFmtId="3" fontId="2" fillId="0" borderId="35" xfId="0" applyNumberFormat="1" applyFont="1" applyFill="1" applyBorder="1" applyAlignment="1">
      <alignment horizontal="center" vertical="center" wrapText="1"/>
    </xf>
    <xf numFmtId="0" fontId="2" fillId="0" borderId="35" xfId="0" applyNumberFormat="1" applyFont="1" applyFill="1" applyBorder="1" applyAlignment="1">
      <alignment horizontal="center" vertical="center" wrapText="1"/>
    </xf>
    <xf numFmtId="166" fontId="2" fillId="0" borderId="35" xfId="0" applyNumberFormat="1" applyFont="1" applyFill="1" applyBorder="1" applyAlignment="1">
      <alignment horizontal="center" vertical="center" wrapText="1"/>
    </xf>
    <xf numFmtId="3" fontId="6" fillId="0" borderId="79" xfId="0" applyNumberFormat="1" applyFont="1" applyBorder="1" applyAlignment="1">
      <alignment horizontal="center" vertical="center"/>
    </xf>
    <xf numFmtId="3" fontId="6" fillId="0" borderId="39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10" fontId="6" fillId="10" borderId="16" xfId="1" applyNumberFormat="1" applyFont="1" applyFill="1" applyBorder="1" applyAlignment="1" applyProtection="1">
      <alignment horizontal="center" vertical="center" wrapText="1"/>
    </xf>
    <xf numFmtId="10" fontId="6" fillId="3" borderId="16" xfId="1" applyNumberFormat="1" applyFont="1" applyFill="1" applyBorder="1" applyAlignment="1">
      <alignment horizontal="center" vertical="center" wrapText="1"/>
    </xf>
    <xf numFmtId="10" fontId="6" fillId="10" borderId="43" xfId="1" applyNumberFormat="1" applyFont="1" applyFill="1" applyBorder="1" applyAlignment="1" applyProtection="1">
      <alignment horizontal="center" vertical="center" wrapText="1"/>
    </xf>
    <xf numFmtId="10" fontId="6" fillId="3" borderId="43" xfId="1" applyNumberFormat="1" applyFont="1" applyFill="1" applyBorder="1" applyAlignment="1">
      <alignment horizontal="center" vertical="center" wrapText="1"/>
    </xf>
    <xf numFmtId="10" fontId="6" fillId="9" borderId="81" xfId="1" applyNumberFormat="1" applyFont="1" applyFill="1" applyBorder="1" applyAlignment="1">
      <alignment horizontal="center" vertical="center" wrapText="1"/>
    </xf>
    <xf numFmtId="10" fontId="6" fillId="9" borderId="16" xfId="1" applyNumberFormat="1" applyFont="1" applyFill="1" applyBorder="1" applyAlignment="1">
      <alignment horizontal="center" vertical="center" wrapText="1"/>
    </xf>
    <xf numFmtId="10" fontId="6" fillId="9" borderId="64" xfId="1" applyNumberFormat="1" applyFont="1" applyFill="1" applyBorder="1" applyAlignment="1">
      <alignment horizontal="center" vertical="center" wrapText="1"/>
    </xf>
    <xf numFmtId="10" fontId="6" fillId="9" borderId="43" xfId="1" applyNumberFormat="1" applyFont="1" applyFill="1" applyBorder="1" applyAlignment="1">
      <alignment horizontal="center" vertical="center" wrapText="1"/>
    </xf>
    <xf numFmtId="10" fontId="6" fillId="11" borderId="64" xfId="1" applyNumberFormat="1" applyFont="1" applyFill="1" applyBorder="1" applyAlignment="1">
      <alignment horizontal="center" vertical="center" wrapText="1"/>
    </xf>
    <xf numFmtId="10" fontId="6" fillId="11" borderId="16" xfId="1" applyNumberFormat="1" applyFont="1" applyFill="1" applyBorder="1" applyAlignment="1">
      <alignment horizontal="center" vertical="center" wrapText="1"/>
    </xf>
    <xf numFmtId="10" fontId="6" fillId="11" borderId="27" xfId="1" applyNumberFormat="1" applyFont="1" applyFill="1" applyBorder="1" applyAlignment="1">
      <alignment horizontal="center" vertical="center" wrapText="1"/>
    </xf>
    <xf numFmtId="10" fontId="6" fillId="11" borderId="28" xfId="1" applyNumberFormat="1" applyFont="1" applyFill="1" applyBorder="1" applyAlignment="1">
      <alignment horizontal="center" vertical="center" wrapText="1"/>
    </xf>
    <xf numFmtId="10" fontId="6" fillId="11" borderId="43" xfId="1" applyNumberFormat="1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6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/>
    </xf>
    <xf numFmtId="10" fontId="7" fillId="5" borderId="43" xfId="1" applyNumberFormat="1" applyFont="1" applyFill="1" applyBorder="1" applyAlignment="1">
      <alignment horizontal="center" vertical="center" wrapText="1"/>
    </xf>
    <xf numFmtId="9" fontId="7" fillId="5" borderId="24" xfId="1" applyFont="1" applyFill="1" applyBorder="1" applyAlignment="1">
      <alignment horizontal="center" vertical="center" wrapText="1"/>
    </xf>
    <xf numFmtId="9" fontId="7" fillId="5" borderId="25" xfId="1" applyFont="1" applyFill="1" applyBorder="1" applyAlignment="1">
      <alignment horizontal="center" wrapText="1"/>
    </xf>
    <xf numFmtId="9" fontId="7" fillId="5" borderId="43" xfId="1" applyFont="1" applyFill="1" applyBorder="1" applyAlignment="1">
      <alignment horizontal="center" wrapText="1"/>
    </xf>
    <xf numFmtId="9" fontId="7" fillId="5" borderId="24" xfId="1" applyFont="1" applyFill="1" applyBorder="1" applyAlignment="1">
      <alignment horizontal="center" wrapText="1"/>
    </xf>
    <xf numFmtId="0" fontId="7" fillId="2" borderId="71" xfId="0" applyFont="1" applyFill="1" applyBorder="1" applyAlignment="1">
      <alignment horizontal="center" vertical="center" wrapText="1"/>
    </xf>
    <xf numFmtId="0" fontId="6" fillId="0" borderId="70" xfId="0" applyFont="1" applyBorder="1" applyAlignment="1">
      <alignment wrapText="1"/>
    </xf>
    <xf numFmtId="0" fontId="6" fillId="0" borderId="76" xfId="0" applyFont="1" applyBorder="1" applyAlignment="1">
      <alignment wrapText="1"/>
    </xf>
    <xf numFmtId="0" fontId="6" fillId="0" borderId="76" xfId="0" applyFont="1" applyBorder="1"/>
    <xf numFmtId="0" fontId="6" fillId="2" borderId="86" xfId="0" applyFont="1" applyFill="1" applyBorder="1" applyAlignment="1">
      <alignment horizontal="center" vertical="center" wrapText="1"/>
    </xf>
    <xf numFmtId="0" fontId="6" fillId="2" borderId="88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10" fontId="7" fillId="5" borderId="24" xfId="1" applyNumberFormat="1" applyFont="1" applyFill="1" applyBorder="1" applyAlignment="1">
      <alignment horizontal="center" vertical="center" wrapText="1"/>
    </xf>
    <xf numFmtId="10" fontId="7" fillId="5" borderId="25" xfId="1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wrapText="1"/>
    </xf>
    <xf numFmtId="0" fontId="13" fillId="0" borderId="52" xfId="0" applyFont="1" applyFill="1" applyBorder="1" applyAlignment="1">
      <alignment wrapText="1"/>
    </xf>
    <xf numFmtId="0" fontId="11" fillId="15" borderId="43" xfId="0" applyFont="1" applyFill="1" applyBorder="1" applyAlignment="1">
      <alignment horizontal="center" vertical="center" wrapText="1"/>
    </xf>
    <xf numFmtId="0" fontId="11" fillId="13" borderId="23" xfId="0" applyFont="1" applyFill="1" applyBorder="1" applyAlignment="1">
      <alignment horizontal="center" vertical="center" wrapText="1"/>
    </xf>
    <xf numFmtId="0" fontId="11" fillId="15" borderId="86" xfId="0" applyFont="1" applyFill="1" applyBorder="1" applyAlignment="1">
      <alignment horizontal="center" vertical="center" wrapText="1"/>
    </xf>
    <xf numFmtId="0" fontId="11" fillId="15" borderId="66" xfId="0" applyFont="1" applyFill="1" applyBorder="1" applyAlignment="1">
      <alignment horizontal="center" vertical="center" wrapText="1"/>
    </xf>
    <xf numFmtId="0" fontId="11" fillId="15" borderId="87" xfId="0" applyFont="1" applyFill="1" applyBorder="1" applyAlignment="1">
      <alignment horizontal="center" vertical="center" wrapText="1"/>
    </xf>
    <xf numFmtId="0" fontId="11" fillId="15" borderId="67" xfId="0" applyFont="1" applyFill="1" applyBorder="1" applyAlignment="1">
      <alignment horizontal="center" vertical="center" wrapText="1"/>
    </xf>
    <xf numFmtId="0" fontId="11" fillId="15" borderId="88" xfId="0" applyFont="1" applyFill="1" applyBorder="1" applyAlignment="1">
      <alignment horizontal="center" vertical="center" wrapText="1"/>
    </xf>
    <xf numFmtId="0" fontId="11" fillId="15" borderId="29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vertical="center" wrapText="1"/>
    </xf>
    <xf numFmtId="0" fontId="7" fillId="2" borderId="55" xfId="0" applyFont="1" applyFill="1" applyBorder="1" applyAlignment="1">
      <alignment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14" fontId="0" fillId="0" borderId="0" xfId="0" applyNumberFormat="1" applyAlignment="1">
      <alignment wrapText="1"/>
    </xf>
    <xf numFmtId="49" fontId="21" fillId="4" borderId="0" xfId="0" applyNumberFormat="1" applyFont="1" applyFill="1" applyBorder="1" applyAlignment="1">
      <alignment horizontal="center" vertical="center" wrapText="1"/>
    </xf>
    <xf numFmtId="49" fontId="21" fillId="4" borderId="8" xfId="0" applyNumberFormat="1" applyFont="1" applyFill="1" applyBorder="1" applyAlignment="1">
      <alignment horizontal="center" vertical="center" wrapText="1"/>
    </xf>
    <xf numFmtId="49" fontId="23" fillId="0" borderId="0" xfId="0" applyNumberFormat="1" applyFont="1"/>
    <xf numFmtId="0" fontId="2" fillId="2" borderId="3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2" fillId="16" borderId="89" xfId="0" applyNumberFormat="1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11" fillId="13" borderId="41" xfId="0" applyFont="1" applyFill="1" applyBorder="1" applyAlignment="1">
      <alignment horizontal="center" vertical="center" wrapText="1"/>
    </xf>
    <xf numFmtId="0" fontId="11" fillId="13" borderId="37" xfId="0" applyFont="1" applyFill="1" applyBorder="1" applyAlignment="1">
      <alignment horizontal="center" vertical="center" wrapText="1"/>
    </xf>
    <xf numFmtId="0" fontId="11" fillId="13" borderId="66" xfId="0" applyFont="1" applyFill="1" applyBorder="1" applyAlignment="1">
      <alignment horizontal="center" vertical="center" wrapText="1"/>
    </xf>
    <xf numFmtId="0" fontId="11" fillId="13" borderId="39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15" borderId="26" xfId="0" applyFont="1" applyFill="1" applyBorder="1" applyAlignment="1">
      <alignment horizontal="center" vertical="center" wrapText="1"/>
    </xf>
    <xf numFmtId="49" fontId="11" fillId="0" borderId="27" xfId="0" applyNumberFormat="1" applyFont="1" applyFill="1" applyBorder="1" applyAlignment="1">
      <alignment horizontal="center" vertical="center" wrapText="1"/>
    </xf>
    <xf numFmtId="10" fontId="7" fillId="2" borderId="25" xfId="1" applyNumberFormat="1" applyFont="1" applyFill="1" applyBorder="1" applyAlignment="1">
      <alignment horizontal="center" vertical="center"/>
    </xf>
    <xf numFmtId="9" fontId="7" fillId="5" borderId="30" xfId="1" applyFont="1" applyFill="1" applyBorder="1" applyAlignment="1">
      <alignment horizontal="center" vertical="center" wrapText="1"/>
    </xf>
    <xf numFmtId="168" fontId="7" fillId="5" borderId="30" xfId="0" applyNumberFormat="1" applyFont="1" applyFill="1" applyBorder="1" applyAlignment="1">
      <alignment horizontal="center" vertical="center" wrapText="1"/>
    </xf>
    <xf numFmtId="168" fontId="7" fillId="5" borderId="38" xfId="0" applyNumberFormat="1" applyFont="1" applyFill="1" applyBorder="1" applyAlignment="1">
      <alignment horizontal="center" vertical="center" wrapText="1"/>
    </xf>
    <xf numFmtId="10" fontId="7" fillId="5" borderId="31" xfId="1" applyNumberFormat="1" applyFont="1" applyFill="1" applyBorder="1" applyAlignment="1">
      <alignment horizontal="center" vertical="center" wrapText="1"/>
    </xf>
    <xf numFmtId="168" fontId="6" fillId="10" borderId="64" xfId="0" applyNumberFormat="1" applyFont="1" applyFill="1" applyBorder="1" applyAlignment="1">
      <alignment horizontal="center" vertical="center" wrapText="1"/>
    </xf>
    <xf numFmtId="168" fontId="6" fillId="10" borderId="43" xfId="0" applyNumberFormat="1" applyFont="1" applyFill="1" applyBorder="1" applyAlignment="1">
      <alignment horizontal="center" vertical="center" wrapText="1"/>
    </xf>
    <xf numFmtId="168" fontId="6" fillId="3" borderId="64" xfId="0" applyNumberFormat="1" applyFont="1" applyFill="1" applyBorder="1" applyAlignment="1">
      <alignment horizontal="center" vertical="center" wrapText="1"/>
    </xf>
    <xf numFmtId="168" fontId="6" fillId="3" borderId="43" xfId="0" applyNumberFormat="1" applyFont="1" applyFill="1" applyBorder="1" applyAlignment="1">
      <alignment horizontal="center" vertical="center" wrapText="1"/>
    </xf>
    <xf numFmtId="168" fontId="6" fillId="9" borderId="64" xfId="0" applyNumberFormat="1" applyFont="1" applyFill="1" applyBorder="1" applyAlignment="1">
      <alignment horizontal="center" vertical="center" wrapText="1"/>
    </xf>
    <xf numFmtId="168" fontId="6" fillId="9" borderId="43" xfId="0" applyNumberFormat="1" applyFont="1" applyFill="1" applyBorder="1" applyAlignment="1">
      <alignment horizontal="center" vertical="center" wrapText="1"/>
    </xf>
    <xf numFmtId="168" fontId="6" fillId="11" borderId="64" xfId="0" applyNumberFormat="1" applyFont="1" applyFill="1" applyBorder="1" applyAlignment="1">
      <alignment horizontal="center" vertical="center" wrapText="1"/>
    </xf>
    <xf numFmtId="168" fontId="6" fillId="11" borderId="43" xfId="0" applyNumberFormat="1" applyFont="1" applyFill="1" applyBorder="1" applyAlignment="1">
      <alignment horizontal="center" vertical="center" wrapText="1"/>
    </xf>
    <xf numFmtId="168" fontId="6" fillId="10" borderId="16" xfId="0" applyNumberFormat="1" applyFont="1" applyFill="1" applyBorder="1" applyAlignment="1">
      <alignment horizontal="center" vertical="center" wrapText="1"/>
    </xf>
    <xf numFmtId="168" fontId="6" fillId="10" borderId="74" xfId="0" applyNumberFormat="1" applyFont="1" applyFill="1" applyBorder="1" applyAlignment="1">
      <alignment horizontal="center" vertical="center" wrapText="1"/>
    </xf>
    <xf numFmtId="168" fontId="6" fillId="5" borderId="24" xfId="0" applyNumberFormat="1" applyFont="1" applyFill="1" applyBorder="1" applyAlignment="1">
      <alignment horizontal="center" vertical="center" wrapText="1"/>
    </xf>
    <xf numFmtId="168" fontId="6" fillId="5" borderId="37" xfId="0" applyNumberFormat="1" applyFont="1" applyFill="1" applyBorder="1" applyAlignment="1">
      <alignment horizontal="center" vertical="center" wrapText="1"/>
    </xf>
    <xf numFmtId="168" fontId="6" fillId="5" borderId="43" xfId="0" applyNumberFormat="1" applyFont="1" applyFill="1" applyBorder="1" applyAlignment="1">
      <alignment horizontal="center" vertical="center" wrapText="1"/>
    </xf>
    <xf numFmtId="0" fontId="6" fillId="0" borderId="52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73" xfId="0" applyFont="1" applyBorder="1" applyAlignment="1">
      <alignment horizontal="center" wrapText="1"/>
    </xf>
    <xf numFmtId="168" fontId="6" fillId="5" borderId="25" xfId="0" applyNumberFormat="1" applyFont="1" applyFill="1" applyBorder="1" applyAlignment="1">
      <alignment horizontal="center" vertical="center" wrapText="1"/>
    </xf>
    <xf numFmtId="10" fontId="6" fillId="0" borderId="27" xfId="1" applyNumberFormat="1" applyFont="1" applyBorder="1" applyAlignment="1">
      <alignment horizontal="center" vertical="center" wrapText="1"/>
    </xf>
    <xf numFmtId="168" fontId="6" fillId="0" borderId="66" xfId="0" applyNumberFormat="1" applyFont="1" applyFill="1" applyBorder="1" applyAlignment="1">
      <alignment horizontal="center" vertical="center" wrapText="1"/>
    </xf>
    <xf numFmtId="10" fontId="6" fillId="0" borderId="63" xfId="1" applyNumberFormat="1" applyFont="1" applyBorder="1" applyAlignment="1">
      <alignment horizontal="center" wrapText="1"/>
    </xf>
    <xf numFmtId="168" fontId="6" fillId="0" borderId="67" xfId="0" applyNumberFormat="1" applyFont="1" applyFill="1" applyBorder="1" applyAlignment="1">
      <alignment horizontal="center" vertical="center" wrapText="1"/>
    </xf>
    <xf numFmtId="168" fontId="6" fillId="0" borderId="29" xfId="0" applyNumberFormat="1" applyFont="1" applyFill="1" applyBorder="1" applyAlignment="1">
      <alignment horizontal="center" vertical="center" wrapText="1"/>
    </xf>
    <xf numFmtId="10" fontId="6" fillId="0" borderId="58" xfId="1" applyNumberFormat="1" applyFont="1" applyFill="1" applyBorder="1" applyAlignment="1">
      <alignment horizontal="center" vertical="center"/>
    </xf>
    <xf numFmtId="165" fontId="6" fillId="0" borderId="53" xfId="0" applyNumberFormat="1" applyFont="1" applyFill="1" applyBorder="1" applyAlignment="1">
      <alignment horizontal="center" vertical="center"/>
    </xf>
    <xf numFmtId="10" fontId="6" fillId="0" borderId="44" xfId="1" applyNumberFormat="1" applyFont="1" applyBorder="1" applyAlignment="1">
      <alignment horizontal="center" wrapText="1"/>
    </xf>
    <xf numFmtId="165" fontId="6" fillId="0" borderId="44" xfId="0" applyNumberFormat="1" applyFont="1" applyBorder="1" applyAlignment="1">
      <alignment horizontal="center" vertical="center" wrapText="1"/>
    </xf>
    <xf numFmtId="10" fontId="6" fillId="0" borderId="27" xfId="1" applyNumberFormat="1" applyFont="1" applyBorder="1" applyAlignment="1">
      <alignment horizontal="center" wrapText="1"/>
    </xf>
    <xf numFmtId="168" fontId="6" fillId="0" borderId="26" xfId="0" applyNumberFormat="1" applyFont="1" applyBorder="1" applyAlignment="1">
      <alignment horizontal="center" vertical="center" wrapText="1"/>
    </xf>
    <xf numFmtId="10" fontId="6" fillId="0" borderId="28" xfId="1" applyNumberFormat="1" applyFont="1" applyBorder="1" applyAlignment="1">
      <alignment horizontal="center" wrapText="1"/>
    </xf>
    <xf numFmtId="168" fontId="6" fillId="0" borderId="67" xfId="0" applyNumberFormat="1" applyFont="1" applyBorder="1" applyAlignment="1">
      <alignment horizontal="center" vertical="center" wrapText="1"/>
    </xf>
    <xf numFmtId="10" fontId="6" fillId="0" borderId="31" xfId="1" applyNumberFormat="1" applyFont="1" applyBorder="1" applyAlignment="1">
      <alignment horizontal="center" wrapText="1"/>
    </xf>
    <xf numFmtId="168" fontId="6" fillId="0" borderId="29" xfId="0" applyNumberFormat="1" applyFont="1" applyBorder="1" applyAlignment="1">
      <alignment horizontal="center" vertical="center" wrapText="1"/>
    </xf>
    <xf numFmtId="168" fontId="6" fillId="5" borderId="41" xfId="0" applyNumberFormat="1" applyFont="1" applyFill="1" applyBorder="1" applyAlignment="1">
      <alignment horizontal="center" wrapText="1"/>
    </xf>
    <xf numFmtId="168" fontId="6" fillId="10" borderId="79" xfId="0" applyNumberFormat="1" applyFont="1" applyFill="1" applyBorder="1" applyAlignment="1">
      <alignment horizontal="center" vertical="center" wrapText="1"/>
    </xf>
    <xf numFmtId="168" fontId="6" fillId="10" borderId="39" xfId="0" applyNumberFormat="1" applyFont="1" applyFill="1" applyBorder="1" applyAlignment="1">
      <alignment horizontal="center" vertical="center" wrapText="1"/>
    </xf>
    <xf numFmtId="168" fontId="6" fillId="3" borderId="79" xfId="0" applyNumberFormat="1" applyFont="1" applyFill="1" applyBorder="1" applyAlignment="1">
      <alignment horizontal="center" vertical="center" wrapText="1"/>
    </xf>
    <xf numFmtId="168" fontId="6" fillId="3" borderId="39" xfId="0" applyNumberFormat="1" applyFont="1" applyFill="1" applyBorder="1" applyAlignment="1">
      <alignment horizontal="center" vertical="center" wrapText="1"/>
    </xf>
    <xf numFmtId="168" fontId="6" fillId="9" borderId="79" xfId="0" applyNumberFormat="1" applyFont="1" applyFill="1" applyBorder="1" applyAlignment="1">
      <alignment horizontal="center" vertical="center" wrapText="1"/>
    </xf>
    <xf numFmtId="168" fontId="6" fillId="9" borderId="39" xfId="0" applyNumberFormat="1" applyFont="1" applyFill="1" applyBorder="1" applyAlignment="1">
      <alignment horizontal="center" vertical="center" wrapText="1"/>
    </xf>
    <xf numFmtId="168" fontId="6" fillId="11" borderId="79" xfId="0" applyNumberFormat="1" applyFont="1" applyFill="1" applyBorder="1" applyAlignment="1">
      <alignment horizontal="center" vertical="center" wrapText="1"/>
    </xf>
    <xf numFmtId="168" fontId="6" fillId="11" borderId="39" xfId="0" applyNumberFormat="1" applyFont="1" applyFill="1" applyBorder="1" applyAlignment="1">
      <alignment horizontal="center" vertical="center" wrapText="1"/>
    </xf>
    <xf numFmtId="168" fontId="6" fillId="10" borderId="28" xfId="0" applyNumberFormat="1" applyFont="1" applyFill="1" applyBorder="1" applyAlignment="1">
      <alignment horizontal="center" vertical="center" wrapText="1"/>
    </xf>
    <xf numFmtId="168" fontId="6" fillId="3" borderId="16" xfId="0" applyNumberFormat="1" applyFont="1" applyFill="1" applyBorder="1" applyAlignment="1">
      <alignment horizontal="center" vertical="center" wrapText="1"/>
    </xf>
    <xf numFmtId="168" fontId="6" fillId="3" borderId="28" xfId="0" applyNumberFormat="1" applyFont="1" applyFill="1" applyBorder="1" applyAlignment="1">
      <alignment horizontal="center" vertical="center" wrapText="1"/>
    </xf>
    <xf numFmtId="168" fontId="6" fillId="9" borderId="16" xfId="0" applyNumberFormat="1" applyFont="1" applyFill="1" applyBorder="1" applyAlignment="1">
      <alignment horizontal="center" vertical="center" wrapText="1"/>
    </xf>
    <xf numFmtId="168" fontId="6" fillId="9" borderId="28" xfId="0" applyNumberFormat="1" applyFont="1" applyFill="1" applyBorder="1" applyAlignment="1">
      <alignment horizontal="center" vertical="center" wrapText="1"/>
    </xf>
    <xf numFmtId="168" fontId="6" fillId="11" borderId="16" xfId="0" applyNumberFormat="1" applyFont="1" applyFill="1" applyBorder="1" applyAlignment="1">
      <alignment horizontal="center" vertical="center" wrapText="1"/>
    </xf>
    <xf numFmtId="168" fontId="6" fillId="11" borderId="28" xfId="0" applyNumberFormat="1" applyFont="1" applyFill="1" applyBorder="1" applyAlignment="1">
      <alignment horizontal="center" vertical="center" wrapText="1"/>
    </xf>
    <xf numFmtId="168" fontId="6" fillId="3" borderId="74" xfId="0" applyNumberFormat="1" applyFont="1" applyFill="1" applyBorder="1" applyAlignment="1">
      <alignment horizontal="center" vertical="center" wrapText="1"/>
    </xf>
    <xf numFmtId="168" fontId="6" fillId="9" borderId="74" xfId="0" applyNumberFormat="1" applyFont="1" applyFill="1" applyBorder="1" applyAlignment="1">
      <alignment horizontal="center" vertical="center" wrapText="1"/>
    </xf>
    <xf numFmtId="168" fontId="6" fillId="11" borderId="74" xfId="0" applyNumberFormat="1" applyFont="1" applyFill="1" applyBorder="1" applyAlignment="1">
      <alignment horizontal="center" vertical="center" wrapText="1"/>
    </xf>
    <xf numFmtId="168" fontId="6" fillId="10" borderId="30" xfId="0" applyNumberFormat="1" applyFont="1" applyFill="1" applyBorder="1" applyAlignment="1">
      <alignment horizontal="center" vertical="center" wrapText="1"/>
    </xf>
    <xf numFmtId="168" fontId="6" fillId="10" borderId="31" xfId="0" applyNumberFormat="1" applyFont="1" applyFill="1" applyBorder="1" applyAlignment="1">
      <alignment horizontal="center" vertical="center" wrapText="1"/>
    </xf>
    <xf numFmtId="168" fontId="6" fillId="3" borderId="30" xfId="0" applyNumberFormat="1" applyFont="1" applyFill="1" applyBorder="1" applyAlignment="1">
      <alignment horizontal="center" vertical="center" wrapText="1"/>
    </xf>
    <xf numFmtId="168" fontId="6" fillId="3" borderId="31" xfId="0" applyNumberFormat="1" applyFont="1" applyFill="1" applyBorder="1" applyAlignment="1">
      <alignment horizontal="center" vertical="center" wrapText="1"/>
    </xf>
    <xf numFmtId="168" fontId="6" fillId="9" borderId="30" xfId="0" applyNumberFormat="1" applyFont="1" applyFill="1" applyBorder="1" applyAlignment="1">
      <alignment horizontal="center" vertical="center" wrapText="1"/>
    </xf>
    <xf numFmtId="168" fontId="6" fillId="9" borderId="31" xfId="0" applyNumberFormat="1" applyFont="1" applyFill="1" applyBorder="1" applyAlignment="1">
      <alignment horizontal="center" vertical="center" wrapText="1"/>
    </xf>
    <xf numFmtId="168" fontId="6" fillId="11" borderId="30" xfId="0" applyNumberFormat="1" applyFont="1" applyFill="1" applyBorder="1" applyAlignment="1">
      <alignment horizontal="center" vertical="center" wrapText="1"/>
    </xf>
    <xf numFmtId="168" fontId="6" fillId="11" borderId="31" xfId="0" applyNumberFormat="1" applyFont="1" applyFill="1" applyBorder="1" applyAlignment="1">
      <alignment horizontal="center" vertical="center" wrapText="1"/>
    </xf>
    <xf numFmtId="168" fontId="6" fillId="5" borderId="24" xfId="0" applyNumberFormat="1" applyFont="1" applyFill="1" applyBorder="1" applyAlignment="1">
      <alignment horizontal="center" wrapText="1"/>
    </xf>
    <xf numFmtId="168" fontId="6" fillId="5" borderId="25" xfId="0" applyNumberFormat="1" applyFont="1" applyFill="1" applyBorder="1" applyAlignment="1">
      <alignment horizontal="center" wrapText="1"/>
    </xf>
    <xf numFmtId="168" fontId="6" fillId="5" borderId="43" xfId="0" applyNumberFormat="1" applyFont="1" applyFill="1" applyBorder="1" applyAlignment="1">
      <alignment horizontal="center" wrapText="1"/>
    </xf>
    <xf numFmtId="168" fontId="6" fillId="5" borderId="33" xfId="0" applyNumberFormat="1" applyFont="1" applyFill="1" applyBorder="1" applyAlignment="1">
      <alignment horizontal="center" wrapText="1"/>
    </xf>
    <xf numFmtId="168" fontId="6" fillId="3" borderId="82" xfId="0" applyNumberFormat="1" applyFont="1" applyFill="1" applyBorder="1" applyAlignment="1">
      <alignment horizontal="center" vertical="center" wrapText="1"/>
    </xf>
    <xf numFmtId="168" fontId="6" fillId="3" borderId="38" xfId="0" applyNumberFormat="1" applyFont="1" applyFill="1" applyBorder="1" applyAlignment="1">
      <alignment horizontal="center" vertical="center" wrapText="1"/>
    </xf>
    <xf numFmtId="10" fontId="6" fillId="0" borderId="39" xfId="1" applyNumberFormat="1" applyFont="1" applyBorder="1" applyAlignment="1">
      <alignment horizontal="center" wrapText="1"/>
    </xf>
    <xf numFmtId="168" fontId="6" fillId="0" borderId="30" xfId="0" applyNumberFormat="1" applyFont="1" applyBorder="1" applyAlignment="1">
      <alignment horizontal="center" vertical="center" wrapText="1"/>
    </xf>
    <xf numFmtId="10" fontId="7" fillId="5" borderId="25" xfId="1" applyNumberFormat="1" applyFont="1" applyFill="1" applyBorder="1" applyAlignment="1">
      <alignment horizontal="center" vertical="center"/>
    </xf>
    <xf numFmtId="168" fontId="7" fillId="5" borderId="23" xfId="0" applyNumberFormat="1" applyFont="1" applyFill="1" applyBorder="1" applyAlignment="1">
      <alignment horizontal="center" vertical="center" wrapText="1"/>
    </xf>
    <xf numFmtId="10" fontId="7" fillId="6" borderId="25" xfId="1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wrapText="1"/>
    </xf>
    <xf numFmtId="9" fontId="7" fillId="5" borderId="37" xfId="1" applyFont="1" applyFill="1" applyBorder="1" applyAlignment="1">
      <alignment horizontal="center" wrapText="1"/>
    </xf>
    <xf numFmtId="9" fontId="7" fillId="5" borderId="25" xfId="0" applyNumberFormat="1" applyFont="1" applyFill="1" applyBorder="1" applyAlignment="1">
      <alignment horizontal="center" wrapText="1"/>
    </xf>
    <xf numFmtId="168" fontId="7" fillId="5" borderId="43" xfId="0" applyNumberFormat="1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wrapText="1"/>
    </xf>
    <xf numFmtId="0" fontId="7" fillId="5" borderId="23" xfId="0" applyFont="1" applyFill="1" applyBorder="1" applyAlignment="1">
      <alignment horizontal="center" vertical="center" wrapText="1"/>
    </xf>
    <xf numFmtId="10" fontId="7" fillId="5" borderId="25" xfId="1" applyNumberFormat="1" applyFont="1" applyFill="1" applyBorder="1" applyAlignment="1">
      <alignment horizontal="center" wrapText="1"/>
    </xf>
    <xf numFmtId="168" fontId="7" fillId="5" borderId="41" xfId="0" applyNumberFormat="1" applyFont="1" applyFill="1" applyBorder="1" applyAlignment="1">
      <alignment horizontal="center" wrapText="1"/>
    </xf>
    <xf numFmtId="10" fontId="7" fillId="5" borderId="25" xfId="0" applyNumberFormat="1" applyFont="1" applyFill="1" applyBorder="1" applyAlignment="1">
      <alignment horizontal="center" wrapText="1"/>
    </xf>
    <xf numFmtId="2" fontId="7" fillId="0" borderId="43" xfId="1" applyNumberFormat="1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right"/>
    </xf>
    <xf numFmtId="0" fontId="7" fillId="5" borderId="43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 vertical="center" wrapText="1"/>
    </xf>
    <xf numFmtId="10" fontId="6" fillId="2" borderId="46" xfId="0" applyNumberFormat="1" applyFont="1" applyFill="1" applyBorder="1" applyAlignment="1">
      <alignment horizontal="center" vertical="center" wrapText="1"/>
    </xf>
    <xf numFmtId="10" fontId="6" fillId="0" borderId="27" xfId="1" applyNumberFormat="1" applyFont="1" applyBorder="1" applyAlignment="1">
      <alignment horizontal="center" vertical="center"/>
    </xf>
    <xf numFmtId="168" fontId="6" fillId="2" borderId="26" xfId="0" applyNumberFormat="1" applyFont="1" applyFill="1" applyBorder="1" applyAlignment="1">
      <alignment horizontal="center" vertical="center" wrapText="1"/>
    </xf>
    <xf numFmtId="10" fontId="6" fillId="2" borderId="27" xfId="1" applyNumberFormat="1" applyFont="1" applyFill="1" applyBorder="1" applyAlignment="1">
      <alignment horizontal="center" vertical="center" wrapText="1"/>
    </xf>
    <xf numFmtId="168" fontId="6" fillId="0" borderId="42" xfId="0" applyNumberFormat="1" applyFont="1" applyBorder="1" applyAlignment="1">
      <alignment horizontal="center" vertical="center"/>
    </xf>
    <xf numFmtId="10" fontId="7" fillId="2" borderId="45" xfId="0" applyNumberFormat="1" applyFont="1" applyFill="1" applyBorder="1" applyAlignment="1">
      <alignment horizontal="center" vertical="center" wrapText="1"/>
    </xf>
    <xf numFmtId="168" fontId="7" fillId="2" borderId="23" xfId="1" applyNumberFormat="1" applyFont="1" applyFill="1" applyBorder="1" applyAlignment="1">
      <alignment horizontal="center" vertical="center"/>
    </xf>
    <xf numFmtId="168" fontId="7" fillId="5" borderId="41" xfId="0" applyNumberFormat="1" applyFont="1" applyFill="1" applyBorder="1" applyAlignment="1">
      <alignment horizontal="center" vertical="center"/>
    </xf>
    <xf numFmtId="168" fontId="7" fillId="6" borderId="42" xfId="0" applyNumberFormat="1" applyFont="1" applyFill="1" applyBorder="1" applyAlignment="1">
      <alignment horizontal="center" vertical="center"/>
    </xf>
    <xf numFmtId="10" fontId="7" fillId="2" borderId="45" xfId="0" applyNumberFormat="1" applyFont="1" applyFill="1" applyBorder="1" applyAlignment="1">
      <alignment horizontal="center" vertical="center"/>
    </xf>
    <xf numFmtId="10" fontId="7" fillId="5" borderId="25" xfId="0" applyNumberFormat="1" applyFont="1" applyFill="1" applyBorder="1" applyAlignment="1">
      <alignment horizontal="center" vertical="center"/>
    </xf>
    <xf numFmtId="168" fontId="6" fillId="2" borderId="79" xfId="0" applyNumberFormat="1" applyFont="1" applyFill="1" applyBorder="1" applyAlignment="1">
      <alignment horizontal="center" vertical="center" wrapText="1"/>
    </xf>
    <xf numFmtId="168" fontId="6" fillId="2" borderId="43" xfId="0" applyNumberFormat="1" applyFont="1" applyFill="1" applyBorder="1" applyAlignment="1">
      <alignment horizontal="center" vertical="center" wrapText="1"/>
    </xf>
    <xf numFmtId="168" fontId="6" fillId="2" borderId="16" xfId="0" applyNumberFormat="1" applyFont="1" applyFill="1" applyBorder="1" applyAlignment="1">
      <alignment horizontal="center" vertical="center" wrapText="1"/>
    </xf>
    <xf numFmtId="168" fontId="6" fillId="2" borderId="30" xfId="0" applyNumberFormat="1" applyFont="1" applyFill="1" applyBorder="1" applyAlignment="1">
      <alignment horizontal="center" vertical="center" wrapText="1"/>
    </xf>
    <xf numFmtId="168" fontId="6" fillId="2" borderId="24" xfId="0" applyNumberFormat="1" applyFont="1" applyFill="1" applyBorder="1" applyAlignment="1">
      <alignment horizontal="center" vertical="center" wrapText="1"/>
    </xf>
    <xf numFmtId="168" fontId="6" fillId="2" borderId="66" xfId="0" applyNumberFormat="1" applyFont="1" applyFill="1" applyBorder="1" applyAlignment="1">
      <alignment horizontal="center" vertical="center" wrapText="1"/>
    </xf>
    <xf numFmtId="168" fontId="6" fillId="2" borderId="64" xfId="0" applyNumberFormat="1" applyFont="1" applyFill="1" applyBorder="1" applyAlignment="1">
      <alignment horizontal="center" vertical="center" wrapText="1"/>
    </xf>
    <xf numFmtId="168" fontId="6" fillId="2" borderId="67" xfId="0" applyNumberFormat="1" applyFont="1" applyFill="1" applyBorder="1" applyAlignment="1">
      <alignment horizontal="center" vertical="center" wrapText="1"/>
    </xf>
    <xf numFmtId="168" fontId="6" fillId="2" borderId="74" xfId="0" applyNumberFormat="1" applyFont="1" applyFill="1" applyBorder="1" applyAlignment="1">
      <alignment horizontal="center" vertical="center" wrapText="1"/>
    </xf>
    <xf numFmtId="168" fontId="6" fillId="2" borderId="29" xfId="0" applyNumberFormat="1" applyFont="1" applyFill="1" applyBorder="1" applyAlignment="1">
      <alignment horizontal="center" vertical="center" wrapText="1"/>
    </xf>
    <xf numFmtId="168" fontId="7" fillId="2" borderId="23" xfId="0" applyNumberFormat="1" applyFont="1" applyFill="1" applyBorder="1" applyAlignment="1">
      <alignment horizontal="center" vertical="center" wrapText="1"/>
    </xf>
    <xf numFmtId="168" fontId="7" fillId="5" borderId="24" xfId="0" applyNumberFormat="1" applyFont="1" applyFill="1" applyBorder="1" applyAlignment="1">
      <alignment horizontal="center" vertical="center" wrapText="1"/>
    </xf>
    <xf numFmtId="168" fontId="7" fillId="2" borderId="24" xfId="0" applyNumberFormat="1" applyFont="1" applyFill="1" applyBorder="1" applyAlignment="1">
      <alignment horizontal="center" vertical="center" wrapText="1"/>
    </xf>
    <xf numFmtId="168" fontId="7" fillId="2" borderId="43" xfId="0" applyNumberFormat="1" applyFont="1" applyFill="1" applyBorder="1" applyAlignment="1">
      <alignment horizontal="center" vertical="center" wrapText="1"/>
    </xf>
    <xf numFmtId="168" fontId="6" fillId="2" borderId="27" xfId="0" applyNumberFormat="1" applyFont="1" applyFill="1" applyBorder="1" applyAlignment="1">
      <alignment horizontal="center" vertical="center" wrapText="1"/>
    </xf>
    <xf numFmtId="10" fontId="6" fillId="0" borderId="64" xfId="0" applyNumberFormat="1" applyFont="1" applyFill="1" applyBorder="1" applyAlignment="1">
      <alignment horizontal="center" vertical="center" wrapText="1"/>
    </xf>
    <xf numFmtId="168" fontId="6" fillId="0" borderId="65" xfId="0" applyNumberFormat="1" applyFont="1" applyBorder="1" applyAlignment="1">
      <alignment horizontal="center" vertical="center"/>
    </xf>
    <xf numFmtId="168" fontId="7" fillId="2" borderId="25" xfId="0" applyNumberFormat="1" applyFont="1" applyFill="1" applyBorder="1" applyAlignment="1">
      <alignment horizontal="center" wrapText="1"/>
    </xf>
    <xf numFmtId="10" fontId="7" fillId="6" borderId="24" xfId="0" applyNumberFormat="1" applyFont="1" applyFill="1" applyBorder="1" applyAlignment="1">
      <alignment horizontal="center" wrapText="1"/>
    </xf>
    <xf numFmtId="168" fontId="7" fillId="5" borderId="43" xfId="0" applyNumberFormat="1" applyFont="1" applyFill="1" applyBorder="1" applyAlignment="1">
      <alignment horizontal="center" wrapText="1"/>
    </xf>
    <xf numFmtId="10" fontId="6" fillId="2" borderId="81" xfId="0" applyNumberFormat="1" applyFont="1" applyFill="1" applyBorder="1" applyAlignment="1">
      <alignment horizontal="center" vertical="center" wrapText="1"/>
    </xf>
    <xf numFmtId="10" fontId="6" fillId="2" borderId="39" xfId="0" applyNumberFormat="1" applyFont="1" applyFill="1" applyBorder="1" applyAlignment="1">
      <alignment horizontal="center" vertical="center" wrapText="1"/>
    </xf>
    <xf numFmtId="168" fontId="6" fillId="2" borderId="56" xfId="0" applyNumberFormat="1" applyFont="1" applyFill="1" applyBorder="1" applyAlignment="1">
      <alignment horizontal="center" vertical="center" wrapText="1"/>
    </xf>
    <xf numFmtId="10" fontId="6" fillId="2" borderId="57" xfId="0" applyNumberFormat="1" applyFont="1" applyFill="1" applyBorder="1" applyAlignment="1">
      <alignment horizontal="center" vertical="center" wrapText="1"/>
    </xf>
    <xf numFmtId="10" fontId="7" fillId="2" borderId="25" xfId="0" applyNumberFormat="1" applyFont="1" applyFill="1" applyBorder="1" applyAlignment="1">
      <alignment horizontal="center" wrapText="1"/>
    </xf>
    <xf numFmtId="168" fontId="7" fillId="2" borderId="23" xfId="0" applyNumberFormat="1" applyFont="1" applyFill="1" applyBorder="1" applyAlignment="1">
      <alignment horizont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center" vertical="center" wrapText="1"/>
    </xf>
    <xf numFmtId="0" fontId="11" fillId="13" borderId="9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49" fontId="13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8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65" fontId="8" fillId="2" borderId="11" xfId="0" applyNumberFormat="1" applyFont="1" applyFill="1" applyBorder="1" applyAlignment="1">
      <alignment horizontal="center" vertical="center" wrapText="1"/>
    </xf>
    <xf numFmtId="0" fontId="24" fillId="8" borderId="16" xfId="2" applyFont="1" applyFill="1" applyBorder="1" applyAlignment="1">
      <alignment horizontal="center" vertical="center" wrapText="1" shrinkToFit="1"/>
    </xf>
    <xf numFmtId="0" fontId="7" fillId="2" borderId="88" xfId="0" applyFont="1" applyFill="1" applyBorder="1" applyAlignment="1">
      <alignment horizontal="center" vertical="center" wrapText="1"/>
    </xf>
    <xf numFmtId="2" fontId="25" fillId="0" borderId="63" xfId="0" applyNumberFormat="1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165" fontId="0" fillId="0" borderId="19" xfId="0" applyNumberFormat="1" applyFont="1" applyFill="1" applyBorder="1" applyAlignment="1">
      <alignment horizontal="center" vertical="center"/>
    </xf>
    <xf numFmtId="165" fontId="2" fillId="0" borderId="93" xfId="0" applyNumberFormat="1" applyFont="1" applyFill="1" applyBorder="1" applyAlignment="1">
      <alignment horizontal="center" vertical="center" wrapText="1"/>
    </xf>
    <xf numFmtId="165" fontId="2" fillId="0" borderId="94" xfId="0" applyNumberFormat="1" applyFont="1" applyFill="1" applyBorder="1" applyAlignment="1">
      <alignment horizontal="center" vertical="center" wrapText="1"/>
    </xf>
    <xf numFmtId="165" fontId="2" fillId="0" borderId="95" xfId="0" applyNumberFormat="1" applyFont="1" applyFill="1" applyBorder="1" applyAlignment="1">
      <alignment horizontal="center" vertical="center" wrapText="1"/>
    </xf>
    <xf numFmtId="165" fontId="2" fillId="0" borderId="54" xfId="0" applyNumberFormat="1" applyFont="1" applyFill="1" applyBorder="1" applyAlignment="1">
      <alignment horizontal="center" vertical="center" wrapText="1"/>
    </xf>
    <xf numFmtId="165" fontId="2" fillId="0" borderId="72" xfId="0" applyNumberFormat="1" applyFont="1" applyFill="1" applyBorder="1" applyAlignment="1">
      <alignment horizontal="center" vertical="center" wrapText="1"/>
    </xf>
    <xf numFmtId="165" fontId="2" fillId="0" borderId="55" xfId="0" applyNumberFormat="1" applyFont="1" applyFill="1" applyBorder="1" applyAlignment="1">
      <alignment horizontal="center" vertical="center" wrapText="1"/>
    </xf>
    <xf numFmtId="1" fontId="20" fillId="16" borderId="92" xfId="0" applyNumberFormat="1" applyFont="1" applyFill="1" applyBorder="1" applyAlignment="1">
      <alignment horizontal="center" vertical="center" wrapText="1"/>
    </xf>
    <xf numFmtId="49" fontId="2" fillId="0" borderId="54" xfId="0" applyNumberFormat="1" applyFont="1" applyFill="1" applyBorder="1" applyAlignment="1">
      <alignment horizontal="center" vertical="center" wrapText="1"/>
    </xf>
    <xf numFmtId="49" fontId="2" fillId="0" borderId="72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2" fillId="0" borderId="35" xfId="0" applyNumberFormat="1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6" fillId="0" borderId="60" xfId="0" applyFont="1" applyBorder="1" applyAlignment="1">
      <alignment wrapText="1"/>
    </xf>
    <xf numFmtId="0" fontId="26" fillId="0" borderId="43" xfId="0" applyFont="1" applyBorder="1" applyAlignment="1">
      <alignment wrapText="1"/>
    </xf>
    <xf numFmtId="10" fontId="7" fillId="5" borderId="40" xfId="1" applyNumberFormat="1" applyFont="1" applyFill="1" applyBorder="1" applyAlignment="1">
      <alignment horizontal="center" vertical="center" wrapText="1"/>
    </xf>
    <xf numFmtId="10" fontId="26" fillId="0" borderId="40" xfId="1" applyNumberFormat="1" applyFont="1" applyBorder="1" applyAlignment="1">
      <alignment horizont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168" fontId="6" fillId="0" borderId="50" xfId="0" applyNumberFormat="1" applyFont="1" applyBorder="1" applyAlignment="1">
      <alignment horizontal="center" vertical="center" wrapText="1"/>
    </xf>
    <xf numFmtId="168" fontId="6" fillId="0" borderId="65" xfId="0" applyNumberFormat="1" applyFont="1" applyBorder="1" applyAlignment="1">
      <alignment horizontal="center" vertical="center" wrapText="1"/>
    </xf>
    <xf numFmtId="168" fontId="6" fillId="0" borderId="55" xfId="0" applyNumberFormat="1" applyFont="1" applyBorder="1" applyAlignment="1">
      <alignment horizontal="center" vertical="center" wrapText="1"/>
    </xf>
    <xf numFmtId="0" fontId="26" fillId="0" borderId="66" xfId="0" applyFont="1" applyFill="1" applyBorder="1" applyAlignment="1">
      <alignment horizontal="center" vertical="center" wrapText="1"/>
    </xf>
    <xf numFmtId="168" fontId="26" fillId="0" borderId="79" xfId="0" applyNumberFormat="1" applyFont="1" applyFill="1" applyBorder="1" applyAlignment="1">
      <alignment horizontal="center" vertical="center" wrapText="1"/>
    </xf>
    <xf numFmtId="0" fontId="26" fillId="0" borderId="43" xfId="0" applyFont="1" applyFill="1" applyBorder="1" applyAlignment="1">
      <alignment horizontal="center" vertical="center" wrapText="1"/>
    </xf>
    <xf numFmtId="168" fontId="26" fillId="0" borderId="43" xfId="0" applyNumberFormat="1" applyFont="1" applyFill="1" applyBorder="1" applyAlignment="1">
      <alignment horizontal="center" vertical="center" wrapText="1"/>
    </xf>
    <xf numFmtId="168" fontId="26" fillId="0" borderId="82" xfId="0" applyNumberFormat="1" applyFont="1" applyFill="1" applyBorder="1" applyAlignment="1">
      <alignment horizontal="center" vertical="center" wrapText="1"/>
    </xf>
    <xf numFmtId="10" fontId="6" fillId="5" borderId="24" xfId="0" applyNumberFormat="1" applyFont="1" applyFill="1" applyBorder="1" applyAlignment="1">
      <alignment horizontal="center" vertical="center" wrapText="1"/>
    </xf>
    <xf numFmtId="43" fontId="25" fillId="5" borderId="43" xfId="16" applyFont="1" applyFill="1" applyBorder="1" applyAlignment="1">
      <alignment horizontal="center" vertical="center" wrapText="1"/>
    </xf>
    <xf numFmtId="10" fontId="6" fillId="5" borderId="43" xfId="1" applyNumberFormat="1" applyFont="1" applyFill="1" applyBorder="1" applyAlignment="1" applyProtection="1">
      <alignment horizontal="center" vertical="center" wrapText="1"/>
    </xf>
    <xf numFmtId="10" fontId="6" fillId="5" borderId="43" xfId="1" applyNumberFormat="1" applyFont="1" applyFill="1" applyBorder="1" applyAlignment="1">
      <alignment horizontal="center" vertical="center" wrapText="1"/>
    </xf>
    <xf numFmtId="43" fontId="25" fillId="0" borderId="73" xfId="16" applyFont="1" applyFill="1" applyBorder="1" applyAlignment="1">
      <alignment horizontal="center" vertical="center" wrapText="1"/>
    </xf>
    <xf numFmtId="43" fontId="25" fillId="0" borderId="63" xfId="16" applyFont="1" applyFill="1" applyBorder="1" applyAlignment="1">
      <alignment horizontal="center" vertical="center" wrapText="1"/>
    </xf>
    <xf numFmtId="10" fontId="25" fillId="0" borderId="51" xfId="1" applyNumberFormat="1" applyFont="1" applyBorder="1" applyAlignment="1">
      <alignment horizontal="center" vertical="center"/>
    </xf>
    <xf numFmtId="0" fontId="2" fillId="3" borderId="35" xfId="0" applyNumberFormat="1" applyFont="1" applyFill="1" applyBorder="1" applyAlignment="1">
      <alignment horizontal="center" vertical="center" wrapText="1"/>
    </xf>
    <xf numFmtId="10" fontId="2" fillId="2" borderId="35" xfId="1" applyNumberFormat="1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horizontal="center" vertical="center"/>
    </xf>
    <xf numFmtId="165" fontId="0" fillId="0" borderId="35" xfId="0" applyNumberFormat="1" applyFont="1" applyFill="1" applyBorder="1" applyAlignment="1">
      <alignment horizontal="center" vertical="center"/>
    </xf>
    <xf numFmtId="9" fontId="25" fillId="0" borderId="51" xfId="1" applyFont="1" applyBorder="1" applyAlignment="1">
      <alignment horizontal="center" vertical="center"/>
    </xf>
    <xf numFmtId="168" fontId="6" fillId="10" borderId="44" xfId="0" applyNumberFormat="1" applyFont="1" applyFill="1" applyBorder="1" applyAlignment="1">
      <alignment horizontal="center" vertical="center" wrapText="1"/>
    </xf>
    <xf numFmtId="10" fontId="6" fillId="10" borderId="74" xfId="1" applyNumberFormat="1" applyFont="1" applyFill="1" applyBorder="1" applyAlignment="1" applyProtection="1">
      <alignment horizontal="center" vertical="center" wrapText="1"/>
    </xf>
    <xf numFmtId="168" fontId="6" fillId="2" borderId="54" xfId="0" applyNumberFormat="1" applyFont="1" applyFill="1" applyBorder="1" applyAlignment="1">
      <alignment horizontal="center" vertical="center" wrapText="1"/>
    </xf>
    <xf numFmtId="168" fontId="6" fillId="10" borderId="54" xfId="0" applyNumberFormat="1" applyFont="1" applyFill="1" applyBorder="1" applyAlignment="1">
      <alignment horizontal="center" vertical="center" wrapText="1"/>
    </xf>
    <xf numFmtId="10" fontId="6" fillId="10" borderId="54" xfId="1" applyNumberFormat="1" applyFont="1" applyFill="1" applyBorder="1" applyAlignment="1" applyProtection="1">
      <alignment horizontal="center" vertical="center" wrapText="1"/>
    </xf>
    <xf numFmtId="168" fontId="6" fillId="3" borderId="44" xfId="0" applyNumberFormat="1" applyFont="1" applyFill="1" applyBorder="1" applyAlignment="1">
      <alignment horizontal="center" vertical="center" wrapText="1"/>
    </xf>
    <xf numFmtId="10" fontId="6" fillId="3" borderId="74" xfId="1" applyNumberFormat="1" applyFont="1" applyFill="1" applyBorder="1" applyAlignment="1">
      <alignment horizontal="center" vertical="center" wrapText="1"/>
    </xf>
    <xf numFmtId="168" fontId="6" fillId="3" borderId="54" xfId="0" applyNumberFormat="1" applyFont="1" applyFill="1" applyBorder="1" applyAlignment="1">
      <alignment horizontal="center" vertical="center" wrapText="1"/>
    </xf>
    <xf numFmtId="10" fontId="6" fillId="3" borderId="54" xfId="1" applyNumberFormat="1" applyFont="1" applyFill="1" applyBorder="1" applyAlignment="1">
      <alignment horizontal="center" vertical="center" wrapText="1"/>
    </xf>
    <xf numFmtId="168" fontId="6" fillId="9" borderId="44" xfId="0" applyNumberFormat="1" applyFont="1" applyFill="1" applyBorder="1" applyAlignment="1">
      <alignment horizontal="center" vertical="center" wrapText="1"/>
    </xf>
    <xf numFmtId="10" fontId="6" fillId="9" borderId="74" xfId="1" applyNumberFormat="1" applyFont="1" applyFill="1" applyBorder="1" applyAlignment="1">
      <alignment horizontal="center" vertical="center" wrapText="1"/>
    </xf>
    <xf numFmtId="168" fontId="6" fillId="9" borderId="54" xfId="0" applyNumberFormat="1" applyFont="1" applyFill="1" applyBorder="1" applyAlignment="1">
      <alignment horizontal="center" vertical="center" wrapText="1"/>
    </xf>
    <xf numFmtId="10" fontId="6" fillId="9" borderId="54" xfId="1" applyNumberFormat="1" applyFont="1" applyFill="1" applyBorder="1" applyAlignment="1">
      <alignment horizontal="center" vertical="center" wrapText="1"/>
    </xf>
    <xf numFmtId="168" fontId="6" fillId="11" borderId="44" xfId="0" applyNumberFormat="1" applyFont="1" applyFill="1" applyBorder="1" applyAlignment="1">
      <alignment horizontal="center" vertical="center" wrapText="1"/>
    </xf>
    <xf numFmtId="10" fontId="6" fillId="11" borderId="74" xfId="1" applyNumberFormat="1" applyFont="1" applyFill="1" applyBorder="1" applyAlignment="1">
      <alignment horizontal="center" vertical="center" wrapText="1"/>
    </xf>
    <xf numFmtId="10" fontId="6" fillId="11" borderId="85" xfId="1" applyNumberFormat="1" applyFont="1" applyFill="1" applyBorder="1" applyAlignment="1">
      <alignment horizontal="center" vertical="center" wrapText="1"/>
    </xf>
    <xf numFmtId="168" fontId="6" fillId="11" borderId="54" xfId="0" applyNumberFormat="1" applyFont="1" applyFill="1" applyBorder="1" applyAlignment="1">
      <alignment horizontal="center" vertical="center" wrapText="1"/>
    </xf>
    <xf numFmtId="10" fontId="6" fillId="11" borderId="54" xfId="1" applyNumberFormat="1" applyFont="1" applyFill="1" applyBorder="1" applyAlignment="1">
      <alignment horizontal="center" vertical="center" wrapText="1"/>
    </xf>
    <xf numFmtId="10" fontId="6" fillId="10" borderId="64" xfId="1" applyNumberFormat="1" applyFont="1" applyFill="1" applyBorder="1" applyAlignment="1" applyProtection="1">
      <alignment horizontal="center" vertical="center" wrapText="1"/>
    </xf>
    <xf numFmtId="168" fontId="6" fillId="2" borderId="55" xfId="0" applyNumberFormat="1" applyFont="1" applyFill="1" applyBorder="1" applyAlignment="1">
      <alignment horizontal="center" vertical="center" wrapText="1"/>
    </xf>
    <xf numFmtId="168" fontId="6" fillId="10" borderId="55" xfId="0" applyNumberFormat="1" applyFont="1" applyFill="1" applyBorder="1" applyAlignment="1">
      <alignment horizontal="center" vertical="center" wrapText="1"/>
    </xf>
    <xf numFmtId="10" fontId="6" fillId="10" borderId="55" xfId="1" applyNumberFormat="1" applyFont="1" applyFill="1" applyBorder="1" applyAlignment="1" applyProtection="1">
      <alignment horizontal="center" vertical="center" wrapText="1"/>
    </xf>
    <xf numFmtId="10" fontId="6" fillId="3" borderId="64" xfId="1" applyNumberFormat="1" applyFont="1" applyFill="1" applyBorder="1" applyAlignment="1">
      <alignment horizontal="center" vertical="center" wrapText="1"/>
    </xf>
    <xf numFmtId="168" fontId="6" fillId="3" borderId="55" xfId="0" applyNumberFormat="1" applyFont="1" applyFill="1" applyBorder="1" applyAlignment="1">
      <alignment horizontal="center" vertical="center" wrapText="1"/>
    </xf>
    <xf numFmtId="10" fontId="6" fillId="3" borderId="55" xfId="1" applyNumberFormat="1" applyFont="1" applyFill="1" applyBorder="1" applyAlignment="1">
      <alignment horizontal="center" vertical="center" wrapText="1"/>
    </xf>
    <xf numFmtId="168" fontId="6" fillId="9" borderId="55" xfId="0" applyNumberFormat="1" applyFont="1" applyFill="1" applyBorder="1" applyAlignment="1">
      <alignment horizontal="center" vertical="center" wrapText="1"/>
    </xf>
    <xf numFmtId="10" fontId="6" fillId="9" borderId="55" xfId="1" applyNumberFormat="1" applyFont="1" applyFill="1" applyBorder="1" applyAlignment="1">
      <alignment horizontal="center" vertical="center" wrapText="1"/>
    </xf>
    <xf numFmtId="168" fontId="6" fillId="11" borderId="55" xfId="0" applyNumberFormat="1" applyFont="1" applyFill="1" applyBorder="1" applyAlignment="1">
      <alignment horizontal="center" vertical="center" wrapText="1"/>
    </xf>
    <xf numFmtId="10" fontId="6" fillId="11" borderId="55" xfId="1" applyNumberFormat="1" applyFont="1" applyFill="1" applyBorder="1" applyAlignment="1">
      <alignment horizontal="center" vertical="center" wrapText="1"/>
    </xf>
    <xf numFmtId="10" fontId="6" fillId="5" borderId="24" xfId="1" applyNumberFormat="1" applyFont="1" applyFill="1" applyBorder="1" applyAlignment="1" applyProtection="1">
      <alignment horizontal="center" vertical="center" wrapText="1"/>
    </xf>
    <xf numFmtId="10" fontId="6" fillId="5" borderId="24" xfId="1" applyNumberFormat="1" applyFont="1" applyFill="1" applyBorder="1" applyAlignment="1">
      <alignment horizontal="center" vertical="center" wrapText="1"/>
    </xf>
    <xf numFmtId="10" fontId="6" fillId="5" borderId="25" xfId="1" applyNumberFormat="1" applyFont="1" applyFill="1" applyBorder="1" applyAlignment="1">
      <alignment horizontal="center" vertical="center" wrapText="1"/>
    </xf>
    <xf numFmtId="168" fontId="6" fillId="2" borderId="80" xfId="0" applyNumberFormat="1" applyFont="1" applyFill="1" applyBorder="1" applyAlignment="1">
      <alignment horizontal="center" vertical="center" wrapText="1"/>
    </xf>
    <xf numFmtId="168" fontId="6" fillId="10" borderId="61" xfId="0" applyNumberFormat="1" applyFont="1" applyFill="1" applyBorder="1" applyAlignment="1">
      <alignment horizontal="center" vertical="center" wrapText="1"/>
    </xf>
    <xf numFmtId="10" fontId="6" fillId="10" borderId="61" xfId="1" applyNumberFormat="1" applyFont="1" applyFill="1" applyBorder="1" applyAlignment="1" applyProtection="1">
      <alignment horizontal="center" vertical="center" wrapText="1"/>
    </xf>
    <xf numFmtId="168" fontId="6" fillId="2" borderId="61" xfId="0" applyNumberFormat="1" applyFont="1" applyFill="1" applyBorder="1" applyAlignment="1">
      <alignment horizontal="center" vertical="center" wrapText="1"/>
    </xf>
    <xf numFmtId="168" fontId="6" fillId="3" borderId="61" xfId="0" applyNumberFormat="1" applyFont="1" applyFill="1" applyBorder="1" applyAlignment="1">
      <alignment horizontal="center" vertical="center" wrapText="1"/>
    </xf>
    <xf numFmtId="10" fontId="6" fillId="3" borderId="61" xfId="1" applyNumberFormat="1" applyFont="1" applyFill="1" applyBorder="1" applyAlignment="1">
      <alignment horizontal="center" vertical="center" wrapText="1"/>
    </xf>
    <xf numFmtId="168" fontId="6" fillId="9" borderId="61" xfId="0" applyNumberFormat="1" applyFont="1" applyFill="1" applyBorder="1" applyAlignment="1">
      <alignment horizontal="center" vertical="center" wrapText="1"/>
    </xf>
    <xf numFmtId="10" fontId="6" fillId="9" borderId="61" xfId="1" applyNumberFormat="1" applyFont="1" applyFill="1" applyBorder="1" applyAlignment="1">
      <alignment horizontal="center" vertical="center" wrapText="1"/>
    </xf>
    <xf numFmtId="168" fontId="6" fillId="11" borderId="61" xfId="0" applyNumberFormat="1" applyFont="1" applyFill="1" applyBorder="1" applyAlignment="1">
      <alignment horizontal="center" vertical="center" wrapText="1"/>
    </xf>
    <xf numFmtId="10" fontId="6" fillId="11" borderId="61" xfId="1" applyNumberFormat="1" applyFont="1" applyFill="1" applyBorder="1" applyAlignment="1">
      <alignment horizontal="center" vertical="center" wrapText="1"/>
    </xf>
    <xf numFmtId="10" fontId="6" fillId="11" borderId="57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wrapText="1"/>
    </xf>
    <xf numFmtId="0" fontId="10" fillId="12" borderId="39" xfId="0" applyFont="1" applyFill="1" applyBorder="1" applyAlignment="1">
      <alignment horizontal="center" vertical="center" wrapText="1"/>
    </xf>
    <xf numFmtId="0" fontId="10" fillId="12" borderId="66" xfId="0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49" fontId="4" fillId="17" borderId="11" xfId="0" applyNumberFormat="1" applyFont="1" applyFill="1" applyBorder="1" applyAlignment="1">
      <alignment horizontal="center" vertical="center" wrapText="1"/>
    </xf>
    <xf numFmtId="49" fontId="8" fillId="17" borderId="11" xfId="0" applyNumberFormat="1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49" fontId="8" fillId="17" borderId="43" xfId="0" applyNumberFormat="1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17" borderId="11" xfId="0" applyNumberFormat="1" applyFont="1" applyFill="1" applyBorder="1" applyAlignment="1">
      <alignment horizontal="center" vertical="center" wrapText="1"/>
    </xf>
    <xf numFmtId="49" fontId="8" fillId="17" borderId="8" xfId="0" applyNumberFormat="1" applyFont="1" applyFill="1" applyBorder="1" applyAlignment="1">
      <alignment horizontal="center" vertical="center" wrapText="1"/>
    </xf>
    <xf numFmtId="166" fontId="8" fillId="17" borderId="1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22" fillId="16" borderId="96" xfId="0" applyNumberFormat="1" applyFont="1" applyFill="1" applyBorder="1" applyAlignment="1">
      <alignment horizontal="center" vertical="center" wrapText="1"/>
    </xf>
    <xf numFmtId="1" fontId="20" fillId="16" borderId="96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43" xfId="0" applyFont="1" applyBorder="1" applyAlignment="1">
      <alignment wrapText="1"/>
    </xf>
    <xf numFmtId="43" fontId="6" fillId="0" borderId="63" xfId="16" applyFont="1" applyFill="1" applyBorder="1" applyAlignment="1">
      <alignment horizontal="center" vertical="center" wrapText="1"/>
    </xf>
    <xf numFmtId="10" fontId="6" fillId="0" borderId="51" xfId="1" applyNumberFormat="1" applyFont="1" applyBorder="1" applyAlignment="1">
      <alignment horizontal="center" vertical="center"/>
    </xf>
    <xf numFmtId="0" fontId="11" fillId="13" borderId="97" xfId="0" applyFont="1" applyFill="1" applyBorder="1" applyAlignment="1">
      <alignment horizontal="center" vertical="center" wrapText="1"/>
    </xf>
    <xf numFmtId="0" fontId="11" fillId="13" borderId="86" xfId="0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horizontal="center" vertical="center" wrapText="1"/>
    </xf>
    <xf numFmtId="49" fontId="11" fillId="0" borderId="39" xfId="0" applyNumberFormat="1" applyFont="1" applyFill="1" applyBorder="1" applyAlignment="1">
      <alignment horizontal="center" vertical="center" wrapText="1"/>
    </xf>
    <xf numFmtId="49" fontId="11" fillId="0" borderId="82" xfId="0" applyNumberFormat="1" applyFont="1" applyFill="1" applyBorder="1" applyAlignment="1">
      <alignment horizontal="center" vertical="center" wrapText="1"/>
    </xf>
    <xf numFmtId="49" fontId="11" fillId="0" borderId="28" xfId="0" applyNumberFormat="1" applyFont="1" applyFill="1" applyBorder="1" applyAlignment="1">
      <alignment horizontal="center" vertical="center" wrapText="1"/>
    </xf>
    <xf numFmtId="49" fontId="11" fillId="0" borderId="83" xfId="0" applyNumberFormat="1" applyFont="1" applyFill="1" applyBorder="1" applyAlignment="1">
      <alignment horizontal="center" vertical="center" wrapText="1"/>
    </xf>
    <xf numFmtId="49" fontId="11" fillId="0" borderId="31" xfId="0" applyNumberFormat="1" applyFont="1" applyFill="1" applyBorder="1" applyAlignment="1">
      <alignment horizontal="center" vertical="center" wrapText="1"/>
    </xf>
    <xf numFmtId="49" fontId="11" fillId="0" borderId="38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13" borderId="23" xfId="0" applyFont="1" applyFill="1" applyBorder="1" applyAlignment="1">
      <alignment horizontal="center" vertical="center" wrapText="1"/>
    </xf>
    <xf numFmtId="0" fontId="11" fillId="15" borderId="66" xfId="0" applyFont="1" applyFill="1" applyBorder="1" applyAlignment="1">
      <alignment horizontal="center" vertical="center" wrapText="1"/>
    </xf>
    <xf numFmtId="0" fontId="11" fillId="15" borderId="67" xfId="0" applyNumberFormat="1" applyFont="1" applyFill="1" applyBorder="1" applyAlignment="1">
      <alignment horizontal="center" vertical="center" wrapText="1"/>
    </xf>
    <xf numFmtId="0" fontId="11" fillId="15" borderId="87" xfId="0" applyFont="1" applyFill="1" applyBorder="1" applyAlignment="1">
      <alignment horizontal="center" vertical="center" wrapText="1"/>
    </xf>
    <xf numFmtId="0" fontId="11" fillId="15" borderId="67" xfId="0" applyFont="1" applyFill="1" applyBorder="1" applyAlignment="1">
      <alignment horizontal="center" vertical="center" wrapText="1"/>
    </xf>
    <xf numFmtId="0" fontId="10" fillId="14" borderId="67" xfId="0" applyFont="1" applyFill="1" applyBorder="1" applyAlignment="1">
      <alignment horizontal="center" vertical="center" wrapText="1"/>
    </xf>
    <xf numFmtId="0" fontId="11" fillId="15" borderId="88" xfId="0" applyFont="1" applyFill="1" applyBorder="1" applyAlignment="1">
      <alignment horizontal="center" vertical="center" wrapText="1"/>
    </xf>
    <xf numFmtId="0" fontId="11" fillId="15" borderId="29" xfId="0" applyFont="1" applyFill="1" applyBorder="1" applyAlignment="1">
      <alignment horizontal="center" vertical="center" wrapText="1"/>
    </xf>
    <xf numFmtId="0" fontId="11" fillId="15" borderId="80" xfId="0" applyFont="1" applyFill="1" applyBorder="1" applyAlignment="1">
      <alignment horizontal="center" vertical="center" wrapText="1"/>
    </xf>
    <xf numFmtId="0" fontId="11" fillId="14" borderId="67" xfId="0" applyFont="1" applyFill="1" applyBorder="1" applyAlignment="1">
      <alignment horizontal="center" vertical="center" wrapText="1"/>
    </xf>
    <xf numFmtId="0" fontId="11" fillId="13" borderId="37" xfId="0" applyFont="1" applyFill="1" applyBorder="1" applyAlignment="1">
      <alignment horizontal="center" vertical="center" wrapText="1"/>
    </xf>
    <xf numFmtId="0" fontId="11" fillId="13" borderId="66" xfId="0" applyFont="1" applyFill="1" applyBorder="1" applyAlignment="1">
      <alignment horizontal="center" vertical="center" wrapText="1"/>
    </xf>
    <xf numFmtId="0" fontId="11" fillId="13" borderId="39" xfId="0" applyFont="1" applyFill="1" applyBorder="1" applyAlignment="1">
      <alignment horizontal="center" vertical="center" wrapText="1"/>
    </xf>
    <xf numFmtId="0" fontId="11" fillId="15" borderId="26" xfId="0" applyFont="1" applyFill="1" applyBorder="1" applyAlignment="1">
      <alignment horizontal="center" vertical="center" wrapText="1"/>
    </xf>
    <xf numFmtId="49" fontId="11" fillId="0" borderId="27" xfId="0" applyNumberFormat="1" applyFont="1" applyFill="1" applyBorder="1" applyAlignment="1">
      <alignment horizontal="center" vertical="center" wrapText="1"/>
    </xf>
    <xf numFmtId="0" fontId="11" fillId="17" borderId="28" xfId="0" applyNumberFormat="1" applyFont="1" applyFill="1" applyBorder="1" applyAlignment="1">
      <alignment horizontal="center" vertical="center" wrapText="1"/>
    </xf>
    <xf numFmtId="0" fontId="11" fillId="14" borderId="29" xfId="0" applyFont="1" applyFill="1" applyBorder="1" applyAlignment="1">
      <alignment horizontal="center" vertical="center" wrapText="1"/>
    </xf>
    <xf numFmtId="49" fontId="11" fillId="0" borderId="85" xfId="0" applyNumberFormat="1" applyFont="1" applyFill="1" applyBorder="1" applyAlignment="1">
      <alignment horizontal="center" vertical="center" wrapText="1"/>
    </xf>
    <xf numFmtId="0" fontId="11" fillId="13" borderId="90" xfId="0" applyFont="1" applyFill="1" applyBorder="1" applyAlignment="1">
      <alignment horizontal="center" vertical="center" wrapText="1"/>
    </xf>
    <xf numFmtId="0" fontId="10" fillId="14" borderId="67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0" fillId="16" borderId="91" xfId="0" applyFont="1" applyFill="1" applyBorder="1" applyAlignment="1">
      <alignment horizontal="center" vertical="center" textRotation="90" wrapText="1"/>
    </xf>
    <xf numFmtId="0" fontId="20" fillId="16" borderId="92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 wrapText="1"/>
    </xf>
    <xf numFmtId="49" fontId="12" fillId="0" borderId="20" xfId="0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11" borderId="70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0" fontId="7" fillId="11" borderId="76" xfId="0" applyFont="1" applyFill="1" applyBorder="1" applyAlignment="1">
      <alignment horizontal="center" vertical="center" wrapText="1"/>
    </xf>
    <xf numFmtId="0" fontId="7" fillId="11" borderId="75" xfId="0" applyFont="1" applyFill="1" applyBorder="1" applyAlignment="1">
      <alignment horizontal="center" vertical="center" wrapText="1"/>
    </xf>
    <xf numFmtId="0" fontId="7" fillId="11" borderId="32" xfId="0" applyFont="1" applyFill="1" applyBorder="1" applyAlignment="1">
      <alignment horizontal="center" vertical="center" wrapText="1"/>
    </xf>
    <xf numFmtId="0" fontId="7" fillId="11" borderId="77" xfId="0" applyFont="1" applyFill="1" applyBorder="1" applyAlignment="1">
      <alignment horizontal="center" vertical="center" wrapText="1"/>
    </xf>
    <xf numFmtId="0" fontId="7" fillId="2" borderId="66" xfId="0" applyNumberFormat="1" applyFont="1" applyFill="1" applyBorder="1" applyAlignment="1">
      <alignment horizontal="center" vertical="center" wrapText="1"/>
    </xf>
    <xf numFmtId="0" fontId="7" fillId="2" borderId="82" xfId="0" applyNumberFormat="1" applyFont="1" applyFill="1" applyBorder="1" applyAlignment="1">
      <alignment horizontal="center" vertical="center" wrapText="1"/>
    </xf>
    <xf numFmtId="0" fontId="7" fillId="2" borderId="39" xfId="0" applyNumberFormat="1" applyFont="1" applyFill="1" applyBorder="1" applyAlignment="1">
      <alignment horizontal="center" vertical="center" wrapText="1"/>
    </xf>
    <xf numFmtId="0" fontId="7" fillId="2" borderId="86" xfId="0" applyNumberFormat="1" applyFont="1" applyFill="1" applyBorder="1" applyAlignment="1">
      <alignment horizontal="center" vertical="center" wrapText="1"/>
    </xf>
    <xf numFmtId="0" fontId="7" fillId="2" borderId="79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0" fontId="7" fillId="9" borderId="70" xfId="0" applyFont="1" applyFill="1" applyBorder="1" applyAlignment="1">
      <alignment horizontal="center" vertical="center" wrapText="1"/>
    </xf>
    <xf numFmtId="0" fontId="7" fillId="9" borderId="78" xfId="0" applyFont="1" applyFill="1" applyBorder="1" applyAlignment="1">
      <alignment horizontal="center" vertical="center" wrapText="1"/>
    </xf>
    <xf numFmtId="0" fontId="7" fillId="9" borderId="76" xfId="0" applyFont="1" applyFill="1" applyBorder="1" applyAlignment="1">
      <alignment horizontal="center" vertical="center" wrapText="1"/>
    </xf>
    <xf numFmtId="0" fontId="7" fillId="9" borderId="75" xfId="0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 wrapText="1"/>
    </xf>
    <xf numFmtId="0" fontId="7" fillId="9" borderId="77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8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7" fillId="3" borderId="75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10" borderId="70" xfId="0" applyFont="1" applyFill="1" applyBorder="1" applyAlignment="1">
      <alignment horizontal="center" vertical="center" wrapText="1"/>
    </xf>
    <xf numFmtId="0" fontId="7" fillId="10" borderId="78" xfId="0" applyFont="1" applyFill="1" applyBorder="1" applyAlignment="1">
      <alignment horizontal="center" vertical="center" wrapText="1"/>
    </xf>
    <xf numFmtId="0" fontId="7" fillId="10" borderId="76" xfId="0" applyFont="1" applyFill="1" applyBorder="1" applyAlignment="1">
      <alignment horizontal="center" vertical="center" wrapText="1"/>
    </xf>
    <xf numFmtId="0" fontId="7" fillId="10" borderId="75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7" fillId="10" borderId="7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72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left" vertical="center" wrapText="1"/>
    </xf>
    <xf numFmtId="0" fontId="6" fillId="0" borderId="55" xfId="0" applyFont="1" applyBorder="1" applyAlignment="1">
      <alignment horizontal="left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wrapText="1"/>
    </xf>
    <xf numFmtId="0" fontId="6" fillId="0" borderId="33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0" fillId="0" borderId="33" xfId="0" applyBorder="1" applyAlignment="1"/>
    <xf numFmtId="0" fontId="7" fillId="2" borderId="16" xfId="0" applyFont="1" applyFill="1" applyBorder="1" applyAlignment="1">
      <alignment horizontal="center" vertical="center" wrapText="1"/>
    </xf>
    <xf numFmtId="0" fontId="7" fillId="2" borderId="6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11" borderId="45" xfId="0" applyFont="1" applyFill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40" xfId="0" applyFont="1" applyFill="1" applyBorder="1" applyAlignment="1">
      <alignment horizontal="center" vertical="center" wrapText="1"/>
    </xf>
    <xf numFmtId="0" fontId="7" fillId="9" borderId="45" xfId="0" applyFont="1" applyFill="1" applyBorder="1" applyAlignment="1">
      <alignment horizontal="center" vertical="center" wrapText="1"/>
    </xf>
    <xf numFmtId="0" fontId="7" fillId="9" borderId="33" xfId="0" applyFont="1" applyFill="1" applyBorder="1" applyAlignment="1">
      <alignment horizontal="center" vertical="center" wrapText="1"/>
    </xf>
    <xf numFmtId="0" fontId="7" fillId="9" borderId="40" xfId="0" applyFont="1" applyFill="1" applyBorder="1" applyAlignment="1">
      <alignment horizontal="center" vertical="center" wrapText="1"/>
    </xf>
    <xf numFmtId="0" fontId="7" fillId="8" borderId="43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7" fillId="8" borderId="66" xfId="0" applyFont="1" applyFill="1" applyBorder="1" applyAlignment="1">
      <alignment horizontal="center" vertical="center" textRotation="90"/>
    </xf>
    <xf numFmtId="0" fontId="7" fillId="8" borderId="67" xfId="0" applyFont="1" applyFill="1" applyBorder="1" applyAlignment="1">
      <alignment horizontal="center" vertical="center" textRotation="90"/>
    </xf>
    <xf numFmtId="0" fontId="7" fillId="8" borderId="29" xfId="0" applyFont="1" applyFill="1" applyBorder="1" applyAlignment="1">
      <alignment horizontal="center" vertical="center" textRotation="90"/>
    </xf>
    <xf numFmtId="0" fontId="7" fillId="2" borderId="68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7" fillId="10" borderId="45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40" xfId="0" applyFont="1" applyFill="1" applyBorder="1" applyAlignment="1">
      <alignment horizontal="center" vertical="center" wrapText="1"/>
    </xf>
    <xf numFmtId="0" fontId="7" fillId="8" borderId="28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49" fontId="2" fillId="7" borderId="19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69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1" fillId="0" borderId="0" xfId="0" applyFont="1" applyFill="1" applyBorder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8">
    <cellStyle name="Excel Built-in Normal" xfId="9"/>
    <cellStyle name="TableStyleLight1" xfId="10"/>
    <cellStyle name="Гиперссылка 2" xfId="3"/>
    <cellStyle name="Обычный" xfId="0" builtinId="0"/>
    <cellStyle name="Обычный 10 10" xfId="13"/>
    <cellStyle name="Обычный 2" xfId="6"/>
    <cellStyle name="Обычный 2 2" xfId="12"/>
    <cellStyle name="Обычный 2 3" xfId="14"/>
    <cellStyle name="Обычный 3" xfId="2"/>
    <cellStyle name="Обычный 3 2" xfId="8"/>
    <cellStyle name="Обычный 3 3" xfId="15"/>
    <cellStyle name="Процентный" xfId="1" builtinId="5"/>
    <cellStyle name="Процентный 2" xfId="7"/>
    <cellStyle name="Стиль 1" xfId="11"/>
    <cellStyle name="Финансовый" xfId="16" builtinId="3"/>
    <cellStyle name="Финансовый 2" xfId="5"/>
    <cellStyle name="Финансовый 3" xfId="4"/>
    <cellStyle name="Финансовый 3 2" xfId="17"/>
  </cellStyles>
  <dxfs count="114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1" formatCode="0"/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#,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#,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_р_.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4" formatCode="0.00%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[$-419]mmmm\ yyyy;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[$-419]mmmm\ yy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[$-419]mmmm\ yyyy;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  <dxf>
      <font>
        <color theme="0" tint="-9.9948118533890809E-2"/>
      </font>
    </dxf>
    <dxf>
      <font>
        <color theme="0" tint="-9.9948118533890809E-2"/>
      </font>
      <numFmt numFmtId="166" formatCode="[$-419]mmmm\ yyyy;@"/>
      <fill>
        <patternFill>
          <fgColor theme="0" tint="-9.9948118533890809E-2"/>
        </patternFill>
      </fill>
    </dxf>
    <dxf>
      <font>
        <color theme="0" tint="-9.9948118533890809E-2"/>
      </font>
      <numFmt numFmtId="166" formatCode="[$-419]mmmm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1" formatCode="0"/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[$-419]mmmm\ 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[$-419]mmmm\ 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DDDDDD"/>
      <color rgb="FFEAEAE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1781175</xdr:colOff>
      <xdr:row>14</xdr:row>
      <xdr:rowOff>66675</xdr:rowOff>
    </xdr:from>
    <xdr:ext cx="184731" cy="264560"/>
    <xdr:sp macro="" textlink="">
      <xdr:nvSpPr>
        <xdr:cNvPr id="2" name="TextBox 1"/>
        <xdr:cNvSpPr txBox="1"/>
      </xdr:nvSpPr>
      <xdr:spPr>
        <a:xfrm>
          <a:off x="78200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3-FS-AFS.CO.LAN\UserData$\I.O.Aksenov\&#1056;&#1072;&#1073;&#1086;&#1095;&#1080;&#1081;%20&#1089;&#1090;&#1086;&#1083;\&#1087;&#1083;&#1072;&#1085;&#1080;&#1088;&#1086;&#1074;&#1072;&#1085;&#1080;&#1077;-&#1086;&#1090;&#1095;&#1077;&#1090;&#1085;&#1086;&#1089;&#1090;&#1100;\&#1055;&#1086;&#1083;&#1086;&#1078;&#1077;&#1085;&#1080;&#1077;%20&#1086;%20&#1087;&#1086;&#1088;&#1103;&#1076;&#1082;&#1077;%20&#1087;&#1083;&#1072;&#1085;&#1080;&#1088;&#1086;&#1074;&#1072;&#1085;&#1080;&#1103;\&#1055;&#1088;&#1072;&#1074;&#1082;&#1080;%2001.11.16\&#1060;&#1086;&#1088;&#1084;&#1072;%20&#1056;&#1055;&#1047;%20&#1092;&#1086;&#1088;&#1084;&#1099;%20&#1086;&#1090;&#1095;&#1077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ПЗ"/>
      <sheetName val="РПЦЗ"/>
      <sheetName val="ПП"/>
      <sheetName val="Отчет РПЗ(ПЗ)_ПЗИП"/>
      <sheetName val="Отчет о ПП"/>
      <sheetName val="Сведения о ЗД"/>
      <sheetName val="Справочно"/>
    </sheetNames>
    <sheetDataSet>
      <sheetData sheetId="0">
        <row r="4">
          <cell r="A4" t="str">
            <v>Наименование заказчика</v>
          </cell>
        </row>
        <row r="5">
          <cell r="A5" t="str">
            <v>Адрес местонахождения заказчика</v>
          </cell>
        </row>
        <row r="6">
          <cell r="A6" t="str">
            <v>Телефон заказчика</v>
          </cell>
        </row>
        <row r="7">
          <cell r="A7" t="str">
            <v>Электронная почта заказчика</v>
          </cell>
        </row>
        <row r="8">
          <cell r="A8" t="str">
            <v>ИНН</v>
          </cell>
        </row>
        <row r="9">
          <cell r="A9" t="str">
            <v>КПП</v>
          </cell>
        </row>
        <row r="10">
          <cell r="A10" t="str">
            <v>ОКАТО</v>
          </cell>
        </row>
        <row r="12">
          <cell r="A12" t="str">
            <v>Индивидуальный номер</v>
          </cell>
        </row>
        <row r="15">
          <cell r="A15" t="str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Таблица1" displayName="Таблица1" ref="A15:AE51" totalsRowShown="0" headerRowDxfId="91" tableBorderDxfId="90">
  <autoFilter ref="A15:AE51"/>
  <tableColumns count="31">
    <tableColumn id="1" name="1" dataDxfId="89"/>
    <tableColumn id="2" name="2" dataDxfId="88"/>
    <tableColumn id="3" name="3" dataDxfId="87"/>
    <tableColumn id="4" name="4" dataDxfId="86"/>
    <tableColumn id="5" name="5" dataDxfId="85"/>
    <tableColumn id="6" name="6" dataDxfId="84"/>
    <tableColumn id="7" name="7" dataDxfId="83"/>
    <tableColumn id="8" name="8" dataDxfId="82"/>
    <tableColumn id="9" name="9" dataDxfId="81"/>
    <tableColumn id="10" name="10" dataDxfId="80"/>
    <tableColumn id="11" name="11" dataDxfId="79"/>
    <tableColumn id="12" name="11.1" dataDxfId="78"/>
    <tableColumn id="13" name="11.2" dataDxfId="77"/>
    <tableColumn id="14" name="11.3" dataDxfId="76"/>
    <tableColumn id="15" name="12" dataDxfId="75"/>
    <tableColumn id="16" name="13" dataDxfId="74"/>
    <tableColumn id="17" name="14" dataDxfId="73"/>
    <tableColumn id="18" name="15" dataDxfId="72"/>
    <tableColumn id="19" name="15.1" dataDxfId="71"/>
    <tableColumn id="20" name="15.2" dataDxfId="70"/>
    <tableColumn id="21" name="15.3" dataDxfId="69"/>
    <tableColumn id="22" name="15.4" dataDxfId="68"/>
    <tableColumn id="23" name="15.5" dataDxfId="67"/>
    <tableColumn id="24" name="15.6" dataDxfId="66"/>
    <tableColumn id="25" name="15.7" dataDxfId="65"/>
    <tableColumn id="26" name="15.8" dataDxfId="64"/>
    <tableColumn id="27" name="15.9" dataDxfId="63"/>
    <tableColumn id="28" name="15.10" dataDxfId="62" dataCellStyle="Обычный 3"/>
    <tableColumn id="29" name="15.11" dataDxfId="61"/>
    <tableColumn id="30" name="15.12" dataDxfId="60"/>
    <tableColumn id="31" name="112" dataDxfId="59">
      <calculatedColumnFormula>IF(O16=0,,MONTH(O16))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15:AQ51" totalsRowShown="0" headerRowDxfId="55" dataDxfId="54" tableBorderDxfId="53">
  <autoFilter ref="A15:AQ51"/>
  <tableColumns count="43">
    <tableColumn id="1" name="1" dataDxfId="52">
      <calculatedColumnFormula>INDEX(Диапазон1,ROW(), COLUMN())</calculatedColumnFormula>
    </tableColumn>
    <tableColumn id="2" name="2" dataDxfId="51">
      <calculatedColumnFormula>РПЗ!$D16</calculatedColumnFormula>
    </tableColumn>
    <tableColumn id="8" name="3" dataDxfId="50">
      <calculatedColumnFormula>РПЗ!$AA16</calculatedColumnFormula>
    </tableColumn>
    <tableColumn id="7" name="4" dataDxfId="49">
      <calculatedColumnFormula>РПЗ!$AB16</calculatedColumnFormula>
    </tableColumn>
    <tableColumn id="27" name="5" dataDxfId="48"/>
    <tableColumn id="3" name="6" dataDxfId="47">
      <calculatedColumnFormula>РПЗ!Q16</calculatedColumnFormula>
    </tableColumn>
    <tableColumn id="25" name="7" dataDxfId="46">
      <calculatedColumnFormula>Таблица5[[#This Row],[6]]</calculatedColumnFormula>
    </tableColumn>
    <tableColumn id="5" name="7.1" dataDxfId="45">
      <calculatedColumnFormula>РПЗ!R16</calculatedColumnFormula>
    </tableColumn>
    <tableColumn id="4" name="8" dataDxfId="44">
      <calculatedColumnFormula>РПЗ!W16</calculatedColumnFormula>
    </tableColumn>
    <tableColumn id="41" name="8.1" dataDxfId="43">
      <calculatedColumnFormula>РПЗ!X16</calculatedColumnFormula>
    </tableColumn>
    <tableColumn id="23" name="8.2" dataDxfId="42">
      <calculatedColumnFormula>РПЗ!Z16</calculatedColumnFormula>
    </tableColumn>
    <tableColumn id="9" name="9" dataDxfId="41"/>
    <tableColumn id="10" name="10" dataDxfId="40">
      <calculatedColumnFormula>РПЗ!O16</calculatedColumnFormula>
    </tableColumn>
    <tableColumn id="11" name="11" dataDxfId="39">
      <calculatedColumnFormula>Таблица5[[#This Row],[10]]</calculatedColumnFormula>
    </tableColumn>
    <tableColumn id="22" name="12" dataDxfId="38"/>
    <tableColumn id="12" name="13" dataDxfId="37"/>
    <tableColumn id="13" name="14" dataDxfId="36"/>
    <tableColumn id="14" name="15" dataDxfId="35"/>
    <tableColumn id="15" name="16" dataDxfId="34"/>
    <tableColumn id="28" name="17" dataDxfId="33"/>
    <tableColumn id="16" name="18" dataDxfId="32">
      <calculatedColumnFormula>РПЗ!P16</calculatedColumnFormula>
    </tableColumn>
    <tableColumn id="17" name="19" dataDxfId="31"/>
    <tableColumn id="18" name="20" dataDxfId="30">
      <calculatedColumnFormula>РПЗ!L16</calculatedColumnFormula>
    </tableColumn>
    <tableColumn id="34" name="21" dataDxfId="29"/>
    <tableColumn id="35" name="22" dataDxfId="28"/>
    <tableColumn id="29" name="23" dataDxfId="27"/>
    <tableColumn id="38" name="24" dataDxfId="26"/>
    <tableColumn id="20" name="25" dataDxfId="25"/>
    <tableColumn id="21" name="26" dataDxfId="24"/>
    <tableColumn id="37" name="27" dataDxfId="23"/>
    <tableColumn id="39" name="28" dataDxfId="22"/>
    <tableColumn id="6" name="29" dataDxfId="21"/>
    <tableColumn id="36" name="30" dataDxfId="20"/>
    <tableColumn id="33" name="31" dataDxfId="19">
      <calculatedColumnFormula>IF(Таблица5[[#This Row],[30]]=0,"НД",Таблица5[[#This Row],[20]]-Таблица5[[#This Row],[30]])</calculatedColumnFormula>
    </tableColumn>
    <tableColumn id="31" name="32" dataDxfId="18" dataCellStyle="Процентный">
      <calculatedColumnFormula>IF(((1-Таблица5[[#This Row],[30]]/Таблица5[[#This Row],[20]])=1),"НД",(1-Таблица5[[#This Row],[30]]/Таблица5[[#This Row],[20]]))</calculatedColumnFormula>
    </tableColumn>
    <tableColumn id="30" name="33" dataDxfId="17"/>
    <tableColumn id="32" name="34" dataDxfId="16"/>
    <tableColumn id="26" name="35" dataDxfId="15"/>
    <tableColumn id="40" name="36" dataDxfId="14"/>
    <tableColumn id="19" name="37" dataDxfId="13"/>
    <tableColumn id="42" name="38" dataDxfId="12">
      <calculatedColumnFormula>РПЗ!AD16</calculatedColumnFormula>
    </tableColumn>
    <tableColumn id="43" name="39" dataDxfId="11">
      <calculatedColumnFormula>РПЗ!V16</calculatedColumnFormula>
    </tableColumn>
    <tableColumn id="24" name="112" dataDxfId="10">
      <calculatedColumnFormula>IF(Таблица5[[#This Row],[11]]=0,,MONTH(Таблица5[[#This Row],[11]]))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E51"/>
  <sheetViews>
    <sheetView tabSelected="1" zoomScaleNormal="100" workbookViewId="0">
      <selection activeCell="M18" sqref="M18"/>
    </sheetView>
  </sheetViews>
  <sheetFormatPr defaultRowHeight="15" x14ac:dyDescent="0.25"/>
  <cols>
    <col min="1" max="1" width="18.5703125" customWidth="1"/>
    <col min="2" max="3" width="11.42578125" style="462" customWidth="1"/>
    <col min="4" max="4" width="26" customWidth="1"/>
    <col min="5" max="5" width="27.85546875" customWidth="1"/>
    <col min="6" max="6" width="11.42578125" style="462" customWidth="1"/>
    <col min="7" max="7" width="14.5703125" customWidth="1"/>
    <col min="8" max="8" width="11.42578125" customWidth="1"/>
    <col min="9" max="9" width="18.7109375" style="462" customWidth="1"/>
    <col min="10" max="10" width="15" customWidth="1"/>
    <col min="11" max="11" width="20" customWidth="1"/>
    <col min="12" max="12" width="23.140625" customWidth="1"/>
    <col min="13" max="13" width="15.140625" customWidth="1"/>
    <col min="14" max="14" width="16" customWidth="1"/>
    <col min="15" max="15" width="22" customWidth="1"/>
    <col min="16" max="16" width="16.5703125" customWidth="1"/>
    <col min="17" max="18" width="12.42578125" customWidth="1"/>
    <col min="19" max="19" width="13.85546875" customWidth="1"/>
    <col min="20" max="20" width="21.7109375" style="462" customWidth="1"/>
    <col min="21" max="21" width="21.7109375" customWidth="1"/>
    <col min="22" max="22" width="12.42578125" customWidth="1"/>
    <col min="23" max="23" width="14.7109375" customWidth="1"/>
    <col min="24" max="24" width="14.7109375" style="462" customWidth="1"/>
    <col min="25" max="27" width="13.85546875" customWidth="1"/>
    <col min="28" max="28" width="32.7109375" bestFit="1" customWidth="1"/>
    <col min="29" max="29" width="17.7109375" customWidth="1"/>
    <col min="30" max="30" width="20.28515625" customWidth="1"/>
    <col min="31" max="31" width="9.5703125" bestFit="1" customWidth="1"/>
  </cols>
  <sheetData>
    <row r="1" spans="1:31" x14ac:dyDescent="0.25">
      <c r="B1"/>
      <c r="C1"/>
      <c r="F1"/>
      <c r="I1"/>
      <c r="T1"/>
      <c r="X1"/>
    </row>
    <row r="2" spans="1:31" x14ac:dyDescent="0.25">
      <c r="A2" s="14"/>
      <c r="B2" s="642" t="s">
        <v>611</v>
      </c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14"/>
      <c r="T2" s="26"/>
      <c r="U2" s="26"/>
      <c r="V2" s="14"/>
      <c r="W2" s="14"/>
      <c r="X2" s="14"/>
      <c r="Y2" s="14"/>
      <c r="Z2" s="14"/>
      <c r="AA2" s="14"/>
      <c r="AB2" s="14"/>
      <c r="AC2" s="14"/>
      <c r="AD2" s="14"/>
    </row>
    <row r="3" spans="1:31" ht="15.75" thickBot="1" x14ac:dyDescent="0.3">
      <c r="A3" s="14"/>
      <c r="B3" s="642" t="s">
        <v>1286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14"/>
      <c r="T3" s="26"/>
      <c r="U3" s="26"/>
      <c r="V3" s="14"/>
      <c r="W3" s="14"/>
      <c r="X3" s="14"/>
      <c r="Y3" s="14"/>
      <c r="Z3" s="14"/>
      <c r="AA3" s="14"/>
      <c r="AB3" s="14"/>
      <c r="AC3" s="14"/>
      <c r="AD3" s="14"/>
    </row>
    <row r="4" spans="1:31" ht="25.5" x14ac:dyDescent="0.25">
      <c r="A4" s="6" t="s">
        <v>1</v>
      </c>
      <c r="B4" s="645"/>
      <c r="C4" s="646"/>
      <c r="F4"/>
      <c r="I4"/>
      <c r="T4"/>
      <c r="X4"/>
    </row>
    <row r="5" spans="1:31" ht="38.25" x14ac:dyDescent="0.25">
      <c r="A5" s="7" t="s">
        <v>2</v>
      </c>
      <c r="B5" s="649"/>
      <c r="C5" s="650"/>
      <c r="F5"/>
      <c r="I5"/>
      <c r="T5"/>
      <c r="X5"/>
    </row>
    <row r="6" spans="1:31" x14ac:dyDescent="0.25">
      <c r="A6" s="7" t="s">
        <v>3</v>
      </c>
      <c r="B6" s="651"/>
      <c r="C6" s="652"/>
      <c r="F6"/>
      <c r="I6"/>
      <c r="T6"/>
      <c r="X6"/>
    </row>
    <row r="7" spans="1:31" ht="25.5" x14ac:dyDescent="0.25">
      <c r="A7" s="7" t="s">
        <v>4</v>
      </c>
      <c r="B7" s="649"/>
      <c r="C7" s="650"/>
      <c r="F7"/>
      <c r="I7"/>
      <c r="T7"/>
      <c r="X7"/>
    </row>
    <row r="8" spans="1:31" x14ac:dyDescent="0.25">
      <c r="A8" s="7" t="s">
        <v>5</v>
      </c>
      <c r="B8" s="649"/>
      <c r="C8" s="650"/>
      <c r="F8"/>
      <c r="I8"/>
      <c r="T8"/>
      <c r="X8"/>
    </row>
    <row r="9" spans="1:31" x14ac:dyDescent="0.25">
      <c r="A9" s="7" t="s">
        <v>6</v>
      </c>
      <c r="B9" s="649"/>
      <c r="C9" s="650"/>
      <c r="F9"/>
      <c r="I9"/>
      <c r="T9"/>
      <c r="X9"/>
    </row>
    <row r="10" spans="1:31" ht="15.75" thickBot="1" x14ac:dyDescent="0.3">
      <c r="A10" s="8" t="s">
        <v>7</v>
      </c>
      <c r="B10" s="647"/>
      <c r="C10" s="648"/>
      <c r="F10"/>
      <c r="I10"/>
      <c r="T10"/>
      <c r="X10"/>
    </row>
    <row r="11" spans="1:31" ht="15.75" thickBot="1" x14ac:dyDescent="0.3">
      <c r="B11"/>
      <c r="C11"/>
      <c r="F11"/>
      <c r="I11"/>
      <c r="T11"/>
      <c r="X11"/>
    </row>
    <row r="12" spans="1:31" ht="15.75" customHeight="1" thickBot="1" x14ac:dyDescent="0.3">
      <c r="A12" s="631" t="s">
        <v>213</v>
      </c>
      <c r="B12" s="629" t="s">
        <v>613</v>
      </c>
      <c r="C12" s="629" t="s">
        <v>614</v>
      </c>
      <c r="D12" s="639" t="s">
        <v>8</v>
      </c>
      <c r="E12" s="640"/>
      <c r="F12" s="640"/>
      <c r="G12" s="640"/>
      <c r="H12" s="640"/>
      <c r="I12" s="640"/>
      <c r="J12" s="640"/>
      <c r="K12" s="640"/>
      <c r="L12" s="640"/>
      <c r="M12" s="640"/>
      <c r="N12" s="640"/>
      <c r="O12" s="640"/>
      <c r="P12" s="641"/>
      <c r="Q12" s="629" t="s">
        <v>9</v>
      </c>
      <c r="R12" s="629" t="s">
        <v>10</v>
      </c>
      <c r="S12" s="631" t="s">
        <v>11</v>
      </c>
      <c r="T12" s="631" t="s">
        <v>262</v>
      </c>
      <c r="U12" s="631" t="s">
        <v>156</v>
      </c>
      <c r="V12" s="643" t="s">
        <v>12</v>
      </c>
      <c r="W12" s="626" t="s">
        <v>109</v>
      </c>
      <c r="X12" s="633"/>
      <c r="Y12" s="633"/>
      <c r="Z12" s="633"/>
      <c r="AA12" s="631" t="s">
        <v>14</v>
      </c>
      <c r="AB12" s="631" t="s">
        <v>204</v>
      </c>
      <c r="AC12" s="626" t="s">
        <v>212</v>
      </c>
      <c r="AD12" s="636" t="s">
        <v>1270</v>
      </c>
      <c r="AE12" s="624" t="s">
        <v>982</v>
      </c>
    </row>
    <row r="13" spans="1:31" ht="33" customHeight="1" thickBot="1" x14ac:dyDescent="0.3">
      <c r="A13" s="628"/>
      <c r="B13" s="630"/>
      <c r="C13" s="630"/>
      <c r="D13" s="629" t="s">
        <v>15</v>
      </c>
      <c r="E13" s="629" t="s">
        <v>16</v>
      </c>
      <c r="F13" s="639" t="s">
        <v>17</v>
      </c>
      <c r="G13" s="641"/>
      <c r="H13" s="629" t="s">
        <v>18</v>
      </c>
      <c r="I13" s="639" t="s">
        <v>19</v>
      </c>
      <c r="J13" s="641"/>
      <c r="K13" s="629" t="s">
        <v>32</v>
      </c>
      <c r="L13" s="631" t="s">
        <v>294</v>
      </c>
      <c r="M13" s="631" t="s">
        <v>20</v>
      </c>
      <c r="N13" s="631" t="s">
        <v>293</v>
      </c>
      <c r="O13" s="639" t="s">
        <v>21</v>
      </c>
      <c r="P13" s="641"/>
      <c r="Q13" s="630"/>
      <c r="R13" s="638"/>
      <c r="S13" s="628"/>
      <c r="T13" s="632"/>
      <c r="U13" s="632"/>
      <c r="V13" s="644"/>
      <c r="W13" s="634"/>
      <c r="X13" s="635"/>
      <c r="Y13" s="635"/>
      <c r="Z13" s="635"/>
      <c r="AA13" s="628"/>
      <c r="AB13" s="628"/>
      <c r="AC13" s="627"/>
      <c r="AD13" s="637"/>
      <c r="AE13" s="625"/>
    </row>
    <row r="14" spans="1:31" ht="77.25" thickBot="1" x14ac:dyDescent="0.3">
      <c r="A14" s="628"/>
      <c r="B14" s="630"/>
      <c r="C14" s="630"/>
      <c r="D14" s="630"/>
      <c r="E14" s="630"/>
      <c r="F14" s="10" t="s">
        <v>159</v>
      </c>
      <c r="G14" s="10" t="s">
        <v>22</v>
      </c>
      <c r="H14" s="630"/>
      <c r="I14" s="10" t="s">
        <v>23</v>
      </c>
      <c r="J14" s="10" t="s">
        <v>22</v>
      </c>
      <c r="K14" s="630"/>
      <c r="L14" s="628"/>
      <c r="M14" s="628"/>
      <c r="N14" s="628"/>
      <c r="O14" s="10" t="s">
        <v>63</v>
      </c>
      <c r="P14" s="10" t="s">
        <v>24</v>
      </c>
      <c r="Q14" s="630"/>
      <c r="R14" s="10" t="s">
        <v>25</v>
      </c>
      <c r="S14" s="628"/>
      <c r="T14" s="25" t="s">
        <v>211</v>
      </c>
      <c r="U14" s="25" t="s">
        <v>228</v>
      </c>
      <c r="V14" s="644"/>
      <c r="W14" s="24" t="s">
        <v>13</v>
      </c>
      <c r="X14" s="24" t="s">
        <v>207</v>
      </c>
      <c r="Y14" s="24" t="s">
        <v>206</v>
      </c>
      <c r="Z14" s="25" t="s">
        <v>26</v>
      </c>
      <c r="AA14" s="628"/>
      <c r="AB14" s="628"/>
      <c r="AC14" s="628"/>
      <c r="AD14" s="463" t="s">
        <v>25</v>
      </c>
      <c r="AE14" s="625"/>
    </row>
    <row r="15" spans="1:31" ht="15.75" thickBot="1" x14ac:dyDescent="0.3">
      <c r="A15" s="573" t="s">
        <v>119</v>
      </c>
      <c r="B15" s="575" t="s">
        <v>120</v>
      </c>
      <c r="C15" s="575" t="s">
        <v>121</v>
      </c>
      <c r="D15" s="575" t="s">
        <v>122</v>
      </c>
      <c r="E15" s="575" t="s">
        <v>123</v>
      </c>
      <c r="F15" s="575" t="s">
        <v>124</v>
      </c>
      <c r="G15" s="575" t="s">
        <v>125</v>
      </c>
      <c r="H15" s="575" t="s">
        <v>126</v>
      </c>
      <c r="I15" s="575" t="s">
        <v>127</v>
      </c>
      <c r="J15" s="575" t="s">
        <v>128</v>
      </c>
      <c r="K15" s="575" t="s">
        <v>129</v>
      </c>
      <c r="L15" s="11" t="s">
        <v>27</v>
      </c>
      <c r="M15" s="11" t="s">
        <v>28</v>
      </c>
      <c r="N15" s="11" t="s">
        <v>165</v>
      </c>
      <c r="O15" s="575" t="s">
        <v>130</v>
      </c>
      <c r="P15" s="575" t="s">
        <v>131</v>
      </c>
      <c r="Q15" s="575" t="s">
        <v>132</v>
      </c>
      <c r="R15" s="575" t="s">
        <v>133</v>
      </c>
      <c r="S15" s="13" t="s">
        <v>141</v>
      </c>
      <c r="T15" s="11" t="s">
        <v>295</v>
      </c>
      <c r="U15" s="11" t="s">
        <v>142</v>
      </c>
      <c r="V15" s="27" t="s">
        <v>143</v>
      </c>
      <c r="W15" s="13" t="s">
        <v>296</v>
      </c>
      <c r="X15" s="13" t="s">
        <v>297</v>
      </c>
      <c r="Y15" s="13" t="s">
        <v>298</v>
      </c>
      <c r="Z15" s="13" t="s">
        <v>144</v>
      </c>
      <c r="AA15" s="13" t="s">
        <v>145</v>
      </c>
      <c r="AB15" s="13" t="s">
        <v>146</v>
      </c>
      <c r="AC15" s="13" t="s">
        <v>157</v>
      </c>
      <c r="AD15" s="583" t="s">
        <v>1269</v>
      </c>
      <c r="AE15" s="584" t="s">
        <v>973</v>
      </c>
    </row>
    <row r="16" spans="1:31" ht="15.75" thickBot="1" x14ac:dyDescent="0.3">
      <c r="A16" s="574"/>
      <c r="B16" s="576"/>
      <c r="C16" s="576"/>
      <c r="D16" s="577"/>
      <c r="E16" s="577"/>
      <c r="F16" s="578"/>
      <c r="G16" s="579"/>
      <c r="H16" s="577"/>
      <c r="I16" s="576"/>
      <c r="J16" s="577"/>
      <c r="K16" s="580"/>
      <c r="L16" s="467"/>
      <c r="M16" s="468"/>
      <c r="N16" s="467"/>
      <c r="O16" s="582"/>
      <c r="P16" s="582"/>
      <c r="Q16" s="577"/>
      <c r="R16" s="577"/>
      <c r="S16" s="468"/>
      <c r="T16" s="485"/>
      <c r="U16" s="468"/>
      <c r="V16" s="468"/>
      <c r="W16" s="468"/>
      <c r="X16" s="485"/>
      <c r="Y16" s="468"/>
      <c r="Z16" s="469"/>
      <c r="AA16" s="468"/>
      <c r="AB16" s="470"/>
      <c r="AC16" s="34"/>
      <c r="AD16" s="33"/>
      <c r="AE16" s="585">
        <f>IF(O16=0,,MONTH(O16))</f>
        <v>0</v>
      </c>
    </row>
    <row r="17" spans="1:31" ht="15.75" thickBot="1" x14ac:dyDescent="0.3">
      <c r="A17" s="574"/>
      <c r="B17" s="576"/>
      <c r="C17" s="576"/>
      <c r="D17" s="577"/>
      <c r="E17" s="577"/>
      <c r="F17" s="581"/>
      <c r="G17" s="577"/>
      <c r="H17" s="577"/>
      <c r="I17" s="576"/>
      <c r="J17" s="577"/>
      <c r="K17" s="580"/>
      <c r="L17" s="467"/>
      <c r="M17" s="468"/>
      <c r="N17" s="467"/>
      <c r="O17" s="582"/>
      <c r="P17" s="582"/>
      <c r="Q17" s="577"/>
      <c r="R17" s="577"/>
      <c r="S17" s="468"/>
      <c r="T17" s="485"/>
      <c r="U17" s="468"/>
      <c r="V17" s="468"/>
      <c r="W17" s="468"/>
      <c r="X17" s="485"/>
      <c r="Y17" s="468"/>
      <c r="Z17" s="469"/>
      <c r="AA17" s="468"/>
      <c r="AB17" s="470"/>
      <c r="AC17" s="34"/>
      <c r="AD17" s="33"/>
      <c r="AE17" s="585">
        <f>IF(O17=0,,MONTH(O17))</f>
        <v>0</v>
      </c>
    </row>
    <row r="18" spans="1:31" ht="15.75" thickBot="1" x14ac:dyDescent="0.3">
      <c r="A18" s="574"/>
      <c r="B18" s="576"/>
      <c r="C18" s="576"/>
      <c r="D18" s="577"/>
      <c r="E18" s="577"/>
      <c r="F18" s="576"/>
      <c r="G18" s="577"/>
      <c r="H18" s="577"/>
      <c r="I18" s="576"/>
      <c r="J18" s="577"/>
      <c r="K18" s="577"/>
      <c r="L18" s="467"/>
      <c r="M18" s="468"/>
      <c r="N18" s="467"/>
      <c r="O18" s="582"/>
      <c r="P18" s="582"/>
      <c r="Q18" s="577"/>
      <c r="R18" s="577"/>
      <c r="S18" s="468"/>
      <c r="T18" s="485"/>
      <c r="U18" s="468"/>
      <c r="V18" s="468"/>
      <c r="W18" s="468"/>
      <c r="X18" s="485"/>
      <c r="Y18" s="468"/>
      <c r="Z18" s="469"/>
      <c r="AA18" s="468"/>
      <c r="AB18" s="470"/>
      <c r="AC18" s="34"/>
      <c r="AD18" s="33"/>
      <c r="AE18" s="585">
        <f t="shared" ref="AE18:AE51" si="0">IF(O18=0,,MONTH(O18))</f>
        <v>0</v>
      </c>
    </row>
    <row r="19" spans="1:31" ht="15.75" thickBot="1" x14ac:dyDescent="0.3">
      <c r="A19" s="574"/>
      <c r="B19" s="576"/>
      <c r="C19" s="576"/>
      <c r="D19" s="577"/>
      <c r="E19" s="577"/>
      <c r="F19" s="578"/>
      <c r="G19" s="579"/>
      <c r="H19" s="577"/>
      <c r="I19" s="576"/>
      <c r="J19" s="577"/>
      <c r="K19" s="580"/>
      <c r="L19" s="467"/>
      <c r="M19" s="468"/>
      <c r="N19" s="467"/>
      <c r="O19" s="582"/>
      <c r="P19" s="582"/>
      <c r="Q19" s="577"/>
      <c r="R19" s="577"/>
      <c r="S19" s="468"/>
      <c r="T19" s="485"/>
      <c r="U19" s="468"/>
      <c r="V19" s="468"/>
      <c r="W19" s="468"/>
      <c r="X19" s="485"/>
      <c r="Y19" s="468"/>
      <c r="Z19" s="469"/>
      <c r="AA19" s="468"/>
      <c r="AB19" s="470"/>
      <c r="AC19" s="34"/>
      <c r="AD19" s="33"/>
      <c r="AE19" s="585">
        <f t="shared" si="0"/>
        <v>0</v>
      </c>
    </row>
    <row r="20" spans="1:31" ht="15.75" thickBot="1" x14ac:dyDescent="0.3">
      <c r="A20" s="574"/>
      <c r="B20" s="576"/>
      <c r="C20" s="576"/>
      <c r="D20" s="577"/>
      <c r="E20" s="577"/>
      <c r="F20" s="581"/>
      <c r="G20" s="577"/>
      <c r="H20" s="577"/>
      <c r="I20" s="576"/>
      <c r="J20" s="577"/>
      <c r="K20" s="580"/>
      <c r="L20" s="467"/>
      <c r="M20" s="468"/>
      <c r="N20" s="467"/>
      <c r="O20" s="582"/>
      <c r="P20" s="582"/>
      <c r="Q20" s="577"/>
      <c r="R20" s="577"/>
      <c r="S20" s="468"/>
      <c r="T20" s="485"/>
      <c r="U20" s="468"/>
      <c r="V20" s="468"/>
      <c r="W20" s="468"/>
      <c r="X20" s="485"/>
      <c r="Y20" s="468"/>
      <c r="Z20" s="469"/>
      <c r="AA20" s="468"/>
      <c r="AB20" s="470"/>
      <c r="AC20" s="34"/>
      <c r="AD20" s="33"/>
      <c r="AE20" s="585">
        <f t="shared" si="0"/>
        <v>0</v>
      </c>
    </row>
    <row r="21" spans="1:31" ht="15.75" thickBot="1" x14ac:dyDescent="0.3">
      <c r="A21" s="574"/>
      <c r="B21" s="576"/>
      <c r="C21" s="576"/>
      <c r="D21" s="577"/>
      <c r="E21" s="577"/>
      <c r="F21" s="576"/>
      <c r="G21" s="577"/>
      <c r="H21" s="577"/>
      <c r="I21" s="576"/>
      <c r="J21" s="577"/>
      <c r="K21" s="577"/>
      <c r="L21" s="467"/>
      <c r="M21" s="468"/>
      <c r="N21" s="467"/>
      <c r="O21" s="582"/>
      <c r="P21" s="582"/>
      <c r="Q21" s="577"/>
      <c r="R21" s="577"/>
      <c r="S21" s="468"/>
      <c r="T21" s="485"/>
      <c r="U21" s="468"/>
      <c r="V21" s="468"/>
      <c r="W21" s="468"/>
      <c r="X21" s="485"/>
      <c r="Y21" s="468"/>
      <c r="Z21" s="469"/>
      <c r="AA21" s="468"/>
      <c r="AB21" s="470"/>
      <c r="AC21" s="34"/>
      <c r="AD21" s="33"/>
      <c r="AE21" s="585">
        <f t="shared" si="0"/>
        <v>0</v>
      </c>
    </row>
    <row r="22" spans="1:31" ht="15.75" thickBot="1" x14ac:dyDescent="0.3">
      <c r="A22" s="574"/>
      <c r="B22" s="576"/>
      <c r="C22" s="576"/>
      <c r="D22" s="577"/>
      <c r="E22" s="577"/>
      <c r="F22" s="578"/>
      <c r="G22" s="579"/>
      <c r="H22" s="577"/>
      <c r="I22" s="576"/>
      <c r="J22" s="577"/>
      <c r="K22" s="580"/>
      <c r="L22" s="467"/>
      <c r="M22" s="468"/>
      <c r="N22" s="467"/>
      <c r="O22" s="582"/>
      <c r="P22" s="582"/>
      <c r="Q22" s="577"/>
      <c r="R22" s="577"/>
      <c r="S22" s="468"/>
      <c r="T22" s="485"/>
      <c r="U22" s="468"/>
      <c r="V22" s="468"/>
      <c r="W22" s="468"/>
      <c r="X22" s="485"/>
      <c r="Y22" s="468"/>
      <c r="Z22" s="469"/>
      <c r="AA22" s="468"/>
      <c r="AB22" s="470"/>
      <c r="AC22" s="34"/>
      <c r="AD22" s="33"/>
      <c r="AE22" s="585">
        <f t="shared" si="0"/>
        <v>0</v>
      </c>
    </row>
    <row r="23" spans="1:31" ht="15.75" thickBot="1" x14ac:dyDescent="0.3">
      <c r="A23" s="574"/>
      <c r="B23" s="576"/>
      <c r="C23" s="576"/>
      <c r="D23" s="577"/>
      <c r="E23" s="577"/>
      <c r="F23" s="581"/>
      <c r="G23" s="577"/>
      <c r="H23" s="577"/>
      <c r="I23" s="576"/>
      <c r="J23" s="577"/>
      <c r="K23" s="580"/>
      <c r="L23" s="467"/>
      <c r="M23" s="468"/>
      <c r="N23" s="467"/>
      <c r="O23" s="582"/>
      <c r="P23" s="582"/>
      <c r="Q23" s="577"/>
      <c r="R23" s="577"/>
      <c r="S23" s="468"/>
      <c r="T23" s="485"/>
      <c r="U23" s="468"/>
      <c r="V23" s="468"/>
      <c r="W23" s="468"/>
      <c r="X23" s="485"/>
      <c r="Y23" s="468"/>
      <c r="Z23" s="469"/>
      <c r="AA23" s="468"/>
      <c r="AB23" s="470"/>
      <c r="AC23" s="34"/>
      <c r="AD23" s="33"/>
      <c r="AE23" s="585">
        <f t="shared" si="0"/>
        <v>0</v>
      </c>
    </row>
    <row r="24" spans="1:31" ht="15.75" thickBot="1" x14ac:dyDescent="0.3">
      <c r="A24" s="574"/>
      <c r="B24" s="576"/>
      <c r="C24" s="576"/>
      <c r="D24" s="577"/>
      <c r="E24" s="577"/>
      <c r="F24" s="576"/>
      <c r="G24" s="577"/>
      <c r="H24" s="577"/>
      <c r="I24" s="576"/>
      <c r="J24" s="577"/>
      <c r="K24" s="577"/>
      <c r="L24" s="467"/>
      <c r="M24" s="468"/>
      <c r="N24" s="467"/>
      <c r="O24" s="582"/>
      <c r="P24" s="582"/>
      <c r="Q24" s="577"/>
      <c r="R24" s="577"/>
      <c r="S24" s="468"/>
      <c r="T24" s="485"/>
      <c r="U24" s="468"/>
      <c r="V24" s="468"/>
      <c r="W24" s="468"/>
      <c r="X24" s="485"/>
      <c r="Y24" s="468"/>
      <c r="Z24" s="469"/>
      <c r="AA24" s="468"/>
      <c r="AB24" s="470"/>
      <c r="AC24" s="34"/>
      <c r="AD24" s="33"/>
      <c r="AE24" s="585">
        <f t="shared" si="0"/>
        <v>0</v>
      </c>
    </row>
    <row r="25" spans="1:31" ht="15.75" thickBot="1" x14ac:dyDescent="0.3">
      <c r="A25" s="574"/>
      <c r="B25" s="576"/>
      <c r="C25" s="576"/>
      <c r="D25" s="577"/>
      <c r="E25" s="577"/>
      <c r="F25" s="578"/>
      <c r="G25" s="579"/>
      <c r="H25" s="577"/>
      <c r="I25" s="576"/>
      <c r="J25" s="577"/>
      <c r="K25" s="580"/>
      <c r="L25" s="467"/>
      <c r="M25" s="468"/>
      <c r="N25" s="467"/>
      <c r="O25" s="582"/>
      <c r="P25" s="582"/>
      <c r="Q25" s="577"/>
      <c r="R25" s="577"/>
      <c r="S25" s="468"/>
      <c r="T25" s="485"/>
      <c r="U25" s="468"/>
      <c r="V25" s="468"/>
      <c r="W25" s="468"/>
      <c r="X25" s="485"/>
      <c r="Y25" s="468"/>
      <c r="Z25" s="469"/>
      <c r="AA25" s="468"/>
      <c r="AB25" s="470"/>
      <c r="AC25" s="34"/>
      <c r="AD25" s="33"/>
      <c r="AE25" s="585">
        <f t="shared" si="0"/>
        <v>0</v>
      </c>
    </row>
    <row r="26" spans="1:31" ht="15.75" thickBot="1" x14ac:dyDescent="0.3">
      <c r="A26" s="574"/>
      <c r="B26" s="576"/>
      <c r="C26" s="576"/>
      <c r="D26" s="577"/>
      <c r="E26" s="577"/>
      <c r="F26" s="581"/>
      <c r="G26" s="577"/>
      <c r="H26" s="577"/>
      <c r="I26" s="576"/>
      <c r="J26" s="577"/>
      <c r="K26" s="580"/>
      <c r="L26" s="467"/>
      <c r="M26" s="468"/>
      <c r="N26" s="467"/>
      <c r="O26" s="582"/>
      <c r="P26" s="582"/>
      <c r="Q26" s="577"/>
      <c r="R26" s="577"/>
      <c r="S26" s="468"/>
      <c r="T26" s="485"/>
      <c r="U26" s="468"/>
      <c r="V26" s="468"/>
      <c r="W26" s="468"/>
      <c r="X26" s="485"/>
      <c r="Y26" s="468"/>
      <c r="Z26" s="469"/>
      <c r="AA26" s="468"/>
      <c r="AB26" s="470"/>
      <c r="AC26" s="34"/>
      <c r="AD26" s="33"/>
      <c r="AE26" s="585">
        <f t="shared" si="0"/>
        <v>0</v>
      </c>
    </row>
    <row r="27" spans="1:31" ht="15.75" thickBot="1" x14ac:dyDescent="0.3">
      <c r="A27" s="574"/>
      <c r="B27" s="576"/>
      <c r="C27" s="576"/>
      <c r="D27" s="577"/>
      <c r="E27" s="577"/>
      <c r="F27" s="576"/>
      <c r="G27" s="577"/>
      <c r="H27" s="577"/>
      <c r="I27" s="576"/>
      <c r="J27" s="577"/>
      <c r="K27" s="577"/>
      <c r="L27" s="467"/>
      <c r="M27" s="468"/>
      <c r="N27" s="467"/>
      <c r="O27" s="582"/>
      <c r="P27" s="582"/>
      <c r="Q27" s="577"/>
      <c r="R27" s="577"/>
      <c r="S27" s="468"/>
      <c r="T27" s="485"/>
      <c r="U27" s="468"/>
      <c r="V27" s="468"/>
      <c r="W27" s="468"/>
      <c r="X27" s="485"/>
      <c r="Y27" s="468"/>
      <c r="Z27" s="469"/>
      <c r="AA27" s="468"/>
      <c r="AB27" s="470"/>
      <c r="AC27" s="34"/>
      <c r="AD27" s="33"/>
      <c r="AE27" s="585">
        <f t="shared" si="0"/>
        <v>0</v>
      </c>
    </row>
    <row r="28" spans="1:31" ht="15.75" thickBot="1" x14ac:dyDescent="0.3">
      <c r="A28" s="574"/>
      <c r="B28" s="576"/>
      <c r="C28" s="576"/>
      <c r="D28" s="577"/>
      <c r="E28" s="577"/>
      <c r="F28" s="578"/>
      <c r="G28" s="579"/>
      <c r="H28" s="577"/>
      <c r="I28" s="576"/>
      <c r="J28" s="577"/>
      <c r="K28" s="580"/>
      <c r="L28" s="467"/>
      <c r="M28" s="468"/>
      <c r="N28" s="467"/>
      <c r="O28" s="582"/>
      <c r="P28" s="582"/>
      <c r="Q28" s="577"/>
      <c r="R28" s="577"/>
      <c r="S28" s="468"/>
      <c r="T28" s="485"/>
      <c r="U28" s="468"/>
      <c r="V28" s="468"/>
      <c r="W28" s="468"/>
      <c r="X28" s="485"/>
      <c r="Y28" s="468"/>
      <c r="Z28" s="469"/>
      <c r="AA28" s="468"/>
      <c r="AB28" s="470"/>
      <c r="AC28" s="34"/>
      <c r="AD28" s="33"/>
      <c r="AE28" s="585">
        <f t="shared" si="0"/>
        <v>0</v>
      </c>
    </row>
    <row r="29" spans="1:31" ht="15.75" thickBot="1" x14ac:dyDescent="0.3">
      <c r="A29" s="574"/>
      <c r="B29" s="576"/>
      <c r="C29" s="576"/>
      <c r="D29" s="577"/>
      <c r="E29" s="577"/>
      <c r="F29" s="581"/>
      <c r="G29" s="577"/>
      <c r="H29" s="577"/>
      <c r="I29" s="576"/>
      <c r="J29" s="577"/>
      <c r="K29" s="580"/>
      <c r="L29" s="467"/>
      <c r="M29" s="468"/>
      <c r="N29" s="467"/>
      <c r="O29" s="582"/>
      <c r="P29" s="582"/>
      <c r="Q29" s="577"/>
      <c r="R29" s="577"/>
      <c r="S29" s="468"/>
      <c r="T29" s="485"/>
      <c r="U29" s="468"/>
      <c r="V29" s="468"/>
      <c r="W29" s="468"/>
      <c r="X29" s="485"/>
      <c r="Y29" s="468"/>
      <c r="Z29" s="469"/>
      <c r="AA29" s="468"/>
      <c r="AB29" s="470"/>
      <c r="AC29" s="34"/>
      <c r="AD29" s="33"/>
      <c r="AE29" s="585">
        <f t="shared" si="0"/>
        <v>0</v>
      </c>
    </row>
    <row r="30" spans="1:31" ht="15.75" thickBot="1" x14ac:dyDescent="0.3">
      <c r="A30" s="574"/>
      <c r="B30" s="576"/>
      <c r="C30" s="576"/>
      <c r="D30" s="577"/>
      <c r="E30" s="577"/>
      <c r="F30" s="576"/>
      <c r="G30" s="577"/>
      <c r="H30" s="577"/>
      <c r="I30" s="576"/>
      <c r="J30" s="577"/>
      <c r="K30" s="577"/>
      <c r="L30" s="467"/>
      <c r="M30" s="468"/>
      <c r="N30" s="467"/>
      <c r="O30" s="582"/>
      <c r="P30" s="582"/>
      <c r="Q30" s="577"/>
      <c r="R30" s="577"/>
      <c r="S30" s="468"/>
      <c r="T30" s="485"/>
      <c r="U30" s="468"/>
      <c r="V30" s="468"/>
      <c r="W30" s="468"/>
      <c r="X30" s="485"/>
      <c r="Y30" s="468"/>
      <c r="Z30" s="469"/>
      <c r="AA30" s="468"/>
      <c r="AB30" s="470"/>
      <c r="AC30" s="34"/>
      <c r="AD30" s="33"/>
      <c r="AE30" s="585">
        <f t="shared" si="0"/>
        <v>0</v>
      </c>
    </row>
    <row r="31" spans="1:31" ht="15.75" thickBot="1" x14ac:dyDescent="0.3">
      <c r="A31" s="574"/>
      <c r="B31" s="576"/>
      <c r="C31" s="576"/>
      <c r="D31" s="577"/>
      <c r="E31" s="577"/>
      <c r="F31" s="578"/>
      <c r="G31" s="579"/>
      <c r="H31" s="577"/>
      <c r="I31" s="576"/>
      <c r="J31" s="577"/>
      <c r="K31" s="580"/>
      <c r="L31" s="467"/>
      <c r="M31" s="468"/>
      <c r="N31" s="467"/>
      <c r="O31" s="582"/>
      <c r="P31" s="582"/>
      <c r="Q31" s="577"/>
      <c r="R31" s="577"/>
      <c r="S31" s="468"/>
      <c r="T31" s="485"/>
      <c r="U31" s="468"/>
      <c r="V31" s="468"/>
      <c r="W31" s="468"/>
      <c r="X31" s="485"/>
      <c r="Y31" s="468"/>
      <c r="Z31" s="469"/>
      <c r="AA31" s="468"/>
      <c r="AB31" s="470"/>
      <c r="AC31" s="34"/>
      <c r="AD31" s="33"/>
      <c r="AE31" s="585">
        <f t="shared" si="0"/>
        <v>0</v>
      </c>
    </row>
    <row r="32" spans="1:31" ht="15.75" thickBot="1" x14ac:dyDescent="0.3">
      <c r="A32" s="574"/>
      <c r="B32" s="576"/>
      <c r="C32" s="576"/>
      <c r="D32" s="577"/>
      <c r="E32" s="577"/>
      <c r="F32" s="581"/>
      <c r="G32" s="577"/>
      <c r="H32" s="577"/>
      <c r="I32" s="576"/>
      <c r="J32" s="577"/>
      <c r="K32" s="580"/>
      <c r="L32" s="467"/>
      <c r="M32" s="468"/>
      <c r="N32" s="467"/>
      <c r="O32" s="582"/>
      <c r="P32" s="582"/>
      <c r="Q32" s="577"/>
      <c r="R32" s="577"/>
      <c r="S32" s="468"/>
      <c r="T32" s="485"/>
      <c r="U32" s="468"/>
      <c r="V32" s="468"/>
      <c r="W32" s="468"/>
      <c r="X32" s="485"/>
      <c r="Y32" s="468"/>
      <c r="Z32" s="469"/>
      <c r="AA32" s="468"/>
      <c r="AB32" s="470"/>
      <c r="AC32" s="34"/>
      <c r="AD32" s="33"/>
      <c r="AE32" s="585">
        <f t="shared" si="0"/>
        <v>0</v>
      </c>
    </row>
    <row r="33" spans="1:31" ht="15.75" thickBot="1" x14ac:dyDescent="0.3">
      <c r="A33" s="574"/>
      <c r="B33" s="576"/>
      <c r="C33" s="576"/>
      <c r="D33" s="577"/>
      <c r="E33" s="577"/>
      <c r="F33" s="576"/>
      <c r="G33" s="577"/>
      <c r="H33" s="577"/>
      <c r="I33" s="576"/>
      <c r="J33" s="577"/>
      <c r="K33" s="577"/>
      <c r="L33" s="467"/>
      <c r="M33" s="468"/>
      <c r="N33" s="467"/>
      <c r="O33" s="582"/>
      <c r="P33" s="582"/>
      <c r="Q33" s="577"/>
      <c r="R33" s="577"/>
      <c r="S33" s="468"/>
      <c r="T33" s="485"/>
      <c r="U33" s="468"/>
      <c r="V33" s="468"/>
      <c r="W33" s="468"/>
      <c r="X33" s="485"/>
      <c r="Y33" s="468"/>
      <c r="Z33" s="469"/>
      <c r="AA33" s="468"/>
      <c r="AB33" s="470"/>
      <c r="AC33" s="34"/>
      <c r="AD33" s="33"/>
      <c r="AE33" s="585">
        <f t="shared" si="0"/>
        <v>0</v>
      </c>
    </row>
    <row r="34" spans="1:31" ht="15.75" thickBot="1" x14ac:dyDescent="0.3">
      <c r="A34" s="574"/>
      <c r="B34" s="576"/>
      <c r="C34" s="576"/>
      <c r="D34" s="577"/>
      <c r="E34" s="577"/>
      <c r="F34" s="578"/>
      <c r="G34" s="579"/>
      <c r="H34" s="577"/>
      <c r="I34" s="576"/>
      <c r="J34" s="577"/>
      <c r="K34" s="580"/>
      <c r="L34" s="467"/>
      <c r="M34" s="468"/>
      <c r="N34" s="467"/>
      <c r="O34" s="582"/>
      <c r="P34" s="582"/>
      <c r="Q34" s="577"/>
      <c r="R34" s="577"/>
      <c r="S34" s="468"/>
      <c r="T34" s="485"/>
      <c r="U34" s="468"/>
      <c r="V34" s="468"/>
      <c r="W34" s="468"/>
      <c r="X34" s="485"/>
      <c r="Y34" s="468"/>
      <c r="Z34" s="469"/>
      <c r="AA34" s="468"/>
      <c r="AB34" s="470"/>
      <c r="AC34" s="34"/>
      <c r="AD34" s="33"/>
      <c r="AE34" s="585">
        <f t="shared" si="0"/>
        <v>0</v>
      </c>
    </row>
    <row r="35" spans="1:31" ht="15.75" thickBot="1" x14ac:dyDescent="0.3">
      <c r="A35" s="574"/>
      <c r="B35" s="576"/>
      <c r="C35" s="576"/>
      <c r="D35" s="577"/>
      <c r="E35" s="577"/>
      <c r="F35" s="581"/>
      <c r="G35" s="577"/>
      <c r="H35" s="577"/>
      <c r="I35" s="576"/>
      <c r="J35" s="577"/>
      <c r="K35" s="580"/>
      <c r="L35" s="467"/>
      <c r="M35" s="468"/>
      <c r="N35" s="467"/>
      <c r="O35" s="582"/>
      <c r="P35" s="582"/>
      <c r="Q35" s="577"/>
      <c r="R35" s="577"/>
      <c r="S35" s="468"/>
      <c r="T35" s="485"/>
      <c r="U35" s="468"/>
      <c r="V35" s="468"/>
      <c r="W35" s="468"/>
      <c r="X35" s="485"/>
      <c r="Y35" s="468"/>
      <c r="Z35" s="469"/>
      <c r="AA35" s="468"/>
      <c r="AB35" s="470"/>
      <c r="AC35" s="34"/>
      <c r="AD35" s="33"/>
      <c r="AE35" s="585">
        <f t="shared" si="0"/>
        <v>0</v>
      </c>
    </row>
    <row r="36" spans="1:31" ht="15.75" thickBot="1" x14ac:dyDescent="0.3">
      <c r="A36" s="574"/>
      <c r="B36" s="576"/>
      <c r="C36" s="576"/>
      <c r="D36" s="577"/>
      <c r="E36" s="577"/>
      <c r="F36" s="576"/>
      <c r="G36" s="577"/>
      <c r="H36" s="577"/>
      <c r="I36" s="576"/>
      <c r="J36" s="577"/>
      <c r="K36" s="577"/>
      <c r="L36" s="467"/>
      <c r="M36" s="468"/>
      <c r="N36" s="467"/>
      <c r="O36" s="582"/>
      <c r="P36" s="582"/>
      <c r="Q36" s="577"/>
      <c r="R36" s="577"/>
      <c r="S36" s="468"/>
      <c r="T36" s="485"/>
      <c r="U36" s="468"/>
      <c r="V36" s="468"/>
      <c r="W36" s="468"/>
      <c r="X36" s="485"/>
      <c r="Y36" s="468"/>
      <c r="Z36" s="469"/>
      <c r="AA36" s="468"/>
      <c r="AB36" s="470"/>
      <c r="AC36" s="34"/>
      <c r="AD36" s="33"/>
      <c r="AE36" s="585">
        <f t="shared" si="0"/>
        <v>0</v>
      </c>
    </row>
    <row r="37" spans="1:31" ht="15.75" thickBot="1" x14ac:dyDescent="0.3">
      <c r="A37" s="574"/>
      <c r="B37" s="576"/>
      <c r="C37" s="576"/>
      <c r="D37" s="577"/>
      <c r="E37" s="577"/>
      <c r="F37" s="578"/>
      <c r="G37" s="579"/>
      <c r="H37" s="577"/>
      <c r="I37" s="576"/>
      <c r="J37" s="577"/>
      <c r="K37" s="580"/>
      <c r="L37" s="467"/>
      <c r="M37" s="468"/>
      <c r="N37" s="467"/>
      <c r="O37" s="582"/>
      <c r="P37" s="582"/>
      <c r="Q37" s="577"/>
      <c r="R37" s="577"/>
      <c r="S37" s="468"/>
      <c r="T37" s="485"/>
      <c r="U37" s="468"/>
      <c r="V37" s="468"/>
      <c r="W37" s="468"/>
      <c r="X37" s="485"/>
      <c r="Y37" s="468"/>
      <c r="Z37" s="469"/>
      <c r="AA37" s="468"/>
      <c r="AB37" s="470"/>
      <c r="AC37" s="34"/>
      <c r="AD37" s="33"/>
      <c r="AE37" s="585">
        <f t="shared" si="0"/>
        <v>0</v>
      </c>
    </row>
    <row r="38" spans="1:31" ht="15.75" thickBot="1" x14ac:dyDescent="0.3">
      <c r="A38" s="574"/>
      <c r="B38" s="576"/>
      <c r="C38" s="576"/>
      <c r="D38" s="577"/>
      <c r="E38" s="577"/>
      <c r="F38" s="581"/>
      <c r="G38" s="577"/>
      <c r="H38" s="577"/>
      <c r="I38" s="576"/>
      <c r="J38" s="577"/>
      <c r="K38" s="580"/>
      <c r="L38" s="467"/>
      <c r="M38" s="468"/>
      <c r="N38" s="467"/>
      <c r="O38" s="582"/>
      <c r="P38" s="582"/>
      <c r="Q38" s="577"/>
      <c r="R38" s="577"/>
      <c r="S38" s="468"/>
      <c r="T38" s="485"/>
      <c r="U38" s="468"/>
      <c r="V38" s="468"/>
      <c r="W38" s="468"/>
      <c r="X38" s="485"/>
      <c r="Y38" s="468"/>
      <c r="Z38" s="469"/>
      <c r="AA38" s="468"/>
      <c r="AB38" s="470"/>
      <c r="AC38" s="34"/>
      <c r="AD38" s="33"/>
      <c r="AE38" s="585">
        <f t="shared" si="0"/>
        <v>0</v>
      </c>
    </row>
    <row r="39" spans="1:31" ht="15.75" thickBot="1" x14ac:dyDescent="0.3">
      <c r="A39" s="574"/>
      <c r="B39" s="576"/>
      <c r="C39" s="576"/>
      <c r="D39" s="577"/>
      <c r="E39" s="577"/>
      <c r="F39" s="576"/>
      <c r="G39" s="577"/>
      <c r="H39" s="577"/>
      <c r="I39" s="576"/>
      <c r="J39" s="577"/>
      <c r="K39" s="577"/>
      <c r="L39" s="467"/>
      <c r="M39" s="468"/>
      <c r="N39" s="467"/>
      <c r="O39" s="582"/>
      <c r="P39" s="582"/>
      <c r="Q39" s="577"/>
      <c r="R39" s="577"/>
      <c r="S39" s="468"/>
      <c r="T39" s="485"/>
      <c r="U39" s="468"/>
      <c r="V39" s="468"/>
      <c r="W39" s="468"/>
      <c r="X39" s="485"/>
      <c r="Y39" s="468"/>
      <c r="Z39" s="469"/>
      <c r="AA39" s="468"/>
      <c r="AB39" s="470"/>
      <c r="AC39" s="34"/>
      <c r="AD39" s="33"/>
      <c r="AE39" s="585">
        <f t="shared" si="0"/>
        <v>0</v>
      </c>
    </row>
    <row r="40" spans="1:31" ht="15.75" thickBot="1" x14ac:dyDescent="0.3">
      <c r="A40" s="574"/>
      <c r="B40" s="576"/>
      <c r="C40" s="576"/>
      <c r="D40" s="577"/>
      <c r="E40" s="577"/>
      <c r="F40" s="578"/>
      <c r="G40" s="579"/>
      <c r="H40" s="577"/>
      <c r="I40" s="576"/>
      <c r="J40" s="577"/>
      <c r="K40" s="580"/>
      <c r="L40" s="467"/>
      <c r="M40" s="468"/>
      <c r="N40" s="467"/>
      <c r="O40" s="582"/>
      <c r="P40" s="582"/>
      <c r="Q40" s="577"/>
      <c r="R40" s="577"/>
      <c r="S40" s="468"/>
      <c r="T40" s="485"/>
      <c r="U40" s="468"/>
      <c r="V40" s="468"/>
      <c r="W40" s="468"/>
      <c r="X40" s="485"/>
      <c r="Y40" s="468"/>
      <c r="Z40" s="469"/>
      <c r="AA40" s="468"/>
      <c r="AB40" s="470"/>
      <c r="AC40" s="34"/>
      <c r="AD40" s="33"/>
      <c r="AE40" s="585">
        <f t="shared" si="0"/>
        <v>0</v>
      </c>
    </row>
    <row r="41" spans="1:31" ht="15.75" thickBot="1" x14ac:dyDescent="0.3">
      <c r="A41" s="574"/>
      <c r="B41" s="576"/>
      <c r="C41" s="576"/>
      <c r="D41" s="577"/>
      <c r="E41" s="577"/>
      <c r="F41" s="581"/>
      <c r="G41" s="577"/>
      <c r="H41" s="577"/>
      <c r="I41" s="576"/>
      <c r="J41" s="577"/>
      <c r="K41" s="580"/>
      <c r="L41" s="467"/>
      <c r="M41" s="468"/>
      <c r="N41" s="467"/>
      <c r="O41" s="582"/>
      <c r="P41" s="582"/>
      <c r="Q41" s="577"/>
      <c r="R41" s="577"/>
      <c r="S41" s="468"/>
      <c r="T41" s="485"/>
      <c r="U41" s="468"/>
      <c r="V41" s="468"/>
      <c r="W41" s="468"/>
      <c r="X41" s="485"/>
      <c r="Y41" s="468"/>
      <c r="Z41" s="469"/>
      <c r="AA41" s="468"/>
      <c r="AB41" s="470"/>
      <c r="AC41" s="34"/>
      <c r="AD41" s="33"/>
      <c r="AE41" s="585">
        <f t="shared" si="0"/>
        <v>0</v>
      </c>
    </row>
    <row r="42" spans="1:31" ht="15.75" thickBot="1" x14ac:dyDescent="0.3">
      <c r="A42" s="574"/>
      <c r="B42" s="576"/>
      <c r="C42" s="576"/>
      <c r="D42" s="577"/>
      <c r="E42" s="577"/>
      <c r="F42" s="576"/>
      <c r="G42" s="577"/>
      <c r="H42" s="577"/>
      <c r="I42" s="576"/>
      <c r="J42" s="577"/>
      <c r="K42" s="577"/>
      <c r="L42" s="467"/>
      <c r="M42" s="468"/>
      <c r="N42" s="467"/>
      <c r="O42" s="582"/>
      <c r="P42" s="582"/>
      <c r="Q42" s="577"/>
      <c r="R42" s="577"/>
      <c r="S42" s="468"/>
      <c r="T42" s="485"/>
      <c r="U42" s="468"/>
      <c r="V42" s="468"/>
      <c r="W42" s="468"/>
      <c r="X42" s="485"/>
      <c r="Y42" s="468"/>
      <c r="Z42" s="469"/>
      <c r="AA42" s="468"/>
      <c r="AB42" s="470"/>
      <c r="AC42" s="34"/>
      <c r="AD42" s="33"/>
      <c r="AE42" s="585">
        <f t="shared" si="0"/>
        <v>0</v>
      </c>
    </row>
    <row r="43" spans="1:31" ht="15.75" thickBot="1" x14ac:dyDescent="0.3">
      <c r="A43" s="574"/>
      <c r="B43" s="576"/>
      <c r="C43" s="576"/>
      <c r="D43" s="577"/>
      <c r="E43" s="577"/>
      <c r="F43" s="578"/>
      <c r="G43" s="579"/>
      <c r="H43" s="577"/>
      <c r="I43" s="576"/>
      <c r="J43" s="577"/>
      <c r="K43" s="580"/>
      <c r="L43" s="467"/>
      <c r="M43" s="468"/>
      <c r="N43" s="467"/>
      <c r="O43" s="582"/>
      <c r="P43" s="582"/>
      <c r="Q43" s="577"/>
      <c r="R43" s="577"/>
      <c r="S43" s="468"/>
      <c r="T43" s="485"/>
      <c r="U43" s="468"/>
      <c r="V43" s="468"/>
      <c r="W43" s="468"/>
      <c r="X43" s="485"/>
      <c r="Y43" s="468"/>
      <c r="Z43" s="469"/>
      <c r="AA43" s="468"/>
      <c r="AB43" s="470"/>
      <c r="AC43" s="34"/>
      <c r="AD43" s="33"/>
      <c r="AE43" s="585">
        <f t="shared" si="0"/>
        <v>0</v>
      </c>
    </row>
    <row r="44" spans="1:31" ht="15.75" thickBot="1" x14ac:dyDescent="0.3">
      <c r="A44" s="574"/>
      <c r="B44" s="576"/>
      <c r="C44" s="576"/>
      <c r="D44" s="577"/>
      <c r="E44" s="577"/>
      <c r="F44" s="581"/>
      <c r="G44" s="577"/>
      <c r="H44" s="577"/>
      <c r="I44" s="576"/>
      <c r="J44" s="577"/>
      <c r="K44" s="580"/>
      <c r="L44" s="467"/>
      <c r="M44" s="468"/>
      <c r="N44" s="467"/>
      <c r="O44" s="582"/>
      <c r="P44" s="582"/>
      <c r="Q44" s="577"/>
      <c r="R44" s="577"/>
      <c r="S44" s="468"/>
      <c r="T44" s="485"/>
      <c r="U44" s="468"/>
      <c r="V44" s="468"/>
      <c r="W44" s="468"/>
      <c r="X44" s="485"/>
      <c r="Y44" s="468"/>
      <c r="Z44" s="469"/>
      <c r="AA44" s="468"/>
      <c r="AB44" s="470"/>
      <c r="AC44" s="34"/>
      <c r="AD44" s="33"/>
      <c r="AE44" s="585">
        <f t="shared" si="0"/>
        <v>0</v>
      </c>
    </row>
    <row r="45" spans="1:31" ht="15.75" thickBot="1" x14ac:dyDescent="0.3">
      <c r="A45" s="574"/>
      <c r="B45" s="576"/>
      <c r="C45" s="576"/>
      <c r="D45" s="577"/>
      <c r="E45" s="577"/>
      <c r="F45" s="576"/>
      <c r="G45" s="577"/>
      <c r="H45" s="577"/>
      <c r="I45" s="576"/>
      <c r="J45" s="577"/>
      <c r="K45" s="577"/>
      <c r="L45" s="467"/>
      <c r="M45" s="468"/>
      <c r="N45" s="467"/>
      <c r="O45" s="582"/>
      <c r="P45" s="582"/>
      <c r="Q45" s="577"/>
      <c r="R45" s="577"/>
      <c r="S45" s="468"/>
      <c r="T45" s="485"/>
      <c r="U45" s="468"/>
      <c r="V45" s="468"/>
      <c r="W45" s="468"/>
      <c r="X45" s="485"/>
      <c r="Y45" s="468"/>
      <c r="Z45" s="469"/>
      <c r="AA45" s="468"/>
      <c r="AB45" s="470"/>
      <c r="AC45" s="34"/>
      <c r="AD45" s="33"/>
      <c r="AE45" s="585">
        <f t="shared" si="0"/>
        <v>0</v>
      </c>
    </row>
    <row r="46" spans="1:31" ht="15.75" thickBot="1" x14ac:dyDescent="0.3">
      <c r="A46" s="574"/>
      <c r="B46" s="576"/>
      <c r="C46" s="576"/>
      <c r="D46" s="577"/>
      <c r="E46" s="577"/>
      <c r="F46" s="578"/>
      <c r="G46" s="579"/>
      <c r="H46" s="577"/>
      <c r="I46" s="576"/>
      <c r="J46" s="577"/>
      <c r="K46" s="580"/>
      <c r="L46" s="467"/>
      <c r="M46" s="468"/>
      <c r="N46" s="467"/>
      <c r="O46" s="582"/>
      <c r="P46" s="582"/>
      <c r="Q46" s="577"/>
      <c r="R46" s="577"/>
      <c r="S46" s="468"/>
      <c r="T46" s="485"/>
      <c r="U46" s="468"/>
      <c r="V46" s="468"/>
      <c r="W46" s="468"/>
      <c r="X46" s="485"/>
      <c r="Y46" s="468"/>
      <c r="Z46" s="469"/>
      <c r="AA46" s="468"/>
      <c r="AB46" s="470"/>
      <c r="AC46" s="34"/>
      <c r="AD46" s="33"/>
      <c r="AE46" s="585">
        <f t="shared" si="0"/>
        <v>0</v>
      </c>
    </row>
    <row r="47" spans="1:31" ht="15.75" thickBot="1" x14ac:dyDescent="0.3">
      <c r="A47" s="574"/>
      <c r="B47" s="576"/>
      <c r="C47" s="576"/>
      <c r="D47" s="577"/>
      <c r="E47" s="577"/>
      <c r="F47" s="581"/>
      <c r="G47" s="577"/>
      <c r="H47" s="577"/>
      <c r="I47" s="576"/>
      <c r="J47" s="577"/>
      <c r="K47" s="580"/>
      <c r="L47" s="467"/>
      <c r="M47" s="468"/>
      <c r="N47" s="467"/>
      <c r="O47" s="582"/>
      <c r="P47" s="582"/>
      <c r="Q47" s="577"/>
      <c r="R47" s="577"/>
      <c r="S47" s="468"/>
      <c r="T47" s="485"/>
      <c r="U47" s="468"/>
      <c r="V47" s="468"/>
      <c r="W47" s="468"/>
      <c r="X47" s="485"/>
      <c r="Y47" s="468"/>
      <c r="Z47" s="469"/>
      <c r="AA47" s="468"/>
      <c r="AB47" s="470"/>
      <c r="AC47" s="34"/>
      <c r="AD47" s="33"/>
      <c r="AE47" s="585">
        <f t="shared" si="0"/>
        <v>0</v>
      </c>
    </row>
    <row r="48" spans="1:31" ht="15.75" thickBot="1" x14ac:dyDescent="0.3">
      <c r="A48" s="574"/>
      <c r="B48" s="576"/>
      <c r="C48" s="576"/>
      <c r="D48" s="577"/>
      <c r="E48" s="577"/>
      <c r="F48" s="576"/>
      <c r="G48" s="577"/>
      <c r="H48" s="577"/>
      <c r="I48" s="576"/>
      <c r="J48" s="577"/>
      <c r="K48" s="577"/>
      <c r="L48" s="467"/>
      <c r="M48" s="468"/>
      <c r="N48" s="467"/>
      <c r="O48" s="582"/>
      <c r="P48" s="582"/>
      <c r="Q48" s="577"/>
      <c r="R48" s="577"/>
      <c r="S48" s="468"/>
      <c r="T48" s="485"/>
      <c r="U48" s="468"/>
      <c r="V48" s="468"/>
      <c r="W48" s="468"/>
      <c r="X48" s="485"/>
      <c r="Y48" s="468"/>
      <c r="Z48" s="469"/>
      <c r="AA48" s="468"/>
      <c r="AB48" s="470"/>
      <c r="AC48" s="34"/>
      <c r="AD48" s="33"/>
      <c r="AE48" s="585">
        <f t="shared" si="0"/>
        <v>0</v>
      </c>
    </row>
    <row r="49" spans="1:31" ht="15.75" thickBot="1" x14ac:dyDescent="0.3">
      <c r="A49" s="574"/>
      <c r="B49" s="576"/>
      <c r="C49" s="576"/>
      <c r="D49" s="577"/>
      <c r="E49" s="577"/>
      <c r="F49" s="578"/>
      <c r="G49" s="579"/>
      <c r="H49" s="577"/>
      <c r="I49" s="576"/>
      <c r="J49" s="577"/>
      <c r="K49" s="580"/>
      <c r="L49" s="467"/>
      <c r="M49" s="468"/>
      <c r="N49" s="467"/>
      <c r="O49" s="582"/>
      <c r="P49" s="582"/>
      <c r="Q49" s="577"/>
      <c r="R49" s="577"/>
      <c r="S49" s="468"/>
      <c r="T49" s="485"/>
      <c r="U49" s="468"/>
      <c r="V49" s="468"/>
      <c r="W49" s="468"/>
      <c r="X49" s="485"/>
      <c r="Y49" s="468"/>
      <c r="Z49" s="469"/>
      <c r="AA49" s="468"/>
      <c r="AB49" s="470"/>
      <c r="AC49" s="34"/>
      <c r="AD49" s="33"/>
      <c r="AE49" s="585">
        <f t="shared" si="0"/>
        <v>0</v>
      </c>
    </row>
    <row r="50" spans="1:31" ht="15.75" thickBot="1" x14ac:dyDescent="0.3">
      <c r="A50" s="574"/>
      <c r="B50" s="576"/>
      <c r="C50" s="576"/>
      <c r="D50" s="577"/>
      <c r="E50" s="577"/>
      <c r="F50" s="581"/>
      <c r="G50" s="577"/>
      <c r="H50" s="577"/>
      <c r="I50" s="576"/>
      <c r="J50" s="577"/>
      <c r="K50" s="580"/>
      <c r="L50" s="467"/>
      <c r="M50" s="468"/>
      <c r="N50" s="467"/>
      <c r="O50" s="582"/>
      <c r="P50" s="582"/>
      <c r="Q50" s="577"/>
      <c r="R50" s="577"/>
      <c r="S50" s="468"/>
      <c r="T50" s="485"/>
      <c r="U50" s="468"/>
      <c r="V50" s="468"/>
      <c r="W50" s="468"/>
      <c r="X50" s="485"/>
      <c r="Y50" s="468"/>
      <c r="Z50" s="469"/>
      <c r="AA50" s="468"/>
      <c r="AB50" s="470"/>
      <c r="AC50" s="34"/>
      <c r="AD50" s="33"/>
      <c r="AE50" s="585">
        <f t="shared" si="0"/>
        <v>0</v>
      </c>
    </row>
    <row r="51" spans="1:31" x14ac:dyDescent="0.25">
      <c r="A51" s="574"/>
      <c r="B51" s="576"/>
      <c r="C51" s="576"/>
      <c r="D51" s="577"/>
      <c r="E51" s="577"/>
      <c r="F51" s="576"/>
      <c r="G51" s="577"/>
      <c r="H51" s="577"/>
      <c r="I51" s="576"/>
      <c r="J51" s="577"/>
      <c r="K51" s="577"/>
      <c r="L51" s="467"/>
      <c r="M51" s="468"/>
      <c r="N51" s="467"/>
      <c r="O51" s="582"/>
      <c r="P51" s="582"/>
      <c r="Q51" s="577"/>
      <c r="R51" s="577"/>
      <c r="S51" s="468"/>
      <c r="T51" s="485"/>
      <c r="U51" s="468"/>
      <c r="V51" s="468"/>
      <c r="W51" s="468"/>
      <c r="X51" s="485"/>
      <c r="Y51" s="468"/>
      <c r="Z51" s="469"/>
      <c r="AA51" s="468"/>
      <c r="AB51" s="470"/>
      <c r="AC51" s="34"/>
      <c r="AD51" s="33"/>
      <c r="AE51" s="585">
        <f t="shared" si="0"/>
        <v>0</v>
      </c>
    </row>
  </sheetData>
  <mergeCells count="35">
    <mergeCell ref="B2:R2"/>
    <mergeCell ref="B3:R3"/>
    <mergeCell ref="AB12:AB14"/>
    <mergeCell ref="M13:M14"/>
    <mergeCell ref="N13:N14"/>
    <mergeCell ref="O13:P13"/>
    <mergeCell ref="V12:V14"/>
    <mergeCell ref="AA12:AA14"/>
    <mergeCell ref="B4:C4"/>
    <mergeCell ref="B10:C10"/>
    <mergeCell ref="B5:C5"/>
    <mergeCell ref="B6:C6"/>
    <mergeCell ref="B7:C7"/>
    <mergeCell ref="B8:C8"/>
    <mergeCell ref="B9:C9"/>
    <mergeCell ref="A12:A14"/>
    <mergeCell ref="B12:B14"/>
    <mergeCell ref="Q12:Q14"/>
    <mergeCell ref="R12:R13"/>
    <mergeCell ref="D12:P12"/>
    <mergeCell ref="D13:D14"/>
    <mergeCell ref="E13:E14"/>
    <mergeCell ref="F13:G13"/>
    <mergeCell ref="I13:J13"/>
    <mergeCell ref="H13:H14"/>
    <mergeCell ref="L13:L14"/>
    <mergeCell ref="AE12:AE14"/>
    <mergeCell ref="AC12:AC14"/>
    <mergeCell ref="C12:C14"/>
    <mergeCell ref="U12:U13"/>
    <mergeCell ref="W12:Z13"/>
    <mergeCell ref="K13:K14"/>
    <mergeCell ref="T12:T13"/>
    <mergeCell ref="S12:S14"/>
    <mergeCell ref="AD12:AD13"/>
  </mergeCells>
  <conditionalFormatting sqref="AB17:AB18">
    <cfRule type="cellIs" dxfId="113" priority="35" operator="equal">
      <formula>0</formula>
    </cfRule>
  </conditionalFormatting>
  <conditionalFormatting sqref="AB16">
    <cfRule type="cellIs" dxfId="112" priority="36" operator="equal">
      <formula>0</formula>
    </cfRule>
  </conditionalFormatting>
  <conditionalFormatting sqref="AB34">
    <cfRule type="cellIs" dxfId="111" priority="12" operator="equal">
      <formula>0</formula>
    </cfRule>
  </conditionalFormatting>
  <conditionalFormatting sqref="AB32:AB33">
    <cfRule type="cellIs" dxfId="110" priority="13" operator="equal">
      <formula>0</formula>
    </cfRule>
  </conditionalFormatting>
  <conditionalFormatting sqref="AB31">
    <cfRule type="cellIs" dxfId="109" priority="14" operator="equal">
      <formula>0</formula>
    </cfRule>
  </conditionalFormatting>
  <conditionalFormatting sqref="AB28 AB25">
    <cfRule type="cellIs" dxfId="108" priority="16" operator="equal">
      <formula>0</formula>
    </cfRule>
  </conditionalFormatting>
  <conditionalFormatting sqref="AB29:AB30 AB26:AB27">
    <cfRule type="cellIs" dxfId="107" priority="15" operator="equal">
      <formula>0</formula>
    </cfRule>
  </conditionalFormatting>
  <conditionalFormatting sqref="AB19">
    <cfRule type="cellIs" dxfId="106" priority="22" operator="equal">
      <formula>0</formula>
    </cfRule>
  </conditionalFormatting>
  <conditionalFormatting sqref="AB20:AB21">
    <cfRule type="cellIs" dxfId="105" priority="21" operator="equal">
      <formula>0</formula>
    </cfRule>
  </conditionalFormatting>
  <conditionalFormatting sqref="AB22">
    <cfRule type="cellIs" dxfId="104" priority="20" operator="equal">
      <formula>0</formula>
    </cfRule>
  </conditionalFormatting>
  <conditionalFormatting sqref="AB23:AB24">
    <cfRule type="cellIs" dxfId="103" priority="19" operator="equal">
      <formula>0</formula>
    </cfRule>
  </conditionalFormatting>
  <conditionalFormatting sqref="AB49">
    <cfRule type="cellIs" dxfId="102" priority="2" operator="equal">
      <formula>0</formula>
    </cfRule>
  </conditionalFormatting>
  <conditionalFormatting sqref="AB50:AB51">
    <cfRule type="cellIs" dxfId="101" priority="1" operator="equal">
      <formula>0</formula>
    </cfRule>
  </conditionalFormatting>
  <conditionalFormatting sqref="AB35:AB36">
    <cfRule type="cellIs" dxfId="100" priority="11" operator="equal">
      <formula>0</formula>
    </cfRule>
  </conditionalFormatting>
  <conditionalFormatting sqref="AB37">
    <cfRule type="cellIs" dxfId="99" priority="10" operator="equal">
      <formula>0</formula>
    </cfRule>
  </conditionalFormatting>
  <conditionalFormatting sqref="AB38:AB39">
    <cfRule type="cellIs" dxfId="98" priority="9" operator="equal">
      <formula>0</formula>
    </cfRule>
  </conditionalFormatting>
  <conditionalFormatting sqref="AB40">
    <cfRule type="cellIs" dxfId="97" priority="8" operator="equal">
      <formula>0</formula>
    </cfRule>
  </conditionalFormatting>
  <conditionalFormatting sqref="AB41:AB42">
    <cfRule type="cellIs" dxfId="96" priority="7" operator="equal">
      <formula>0</formula>
    </cfRule>
  </conditionalFormatting>
  <conditionalFormatting sqref="AB43">
    <cfRule type="cellIs" dxfId="95" priority="6" operator="equal">
      <formula>0</formula>
    </cfRule>
  </conditionalFormatting>
  <conditionalFormatting sqref="AB44:AB45">
    <cfRule type="cellIs" dxfId="94" priority="5" operator="equal">
      <formula>0</formula>
    </cfRule>
  </conditionalFormatting>
  <conditionalFormatting sqref="AB46">
    <cfRule type="cellIs" dxfId="93" priority="4" operator="equal">
      <formula>0</formula>
    </cfRule>
  </conditionalFormatting>
  <conditionalFormatting sqref="AB47:AB48">
    <cfRule type="cellIs" dxfId="92" priority="3" operator="equal">
      <formula>0</formula>
    </cfRule>
  </conditionalFormatting>
  <dataValidations count="1">
    <dataValidation type="list" allowBlank="1" showInputMessage="1" showErrorMessage="1" sqref="M16:M1048576">
      <formula1>Источник_112</formula1>
    </dataValidation>
  </dataValidations>
  <pageMargins left="0.25" right="0.25" top="0.75" bottom="0.75" header="0.3" footer="0.3"/>
  <pageSetup paperSize="8" fitToWidth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Справочно!$C$12:$C$33</xm:f>
          </x14:formula1>
          <xm:sqref>Q16:Q1048576</xm:sqref>
        </x14:dataValidation>
        <x14:dataValidation type="list" allowBlank="1" showInputMessage="1" showErrorMessage="1">
          <x14:formula1>
            <xm:f>Справочно!$E$21:$E$45</xm:f>
          </x14:formula1>
          <xm:sqref>AB16 AB19 AB22 AB25 AB28 AB31 AB34 AB37 AB40 AB43 AB46 AB49</xm:sqref>
        </x14:dataValidation>
        <x14:dataValidation type="list" allowBlank="1" showInputMessage="1" showErrorMessage="1">
          <x14:formula1>
            <xm:f>Справочно!$G$3:$G$54</xm:f>
          </x14:formula1>
          <xm:sqref>W16:W1048576</xm:sqref>
        </x14:dataValidation>
        <x14:dataValidation type="list" allowBlank="1" showInputMessage="1" showErrorMessage="1">
          <x14:formula1>
            <xm:f>Справочно!$E$16:$E$17</xm:f>
          </x14:formula1>
          <xm:sqref>R16:R1048576 AD16:AD1048576</xm:sqref>
        </x14:dataValidation>
        <x14:dataValidation type="list" allowBlank="1" showInputMessage="1" showErrorMessage="1">
          <x14:formula1>
            <xm:f>Справочно!$C$3:$C$8</xm:f>
          </x14:formula1>
          <xm:sqref>V17:V18 V20:V21 V23:V24 V26:V27 V29:V30 V32:V33 V35:V36 V38:V39 V41:V42 V44:V45 V47:V48 V50:V1048576</xm:sqref>
        </x14:dataValidation>
        <x14:dataValidation type="list" allowBlank="1" showInputMessage="1" showErrorMessage="1">
          <x14:formula1>
            <xm:f>Справочно!$C$3:$C$9</xm:f>
          </x14:formula1>
          <xm:sqref>V16 V19 V22 V25 V28 V31 V34 V37 V40 V43 V46 V49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5"/>
  <sheetViews>
    <sheetView topLeftCell="N1" workbookViewId="0">
      <selection activeCell="W16" sqref="W16"/>
    </sheetView>
  </sheetViews>
  <sheetFormatPr defaultRowHeight="15" x14ac:dyDescent="0.25"/>
  <cols>
    <col min="1" max="1" width="18.5703125" customWidth="1"/>
    <col min="2" max="3" width="11.42578125" customWidth="1"/>
    <col min="4" max="4" width="26" customWidth="1"/>
    <col min="5" max="5" width="21.140625" customWidth="1"/>
    <col min="6" max="6" width="11.42578125" customWidth="1"/>
    <col min="7" max="7" width="13.7109375" customWidth="1"/>
    <col min="8" max="9" width="11.42578125" customWidth="1"/>
    <col min="10" max="10" width="13.5703125" customWidth="1"/>
    <col min="11" max="11" width="20" customWidth="1"/>
    <col min="12" max="12" width="23.140625" customWidth="1"/>
    <col min="13" max="13" width="15.140625" customWidth="1"/>
    <col min="14" max="14" width="16" customWidth="1"/>
    <col min="15" max="15" width="22" customWidth="1"/>
    <col min="16" max="18" width="12.42578125" customWidth="1"/>
    <col min="19" max="19" width="13.85546875" customWidth="1"/>
    <col min="20" max="20" width="22.5703125" customWidth="1"/>
    <col min="21" max="21" width="21.7109375" customWidth="1"/>
    <col min="22" max="22" width="12.42578125" customWidth="1"/>
    <col min="23" max="24" width="14.7109375" customWidth="1"/>
    <col min="25" max="27" width="13.85546875" customWidth="1"/>
    <col min="28" max="28" width="32.7109375" bestFit="1" customWidth="1"/>
    <col min="29" max="29" width="17.7109375" customWidth="1"/>
  </cols>
  <sheetData>
    <row r="2" spans="1:29" ht="15" customHeight="1" x14ac:dyDescent="0.25">
      <c r="A2" s="14"/>
      <c r="B2" s="642" t="s">
        <v>604</v>
      </c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14"/>
      <c r="T2" s="132"/>
      <c r="U2" s="132"/>
      <c r="V2" s="14"/>
      <c r="W2" s="14"/>
      <c r="X2" s="14"/>
      <c r="Y2" s="14"/>
      <c r="Z2" s="14"/>
      <c r="AA2" s="14"/>
      <c r="AB2" s="14"/>
      <c r="AC2" s="14"/>
    </row>
    <row r="3" spans="1:29" ht="15.75" customHeight="1" thickBot="1" x14ac:dyDescent="0.3">
      <c r="A3" s="14"/>
      <c r="B3" s="642" t="s">
        <v>0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14"/>
      <c r="T3" s="132"/>
      <c r="U3" s="132"/>
      <c r="V3" s="14"/>
      <c r="W3" s="14"/>
      <c r="X3" s="14"/>
      <c r="Y3" s="14"/>
      <c r="Z3" s="14"/>
      <c r="AA3" s="14"/>
      <c r="AB3" s="14"/>
      <c r="AC3" s="14"/>
    </row>
    <row r="4" spans="1:29" ht="27.75" customHeight="1" x14ac:dyDescent="0.25">
      <c r="A4" s="6" t="s">
        <v>1</v>
      </c>
      <c r="B4" s="657"/>
      <c r="C4" s="658"/>
    </row>
    <row r="5" spans="1:29" ht="38.25" x14ac:dyDescent="0.25">
      <c r="A5" s="7" t="s">
        <v>2</v>
      </c>
      <c r="B5" s="653"/>
      <c r="C5" s="654"/>
    </row>
    <row r="6" spans="1:29" ht="15" customHeight="1" x14ac:dyDescent="0.25">
      <c r="A6" s="7" t="s">
        <v>3</v>
      </c>
      <c r="B6" s="653"/>
      <c r="C6" s="654"/>
    </row>
    <row r="7" spans="1:29" ht="25.5" x14ac:dyDescent="0.25">
      <c r="A7" s="7" t="s">
        <v>4</v>
      </c>
      <c r="B7" s="653"/>
      <c r="C7" s="654"/>
    </row>
    <row r="8" spans="1:29" x14ac:dyDescent="0.25">
      <c r="A8" s="7" t="s">
        <v>5</v>
      </c>
      <c r="B8" s="653"/>
      <c r="C8" s="654"/>
    </row>
    <row r="9" spans="1:29" x14ac:dyDescent="0.25">
      <c r="A9" s="7" t="s">
        <v>6</v>
      </c>
      <c r="B9" s="653"/>
      <c r="C9" s="654"/>
    </row>
    <row r="10" spans="1:29" ht="15.75" thickBot="1" x14ac:dyDescent="0.3">
      <c r="A10" s="8" t="s">
        <v>7</v>
      </c>
      <c r="B10" s="655"/>
      <c r="C10" s="656"/>
    </row>
    <row r="11" spans="1:29" ht="15.75" thickBot="1" x14ac:dyDescent="0.3"/>
    <row r="12" spans="1:29" ht="15.75" customHeight="1" thickBot="1" x14ac:dyDescent="0.3">
      <c r="A12" s="631" t="s">
        <v>213</v>
      </c>
      <c r="B12" s="629" t="s">
        <v>613</v>
      </c>
      <c r="C12" s="629" t="s">
        <v>612</v>
      </c>
      <c r="D12" s="639" t="s">
        <v>8</v>
      </c>
      <c r="E12" s="640"/>
      <c r="F12" s="640"/>
      <c r="G12" s="640"/>
      <c r="H12" s="640"/>
      <c r="I12" s="640"/>
      <c r="J12" s="640"/>
      <c r="K12" s="640"/>
      <c r="L12" s="640"/>
      <c r="M12" s="640"/>
      <c r="N12" s="640"/>
      <c r="O12" s="640"/>
      <c r="P12" s="641"/>
      <c r="Q12" s="629" t="s">
        <v>9</v>
      </c>
      <c r="R12" s="629" t="s">
        <v>10</v>
      </c>
      <c r="S12" s="631" t="s">
        <v>11</v>
      </c>
      <c r="T12" s="631" t="s">
        <v>262</v>
      </c>
      <c r="U12" s="631" t="s">
        <v>156</v>
      </c>
      <c r="V12" s="643" t="s">
        <v>12</v>
      </c>
      <c r="W12" s="626" t="s">
        <v>109</v>
      </c>
      <c r="X12" s="633"/>
      <c r="Y12" s="633"/>
      <c r="Z12" s="633"/>
      <c r="AA12" s="631" t="s">
        <v>14</v>
      </c>
      <c r="AB12" s="631" t="s">
        <v>263</v>
      </c>
      <c r="AC12" s="631" t="s">
        <v>212</v>
      </c>
    </row>
    <row r="13" spans="1:29" ht="41.25" customHeight="1" thickBot="1" x14ac:dyDescent="0.3">
      <c r="A13" s="628"/>
      <c r="B13" s="630"/>
      <c r="C13" s="630"/>
      <c r="D13" s="629" t="s">
        <v>15</v>
      </c>
      <c r="E13" s="629" t="s">
        <v>16</v>
      </c>
      <c r="F13" s="639" t="s">
        <v>17</v>
      </c>
      <c r="G13" s="641"/>
      <c r="H13" s="629" t="s">
        <v>18</v>
      </c>
      <c r="I13" s="639" t="s">
        <v>19</v>
      </c>
      <c r="J13" s="641"/>
      <c r="K13" s="629" t="s">
        <v>32</v>
      </c>
      <c r="L13" s="631" t="s">
        <v>294</v>
      </c>
      <c r="M13" s="631" t="s">
        <v>20</v>
      </c>
      <c r="N13" s="631" t="s">
        <v>293</v>
      </c>
      <c r="O13" s="639" t="s">
        <v>21</v>
      </c>
      <c r="P13" s="641"/>
      <c r="Q13" s="630"/>
      <c r="R13" s="638"/>
      <c r="S13" s="628"/>
      <c r="T13" s="632"/>
      <c r="U13" s="632"/>
      <c r="V13" s="644"/>
      <c r="W13" s="634"/>
      <c r="X13" s="635"/>
      <c r="Y13" s="635"/>
      <c r="Z13" s="635"/>
      <c r="AA13" s="628"/>
      <c r="AB13" s="628"/>
      <c r="AC13" s="628"/>
    </row>
    <row r="14" spans="1:29" ht="77.25" thickBot="1" x14ac:dyDescent="0.3">
      <c r="A14" s="628"/>
      <c r="B14" s="630"/>
      <c r="C14" s="630"/>
      <c r="D14" s="630"/>
      <c r="E14" s="630"/>
      <c r="F14" s="10" t="s">
        <v>159</v>
      </c>
      <c r="G14" s="10" t="s">
        <v>22</v>
      </c>
      <c r="H14" s="630"/>
      <c r="I14" s="10" t="s">
        <v>23</v>
      </c>
      <c r="J14" s="10" t="s">
        <v>22</v>
      </c>
      <c r="K14" s="630"/>
      <c r="L14" s="628"/>
      <c r="M14" s="628"/>
      <c r="N14" s="628"/>
      <c r="O14" s="10" t="s">
        <v>63</v>
      </c>
      <c r="P14" s="10" t="s">
        <v>24</v>
      </c>
      <c r="Q14" s="630"/>
      <c r="R14" s="10" t="s">
        <v>25</v>
      </c>
      <c r="S14" s="628"/>
      <c r="T14" s="131" t="s">
        <v>211</v>
      </c>
      <c r="U14" s="131" t="s">
        <v>228</v>
      </c>
      <c r="V14" s="644"/>
      <c r="W14" s="130" t="s">
        <v>13</v>
      </c>
      <c r="X14" s="130" t="s">
        <v>207</v>
      </c>
      <c r="Y14" s="130" t="s">
        <v>206</v>
      </c>
      <c r="Z14" s="131" t="s">
        <v>26</v>
      </c>
      <c r="AA14" s="628"/>
      <c r="AB14" s="628"/>
      <c r="AC14" s="628"/>
    </row>
    <row r="15" spans="1:29" ht="15.75" thickBot="1" x14ac:dyDescent="0.3">
      <c r="A15" s="11" t="s">
        <v>119</v>
      </c>
      <c r="B15" s="12" t="s">
        <v>120</v>
      </c>
      <c r="C15" s="12" t="s">
        <v>121</v>
      </c>
      <c r="D15" s="12" t="s">
        <v>122</v>
      </c>
      <c r="E15" s="12" t="s">
        <v>123</v>
      </c>
      <c r="F15" s="12" t="s">
        <v>124</v>
      </c>
      <c r="G15" s="12" t="s">
        <v>125</v>
      </c>
      <c r="H15" s="12" t="s">
        <v>126</v>
      </c>
      <c r="I15" s="12" t="s">
        <v>127</v>
      </c>
      <c r="J15" s="12" t="s">
        <v>128</v>
      </c>
      <c r="K15" s="12" t="s">
        <v>129</v>
      </c>
      <c r="L15" s="11" t="s">
        <v>27</v>
      </c>
      <c r="M15" s="11" t="s">
        <v>28</v>
      </c>
      <c r="N15" s="11" t="s">
        <v>165</v>
      </c>
      <c r="O15" s="12" t="s">
        <v>130</v>
      </c>
      <c r="P15" s="12" t="s">
        <v>131</v>
      </c>
      <c r="Q15" s="12" t="s">
        <v>132</v>
      </c>
      <c r="R15" s="12" t="s">
        <v>133</v>
      </c>
      <c r="S15" s="13" t="s">
        <v>141</v>
      </c>
      <c r="T15" s="11" t="s">
        <v>295</v>
      </c>
      <c r="U15" s="11" t="s">
        <v>142</v>
      </c>
      <c r="V15" s="27" t="s">
        <v>143</v>
      </c>
      <c r="W15" s="13" t="s">
        <v>296</v>
      </c>
      <c r="X15" s="13" t="s">
        <v>297</v>
      </c>
      <c r="Y15" s="13" t="s">
        <v>298</v>
      </c>
      <c r="Z15" s="13" t="s">
        <v>144</v>
      </c>
      <c r="AA15" s="13" t="s">
        <v>145</v>
      </c>
      <c r="AB15" s="13" t="s">
        <v>146</v>
      </c>
      <c r="AC15" s="13" t="s">
        <v>157</v>
      </c>
    </row>
    <row r="16" spans="1:29" ht="15" customHeight="1" thickBot="1" x14ac:dyDescent="0.3">
      <c r="A16" s="108"/>
      <c r="B16" s="28"/>
      <c r="C16" s="28"/>
      <c r="D16" s="29"/>
      <c r="E16" s="29"/>
      <c r="F16" s="28"/>
      <c r="G16" s="29"/>
      <c r="H16" s="28"/>
      <c r="I16" s="28"/>
      <c r="J16" s="28"/>
      <c r="K16" s="118"/>
      <c r="L16" s="117"/>
      <c r="M16" s="30"/>
      <c r="N16" s="117"/>
      <c r="O16" s="31"/>
      <c r="P16" s="28"/>
      <c r="Q16" s="32"/>
      <c r="R16" s="32"/>
      <c r="S16" s="30"/>
      <c r="T16" s="33"/>
      <c r="U16" s="34"/>
      <c r="V16" s="35"/>
      <c r="W16" s="33"/>
      <c r="X16" s="30"/>
      <c r="Y16" s="30"/>
      <c r="Z16" s="30"/>
      <c r="AA16" s="30"/>
      <c r="AB16" s="121"/>
      <c r="AC16" s="36"/>
    </row>
    <row r="17" spans="1:29" ht="15" customHeight="1" thickBot="1" x14ac:dyDescent="0.3">
      <c r="A17" s="108"/>
      <c r="B17" s="28"/>
      <c r="C17" s="28"/>
      <c r="D17" s="29"/>
      <c r="E17" s="29"/>
      <c r="F17" s="28"/>
      <c r="G17" s="29"/>
      <c r="H17" s="28"/>
      <c r="I17" s="28"/>
      <c r="J17" s="28"/>
      <c r="K17" s="118"/>
      <c r="L17" s="117"/>
      <c r="M17" s="30"/>
      <c r="N17" s="117"/>
      <c r="O17" s="31"/>
      <c r="P17" s="28"/>
      <c r="Q17" s="32"/>
      <c r="R17" s="32"/>
      <c r="S17" s="30"/>
      <c r="T17" s="33"/>
      <c r="U17" s="34"/>
      <c r="V17" s="35"/>
      <c r="W17" s="33"/>
      <c r="X17" s="30"/>
      <c r="Y17" s="30"/>
      <c r="Z17" s="30"/>
      <c r="AA17" s="30"/>
      <c r="AB17" s="121"/>
      <c r="AC17" s="36"/>
    </row>
    <row r="18" spans="1:29" ht="15" customHeight="1" thickBot="1" x14ac:dyDescent="0.3">
      <c r="A18" s="108"/>
      <c r="B18" s="28"/>
      <c r="C18" s="28"/>
      <c r="D18" s="29"/>
      <c r="E18" s="29"/>
      <c r="F18" s="28"/>
      <c r="G18" s="29"/>
      <c r="H18" s="28"/>
      <c r="I18" s="28"/>
      <c r="J18" s="28"/>
      <c r="K18" s="118"/>
      <c r="L18" s="117"/>
      <c r="M18" s="30"/>
      <c r="N18" s="117"/>
      <c r="O18" s="31"/>
      <c r="P18" s="28"/>
      <c r="Q18" s="32"/>
      <c r="R18" s="32"/>
      <c r="S18" s="30"/>
      <c r="T18" s="33"/>
      <c r="U18" s="34"/>
      <c r="V18" s="35"/>
      <c r="W18" s="33"/>
      <c r="X18" s="30"/>
      <c r="Y18" s="30"/>
      <c r="Z18" s="30"/>
      <c r="AA18" s="30"/>
      <c r="AB18" s="121"/>
      <c r="AC18" s="36"/>
    </row>
    <row r="19" spans="1:29" ht="15" customHeight="1" thickBot="1" x14ac:dyDescent="0.3">
      <c r="A19" s="108"/>
      <c r="B19" s="28"/>
      <c r="C19" s="28"/>
      <c r="D19" s="29"/>
      <c r="E19" s="29"/>
      <c r="F19" s="28"/>
      <c r="G19" s="29"/>
      <c r="H19" s="28"/>
      <c r="I19" s="28"/>
      <c r="J19" s="28"/>
      <c r="K19" s="118"/>
      <c r="L19" s="117"/>
      <c r="M19" s="30"/>
      <c r="N19" s="117"/>
      <c r="O19" s="31"/>
      <c r="P19" s="28"/>
      <c r="Q19" s="32"/>
      <c r="R19" s="32"/>
      <c r="S19" s="30"/>
      <c r="T19" s="33"/>
      <c r="U19" s="34"/>
      <c r="V19" s="35"/>
      <c r="W19" s="33"/>
      <c r="X19" s="30"/>
      <c r="Y19" s="30"/>
      <c r="Z19" s="30"/>
      <c r="AA19" s="30"/>
      <c r="AB19" s="121"/>
      <c r="AC19" s="36"/>
    </row>
    <row r="20" spans="1:29" ht="15" customHeight="1" thickBot="1" x14ac:dyDescent="0.3">
      <c r="A20" s="108"/>
      <c r="B20" s="28"/>
      <c r="C20" s="28"/>
      <c r="D20" s="29"/>
      <c r="E20" s="29"/>
      <c r="F20" s="28"/>
      <c r="G20" s="29"/>
      <c r="H20" s="28"/>
      <c r="I20" s="28"/>
      <c r="J20" s="28"/>
      <c r="K20" s="118"/>
      <c r="L20" s="117"/>
      <c r="M20" s="30"/>
      <c r="N20" s="117"/>
      <c r="O20" s="31"/>
      <c r="P20" s="28"/>
      <c r="Q20" s="32"/>
      <c r="R20" s="32"/>
      <c r="S20" s="30"/>
      <c r="T20" s="33"/>
      <c r="U20" s="34"/>
      <c r="V20" s="35"/>
      <c r="W20" s="33"/>
      <c r="X20" s="30"/>
      <c r="Y20" s="30"/>
      <c r="Z20" s="30"/>
      <c r="AA20" s="30"/>
      <c r="AB20" s="121"/>
      <c r="AC20" s="36"/>
    </row>
    <row r="21" spans="1:29" ht="15" customHeight="1" thickBot="1" x14ac:dyDescent="0.3">
      <c r="A21" s="108"/>
      <c r="B21" s="28"/>
      <c r="C21" s="28"/>
      <c r="D21" s="29"/>
      <c r="E21" s="29"/>
      <c r="F21" s="28"/>
      <c r="G21" s="29"/>
      <c r="H21" s="28"/>
      <c r="I21" s="28"/>
      <c r="J21" s="28"/>
      <c r="K21" s="118"/>
      <c r="L21" s="117"/>
      <c r="M21" s="30"/>
      <c r="N21" s="117"/>
      <c r="O21" s="31"/>
      <c r="P21" s="28"/>
      <c r="Q21" s="32"/>
      <c r="R21" s="32"/>
      <c r="S21" s="30"/>
      <c r="T21" s="33"/>
      <c r="U21" s="34"/>
      <c r="V21" s="35"/>
      <c r="W21" s="33"/>
      <c r="X21" s="30"/>
      <c r="Y21" s="30"/>
      <c r="Z21" s="30"/>
      <c r="AA21" s="30"/>
      <c r="AB21" s="121"/>
      <c r="AC21" s="36"/>
    </row>
    <row r="22" spans="1:29" ht="15" customHeight="1" thickBot="1" x14ac:dyDescent="0.3">
      <c r="A22" s="108"/>
      <c r="B22" s="28"/>
      <c r="C22" s="28"/>
      <c r="D22" s="29"/>
      <c r="E22" s="29"/>
      <c r="F22" s="28"/>
      <c r="G22" s="29"/>
      <c r="H22" s="28"/>
      <c r="I22" s="28"/>
      <c r="J22" s="28"/>
      <c r="K22" s="118"/>
      <c r="L22" s="117"/>
      <c r="M22" s="30"/>
      <c r="N22" s="117"/>
      <c r="O22" s="31"/>
      <c r="P22" s="28"/>
      <c r="Q22" s="32"/>
      <c r="R22" s="32"/>
      <c r="S22" s="30"/>
      <c r="T22" s="33"/>
      <c r="U22" s="34"/>
      <c r="V22" s="35"/>
      <c r="W22" s="33"/>
      <c r="X22" s="30"/>
      <c r="Y22" s="30"/>
      <c r="Z22" s="30"/>
      <c r="AA22" s="30"/>
      <c r="AB22" s="121"/>
      <c r="AC22" s="36"/>
    </row>
    <row r="23" spans="1:29" ht="15" customHeight="1" thickBot="1" x14ac:dyDescent="0.3">
      <c r="A23" s="108"/>
      <c r="B23" s="28"/>
      <c r="C23" s="28"/>
      <c r="D23" s="29"/>
      <c r="E23" s="29"/>
      <c r="F23" s="28"/>
      <c r="G23" s="29"/>
      <c r="H23" s="28"/>
      <c r="I23" s="28"/>
      <c r="J23" s="28"/>
      <c r="K23" s="118"/>
      <c r="L23" s="117"/>
      <c r="M23" s="30"/>
      <c r="N23" s="117"/>
      <c r="O23" s="31"/>
      <c r="P23" s="28"/>
      <c r="Q23" s="32"/>
      <c r="R23" s="32"/>
      <c r="S23" s="30"/>
      <c r="T23" s="33"/>
      <c r="U23" s="34"/>
      <c r="V23" s="35"/>
      <c r="W23" s="33"/>
      <c r="X23" s="30"/>
      <c r="Y23" s="30"/>
      <c r="Z23" s="30"/>
      <c r="AA23" s="30"/>
      <c r="AB23" s="121"/>
      <c r="AC23" s="36"/>
    </row>
    <row r="24" spans="1:29" ht="15" customHeight="1" thickBot="1" x14ac:dyDescent="0.3">
      <c r="A24" s="108"/>
      <c r="B24" s="28"/>
      <c r="C24" s="28"/>
      <c r="D24" s="29"/>
      <c r="E24" s="29"/>
      <c r="F24" s="28"/>
      <c r="G24" s="29"/>
      <c r="H24" s="28"/>
      <c r="I24" s="28"/>
      <c r="J24" s="28"/>
      <c r="K24" s="118"/>
      <c r="L24" s="117"/>
      <c r="M24" s="30"/>
      <c r="N24" s="117"/>
      <c r="O24" s="31"/>
      <c r="P24" s="28"/>
      <c r="Q24" s="32"/>
      <c r="R24" s="32"/>
      <c r="S24" s="30"/>
      <c r="T24" s="33"/>
      <c r="U24" s="34"/>
      <c r="V24" s="35"/>
      <c r="W24" s="33"/>
      <c r="X24" s="30"/>
      <c r="Y24" s="30"/>
      <c r="Z24" s="30"/>
      <c r="AA24" s="30"/>
      <c r="AB24" s="121"/>
      <c r="AC24" s="36"/>
    </row>
    <row r="25" spans="1:29" ht="15" customHeight="1" thickBot="1" x14ac:dyDescent="0.3">
      <c r="A25" s="108"/>
      <c r="B25" s="28"/>
      <c r="C25" s="28"/>
      <c r="D25" s="29"/>
      <c r="E25" s="29"/>
      <c r="F25" s="28"/>
      <c r="G25" s="29"/>
      <c r="H25" s="28"/>
      <c r="I25" s="28"/>
      <c r="J25" s="28"/>
      <c r="K25" s="118"/>
      <c r="L25" s="117"/>
      <c r="M25" s="30"/>
      <c r="N25" s="117"/>
      <c r="O25" s="31"/>
      <c r="P25" s="28"/>
      <c r="Q25" s="32"/>
      <c r="R25" s="32"/>
      <c r="S25" s="30"/>
      <c r="T25" s="33"/>
      <c r="U25" s="34"/>
      <c r="V25" s="35"/>
      <c r="W25" s="33"/>
      <c r="X25" s="30"/>
      <c r="Y25" s="30"/>
      <c r="Z25" s="30"/>
      <c r="AA25" s="30"/>
      <c r="AB25" s="121"/>
      <c r="AC25" s="36"/>
    </row>
    <row r="26" spans="1:29" ht="15" customHeight="1" thickBot="1" x14ac:dyDescent="0.3">
      <c r="A26" s="108"/>
      <c r="B26" s="28"/>
      <c r="C26" s="28"/>
      <c r="D26" s="29"/>
      <c r="E26" s="29"/>
      <c r="F26" s="28"/>
      <c r="G26" s="29"/>
      <c r="H26" s="28"/>
      <c r="I26" s="28"/>
      <c r="J26" s="28"/>
      <c r="K26" s="118"/>
      <c r="L26" s="117"/>
      <c r="M26" s="30"/>
      <c r="N26" s="117"/>
      <c r="O26" s="31"/>
      <c r="P26" s="28"/>
      <c r="Q26" s="32"/>
      <c r="R26" s="32"/>
      <c r="S26" s="30"/>
      <c r="T26" s="33"/>
      <c r="U26" s="34"/>
      <c r="V26" s="35"/>
      <c r="W26" s="33"/>
      <c r="X26" s="30"/>
      <c r="Y26" s="30"/>
      <c r="Z26" s="30"/>
      <c r="AA26" s="30"/>
      <c r="AB26" s="121"/>
      <c r="AC26" s="36"/>
    </row>
    <row r="27" spans="1:29" ht="15" customHeight="1" thickBot="1" x14ac:dyDescent="0.3">
      <c r="A27" s="108"/>
      <c r="B27" s="28"/>
      <c r="C27" s="28"/>
      <c r="D27" s="29"/>
      <c r="E27" s="29"/>
      <c r="F27" s="28"/>
      <c r="G27" s="29"/>
      <c r="H27" s="28"/>
      <c r="I27" s="28"/>
      <c r="J27" s="28"/>
      <c r="K27" s="118"/>
      <c r="L27" s="117"/>
      <c r="M27" s="30"/>
      <c r="N27" s="117"/>
      <c r="O27" s="31"/>
      <c r="P27" s="28"/>
      <c r="Q27" s="32"/>
      <c r="R27" s="32"/>
      <c r="S27" s="30"/>
      <c r="T27" s="33"/>
      <c r="U27" s="34"/>
      <c r="V27" s="35"/>
      <c r="W27" s="33"/>
      <c r="X27" s="30"/>
      <c r="Y27" s="30"/>
      <c r="Z27" s="30"/>
      <c r="AA27" s="30"/>
      <c r="AB27" s="121"/>
      <c r="AC27" s="36"/>
    </row>
    <row r="28" spans="1:29" ht="15" customHeight="1" thickBot="1" x14ac:dyDescent="0.3">
      <c r="A28" s="108"/>
      <c r="B28" s="28"/>
      <c r="C28" s="28"/>
      <c r="D28" s="29"/>
      <c r="E28" s="29"/>
      <c r="F28" s="28"/>
      <c r="G28" s="29"/>
      <c r="H28" s="28"/>
      <c r="I28" s="28"/>
      <c r="J28" s="28"/>
      <c r="K28" s="118"/>
      <c r="L28" s="117"/>
      <c r="M28" s="30"/>
      <c r="N28" s="117"/>
      <c r="O28" s="31"/>
      <c r="P28" s="28"/>
      <c r="Q28" s="32"/>
      <c r="R28" s="32"/>
      <c r="S28" s="30"/>
      <c r="T28" s="33"/>
      <c r="U28" s="34"/>
      <c r="V28" s="35"/>
      <c r="W28" s="33"/>
      <c r="X28" s="30"/>
      <c r="Y28" s="30"/>
      <c r="Z28" s="30"/>
      <c r="AA28" s="30"/>
      <c r="AB28" s="121"/>
      <c r="AC28" s="36"/>
    </row>
    <row r="29" spans="1:29" ht="15" customHeight="1" thickBot="1" x14ac:dyDescent="0.3">
      <c r="A29" s="108"/>
      <c r="B29" s="28"/>
      <c r="C29" s="28"/>
      <c r="D29" s="29"/>
      <c r="E29" s="29"/>
      <c r="F29" s="28"/>
      <c r="G29" s="29"/>
      <c r="H29" s="28"/>
      <c r="I29" s="28"/>
      <c r="J29" s="28"/>
      <c r="K29" s="118"/>
      <c r="L29" s="117"/>
      <c r="M29" s="30"/>
      <c r="N29" s="117"/>
      <c r="O29" s="31"/>
      <c r="P29" s="28"/>
      <c r="Q29" s="32"/>
      <c r="R29" s="32"/>
      <c r="S29" s="30"/>
      <c r="T29" s="33"/>
      <c r="U29" s="34"/>
      <c r="V29" s="35"/>
      <c r="W29" s="33"/>
      <c r="X29" s="30"/>
      <c r="Y29" s="30"/>
      <c r="Z29" s="30"/>
      <c r="AA29" s="30"/>
      <c r="AB29" s="121"/>
      <c r="AC29" s="36"/>
    </row>
    <row r="30" spans="1:29" ht="15" customHeight="1" thickBot="1" x14ac:dyDescent="0.3">
      <c r="A30" s="108"/>
      <c r="B30" s="28"/>
      <c r="C30" s="28"/>
      <c r="D30" s="29"/>
      <c r="E30" s="29"/>
      <c r="F30" s="28"/>
      <c r="G30" s="29"/>
      <c r="H30" s="28"/>
      <c r="I30" s="28"/>
      <c r="J30" s="28"/>
      <c r="K30" s="118"/>
      <c r="L30" s="117"/>
      <c r="M30" s="30"/>
      <c r="N30" s="117"/>
      <c r="O30" s="31"/>
      <c r="P30" s="28"/>
      <c r="Q30" s="32"/>
      <c r="R30" s="32"/>
      <c r="S30" s="30"/>
      <c r="T30" s="33"/>
      <c r="U30" s="34"/>
      <c r="V30" s="35"/>
      <c r="W30" s="33"/>
      <c r="X30" s="30"/>
      <c r="Y30" s="30"/>
      <c r="Z30" s="30"/>
      <c r="AA30" s="30"/>
      <c r="AB30" s="121"/>
      <c r="AC30" s="36"/>
    </row>
    <row r="31" spans="1:29" ht="15" customHeight="1" thickBot="1" x14ac:dyDescent="0.3">
      <c r="A31" s="108"/>
      <c r="B31" s="28"/>
      <c r="C31" s="28"/>
      <c r="D31" s="29"/>
      <c r="E31" s="29"/>
      <c r="F31" s="28"/>
      <c r="G31" s="29"/>
      <c r="H31" s="28"/>
      <c r="I31" s="28"/>
      <c r="J31" s="28"/>
      <c r="K31" s="118"/>
      <c r="L31" s="117"/>
      <c r="M31" s="30"/>
      <c r="N31" s="117"/>
      <c r="O31" s="31"/>
      <c r="P31" s="28"/>
      <c r="Q31" s="32"/>
      <c r="R31" s="32"/>
      <c r="S31" s="30"/>
      <c r="T31" s="33"/>
      <c r="U31" s="34"/>
      <c r="V31" s="35"/>
      <c r="W31" s="33"/>
      <c r="X31" s="30"/>
      <c r="Y31" s="30"/>
      <c r="Z31" s="30"/>
      <c r="AA31" s="30"/>
      <c r="AB31" s="121"/>
      <c r="AC31" s="36"/>
    </row>
    <row r="32" spans="1:29" ht="15" customHeight="1" thickBot="1" x14ac:dyDescent="0.3">
      <c r="A32" s="108"/>
      <c r="B32" s="28"/>
      <c r="C32" s="28"/>
      <c r="D32" s="29"/>
      <c r="E32" s="29"/>
      <c r="F32" s="28"/>
      <c r="G32" s="29"/>
      <c r="H32" s="28"/>
      <c r="I32" s="28"/>
      <c r="J32" s="28"/>
      <c r="K32" s="118"/>
      <c r="L32" s="117"/>
      <c r="M32" s="30"/>
      <c r="N32" s="117"/>
      <c r="O32" s="31"/>
      <c r="P32" s="28"/>
      <c r="Q32" s="32"/>
      <c r="R32" s="32"/>
      <c r="S32" s="30"/>
      <c r="T32" s="33"/>
      <c r="U32" s="34"/>
      <c r="V32" s="35"/>
      <c r="W32" s="33"/>
      <c r="X32" s="30"/>
      <c r="Y32" s="30"/>
      <c r="Z32" s="30"/>
      <c r="AA32" s="30"/>
      <c r="AB32" s="121"/>
      <c r="AC32" s="36"/>
    </row>
    <row r="33" spans="1:29" ht="15" customHeight="1" thickBot="1" x14ac:dyDescent="0.3">
      <c r="A33" s="108"/>
      <c r="B33" s="28"/>
      <c r="C33" s="28"/>
      <c r="D33" s="29"/>
      <c r="E33" s="29"/>
      <c r="F33" s="28"/>
      <c r="G33" s="29"/>
      <c r="H33" s="28"/>
      <c r="I33" s="28"/>
      <c r="J33" s="28"/>
      <c r="K33" s="118"/>
      <c r="L33" s="117"/>
      <c r="M33" s="30"/>
      <c r="N33" s="117"/>
      <c r="O33" s="31"/>
      <c r="P33" s="28"/>
      <c r="Q33" s="32"/>
      <c r="R33" s="32"/>
      <c r="S33" s="30"/>
      <c r="T33" s="33"/>
      <c r="U33" s="34"/>
      <c r="V33" s="35"/>
      <c r="W33" s="33"/>
      <c r="X33" s="30"/>
      <c r="Y33" s="30"/>
      <c r="Z33" s="30"/>
      <c r="AA33" s="30"/>
      <c r="AB33" s="121"/>
      <c r="AC33" s="36"/>
    </row>
    <row r="34" spans="1:29" ht="15" customHeight="1" thickBot="1" x14ac:dyDescent="0.3">
      <c r="A34" s="108"/>
      <c r="B34" s="28"/>
      <c r="C34" s="28"/>
      <c r="D34" s="29"/>
      <c r="E34" s="29"/>
      <c r="F34" s="28"/>
      <c r="G34" s="29"/>
      <c r="H34" s="28"/>
      <c r="I34" s="28"/>
      <c r="J34" s="28"/>
      <c r="K34" s="118"/>
      <c r="L34" s="117"/>
      <c r="M34" s="30"/>
      <c r="N34" s="117"/>
      <c r="O34" s="31"/>
      <c r="P34" s="28"/>
      <c r="Q34" s="32"/>
      <c r="R34" s="32"/>
      <c r="S34" s="30"/>
      <c r="T34" s="33"/>
      <c r="U34" s="34"/>
      <c r="V34" s="35"/>
      <c r="W34" s="33"/>
      <c r="X34" s="30"/>
      <c r="Y34" s="30"/>
      <c r="Z34" s="30"/>
      <c r="AA34" s="30"/>
      <c r="AB34" s="121"/>
      <c r="AC34" s="36"/>
    </row>
    <row r="35" spans="1:29" ht="15" customHeight="1" thickBot="1" x14ac:dyDescent="0.3">
      <c r="A35" s="30"/>
      <c r="B35" s="28"/>
      <c r="C35" s="28"/>
      <c r="D35" s="29"/>
      <c r="E35" s="29"/>
      <c r="F35" s="28"/>
      <c r="G35" s="29"/>
      <c r="H35" s="28"/>
      <c r="I35" s="28"/>
      <c r="J35" s="28"/>
      <c r="K35" s="118"/>
      <c r="L35" s="117"/>
      <c r="M35" s="30"/>
      <c r="N35" s="117"/>
      <c r="O35" s="31"/>
      <c r="P35" s="28"/>
      <c r="Q35" s="32"/>
      <c r="R35" s="32"/>
      <c r="S35" s="30"/>
      <c r="T35" s="33"/>
      <c r="U35" s="34"/>
      <c r="V35" s="35"/>
      <c r="W35" s="33"/>
      <c r="X35" s="30"/>
      <c r="Y35" s="30"/>
      <c r="Z35" s="30"/>
      <c r="AA35" s="30"/>
      <c r="AB35" s="121"/>
      <c r="AC35" s="36"/>
    </row>
    <row r="36" spans="1:29" ht="15" customHeight="1" thickBot="1" x14ac:dyDescent="0.3">
      <c r="A36" s="39"/>
      <c r="B36" s="37"/>
      <c r="C36" s="37"/>
      <c r="D36" s="38"/>
      <c r="E36" s="38"/>
      <c r="F36" s="37"/>
      <c r="G36" s="38"/>
      <c r="H36" s="37"/>
      <c r="I36" s="37"/>
      <c r="J36" s="37"/>
      <c r="K36" s="119"/>
      <c r="L36" s="120"/>
      <c r="M36" s="39"/>
      <c r="N36" s="114"/>
      <c r="O36" s="40"/>
      <c r="P36" s="37"/>
      <c r="Q36" s="41"/>
      <c r="R36" s="41"/>
      <c r="S36" s="39"/>
      <c r="T36" s="42"/>
      <c r="U36" s="43"/>
      <c r="V36" s="44"/>
      <c r="W36" s="42"/>
      <c r="X36" s="39"/>
      <c r="Y36" s="39"/>
      <c r="Z36" s="39"/>
      <c r="AA36" s="39"/>
      <c r="AB36" s="122"/>
      <c r="AC36" s="45"/>
    </row>
    <row r="41" spans="1:29" x14ac:dyDescent="0.25">
      <c r="A41" t="s">
        <v>29</v>
      </c>
    </row>
    <row r="43" spans="1:29" x14ac:dyDescent="0.25">
      <c r="A43" t="s">
        <v>30</v>
      </c>
    </row>
    <row r="45" spans="1:29" x14ac:dyDescent="0.25">
      <c r="A45" t="s">
        <v>31</v>
      </c>
    </row>
  </sheetData>
  <mergeCells count="33">
    <mergeCell ref="B7:C7"/>
    <mergeCell ref="B2:R2"/>
    <mergeCell ref="B3:R3"/>
    <mergeCell ref="B4:C4"/>
    <mergeCell ref="B5:C5"/>
    <mergeCell ref="B6:C6"/>
    <mergeCell ref="B8:C8"/>
    <mergeCell ref="B9:C9"/>
    <mergeCell ref="B10:C10"/>
    <mergeCell ref="A12:A14"/>
    <mergeCell ref="B12:B14"/>
    <mergeCell ref="C12:C14"/>
    <mergeCell ref="AC12:AC14"/>
    <mergeCell ref="D13:D14"/>
    <mergeCell ref="E13:E14"/>
    <mergeCell ref="F13:G13"/>
    <mergeCell ref="H13:H14"/>
    <mergeCell ref="I13:J13"/>
    <mergeCell ref="D12:P12"/>
    <mergeCell ref="Q12:Q14"/>
    <mergeCell ref="R12:R13"/>
    <mergeCell ref="S12:S14"/>
    <mergeCell ref="T12:T13"/>
    <mergeCell ref="U12:U13"/>
    <mergeCell ref="K13:K14"/>
    <mergeCell ref="L13:L14"/>
    <mergeCell ref="M13:M14"/>
    <mergeCell ref="N13:N14"/>
    <mergeCell ref="O13:P13"/>
    <mergeCell ref="V12:V14"/>
    <mergeCell ref="W12:Z13"/>
    <mergeCell ref="AA12:AA14"/>
    <mergeCell ref="AB12:AB14"/>
  </mergeCells>
  <dataValidations count="24">
    <dataValidation allowBlank="1" showInputMessage="1" showErrorMessage="1" promptTitle="Подсказка:" prompt="В случае, если проведение закупки планируется на официальной Электронной торговой площадке Государственной корпорации «Ростех» и ОАО «АК «Транснефть» (www.etprf.ru)  в данном поле указывается сокращение: etprf" sqref="S12:S14"/>
    <dataValidation allowBlank="1" showInputMessage="1" showErrorMessage="1" promptTitle="Пример:" prompt="45000000000 Москва_x000a_70000000000 Тульская область" sqref="I13:J13"/>
    <dataValidation allowBlank="1" showInputMessage="1" showErrorMessage="1" promptTitle="Подсказка:" prompt="Выбрать из выпадающего списка пункт Единого положения, на основании которого проводится закупка у единственного поставщика или указать: Не применимо._x000a__x000a_Перечень пунктов приведен во вкладке &quot;Справочно&quot;." sqref="W14"/>
    <dataValidation allowBlank="1" showInputMessage="1" showErrorMessage="1" promptTitle="Подсказка:" prompt="Выбрать из выпадающего списка или заполнить вручную._x000a__x000a_Перечень сокращений с расшифровками приведен во вкладке &quot;Справочно&quot;." sqref="V12:V14"/>
    <dataValidation allowBlank="1" showInputMessage="1" showErrorMessage="1" promptTitle="Подсказка:" prompt="Указывается перечень поставщиков, выбранных по результатам квалификационного отбора и/или для закрытых закупок." sqref="U14"/>
    <dataValidation allowBlank="1" showInputMessage="1" showErrorMessage="1" promptTitle="Подсказка:" prompt="Указать индивидуальный номер закупки (квалификационного отбора для серии закупок), по результатам которой проводится лот._x000a__x000a_Или указать: Не применимо" sqref="T14"/>
    <dataValidation allowBlank="1" showInputMessage="1" showErrorMessage="1" promptTitle="Пример:" prompt="Декабрь 2015" sqref="P14"/>
    <dataValidation allowBlank="1" showInputMessage="1" showErrorMessage="1" promptTitle="Пример:" prompt="Январь 2015" sqref="O14"/>
    <dataValidation allowBlank="1" showInputMessage="1" showErrorMessage="1" promptTitle="Подсказка:" prompt="Способ закупки выбирается из всплывающего списка или заполняется вручную" sqref="Q12:Q14"/>
    <dataValidation allowBlank="1" showInputMessage="1" showErrorMessage="1" promptTitle="Подсказка:" prompt="Пересчет на рубли осуществляется по курсу ЦБ РФ, установленному на день формирования НМЦ_x000a__x000a_Сведения о курсе пересчета указываются в столбце &quot;Примечание&quot;" sqref="L13:L14"/>
    <dataValidation allowBlank="1" showInputMessage="1" showErrorMessage="1" promptTitle="Пример:" prompt="Москва_x000a__x000a_Тульская область" sqref="J14"/>
    <dataValidation allowBlank="1" showInputMessage="1" showErrorMessage="1" promptTitle="Пример: " prompt="45000000000_x000a_для Москвы_x000a__x000a_70000000000_x000a_для Тульской области" sqref="I14"/>
    <dataValidation allowBlank="1" showInputMessage="1" showErrorMessage="1" promptTitle="Подсказка:" prompt="Указать количество (объем) закупаемой продукции._x000a__x000a_*При указании в поле «Единица измерения» признака «Не применимо», в поле «Сведения о количестве (объеме)» указывается:_x000a__x000a_Не применимо" sqref="H13:H14"/>
    <dataValidation allowBlank="1" showInputMessage="1" showErrorMessage="1" promptTitle="Пример: Килограмм" prompt="_x000a_*При отсутствии кода и наименования единицы изменения, предусмотренного ОКЕИ в соответствующем поле указать:_x000a__x000a_Не применимо" sqref="G14"/>
    <dataValidation allowBlank="1" showInputMessage="1" showErrorMessage="1" promptTitle="Пример: 166" prompt="_x000a_*При отсутствии кода и наименования единицы изменения, предусмотренного ОКЕИ в соответствующем поле указать:_x000a__x000a_Не применимо" sqref="F14"/>
    <dataValidation allowBlank="1" showInputMessage="1" showErrorMessage="1" promptTitle="Пример: F 4560234" prompt="Для газоснабжения" sqref="C12:C14"/>
    <dataValidation allowBlank="1" showInputMessage="1" showErrorMessage="1" promptTitle="Подсказка:" prompt="Предмет договора должен полно и четко описывать закупаемую продукцию._x000a__x000a_Примеры:_x000a_01-001-00001 Поставка канцелярских товаров_x000a__x000a_01-001-00002 Выполнение работ по строительству объекта &quot;...&quot;_x000a__x000a_01-001-00003 Оказание услуг по проведению конференции" sqref="D13:D14"/>
    <dataValidation allowBlank="1" showInputMessage="1" showErrorMessage="1" promptTitle="Пример: М.71.12.11 или 71.12.11" prompt="Для разработки проектов тепло-, водо-, газоснабжения" sqref="B12:B14"/>
    <dataValidation allowBlank="1" showInputMessage="1" showErrorMessage="1" promptTitle="Подсказка:" prompt="Указать не менее 2-х минимальных требований по предмету договора._x000a__x000a_Пример:_x000a_Закупаемая продукция должна соответствовать целевому назначению; быть своевременно предоставлена; соответствовать требованиям безопасности, надежности и экологичности" sqref="E13:E14"/>
    <dataValidation allowBlank="1" showInputMessage="1" showErrorMessage="1" promptTitle="Пример:" prompt="1 234 567,89 Российских рублей_x000a__x000a_2 000 000,00 долларов США_x000a__x000a_3 000 000,30 евро" sqref="K13:K14"/>
    <dataValidation allowBlank="1" showInputMessage="1" showErrorMessage="1" errorTitle="Ошибка ввода" error="Основание должно быть выбрано из выпадающего списка пунктов Положения о закупках" sqref="X16:X36"/>
    <dataValidation allowBlank="1" showInputMessage="1" showErrorMessage="1" errorTitle="Ошибка ввода" error="Необходимо выбрать из выпадающего списка" sqref="T16:U36"/>
    <dataValidation type="date" allowBlank="1" showInputMessage="1" showErrorMessage="1" errorTitle="Ошибка ввода" error="Дата должна быть в формате: &quot;Месяц год&quot;._x000a__x000a_Пример: Январь 2015" sqref="O16:P36">
      <formula1>1</formula1>
      <formula2>2958465</formula2>
    </dataValidation>
    <dataValidation allowBlank="1" showInputMessage="1" showErrorMessage="1" errorTitle="Ошибка ввода" error="Необходимо выбрать наименование из выпадающего списка" sqref="AB16:AB3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Ошибка ввода" error="Необходимо выбрать из выпадающего списка">
          <x14:formula1>
            <xm:f>Справочно!$E$16:$E$18</xm:f>
          </x14:formula1>
          <xm:sqref>R16:R36</xm:sqref>
        </x14:dataValidation>
        <x14:dataValidation type="list" allowBlank="1" showInputMessage="1" showErrorMessage="1" errorTitle="Ошибка ввода" error="Необходимо выбрать способ закупки из выпадающего списка">
          <x14:formula1>
            <xm:f>Справочно!$C$12:$C$34</xm:f>
          </x14:formula1>
          <xm:sqref>Q16:Q36</xm:sqref>
        </x14:dataValidation>
        <x14:dataValidation type="list" allowBlank="1" showInputMessage="1" showErrorMessage="1" errorTitle="Ошибка ввода" error="Основание должно быть выбрано из выпадающего списка пунктов Положения о закупках">
          <x14:formula1>
            <xm:f>Справочно!$G$3:$G$54</xm:f>
          </x14:formula1>
          <xm:sqref>W16:W36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87"/>
  <sheetViews>
    <sheetView zoomScaleNormal="100" workbookViewId="0">
      <selection activeCell="E84" sqref="E84"/>
    </sheetView>
  </sheetViews>
  <sheetFormatPr defaultRowHeight="12.75" x14ac:dyDescent="0.2"/>
  <cols>
    <col min="1" max="1" width="37.85546875" style="50" customWidth="1"/>
    <col min="2" max="2" width="17" style="50" customWidth="1"/>
    <col min="3" max="3" width="12.28515625" style="50" customWidth="1"/>
    <col min="4" max="4" width="23.5703125" style="50" customWidth="1"/>
    <col min="5" max="5" width="13.85546875" style="50" customWidth="1"/>
    <col min="6" max="6" width="9.140625" style="50"/>
    <col min="7" max="7" width="10.5703125" style="50" customWidth="1"/>
    <col min="8" max="8" width="17.85546875" style="50" customWidth="1"/>
    <col min="9" max="9" width="10.5703125" style="50" customWidth="1"/>
    <col min="10" max="10" width="19.28515625" style="50" customWidth="1"/>
    <col min="11" max="11" width="10.5703125" style="50" customWidth="1"/>
    <col min="12" max="12" width="19.5703125" style="50" customWidth="1"/>
    <col min="13" max="13" width="10.5703125" style="50" customWidth="1"/>
    <col min="14" max="14" width="20" style="50" customWidth="1"/>
    <col min="15" max="15" width="10.7109375" style="50" customWidth="1"/>
    <col min="16" max="16" width="22.5703125" style="50" customWidth="1"/>
    <col min="17" max="17" width="10.5703125" style="50" customWidth="1"/>
    <col min="18" max="18" width="21" style="50" customWidth="1"/>
    <col min="19" max="19" width="10.5703125" style="50" customWidth="1"/>
    <col min="20" max="20" width="19.85546875" style="50" customWidth="1"/>
    <col min="21" max="21" width="10.5703125" style="50" customWidth="1"/>
    <col min="22" max="22" width="22.140625" style="50" customWidth="1"/>
    <col min="23" max="23" width="10.5703125" style="50" customWidth="1"/>
    <col min="24" max="24" width="21.28515625" style="50" customWidth="1"/>
    <col min="25" max="25" width="10.5703125" style="50" customWidth="1"/>
    <col min="26" max="26" width="19.7109375" style="50" customWidth="1"/>
    <col min="27" max="27" width="10.5703125" style="50" customWidth="1"/>
    <col min="28" max="28" width="21.140625" style="50" customWidth="1"/>
    <col min="29" max="29" width="10.5703125" style="50" customWidth="1"/>
    <col min="30" max="30" width="26.5703125" style="50" customWidth="1"/>
    <col min="31" max="31" width="10.5703125" style="50" customWidth="1"/>
    <col min="32" max="32" width="20.42578125" style="50" customWidth="1"/>
    <col min="33" max="33" width="10.5703125" style="50" customWidth="1"/>
    <col min="34" max="34" width="27.28515625" style="50" customWidth="1"/>
    <col min="35" max="35" width="10.5703125" style="50" customWidth="1"/>
    <col min="36" max="36" width="20.42578125" style="50" customWidth="1"/>
    <col min="37" max="37" width="10.5703125" style="50" customWidth="1"/>
    <col min="38" max="38" width="21.7109375" style="50" customWidth="1"/>
    <col min="39" max="16384" width="9.140625" style="50"/>
  </cols>
  <sheetData>
    <row r="2" spans="1:38" ht="13.5" customHeight="1" x14ac:dyDescent="0.2">
      <c r="A2" s="642" t="s">
        <v>114</v>
      </c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</row>
    <row r="3" spans="1:38" ht="15.75" customHeight="1" thickBot="1" x14ac:dyDescent="0.25">
      <c r="A3" s="14"/>
      <c r="B3" s="14"/>
      <c r="C3" s="14"/>
      <c r="F3" s="206" t="s">
        <v>303</v>
      </c>
      <c r="G3" s="208">
        <v>2017</v>
      </c>
      <c r="H3" s="207" t="s">
        <v>304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38" x14ac:dyDescent="0.2">
      <c r="A4" s="6" t="s">
        <v>1</v>
      </c>
      <c r="B4" s="657">
        <f>РПЗ!B4</f>
        <v>0</v>
      </c>
      <c r="C4" s="658"/>
      <c r="D4" s="112"/>
      <c r="E4" s="112"/>
      <c r="F4" s="112"/>
      <c r="G4" s="466"/>
      <c r="H4" s="113"/>
      <c r="I4" s="112"/>
      <c r="J4" s="113"/>
      <c r="K4" s="113"/>
      <c r="L4" s="113"/>
      <c r="M4" s="113"/>
      <c r="N4" s="113"/>
    </row>
    <row r="5" spans="1:38" x14ac:dyDescent="0.2">
      <c r="A5" s="7" t="s">
        <v>2</v>
      </c>
      <c r="B5" s="653">
        <f>РПЗ!B5</f>
        <v>0</v>
      </c>
      <c r="C5" s="654"/>
      <c r="D5" s="112"/>
      <c r="E5" s="112"/>
      <c r="F5" s="112"/>
      <c r="G5" s="466"/>
      <c r="H5" s="113"/>
      <c r="I5" s="112"/>
      <c r="J5" s="113"/>
      <c r="K5" s="113"/>
      <c r="L5" s="113"/>
      <c r="M5" s="113"/>
      <c r="N5" s="113"/>
    </row>
    <row r="6" spans="1:38" x14ac:dyDescent="0.2">
      <c r="A6" s="7" t="s">
        <v>3</v>
      </c>
      <c r="B6" s="653">
        <f>РПЗ!B6</f>
        <v>0</v>
      </c>
      <c r="C6" s="654"/>
      <c r="D6" s="112"/>
      <c r="E6" s="112"/>
      <c r="F6" s="112"/>
      <c r="G6" s="112"/>
      <c r="H6" s="113"/>
      <c r="I6" s="112"/>
      <c r="J6" s="113"/>
      <c r="K6" s="113"/>
      <c r="L6" s="113"/>
      <c r="M6" s="113"/>
      <c r="N6" s="113"/>
    </row>
    <row r="7" spans="1:38" x14ac:dyDescent="0.2">
      <c r="A7" s="7" t="s">
        <v>4</v>
      </c>
      <c r="B7" s="653">
        <f>РПЗ!B7</f>
        <v>0</v>
      </c>
      <c r="C7" s="654"/>
      <c r="D7" s="112"/>
      <c r="E7" s="112"/>
      <c r="F7" s="112"/>
      <c r="G7" s="112"/>
      <c r="H7" s="113"/>
      <c r="I7" s="112"/>
      <c r="J7" s="113"/>
      <c r="K7" s="113"/>
      <c r="L7" s="113"/>
      <c r="M7" s="113"/>
      <c r="N7" s="113"/>
    </row>
    <row r="8" spans="1:38" x14ac:dyDescent="0.2">
      <c r="A8" s="7" t="s">
        <v>5</v>
      </c>
      <c r="B8" s="653">
        <f>РПЗ!B8</f>
        <v>0</v>
      </c>
      <c r="C8" s="654"/>
      <c r="D8" s="112"/>
      <c r="E8" s="112"/>
      <c r="F8" s="112"/>
      <c r="G8" s="112"/>
      <c r="H8" s="113"/>
      <c r="I8" s="112"/>
      <c r="J8" s="113"/>
      <c r="K8" s="113"/>
      <c r="L8" s="113"/>
      <c r="M8" s="113"/>
      <c r="N8" s="113"/>
    </row>
    <row r="9" spans="1:38" x14ac:dyDescent="0.2">
      <c r="A9" s="7" t="s">
        <v>6</v>
      </c>
      <c r="B9" s="653">
        <f>РПЗ!B9</f>
        <v>0</v>
      </c>
      <c r="C9" s="654"/>
      <c r="D9" s="112"/>
      <c r="E9" s="112"/>
      <c r="F9" s="112"/>
      <c r="G9" s="112"/>
      <c r="H9" s="113"/>
      <c r="I9" s="112"/>
      <c r="J9" s="113"/>
      <c r="K9" s="113"/>
      <c r="L9" s="113"/>
      <c r="M9" s="113"/>
      <c r="N9" s="113"/>
    </row>
    <row r="10" spans="1:38" ht="13.5" thickBot="1" x14ac:dyDescent="0.25">
      <c r="A10" s="8" t="s">
        <v>7</v>
      </c>
      <c r="B10" s="655">
        <f>РПЗ!B10</f>
        <v>0</v>
      </c>
      <c r="C10" s="656"/>
    </row>
    <row r="11" spans="1:38" ht="13.5" thickBot="1" x14ac:dyDescent="0.25">
      <c r="A11" s="20"/>
      <c r="B11" s="137"/>
      <c r="C11" s="137"/>
    </row>
    <row r="12" spans="1:38" ht="26.25" thickBot="1" x14ac:dyDescent="0.25">
      <c r="B12" s="62" t="s">
        <v>117</v>
      </c>
      <c r="C12" s="77" t="s">
        <v>116</v>
      </c>
      <c r="D12" s="66" t="s">
        <v>118</v>
      </c>
      <c r="E12" s="78" t="s">
        <v>116</v>
      </c>
      <c r="G12" s="687" t="s">
        <v>281</v>
      </c>
      <c r="H12" s="688"/>
      <c r="I12" s="688"/>
      <c r="J12" s="688"/>
      <c r="K12" s="688"/>
      <c r="L12" s="688"/>
      <c r="M12" s="688"/>
      <c r="N12" s="689"/>
      <c r="O12" s="677" t="s">
        <v>282</v>
      </c>
      <c r="P12" s="678"/>
      <c r="Q12" s="678"/>
      <c r="R12" s="678"/>
      <c r="S12" s="678"/>
      <c r="T12" s="678"/>
      <c r="U12" s="678"/>
      <c r="V12" s="679"/>
      <c r="W12" s="671" t="s">
        <v>283</v>
      </c>
      <c r="X12" s="672"/>
      <c r="Y12" s="672"/>
      <c r="Z12" s="672"/>
      <c r="AA12" s="672"/>
      <c r="AB12" s="672"/>
      <c r="AC12" s="672"/>
      <c r="AD12" s="673"/>
      <c r="AE12" s="659" t="s">
        <v>284</v>
      </c>
      <c r="AF12" s="660"/>
      <c r="AG12" s="660"/>
      <c r="AH12" s="660"/>
      <c r="AI12" s="660"/>
      <c r="AJ12" s="660"/>
      <c r="AK12" s="660"/>
      <c r="AL12" s="661"/>
    </row>
    <row r="13" spans="1:38" ht="15.75" customHeight="1" thickBot="1" x14ac:dyDescent="0.25">
      <c r="B13" s="79">
        <f>SUM(B16:B35)+B38</f>
        <v>0</v>
      </c>
      <c r="C13" s="80">
        <v>1</v>
      </c>
      <c r="D13" s="400">
        <f>SUM(РПЗ!$L:$L)</f>
        <v>0</v>
      </c>
      <c r="E13" s="81">
        <v>1</v>
      </c>
      <c r="G13" s="690"/>
      <c r="H13" s="691"/>
      <c r="I13" s="691"/>
      <c r="J13" s="691"/>
      <c r="K13" s="691"/>
      <c r="L13" s="691"/>
      <c r="M13" s="691"/>
      <c r="N13" s="692"/>
      <c r="O13" s="680"/>
      <c r="P13" s="681"/>
      <c r="Q13" s="681"/>
      <c r="R13" s="681"/>
      <c r="S13" s="681"/>
      <c r="T13" s="681"/>
      <c r="U13" s="681"/>
      <c r="V13" s="682"/>
      <c r="W13" s="674"/>
      <c r="X13" s="675"/>
      <c r="Y13" s="675"/>
      <c r="Z13" s="675"/>
      <c r="AA13" s="675"/>
      <c r="AB13" s="675"/>
      <c r="AC13" s="675"/>
      <c r="AD13" s="676"/>
      <c r="AE13" s="662"/>
      <c r="AF13" s="663"/>
      <c r="AG13" s="663"/>
      <c r="AH13" s="663"/>
      <c r="AI13" s="663"/>
      <c r="AJ13" s="663"/>
      <c r="AK13" s="663"/>
      <c r="AL13" s="664"/>
    </row>
    <row r="14" spans="1:38" ht="18.75" customHeight="1" thickBot="1" x14ac:dyDescent="0.25">
      <c r="G14" s="665" t="str">
        <f>CONCATENATE(Справочно!$I3,ПП!$G$3)</f>
        <v>Январь 2017</v>
      </c>
      <c r="H14" s="669"/>
      <c r="I14" s="669" t="str">
        <f>CONCATENATE(Справочно!$I4,ПП!$G$3)</f>
        <v>Февраль 2017</v>
      </c>
      <c r="J14" s="669"/>
      <c r="K14" s="669" t="str">
        <f>CONCATENATE(Справочно!$I5,ПП!$G$3)</f>
        <v>Март 2017</v>
      </c>
      <c r="L14" s="667"/>
      <c r="M14" s="670" t="s">
        <v>285</v>
      </c>
      <c r="N14" s="670"/>
      <c r="O14" s="665" t="str">
        <f>CONCATENATE(Справочно!$I6,ПП!$G$3)</f>
        <v>Апрель 2017</v>
      </c>
      <c r="P14" s="669"/>
      <c r="Q14" s="665" t="str">
        <f>CONCATENATE(Справочно!$I7,ПП!$G$3)</f>
        <v>Май 2017</v>
      </c>
      <c r="R14" s="669"/>
      <c r="S14" s="665" t="str">
        <f>CONCATENATE(Справочно!$I8,ПП!$G$3)</f>
        <v>Июнь 2017</v>
      </c>
      <c r="T14" s="669"/>
      <c r="U14" s="670" t="s">
        <v>286</v>
      </c>
      <c r="V14" s="670"/>
      <c r="W14" s="665" t="str">
        <f>CONCATENATE(Справочно!$I9,ПП!$G$3)</f>
        <v>Июль 2017</v>
      </c>
      <c r="X14" s="666"/>
      <c r="Y14" s="665" t="str">
        <f>CONCATENATE(Справочно!$I10,ПП!$G$3)</f>
        <v>Август 2017</v>
      </c>
      <c r="Z14" s="667"/>
      <c r="AA14" s="665" t="str">
        <f>CONCATENATE(Справочно!$I11,ПП!$G$3)</f>
        <v>Сентябрь 2017</v>
      </c>
      <c r="AB14" s="667"/>
      <c r="AC14" s="670" t="s">
        <v>287</v>
      </c>
      <c r="AD14" s="670"/>
      <c r="AE14" s="665" t="str">
        <f>CONCATENATE(Справочно!$I12,ПП!$G$3)</f>
        <v>Октябрь 2017</v>
      </c>
      <c r="AF14" s="666"/>
      <c r="AG14" s="665" t="str">
        <f>CONCATENATE(Справочно!$I13,ПП!$G$3)</f>
        <v>Ноябрь 2017</v>
      </c>
      <c r="AH14" s="667"/>
      <c r="AI14" s="668" t="str">
        <f>CONCATENATE(Справочно!$I14,ПП!$G$3)</f>
        <v>Декабрь 2017</v>
      </c>
      <c r="AJ14" s="669"/>
      <c r="AK14" s="670" t="s">
        <v>288</v>
      </c>
      <c r="AL14" s="670"/>
    </row>
    <row r="15" spans="1:38" ht="26.25" thickBot="1" x14ac:dyDescent="0.25">
      <c r="A15" s="61" t="s">
        <v>9</v>
      </c>
      <c r="B15" s="62" t="s">
        <v>290</v>
      </c>
      <c r="C15" s="63" t="s">
        <v>241</v>
      </c>
      <c r="D15" s="62" t="s">
        <v>289</v>
      </c>
      <c r="E15" s="63" t="s">
        <v>243</v>
      </c>
      <c r="G15" s="140" t="s">
        <v>290</v>
      </c>
      <c r="H15" s="141" t="s">
        <v>289</v>
      </c>
      <c r="I15" s="141" t="s">
        <v>290</v>
      </c>
      <c r="J15" s="141" t="s">
        <v>289</v>
      </c>
      <c r="K15" s="141" t="s">
        <v>290</v>
      </c>
      <c r="L15" s="192" t="s">
        <v>289</v>
      </c>
      <c r="M15" s="174" t="s">
        <v>290</v>
      </c>
      <c r="N15" s="174" t="s">
        <v>289</v>
      </c>
      <c r="O15" s="140" t="s">
        <v>290</v>
      </c>
      <c r="P15" s="141" t="s">
        <v>289</v>
      </c>
      <c r="Q15" s="141" t="s">
        <v>290</v>
      </c>
      <c r="R15" s="141" t="s">
        <v>289</v>
      </c>
      <c r="S15" s="141" t="s">
        <v>290</v>
      </c>
      <c r="T15" s="192" t="s">
        <v>289</v>
      </c>
      <c r="U15" s="174" t="s">
        <v>290</v>
      </c>
      <c r="V15" s="174" t="s">
        <v>289</v>
      </c>
      <c r="W15" s="140" t="s">
        <v>290</v>
      </c>
      <c r="X15" s="192" t="s">
        <v>289</v>
      </c>
      <c r="Y15" s="465" t="s">
        <v>290</v>
      </c>
      <c r="Z15" s="464" t="s">
        <v>289</v>
      </c>
      <c r="AA15" s="465" t="s">
        <v>290</v>
      </c>
      <c r="AB15" s="464" t="s">
        <v>289</v>
      </c>
      <c r="AC15" s="174" t="s">
        <v>290</v>
      </c>
      <c r="AD15" s="174" t="s">
        <v>289</v>
      </c>
      <c r="AE15" s="140" t="s">
        <v>290</v>
      </c>
      <c r="AF15" s="192" t="s">
        <v>289</v>
      </c>
      <c r="AG15" s="465" t="s">
        <v>290</v>
      </c>
      <c r="AH15" s="464" t="s">
        <v>289</v>
      </c>
      <c r="AI15" s="471" t="s">
        <v>290</v>
      </c>
      <c r="AJ15" s="192" t="s">
        <v>289</v>
      </c>
      <c r="AK15" s="174" t="s">
        <v>290</v>
      </c>
      <c r="AL15" s="174" t="s">
        <v>289</v>
      </c>
    </row>
    <row r="16" spans="1:38" ht="13.5" thickBot="1" x14ac:dyDescent="0.25">
      <c r="A16" s="86" t="s">
        <v>99</v>
      </c>
      <c r="B16" s="73">
        <f>COUNTIF(РПЗ!$Q:$Q,Справочно!$C12)</f>
        <v>0</v>
      </c>
      <c r="C16" s="351" t="e">
        <f t="shared" ref="C16:C35" si="0">$B16/$B$13</f>
        <v>#DIV/0!</v>
      </c>
      <c r="D16" s="352">
        <f>SUMIF(РПЗ!$Q:$Q,Справочно!$C12,РПЗ!$L:$L)</f>
        <v>0</v>
      </c>
      <c r="E16" s="353" t="e">
        <f t="shared" ref="E16:E35" si="1">D16/$D$40</f>
        <v>#DIV/0!</v>
      </c>
      <c r="G16" s="149">
        <f>COUNTIFS(РПЗ!$Q:$Q,Справочно!$C12,РПЗ!$AE:$AE,1)</f>
        <v>0</v>
      </c>
      <c r="H16" s="334">
        <f>SUMIFS(РПЗ!$L:$L,РПЗ!$Q:$Q,Справочно!$C12,РПЗ!$AE:$AE,1)</f>
        <v>0</v>
      </c>
      <c r="I16" s="149">
        <f>COUNTIFS(РПЗ!$Q:$Q,Справочно!$C12,РПЗ!$AE:$AE,2)</f>
        <v>0</v>
      </c>
      <c r="J16" s="334">
        <f>SUMIFS(РПЗ!$L:$L,РПЗ!$Q:$Q,Справочно!$C12,РПЗ!$AE:$AE,2)</f>
        <v>0</v>
      </c>
      <c r="K16" s="149">
        <f>COUNTIFS(РПЗ!$Q:$Q,Справочно!$C12,РПЗ!$AE:$AE,3)</f>
        <v>0</v>
      </c>
      <c r="L16" s="334">
        <f>SUMIFS(РПЗ!$L:$L,РПЗ!$Q:$Q,Справочно!$C12,РПЗ!$AE:$AE,3)</f>
        <v>0</v>
      </c>
      <c r="M16" s="193">
        <f>SUM($G16,$I16,$K16)</f>
        <v>0</v>
      </c>
      <c r="N16" s="335">
        <f>SUM($H16,$J16,$L16)</f>
        <v>0</v>
      </c>
      <c r="O16" s="153">
        <f>COUNTIFS(РПЗ!$Q:$Q,Справочно!$C12,РПЗ!$AE:$AE,4)</f>
        <v>0</v>
      </c>
      <c r="P16" s="336">
        <f>SUMIFS(РПЗ!$L:$L,РПЗ!$Q:$Q,Справочно!$C12,РПЗ!$AE:$AE,4)</f>
        <v>0</v>
      </c>
      <c r="Q16" s="153">
        <f>COUNTIFS(РПЗ!$Q:$Q,Справочно!$C12,РПЗ!$AE:$AE,5)</f>
        <v>0</v>
      </c>
      <c r="R16" s="336">
        <f>SUMIFS(РПЗ!$L:$L,РПЗ!$Q:$Q,Справочно!$C12,РПЗ!$AE:$AE,5)</f>
        <v>0</v>
      </c>
      <c r="S16" s="153">
        <f>COUNTIFS(РПЗ!$Q:$Q,Справочно!$C12,РПЗ!$AE:$AE,6)</f>
        <v>0</v>
      </c>
      <c r="T16" s="336">
        <f>SUMIFS(РПЗ!$L:$L,РПЗ!$Q:$Q,Справочно!$C12,РПЗ!$AE:$AE,6)</f>
        <v>0</v>
      </c>
      <c r="U16" s="197">
        <f>SUM($O16,$Q16,$S16)</f>
        <v>0</v>
      </c>
      <c r="V16" s="337">
        <f>SUM($P16,$R16,$T16)</f>
        <v>0</v>
      </c>
      <c r="W16" s="147">
        <f>COUNTIFS(РПЗ!$Q:$Q,Справочно!$C12,РПЗ!$AE:$AE,7)</f>
        <v>0</v>
      </c>
      <c r="X16" s="338">
        <f>SUMIFS(РПЗ!$L:$L,РПЗ!$Q:$Q,Справочно!$C12,РПЗ!$AE:$AE,7)</f>
        <v>0</v>
      </c>
      <c r="Y16" s="147">
        <f>COUNTIFS(РПЗ!$Q:$Q,Справочно!$C12,РПЗ!$AE:$AE,8)</f>
        <v>0</v>
      </c>
      <c r="Z16" s="338">
        <f>SUMIFS(РПЗ!$L:$L,РПЗ!$Q:$Q,Справочно!$C12,РПЗ!$AE:$AE,8)</f>
        <v>0</v>
      </c>
      <c r="AA16" s="147">
        <f>COUNTIFS(РПЗ!$Q:$Q,Справочно!$C12,РПЗ!$AE:$AE,9)</f>
        <v>0</v>
      </c>
      <c r="AB16" s="338">
        <f>SUMIFS(РПЗ!$L:$L,РПЗ!$Q:$Q,Справочно!$C12,РПЗ!$AE:$AE,9)</f>
        <v>0</v>
      </c>
      <c r="AC16" s="198">
        <f>SUM($W16,$Y16,$AA16)</f>
        <v>0</v>
      </c>
      <c r="AD16" s="339">
        <f>SUM($X16,$Z16,$AB16)</f>
        <v>0</v>
      </c>
      <c r="AE16" s="155">
        <f>COUNTIFS(РПЗ!$Q:$Q,Справочно!$C12,РПЗ!$AE:$AE,10)</f>
        <v>0</v>
      </c>
      <c r="AF16" s="340">
        <f>SUMIFS(РПЗ!$L:$L,РПЗ!$Q:$Q,Справочно!$C12,РПЗ!$AE:$AE,10)</f>
        <v>0</v>
      </c>
      <c r="AG16" s="155">
        <f>COUNTIFS(РПЗ!$Q:$Q,Справочно!$C12,РПЗ!$AE:$AE,11)</f>
        <v>0</v>
      </c>
      <c r="AH16" s="340">
        <f>SUMIFS(РПЗ!$L:$L,РПЗ!$Q:$Q,Справочно!$C12,РПЗ!$AE:$AE,11)</f>
        <v>0</v>
      </c>
      <c r="AI16" s="155">
        <f>COUNTIFS(РПЗ!$Q:$Q,Справочно!$C12,РПЗ!$AE:$AE,12)</f>
        <v>0</v>
      </c>
      <c r="AJ16" s="340">
        <f>SUMIFS(РПЗ!$L:$L,РПЗ!$Q:$Q,Справочно!$C12,РПЗ!$AE:$AE,12)</f>
        <v>0</v>
      </c>
      <c r="AK16" s="202">
        <f>SUM($AE16,$AG16,$AI16)</f>
        <v>0</v>
      </c>
      <c r="AL16" s="341">
        <f>SUM($AF16,$AH16,$AJ16)</f>
        <v>0</v>
      </c>
    </row>
    <row r="17" spans="1:38" ht="13.5" thickBot="1" x14ac:dyDescent="0.25">
      <c r="A17" s="87" t="s">
        <v>248</v>
      </c>
      <c r="B17" s="73">
        <f>COUNTIF(РПЗ!$Q:$Q,Справочно!$C13)</f>
        <v>0</v>
      </c>
      <c r="C17" s="351" t="e">
        <f t="shared" si="0"/>
        <v>#DIV/0!</v>
      </c>
      <c r="D17" s="354">
        <f>SUMIF(РПЗ!$Q:$Q,Справочно!$C13,РПЗ!$L:$L)</f>
        <v>0</v>
      </c>
      <c r="E17" s="353" t="e">
        <f t="shared" si="1"/>
        <v>#DIV/0!</v>
      </c>
      <c r="G17" s="150">
        <f>COUNTIFS(РПЗ!$Q:$Q,Справочно!$C13,РПЗ!$AE:$AE,1)</f>
        <v>0</v>
      </c>
      <c r="H17" s="342">
        <f>SUMIFS(РПЗ!$L:$L,РПЗ!$Q:$Q,Справочно!$C13,РПЗ!$AE:$AE,1)</f>
        <v>0</v>
      </c>
      <c r="I17" s="150">
        <f>COUNTIFS(РПЗ!$Q:$Q,Справочно!$C13,РПЗ!$AE:$AE,2)</f>
        <v>0</v>
      </c>
      <c r="J17" s="342">
        <f>SUMIFS(РПЗ!$L:$L,РПЗ!$Q:$Q,Справочно!$C13,РПЗ!$AE:$AE,2)</f>
        <v>0</v>
      </c>
      <c r="K17" s="150">
        <f>COUNTIFS(РПЗ!$Q:$Q,Справочно!$C13,РПЗ!$AE:$AE,3)</f>
        <v>0</v>
      </c>
      <c r="L17" s="342">
        <f>SUMIFS(РПЗ!$L:$L,РПЗ!$Q:$Q,Справочно!$C13,РПЗ!$AE:$AE,3)</f>
        <v>0</v>
      </c>
      <c r="M17" s="193">
        <f t="shared" ref="M17:M35" si="2">SUM($G17,$I17,$K17)</f>
        <v>0</v>
      </c>
      <c r="N17" s="335">
        <f t="shared" ref="N17:N35" si="3">SUM($H17,$J17,$L17)</f>
        <v>0</v>
      </c>
      <c r="O17" s="153">
        <f>COUNTIFS(РПЗ!$Q:$Q,Справочно!$C13,РПЗ!$AE:$AE,4)</f>
        <v>0</v>
      </c>
      <c r="P17" s="336">
        <f>SUMIFS(РПЗ!$L:$L,РПЗ!$Q:$Q,Справочно!$C13,РПЗ!$AE:$AE,4)</f>
        <v>0</v>
      </c>
      <c r="Q17" s="153">
        <f>COUNTIFS(РПЗ!$Q:$Q,Справочно!$C13,РПЗ!$AE:$AE,5)</f>
        <v>0</v>
      </c>
      <c r="R17" s="336">
        <f>SUMIFS(РПЗ!$L:$L,РПЗ!$Q:$Q,Справочно!$C13,РПЗ!$AE:$AE,5)</f>
        <v>0</v>
      </c>
      <c r="S17" s="153">
        <f>COUNTIFS(РПЗ!$Q:$Q,Справочно!$C13,РПЗ!$AE:$AE,6)</f>
        <v>0</v>
      </c>
      <c r="T17" s="336">
        <f>SUMIFS(РПЗ!$L:$L,РПЗ!$Q:$Q,Справочно!$C13,РПЗ!$AE:$AE,6)</f>
        <v>0</v>
      </c>
      <c r="U17" s="197">
        <f t="shared" ref="U17:U35" si="4">SUM($O17,$Q17,$S17)</f>
        <v>0</v>
      </c>
      <c r="V17" s="337">
        <f t="shared" ref="V17:V35" si="5">SUM($P17,$R17,$T17)</f>
        <v>0</v>
      </c>
      <c r="W17" s="147">
        <f>COUNTIFS(РПЗ!$Q:$Q,Справочно!$C13,РПЗ!$AE:$AE,7)</f>
        <v>0</v>
      </c>
      <c r="X17" s="338">
        <f>SUMIFS(РПЗ!$L:$L,РПЗ!$Q:$Q,Справочно!$C13,РПЗ!$AE:$AE,7)</f>
        <v>0</v>
      </c>
      <c r="Y17" s="147">
        <f>COUNTIFS(РПЗ!$Q:$Q,Справочно!$C13,РПЗ!$AE:$AE,8)</f>
        <v>0</v>
      </c>
      <c r="Z17" s="338">
        <f>SUMIFS(РПЗ!$L:$L,РПЗ!$Q:$Q,Справочно!$C13,РПЗ!$AE:$AE,8)</f>
        <v>0</v>
      </c>
      <c r="AA17" s="147">
        <f>COUNTIFS(РПЗ!$Q:$Q,Справочно!$C13,РПЗ!$AE:$AE,9)</f>
        <v>0</v>
      </c>
      <c r="AB17" s="338">
        <f>SUMIFS(РПЗ!$L:$L,РПЗ!$Q:$Q,Справочно!$C13,РПЗ!$AE:$AE,9)</f>
        <v>0</v>
      </c>
      <c r="AC17" s="198">
        <f t="shared" ref="AC17:AC35" si="6">SUM($W17,$Y17,$AA17)</f>
        <v>0</v>
      </c>
      <c r="AD17" s="339">
        <f t="shared" ref="AD17:AD35" si="7">SUM($X17,$Z17,$AB17)</f>
        <v>0</v>
      </c>
      <c r="AE17" s="155">
        <f>COUNTIFS(РПЗ!$Q:$Q,Справочно!$C13,РПЗ!$AE:$AE,10)</f>
        <v>0</v>
      </c>
      <c r="AF17" s="340">
        <f>SUMIFS(РПЗ!$L:$L,РПЗ!$Q:$Q,Справочно!$C13,РПЗ!$AE:$AE,10)</f>
        <v>0</v>
      </c>
      <c r="AG17" s="155">
        <f>COUNTIFS(РПЗ!$Q:$Q,Справочно!$C13,РПЗ!$AE:$AE,11)</f>
        <v>0</v>
      </c>
      <c r="AH17" s="340">
        <f>SUMIFS(РПЗ!$L:$L,РПЗ!$Q:$Q,Справочно!$C13,РПЗ!$AE:$AE,11)</f>
        <v>0</v>
      </c>
      <c r="AI17" s="155">
        <f>COUNTIFS(РПЗ!$Q:$Q,Справочно!$C13,РПЗ!$AE:$AE,12)</f>
        <v>0</v>
      </c>
      <c r="AJ17" s="340">
        <f>SUMIFS(РПЗ!$L:$L,РПЗ!$Q:$Q,Справочно!$C13,РПЗ!$AE:$AE,12)</f>
        <v>0</v>
      </c>
      <c r="AK17" s="202">
        <f t="shared" ref="AK17:AK35" si="8">SUM($AE17,$AG17,$AI17)</f>
        <v>0</v>
      </c>
      <c r="AL17" s="341">
        <f t="shared" ref="AL17:AL35" si="9">SUM($AF17,$AH17,$AJ17)</f>
        <v>0</v>
      </c>
    </row>
    <row r="18" spans="1:38" ht="12.75" customHeight="1" thickBot="1" x14ac:dyDescent="0.25">
      <c r="A18" s="87" t="s">
        <v>101</v>
      </c>
      <c r="B18" s="302">
        <f>COUNTIF(РПЗ!$Q:$Q,Справочно!$C14)</f>
        <v>0</v>
      </c>
      <c r="C18" s="351" t="e">
        <f t="shared" si="0"/>
        <v>#DIV/0!</v>
      </c>
      <c r="D18" s="354">
        <f>SUMIF(РПЗ!$Q:$Q,Справочно!$C14,РПЗ!$L:$L)</f>
        <v>0</v>
      </c>
      <c r="E18" s="353" t="e">
        <f t="shared" si="1"/>
        <v>#DIV/0!</v>
      </c>
      <c r="G18" s="150">
        <f>COUNTIFS(РПЗ!$Q:$Q,Справочно!$C14,РПЗ!$AE:$AE,1)</f>
        <v>0</v>
      </c>
      <c r="H18" s="342">
        <f>SUMIFS(РПЗ!$L:$L,РПЗ!$Q:$Q,Справочно!$C14,РПЗ!$AE:$AE,1)</f>
        <v>0</v>
      </c>
      <c r="I18" s="150">
        <f>COUNTIFS(РПЗ!$Q:$Q,Справочно!$C14,РПЗ!$AE:$AE,2)</f>
        <v>0</v>
      </c>
      <c r="J18" s="342">
        <f>SUMIFS(РПЗ!$L:$L,РПЗ!$Q:$Q,Справочно!$C14,РПЗ!$AE:$AE,2)</f>
        <v>0</v>
      </c>
      <c r="K18" s="150">
        <f>COUNTIFS(РПЗ!$Q:$Q,Справочно!$C14,РПЗ!$AE:$AE,3)</f>
        <v>0</v>
      </c>
      <c r="L18" s="342">
        <f>SUMIFS(РПЗ!$L:$L,РПЗ!$Q:$Q,Справочно!$C14,РПЗ!$AE:$AE,3)</f>
        <v>0</v>
      </c>
      <c r="M18" s="193">
        <f t="shared" si="2"/>
        <v>0</v>
      </c>
      <c r="N18" s="335">
        <f t="shared" si="3"/>
        <v>0</v>
      </c>
      <c r="O18" s="153">
        <f>COUNTIFS(РПЗ!$Q:$Q,Справочно!$C14,РПЗ!$AE:$AE,4)</f>
        <v>0</v>
      </c>
      <c r="P18" s="336">
        <f>SUMIFS(РПЗ!$L:$L,РПЗ!$Q:$Q,Справочно!$C14,РПЗ!$AE:$AE,4)</f>
        <v>0</v>
      </c>
      <c r="Q18" s="153">
        <f>COUNTIFS(РПЗ!$Q:$Q,Справочно!$C14,РПЗ!$AE:$AE,5)</f>
        <v>0</v>
      </c>
      <c r="R18" s="336">
        <f>SUMIFS(РПЗ!$L:$L,РПЗ!$Q:$Q,Справочно!$C14,РПЗ!$AE:$AE,5)</f>
        <v>0</v>
      </c>
      <c r="S18" s="153">
        <f>COUNTIFS(РПЗ!$Q:$Q,Справочно!$C14,РПЗ!$AE:$AE,6)</f>
        <v>0</v>
      </c>
      <c r="T18" s="336">
        <f>SUMIFS(РПЗ!$L:$L,РПЗ!$Q:$Q,Справочно!$C14,РПЗ!$AE:$AE,6)</f>
        <v>0</v>
      </c>
      <c r="U18" s="197">
        <f t="shared" si="4"/>
        <v>0</v>
      </c>
      <c r="V18" s="337">
        <f t="shared" si="5"/>
        <v>0</v>
      </c>
      <c r="W18" s="147">
        <f>COUNTIFS(РПЗ!$Q:$Q,Справочно!$C14,РПЗ!$AE:$AE,7)</f>
        <v>0</v>
      </c>
      <c r="X18" s="338">
        <f>SUMIFS(РПЗ!$L:$L,РПЗ!$Q:$Q,Справочно!$C14,РПЗ!$AE:$AE,7)</f>
        <v>0</v>
      </c>
      <c r="Y18" s="147">
        <f>COUNTIFS(РПЗ!$Q:$Q,Справочно!$C14,РПЗ!$AE:$AE,8)</f>
        <v>0</v>
      </c>
      <c r="Z18" s="338">
        <f>SUMIFS(РПЗ!$L:$L,РПЗ!$Q:$Q,Справочно!$C14,РПЗ!$AE:$AE,8)</f>
        <v>0</v>
      </c>
      <c r="AA18" s="147">
        <f>COUNTIFS(РПЗ!$Q:$Q,Справочно!$C14,РПЗ!$AE:$AE,9)</f>
        <v>0</v>
      </c>
      <c r="AB18" s="338">
        <f>SUMIFS(РПЗ!$L:$L,РПЗ!$Q:$Q,Справочно!$C14,РПЗ!$AE:$AE,9)</f>
        <v>0</v>
      </c>
      <c r="AC18" s="198">
        <f t="shared" si="6"/>
        <v>0</v>
      </c>
      <c r="AD18" s="339">
        <f t="shared" si="7"/>
        <v>0</v>
      </c>
      <c r="AE18" s="155">
        <f>COUNTIFS(РПЗ!$Q:$Q,Справочно!$C14,РПЗ!$AE:$AE,10)</f>
        <v>0</v>
      </c>
      <c r="AF18" s="340">
        <f>SUMIFS(РПЗ!$L:$L,РПЗ!$Q:$Q,Справочно!$C14,РПЗ!$AE:$AE,10)</f>
        <v>0</v>
      </c>
      <c r="AG18" s="155">
        <f>COUNTIFS(РПЗ!$Q:$Q,Справочно!$C14,РПЗ!$AE:$AE,11)</f>
        <v>0</v>
      </c>
      <c r="AH18" s="340">
        <f>SUMIFS(РПЗ!$L:$L,РПЗ!$Q:$Q,Справочно!$C14,РПЗ!$AE:$AE,11)</f>
        <v>0</v>
      </c>
      <c r="AI18" s="155">
        <f>COUNTIFS(РПЗ!$Q:$Q,Справочно!$C14,РПЗ!$AE:$AE,12)</f>
        <v>0</v>
      </c>
      <c r="AJ18" s="340">
        <f>SUMIFS(РПЗ!$L:$L,РПЗ!$Q:$Q,Справочно!$C14,РПЗ!$AE:$AE,12)</f>
        <v>0</v>
      </c>
      <c r="AK18" s="202">
        <f t="shared" si="8"/>
        <v>0</v>
      </c>
      <c r="AL18" s="341">
        <f t="shared" si="9"/>
        <v>0</v>
      </c>
    </row>
    <row r="19" spans="1:38" ht="13.5" thickBot="1" x14ac:dyDescent="0.25">
      <c r="A19" s="87" t="s">
        <v>249</v>
      </c>
      <c r="B19" s="302">
        <f>COUNTIF(РПЗ!$Q:$Q,Справочно!$C15)</f>
        <v>0</v>
      </c>
      <c r="C19" s="351" t="e">
        <f t="shared" si="0"/>
        <v>#DIV/0!</v>
      </c>
      <c r="D19" s="354">
        <f>SUMIF(РПЗ!$Q:$Q,Справочно!$C15,РПЗ!$L:$L)</f>
        <v>0</v>
      </c>
      <c r="E19" s="353" t="e">
        <f t="shared" si="1"/>
        <v>#DIV/0!</v>
      </c>
      <c r="G19" s="150">
        <f>COUNTIFS(РПЗ!$Q:$Q,Справочно!$C15,РПЗ!$AE:$AE,1)</f>
        <v>0</v>
      </c>
      <c r="H19" s="342">
        <f>SUMIFS(РПЗ!$L:$L,РПЗ!$Q:$Q,Справочно!$C15,РПЗ!$AE:$AE,1)</f>
        <v>0</v>
      </c>
      <c r="I19" s="150">
        <f>COUNTIFS(РПЗ!$Q:$Q,Справочно!$C15,РПЗ!$AE:$AE,2)</f>
        <v>0</v>
      </c>
      <c r="J19" s="342">
        <f>SUMIFS(РПЗ!$L:$L,РПЗ!$Q:$Q,Справочно!$C15,РПЗ!$AE:$AE,2)</f>
        <v>0</v>
      </c>
      <c r="K19" s="150">
        <f>COUNTIFS(РПЗ!$Q:$Q,Справочно!$C15,РПЗ!$AE:$AE,3)</f>
        <v>0</v>
      </c>
      <c r="L19" s="342">
        <f>SUMIFS(РПЗ!$L:$L,РПЗ!$Q:$Q,Справочно!$C15,РПЗ!$AE:$AE,3)</f>
        <v>0</v>
      </c>
      <c r="M19" s="193">
        <f t="shared" si="2"/>
        <v>0</v>
      </c>
      <c r="N19" s="335">
        <f t="shared" si="3"/>
        <v>0</v>
      </c>
      <c r="O19" s="153">
        <f>COUNTIFS(РПЗ!$Q:$Q,Справочно!$C15,РПЗ!$AE:$AE,4)</f>
        <v>0</v>
      </c>
      <c r="P19" s="336">
        <f>SUMIFS(РПЗ!$L:$L,РПЗ!$Q:$Q,Справочно!$C15,РПЗ!$AE:$AE,4)</f>
        <v>0</v>
      </c>
      <c r="Q19" s="153">
        <f>COUNTIFS(РПЗ!$Q:$Q,Справочно!$C15,РПЗ!$AE:$AE,5)</f>
        <v>0</v>
      </c>
      <c r="R19" s="336">
        <f>SUMIFS(РПЗ!$L:$L,РПЗ!$Q:$Q,Справочно!$C15,РПЗ!$AE:$AE,5)</f>
        <v>0</v>
      </c>
      <c r="S19" s="153">
        <f>COUNTIFS(РПЗ!$Q:$Q,Справочно!$C15,РПЗ!$AE:$AE,6)</f>
        <v>0</v>
      </c>
      <c r="T19" s="336">
        <f>SUMIFS(РПЗ!$L:$L,РПЗ!$Q:$Q,Справочно!$C15,РПЗ!$AE:$AE,6)</f>
        <v>0</v>
      </c>
      <c r="U19" s="197">
        <f t="shared" si="4"/>
        <v>0</v>
      </c>
      <c r="V19" s="337">
        <f t="shared" si="5"/>
        <v>0</v>
      </c>
      <c r="W19" s="147">
        <f>COUNTIFS(РПЗ!$Q:$Q,Справочно!$C15,РПЗ!$AE:$AE,7)</f>
        <v>0</v>
      </c>
      <c r="X19" s="338">
        <f>SUMIFS(РПЗ!$L:$L,РПЗ!$Q:$Q,Справочно!$C15,РПЗ!$AE:$AE,7)</f>
        <v>0</v>
      </c>
      <c r="Y19" s="147">
        <f>COUNTIFS(РПЗ!$Q:$Q,Справочно!$C15,РПЗ!$AE:$AE,8)</f>
        <v>0</v>
      </c>
      <c r="Z19" s="338">
        <f>SUMIFS(РПЗ!$L:$L,РПЗ!$Q:$Q,Справочно!$C15,РПЗ!$AE:$AE,8)</f>
        <v>0</v>
      </c>
      <c r="AA19" s="147">
        <f>COUNTIFS(РПЗ!$Q:$Q,Справочно!$C15,РПЗ!$AE:$AE,9)</f>
        <v>0</v>
      </c>
      <c r="AB19" s="338">
        <f>SUMIFS(РПЗ!$L:$L,РПЗ!$Q:$Q,Справочно!$C15,РПЗ!$AE:$AE,9)</f>
        <v>0</v>
      </c>
      <c r="AC19" s="198">
        <f t="shared" si="6"/>
        <v>0</v>
      </c>
      <c r="AD19" s="339">
        <f t="shared" si="7"/>
        <v>0</v>
      </c>
      <c r="AE19" s="155">
        <f>COUNTIFS(РПЗ!$Q:$Q,Справочно!$C15,РПЗ!$AE:$AE,10)</f>
        <v>0</v>
      </c>
      <c r="AF19" s="340">
        <f>SUMIFS(РПЗ!$L:$L,РПЗ!$Q:$Q,Справочно!$C15,РПЗ!$AE:$AE,10)</f>
        <v>0</v>
      </c>
      <c r="AG19" s="155">
        <f>COUNTIFS(РПЗ!$Q:$Q,Справочно!$C15,РПЗ!$AE:$AE,11)</f>
        <v>0</v>
      </c>
      <c r="AH19" s="340">
        <f>SUMIFS(РПЗ!$L:$L,РПЗ!$Q:$Q,Справочно!$C15,РПЗ!$AE:$AE,11)</f>
        <v>0</v>
      </c>
      <c r="AI19" s="155">
        <f>COUNTIFS(РПЗ!$Q:$Q,Справочно!$C15,РПЗ!$AE:$AE,12)</f>
        <v>0</v>
      </c>
      <c r="AJ19" s="340">
        <f>SUMIFS(РПЗ!$L:$L,РПЗ!$Q:$Q,Справочно!$C15,РПЗ!$AE:$AE,12)</f>
        <v>0</v>
      </c>
      <c r="AK19" s="202">
        <f t="shared" si="8"/>
        <v>0</v>
      </c>
      <c r="AL19" s="341">
        <f t="shared" si="9"/>
        <v>0</v>
      </c>
    </row>
    <row r="20" spans="1:38" ht="13.5" thickBot="1" x14ac:dyDescent="0.25">
      <c r="A20" s="87" t="s">
        <v>103</v>
      </c>
      <c r="B20" s="302">
        <f>COUNTIF(РПЗ!$Q:$Q,Справочно!$C16)</f>
        <v>0</v>
      </c>
      <c r="C20" s="351" t="e">
        <f t="shared" si="0"/>
        <v>#DIV/0!</v>
      </c>
      <c r="D20" s="354">
        <f>SUMIF(РПЗ!$Q:$Q,Справочно!$C16,РПЗ!$L:$L)</f>
        <v>0</v>
      </c>
      <c r="E20" s="353" t="e">
        <f t="shared" si="1"/>
        <v>#DIV/0!</v>
      </c>
      <c r="G20" s="150">
        <f>COUNTIFS(РПЗ!$Q:$Q,Справочно!$C16,РПЗ!$AE:$AE,1)</f>
        <v>0</v>
      </c>
      <c r="H20" s="342">
        <f>SUMIFS(РПЗ!$L:$L,РПЗ!$Q:$Q,Справочно!$C16,РПЗ!$AE:$AE,1)</f>
        <v>0</v>
      </c>
      <c r="I20" s="150">
        <f>COUNTIFS(РПЗ!$Q:$Q,Справочно!$C16,РПЗ!$AE:$AE,2)</f>
        <v>0</v>
      </c>
      <c r="J20" s="342">
        <f>SUMIFS(РПЗ!$L:$L,РПЗ!$Q:$Q,Справочно!$C16,РПЗ!$AE:$AE,2)</f>
        <v>0</v>
      </c>
      <c r="K20" s="150">
        <f>COUNTIFS(РПЗ!$Q:$Q,Справочно!$C16,РПЗ!$AE:$AE,3)</f>
        <v>0</v>
      </c>
      <c r="L20" s="342">
        <f>SUMIFS(РПЗ!$L:$L,РПЗ!$Q:$Q,Справочно!$C16,РПЗ!$AE:$AE,3)</f>
        <v>0</v>
      </c>
      <c r="M20" s="193">
        <f t="shared" si="2"/>
        <v>0</v>
      </c>
      <c r="N20" s="335">
        <f t="shared" si="3"/>
        <v>0</v>
      </c>
      <c r="O20" s="153">
        <f>COUNTIFS(РПЗ!$Q:$Q,Справочно!$C16,РПЗ!$AE:$AE,4)</f>
        <v>0</v>
      </c>
      <c r="P20" s="336">
        <f>SUMIFS(РПЗ!$L:$L,РПЗ!$Q:$Q,Справочно!$C16,РПЗ!$AE:$AE,4)</f>
        <v>0</v>
      </c>
      <c r="Q20" s="153">
        <f>COUNTIFS(РПЗ!$Q:$Q,Справочно!$C16,РПЗ!$AE:$AE,5)</f>
        <v>0</v>
      </c>
      <c r="R20" s="336">
        <f>SUMIFS(РПЗ!$L:$L,РПЗ!$Q:$Q,Справочно!$C16,РПЗ!$AE:$AE,5)</f>
        <v>0</v>
      </c>
      <c r="S20" s="153">
        <f>COUNTIFS(РПЗ!$Q:$Q,Справочно!$C16,РПЗ!$AE:$AE,6)</f>
        <v>0</v>
      </c>
      <c r="T20" s="336">
        <f>SUMIFS(РПЗ!$L:$L,РПЗ!$Q:$Q,Справочно!$C16,РПЗ!$AE:$AE,6)</f>
        <v>0</v>
      </c>
      <c r="U20" s="197">
        <f t="shared" si="4"/>
        <v>0</v>
      </c>
      <c r="V20" s="337">
        <f t="shared" si="5"/>
        <v>0</v>
      </c>
      <c r="W20" s="147">
        <f>COUNTIFS(РПЗ!$Q:$Q,Справочно!$C16,РПЗ!$AE:$AE,7)</f>
        <v>0</v>
      </c>
      <c r="X20" s="338">
        <f>SUMIFS(РПЗ!$L:$L,РПЗ!$Q:$Q,Справочно!$C16,РПЗ!$AE:$AE,7)</f>
        <v>0</v>
      </c>
      <c r="Y20" s="147">
        <f>COUNTIFS(РПЗ!$Q:$Q,Справочно!$C16,РПЗ!$AE:$AE,8)</f>
        <v>0</v>
      </c>
      <c r="Z20" s="338">
        <f>SUMIFS(РПЗ!$L:$L,РПЗ!$Q:$Q,Справочно!$C16,РПЗ!$AE:$AE,8)</f>
        <v>0</v>
      </c>
      <c r="AA20" s="147">
        <f>COUNTIFS(РПЗ!$Q:$Q,Справочно!$C16,РПЗ!$AE:$AE,9)</f>
        <v>0</v>
      </c>
      <c r="AB20" s="338">
        <f>SUMIFS(РПЗ!$L:$L,РПЗ!$Q:$Q,Справочно!$C16,РПЗ!$AE:$AE,9)</f>
        <v>0</v>
      </c>
      <c r="AC20" s="198">
        <f t="shared" si="6"/>
        <v>0</v>
      </c>
      <c r="AD20" s="339">
        <f t="shared" si="7"/>
        <v>0</v>
      </c>
      <c r="AE20" s="155">
        <f>COUNTIFS(РПЗ!$Q:$Q,Справочно!$C16,РПЗ!$AE:$AE,10)</f>
        <v>0</v>
      </c>
      <c r="AF20" s="340">
        <f>SUMIFS(РПЗ!$L:$L,РПЗ!$Q:$Q,Справочно!$C16,РПЗ!$AE:$AE,10)</f>
        <v>0</v>
      </c>
      <c r="AG20" s="155">
        <f>COUNTIFS(РПЗ!$Q:$Q,Справочно!$C16,РПЗ!$AE:$AE,11)</f>
        <v>0</v>
      </c>
      <c r="AH20" s="340">
        <f>SUMIFS(РПЗ!$L:$L,РПЗ!$Q:$Q,Справочно!$C16,РПЗ!$AE:$AE,11)</f>
        <v>0</v>
      </c>
      <c r="AI20" s="155">
        <f>COUNTIFS(РПЗ!$Q:$Q,Справочно!$C16,РПЗ!$AE:$AE,12)</f>
        <v>0</v>
      </c>
      <c r="AJ20" s="340">
        <f>SUMIFS(РПЗ!$L:$L,РПЗ!$Q:$Q,Справочно!$C16,РПЗ!$AE:$AE,12)</f>
        <v>0</v>
      </c>
      <c r="AK20" s="202">
        <f t="shared" si="8"/>
        <v>0</v>
      </c>
      <c r="AL20" s="341">
        <f t="shared" si="9"/>
        <v>0</v>
      </c>
    </row>
    <row r="21" spans="1:38" ht="13.5" thickBot="1" x14ac:dyDescent="0.25">
      <c r="A21" s="87" t="s">
        <v>250</v>
      </c>
      <c r="B21" s="302">
        <f>COUNTIF(РПЗ!$Q:$Q,Справочно!$C17)</f>
        <v>0</v>
      </c>
      <c r="C21" s="351" t="e">
        <f t="shared" si="0"/>
        <v>#DIV/0!</v>
      </c>
      <c r="D21" s="354">
        <f>SUMIF(РПЗ!$Q:$Q,Справочно!$C17,РПЗ!$L:$L)</f>
        <v>0</v>
      </c>
      <c r="E21" s="353" t="e">
        <f t="shared" si="1"/>
        <v>#DIV/0!</v>
      </c>
      <c r="G21" s="150">
        <f>COUNTIFS(РПЗ!$Q:$Q,Справочно!$C17,РПЗ!$AE:$AE,1)</f>
        <v>0</v>
      </c>
      <c r="H21" s="342">
        <f>SUMIFS(РПЗ!$L:$L,РПЗ!$Q:$Q,Справочно!$C17,РПЗ!$AE:$AE,1)</f>
        <v>0</v>
      </c>
      <c r="I21" s="150">
        <f>COUNTIFS(РПЗ!$Q:$Q,Справочно!$C17,РПЗ!$AE:$AE,2)</f>
        <v>0</v>
      </c>
      <c r="J21" s="342">
        <f>SUMIFS(РПЗ!$L:$L,РПЗ!$Q:$Q,Справочно!$C17,РПЗ!$AE:$AE,2)</f>
        <v>0</v>
      </c>
      <c r="K21" s="150">
        <f>COUNTIFS(РПЗ!$Q:$Q,Справочно!$C17,РПЗ!$AE:$AE,3)</f>
        <v>0</v>
      </c>
      <c r="L21" s="342">
        <f>SUMIFS(РПЗ!$L:$L,РПЗ!$Q:$Q,Справочно!$C17,РПЗ!$AE:$AE,3)</f>
        <v>0</v>
      </c>
      <c r="M21" s="193">
        <f t="shared" si="2"/>
        <v>0</v>
      </c>
      <c r="N21" s="335">
        <f t="shared" si="3"/>
        <v>0</v>
      </c>
      <c r="O21" s="153">
        <f>COUNTIFS(РПЗ!$Q:$Q,Справочно!$C17,РПЗ!$AE:$AE,4)</f>
        <v>0</v>
      </c>
      <c r="P21" s="336">
        <f>SUMIFS(РПЗ!$L:$L,РПЗ!$Q:$Q,Справочно!$C17,РПЗ!$AE:$AE,4)</f>
        <v>0</v>
      </c>
      <c r="Q21" s="153">
        <f>COUNTIFS(РПЗ!$Q:$Q,Справочно!$C17,РПЗ!$AE:$AE,5)</f>
        <v>0</v>
      </c>
      <c r="R21" s="336">
        <f>SUMIFS(РПЗ!$L:$L,РПЗ!$Q:$Q,Справочно!$C17,РПЗ!$AE:$AE,5)</f>
        <v>0</v>
      </c>
      <c r="S21" s="153">
        <f>COUNTIFS(РПЗ!$Q:$Q,Справочно!$C17,РПЗ!$AE:$AE,6)</f>
        <v>0</v>
      </c>
      <c r="T21" s="336">
        <f>SUMIFS(РПЗ!$L:$L,РПЗ!$Q:$Q,Справочно!$C17,РПЗ!$AE:$AE,6)</f>
        <v>0</v>
      </c>
      <c r="U21" s="197">
        <f t="shared" si="4"/>
        <v>0</v>
      </c>
      <c r="V21" s="337">
        <f t="shared" si="5"/>
        <v>0</v>
      </c>
      <c r="W21" s="147">
        <f>COUNTIFS(РПЗ!$Q:$Q,Справочно!$C17,РПЗ!$AE:$AE,7)</f>
        <v>0</v>
      </c>
      <c r="X21" s="338">
        <f>SUMIFS(РПЗ!$L:$L,РПЗ!$Q:$Q,Справочно!$C17,РПЗ!$AE:$AE,7)</f>
        <v>0</v>
      </c>
      <c r="Y21" s="147">
        <f>COUNTIFS(РПЗ!$Q:$Q,Справочно!$C17,РПЗ!$AE:$AE,8)</f>
        <v>0</v>
      </c>
      <c r="Z21" s="338">
        <f>SUMIFS(РПЗ!$L:$L,РПЗ!$Q:$Q,Справочно!$C17,РПЗ!$AE:$AE,8)</f>
        <v>0</v>
      </c>
      <c r="AA21" s="147">
        <f>COUNTIFS(РПЗ!$Q:$Q,Справочно!$C17,РПЗ!$AE:$AE,9)</f>
        <v>0</v>
      </c>
      <c r="AB21" s="338">
        <f>SUMIFS(РПЗ!$L:$L,РПЗ!$Q:$Q,Справочно!$C17,РПЗ!$AE:$AE,9)</f>
        <v>0</v>
      </c>
      <c r="AC21" s="198">
        <f t="shared" si="6"/>
        <v>0</v>
      </c>
      <c r="AD21" s="339">
        <f t="shared" si="7"/>
        <v>0</v>
      </c>
      <c r="AE21" s="155">
        <f>COUNTIFS(РПЗ!$Q:$Q,Справочно!$C17,РПЗ!$AE:$AE,10)</f>
        <v>0</v>
      </c>
      <c r="AF21" s="340">
        <f>SUMIFS(РПЗ!$L:$L,РПЗ!$Q:$Q,Справочно!$C17,РПЗ!$AE:$AE,10)</f>
        <v>0</v>
      </c>
      <c r="AG21" s="155">
        <f>COUNTIFS(РПЗ!$Q:$Q,Справочно!$C17,РПЗ!$AE:$AE,11)</f>
        <v>0</v>
      </c>
      <c r="AH21" s="340">
        <f>SUMIFS(РПЗ!$L:$L,РПЗ!$Q:$Q,Справочно!$C17,РПЗ!$AE:$AE,11)</f>
        <v>0</v>
      </c>
      <c r="AI21" s="155">
        <f>COUNTIFS(РПЗ!$Q:$Q,Справочно!$C17,РПЗ!$AE:$AE,12)</f>
        <v>0</v>
      </c>
      <c r="AJ21" s="340">
        <f>SUMIFS(РПЗ!$L:$L,РПЗ!$Q:$Q,Справочно!$C17,РПЗ!$AE:$AE,12)</f>
        <v>0</v>
      </c>
      <c r="AK21" s="202">
        <f t="shared" si="8"/>
        <v>0</v>
      </c>
      <c r="AL21" s="341">
        <f t="shared" si="9"/>
        <v>0</v>
      </c>
    </row>
    <row r="22" spans="1:38" ht="13.5" thickBot="1" x14ac:dyDescent="0.25">
      <c r="A22" s="87" t="s">
        <v>105</v>
      </c>
      <c r="B22" s="302">
        <f>COUNTIF(РПЗ!$Q:$Q,Справочно!$C18)</f>
        <v>0</v>
      </c>
      <c r="C22" s="351" t="e">
        <f t="shared" si="0"/>
        <v>#DIV/0!</v>
      </c>
      <c r="D22" s="354">
        <f>SUMIF(РПЗ!$Q:$Q,Справочно!$C18,РПЗ!$L:$L)</f>
        <v>0</v>
      </c>
      <c r="E22" s="353" t="e">
        <f t="shared" si="1"/>
        <v>#DIV/0!</v>
      </c>
      <c r="G22" s="150">
        <f>COUNTIFS(РПЗ!$Q:$Q,Справочно!$C18,РПЗ!$AE:$AE,1)</f>
        <v>0</v>
      </c>
      <c r="H22" s="342">
        <f>SUMIFS(РПЗ!$L:$L,РПЗ!$Q:$Q,Справочно!$C18,РПЗ!$AE:$AE,1)</f>
        <v>0</v>
      </c>
      <c r="I22" s="150">
        <f>COUNTIFS(РПЗ!$Q:$Q,Справочно!$C18,РПЗ!$AE:$AE,2)</f>
        <v>0</v>
      </c>
      <c r="J22" s="342">
        <f>SUMIFS(РПЗ!$L:$L,РПЗ!$Q:$Q,Справочно!$C18,РПЗ!$AE:$AE,2)</f>
        <v>0</v>
      </c>
      <c r="K22" s="150">
        <f>COUNTIFS(РПЗ!$Q:$Q,Справочно!$C18,РПЗ!$AE:$AE,3)</f>
        <v>0</v>
      </c>
      <c r="L22" s="342">
        <f>SUMIFS(РПЗ!$L:$L,РПЗ!$Q:$Q,Справочно!$C18,РПЗ!$AE:$AE,3)</f>
        <v>0</v>
      </c>
      <c r="M22" s="193">
        <f t="shared" si="2"/>
        <v>0</v>
      </c>
      <c r="N22" s="335">
        <f t="shared" si="3"/>
        <v>0</v>
      </c>
      <c r="O22" s="153">
        <f>COUNTIFS(РПЗ!$Q:$Q,Справочно!$C18,РПЗ!$AE:$AE,4)</f>
        <v>0</v>
      </c>
      <c r="P22" s="336">
        <f>SUMIFS(РПЗ!$L:$L,РПЗ!$Q:$Q,Справочно!$C18,РПЗ!$AE:$AE,4)</f>
        <v>0</v>
      </c>
      <c r="Q22" s="153">
        <f>COUNTIFS(РПЗ!$Q:$Q,Справочно!$C18,РПЗ!$AE:$AE,5)</f>
        <v>0</v>
      </c>
      <c r="R22" s="336">
        <f>SUMIFS(РПЗ!$L:$L,РПЗ!$Q:$Q,Справочно!$C18,РПЗ!$AE:$AE,5)</f>
        <v>0</v>
      </c>
      <c r="S22" s="153">
        <f>COUNTIFS(РПЗ!$Q:$Q,Справочно!$C18,РПЗ!$AE:$AE,6)</f>
        <v>0</v>
      </c>
      <c r="T22" s="336">
        <f>SUMIFS(РПЗ!$L:$L,РПЗ!$Q:$Q,Справочно!$C18,РПЗ!$AE:$AE,6)</f>
        <v>0</v>
      </c>
      <c r="U22" s="197">
        <f t="shared" si="4"/>
        <v>0</v>
      </c>
      <c r="V22" s="337">
        <f t="shared" si="5"/>
        <v>0</v>
      </c>
      <c r="W22" s="147">
        <f>COUNTIFS(РПЗ!$Q:$Q,Справочно!$C18,РПЗ!$AE:$AE,7)</f>
        <v>0</v>
      </c>
      <c r="X22" s="338">
        <f>SUMIFS(РПЗ!$L:$L,РПЗ!$Q:$Q,Справочно!$C18,РПЗ!$AE:$AE,7)</f>
        <v>0</v>
      </c>
      <c r="Y22" s="147">
        <f>COUNTIFS(РПЗ!$Q:$Q,Справочно!$C18,РПЗ!$AE:$AE,8)</f>
        <v>0</v>
      </c>
      <c r="Z22" s="338">
        <f>SUMIFS(РПЗ!$L:$L,РПЗ!$Q:$Q,Справочно!$C18,РПЗ!$AE:$AE,8)</f>
        <v>0</v>
      </c>
      <c r="AA22" s="147">
        <f>COUNTIFS(РПЗ!$Q:$Q,Справочно!$C18,РПЗ!$AE:$AE,9)</f>
        <v>0</v>
      </c>
      <c r="AB22" s="338">
        <f>SUMIFS(РПЗ!$L:$L,РПЗ!$Q:$Q,Справочно!$C18,РПЗ!$AE:$AE,9)</f>
        <v>0</v>
      </c>
      <c r="AC22" s="198">
        <f t="shared" si="6"/>
        <v>0</v>
      </c>
      <c r="AD22" s="339">
        <f t="shared" si="7"/>
        <v>0</v>
      </c>
      <c r="AE22" s="155">
        <f>COUNTIFS(РПЗ!$Q:$Q,Справочно!$C18,РПЗ!$AE:$AE,10)</f>
        <v>0</v>
      </c>
      <c r="AF22" s="340">
        <f>SUMIFS(РПЗ!$L:$L,РПЗ!$Q:$Q,Справочно!$C18,РПЗ!$AE:$AE,10)</f>
        <v>0</v>
      </c>
      <c r="AG22" s="155">
        <f>COUNTIFS(РПЗ!$Q:$Q,Справочно!$C18,РПЗ!$AE:$AE,11)</f>
        <v>0</v>
      </c>
      <c r="AH22" s="340">
        <f>SUMIFS(РПЗ!$L:$L,РПЗ!$Q:$Q,Справочно!$C18,РПЗ!$AE:$AE,11)</f>
        <v>0</v>
      </c>
      <c r="AI22" s="155">
        <f>COUNTIFS(РПЗ!$Q:$Q,Справочно!$C18,РПЗ!$AE:$AE,12)</f>
        <v>0</v>
      </c>
      <c r="AJ22" s="340">
        <f>SUMIFS(РПЗ!$L:$L,РПЗ!$Q:$Q,Справочно!$C18,РПЗ!$AE:$AE,12)</f>
        <v>0</v>
      </c>
      <c r="AK22" s="202">
        <f t="shared" si="8"/>
        <v>0</v>
      </c>
      <c r="AL22" s="341">
        <f t="shared" si="9"/>
        <v>0</v>
      </c>
    </row>
    <row r="23" spans="1:38" ht="13.5" thickBot="1" x14ac:dyDescent="0.25">
      <c r="A23" s="87" t="s">
        <v>251</v>
      </c>
      <c r="B23" s="302">
        <f>COUNTIF(РПЗ!$Q:$Q,Справочно!$C19)</f>
        <v>0</v>
      </c>
      <c r="C23" s="351" t="e">
        <f t="shared" si="0"/>
        <v>#DIV/0!</v>
      </c>
      <c r="D23" s="354">
        <f>SUMIF(РПЗ!$Q:$Q,Справочно!$C19,РПЗ!$L:$L)</f>
        <v>0</v>
      </c>
      <c r="E23" s="353" t="e">
        <f t="shared" si="1"/>
        <v>#DIV/0!</v>
      </c>
      <c r="G23" s="150">
        <f>COUNTIFS(РПЗ!$Q:$Q,Справочно!$C19,РПЗ!$AE:$AE,1)</f>
        <v>0</v>
      </c>
      <c r="H23" s="342">
        <f>SUMIFS(РПЗ!$L:$L,РПЗ!$Q:$Q,Справочно!$C19,РПЗ!$AE:$AE,1)</f>
        <v>0</v>
      </c>
      <c r="I23" s="150">
        <f>COUNTIFS(РПЗ!$Q:$Q,Справочно!$C19,РПЗ!$AE:$AE,2)</f>
        <v>0</v>
      </c>
      <c r="J23" s="342">
        <f>SUMIFS(РПЗ!$L:$L,РПЗ!$Q:$Q,Справочно!$C19,РПЗ!$AE:$AE,2)</f>
        <v>0</v>
      </c>
      <c r="K23" s="150">
        <f>COUNTIFS(РПЗ!$Q:$Q,Справочно!$C19,РПЗ!$AE:$AE,3)</f>
        <v>0</v>
      </c>
      <c r="L23" s="342">
        <f>SUMIFS(РПЗ!$L:$L,РПЗ!$Q:$Q,Справочно!$C19,РПЗ!$AE:$AE,3)</f>
        <v>0</v>
      </c>
      <c r="M23" s="193">
        <f t="shared" si="2"/>
        <v>0</v>
      </c>
      <c r="N23" s="335">
        <f t="shared" si="3"/>
        <v>0</v>
      </c>
      <c r="O23" s="153">
        <f>COUNTIFS(РПЗ!$Q:$Q,Справочно!$C19,РПЗ!$AE:$AE,4)</f>
        <v>0</v>
      </c>
      <c r="P23" s="336">
        <f>SUMIFS(РПЗ!$L:$L,РПЗ!$Q:$Q,Справочно!$C19,РПЗ!$AE:$AE,4)</f>
        <v>0</v>
      </c>
      <c r="Q23" s="153">
        <f>COUNTIFS(РПЗ!$Q:$Q,Справочно!$C19,РПЗ!$AE:$AE,5)</f>
        <v>0</v>
      </c>
      <c r="R23" s="336">
        <f>SUMIFS(РПЗ!$L:$L,РПЗ!$Q:$Q,Справочно!$C19,РПЗ!$AE:$AE,5)</f>
        <v>0</v>
      </c>
      <c r="S23" s="153">
        <f>COUNTIFS(РПЗ!$Q:$Q,Справочно!$C19,РПЗ!$AE:$AE,6)</f>
        <v>0</v>
      </c>
      <c r="T23" s="336">
        <f>SUMIFS(РПЗ!$L:$L,РПЗ!$Q:$Q,Справочно!$C19,РПЗ!$AE:$AE,6)</f>
        <v>0</v>
      </c>
      <c r="U23" s="197">
        <f t="shared" si="4"/>
        <v>0</v>
      </c>
      <c r="V23" s="337">
        <f t="shared" si="5"/>
        <v>0</v>
      </c>
      <c r="W23" s="147">
        <f>COUNTIFS(РПЗ!$Q:$Q,Справочно!$C19,РПЗ!$AE:$AE,7)</f>
        <v>0</v>
      </c>
      <c r="X23" s="338">
        <f>SUMIFS(РПЗ!$L:$L,РПЗ!$Q:$Q,Справочно!$C19,РПЗ!$AE:$AE,7)</f>
        <v>0</v>
      </c>
      <c r="Y23" s="147">
        <f>COUNTIFS(РПЗ!$Q:$Q,Справочно!$C19,РПЗ!$AE:$AE,8)</f>
        <v>0</v>
      </c>
      <c r="Z23" s="338">
        <f>SUMIFS(РПЗ!$L:$L,РПЗ!$Q:$Q,Справочно!$C19,РПЗ!$AE:$AE,8)</f>
        <v>0</v>
      </c>
      <c r="AA23" s="147">
        <f>COUNTIFS(РПЗ!$Q:$Q,Справочно!$C19,РПЗ!$AE:$AE,9)</f>
        <v>0</v>
      </c>
      <c r="AB23" s="338">
        <f>SUMIFS(РПЗ!$L:$L,РПЗ!$Q:$Q,Справочно!$C19,РПЗ!$AE:$AE,9)</f>
        <v>0</v>
      </c>
      <c r="AC23" s="198">
        <f t="shared" si="6"/>
        <v>0</v>
      </c>
      <c r="AD23" s="339">
        <f t="shared" si="7"/>
        <v>0</v>
      </c>
      <c r="AE23" s="155">
        <f>COUNTIFS(РПЗ!$Q:$Q,Справочно!$C19,РПЗ!$AE:$AE,10)</f>
        <v>0</v>
      </c>
      <c r="AF23" s="340">
        <f>SUMIFS(РПЗ!$L:$L,РПЗ!$Q:$Q,Справочно!$C19,РПЗ!$AE:$AE,10)</f>
        <v>0</v>
      </c>
      <c r="AG23" s="155">
        <f>COUNTIFS(РПЗ!$Q:$Q,Справочно!$C19,РПЗ!$AE:$AE,11)</f>
        <v>0</v>
      </c>
      <c r="AH23" s="340">
        <f>SUMIFS(РПЗ!$L:$L,РПЗ!$Q:$Q,Справочно!$C19,РПЗ!$AE:$AE,11)</f>
        <v>0</v>
      </c>
      <c r="AI23" s="155">
        <f>COUNTIFS(РПЗ!$Q:$Q,Справочно!$C19,РПЗ!$AE:$AE,12)</f>
        <v>0</v>
      </c>
      <c r="AJ23" s="340">
        <f>SUMIFS(РПЗ!$L:$L,РПЗ!$Q:$Q,Справочно!$C19,РПЗ!$AE:$AE,12)</f>
        <v>0</v>
      </c>
      <c r="AK23" s="202">
        <f t="shared" si="8"/>
        <v>0</v>
      </c>
      <c r="AL23" s="341">
        <f t="shared" si="9"/>
        <v>0</v>
      </c>
    </row>
    <row r="24" spans="1:38" ht="13.5" thickBot="1" x14ac:dyDescent="0.25">
      <c r="A24" s="87" t="s">
        <v>107</v>
      </c>
      <c r="B24" s="302">
        <f>COUNTIF(РПЗ!$Q:$Q,Справочно!$C20)</f>
        <v>0</v>
      </c>
      <c r="C24" s="351" t="e">
        <f t="shared" si="0"/>
        <v>#DIV/0!</v>
      </c>
      <c r="D24" s="354">
        <f>SUMIF(РПЗ!$Q:$Q,Справочно!$C20,РПЗ!$L:$L)</f>
        <v>0</v>
      </c>
      <c r="E24" s="353" t="e">
        <f t="shared" si="1"/>
        <v>#DIV/0!</v>
      </c>
      <c r="G24" s="150">
        <f>COUNTIFS(РПЗ!$Q:$Q,Справочно!$C20,РПЗ!$AE:$AE,1)</f>
        <v>0</v>
      </c>
      <c r="H24" s="342">
        <f>SUMIFS(РПЗ!$L:$L,РПЗ!$Q:$Q,Справочно!$C20,РПЗ!$AE:$AE,1)</f>
        <v>0</v>
      </c>
      <c r="I24" s="150">
        <f>COUNTIFS(РПЗ!$Q:$Q,Справочно!$C20,РПЗ!$AE:$AE,2)</f>
        <v>0</v>
      </c>
      <c r="J24" s="342">
        <f>SUMIFS(РПЗ!$L:$L,РПЗ!$Q:$Q,Справочно!$C20,РПЗ!$AE:$AE,2)</f>
        <v>0</v>
      </c>
      <c r="K24" s="150">
        <f>COUNTIFS(РПЗ!$Q:$Q,Справочно!$C20,РПЗ!$AE:$AE,3)</f>
        <v>0</v>
      </c>
      <c r="L24" s="342">
        <f>SUMIFS(РПЗ!$L:$L,РПЗ!$Q:$Q,Справочно!$C20,РПЗ!$AE:$AE,3)</f>
        <v>0</v>
      </c>
      <c r="M24" s="193">
        <f t="shared" si="2"/>
        <v>0</v>
      </c>
      <c r="N24" s="335">
        <f t="shared" si="3"/>
        <v>0</v>
      </c>
      <c r="O24" s="153">
        <f>COUNTIFS(РПЗ!$Q:$Q,Справочно!$C20,РПЗ!$AE:$AE,4)</f>
        <v>0</v>
      </c>
      <c r="P24" s="336">
        <f>SUMIFS(РПЗ!$L:$L,РПЗ!$Q:$Q,Справочно!$C20,РПЗ!$AE:$AE,4)</f>
        <v>0</v>
      </c>
      <c r="Q24" s="153">
        <f>COUNTIFS(РПЗ!$Q:$Q,Справочно!$C20,РПЗ!$AE:$AE,5)</f>
        <v>0</v>
      </c>
      <c r="R24" s="336">
        <f>SUMIFS(РПЗ!$L:$L,РПЗ!$Q:$Q,Справочно!$C20,РПЗ!$AE:$AE,5)</f>
        <v>0</v>
      </c>
      <c r="S24" s="153">
        <f>COUNTIFS(РПЗ!$Q:$Q,Справочно!$C20,РПЗ!$AE:$AE,6)</f>
        <v>0</v>
      </c>
      <c r="T24" s="336">
        <f>SUMIFS(РПЗ!$L:$L,РПЗ!$Q:$Q,Справочно!$C20,РПЗ!$AE:$AE,6)</f>
        <v>0</v>
      </c>
      <c r="U24" s="197">
        <f t="shared" si="4"/>
        <v>0</v>
      </c>
      <c r="V24" s="337">
        <f t="shared" si="5"/>
        <v>0</v>
      </c>
      <c r="W24" s="147">
        <f>COUNTIFS(РПЗ!$Q:$Q,Справочно!$C20,РПЗ!$AE:$AE,7)</f>
        <v>0</v>
      </c>
      <c r="X24" s="338">
        <f>SUMIFS(РПЗ!$L:$L,РПЗ!$Q:$Q,Справочно!$C20,РПЗ!$AE:$AE,7)</f>
        <v>0</v>
      </c>
      <c r="Y24" s="147">
        <f>COUNTIFS(РПЗ!$Q:$Q,Справочно!$C20,РПЗ!$AE:$AE,8)</f>
        <v>0</v>
      </c>
      <c r="Z24" s="338">
        <f>SUMIFS(РПЗ!$L:$L,РПЗ!$Q:$Q,Справочно!$C20,РПЗ!$AE:$AE,8)</f>
        <v>0</v>
      </c>
      <c r="AA24" s="147">
        <f>COUNTIFS(РПЗ!$Q:$Q,Справочно!$C20,РПЗ!$AE:$AE,9)</f>
        <v>0</v>
      </c>
      <c r="AB24" s="338">
        <f>SUMIFS(РПЗ!$L:$L,РПЗ!$Q:$Q,Справочно!$C20,РПЗ!$AE:$AE,9)</f>
        <v>0</v>
      </c>
      <c r="AC24" s="198">
        <f t="shared" si="6"/>
        <v>0</v>
      </c>
      <c r="AD24" s="339">
        <f t="shared" si="7"/>
        <v>0</v>
      </c>
      <c r="AE24" s="155">
        <f>COUNTIFS(РПЗ!$Q:$Q,Справочно!$C20,РПЗ!$AE:$AE,10)</f>
        <v>0</v>
      </c>
      <c r="AF24" s="340">
        <f>SUMIFS(РПЗ!$L:$L,РПЗ!$Q:$Q,Справочно!$C20,РПЗ!$AE:$AE,10)</f>
        <v>0</v>
      </c>
      <c r="AG24" s="155">
        <f>COUNTIFS(РПЗ!$Q:$Q,Справочно!$C20,РПЗ!$AE:$AE,11)</f>
        <v>0</v>
      </c>
      <c r="AH24" s="340">
        <f>SUMIFS(РПЗ!$L:$L,РПЗ!$Q:$Q,Справочно!$C20,РПЗ!$AE:$AE,11)</f>
        <v>0</v>
      </c>
      <c r="AI24" s="155">
        <f>COUNTIFS(РПЗ!$Q:$Q,Справочно!$C20,РПЗ!$AE:$AE,12)</f>
        <v>0</v>
      </c>
      <c r="AJ24" s="340">
        <f>SUMIFS(РПЗ!$L:$L,РПЗ!$Q:$Q,Справочно!$C20,РПЗ!$AE:$AE,12)</f>
        <v>0</v>
      </c>
      <c r="AK24" s="202">
        <f t="shared" si="8"/>
        <v>0</v>
      </c>
      <c r="AL24" s="341">
        <f t="shared" si="9"/>
        <v>0</v>
      </c>
    </row>
    <row r="25" spans="1:38" ht="13.5" thickBot="1" x14ac:dyDescent="0.25">
      <c r="A25" s="87" t="s">
        <v>252</v>
      </c>
      <c r="B25" s="302">
        <f>COUNTIF(РПЗ!$Q:$Q,Справочно!$C21)</f>
        <v>0</v>
      </c>
      <c r="C25" s="351" t="e">
        <f t="shared" si="0"/>
        <v>#DIV/0!</v>
      </c>
      <c r="D25" s="354">
        <f>SUMIF(РПЗ!$Q:$Q,Справочно!$C21,РПЗ!$L:$L)</f>
        <v>0</v>
      </c>
      <c r="E25" s="353" t="e">
        <f t="shared" si="1"/>
        <v>#DIV/0!</v>
      </c>
      <c r="G25" s="150">
        <f>COUNTIFS(РПЗ!$Q:$Q,Справочно!$C21,РПЗ!$AE:$AE,1)</f>
        <v>0</v>
      </c>
      <c r="H25" s="342">
        <f>SUMIFS(РПЗ!$L:$L,РПЗ!$Q:$Q,Справочно!$C21,РПЗ!$AE:$AE,1)</f>
        <v>0</v>
      </c>
      <c r="I25" s="150">
        <f>COUNTIFS(РПЗ!$Q:$Q,Справочно!$C21,РПЗ!$AE:$AE,2)</f>
        <v>0</v>
      </c>
      <c r="J25" s="342">
        <f>SUMIFS(РПЗ!$L:$L,РПЗ!$Q:$Q,Справочно!$C21,РПЗ!$AE:$AE,2)</f>
        <v>0</v>
      </c>
      <c r="K25" s="150">
        <f>COUNTIFS(РПЗ!$Q:$Q,Справочно!$C21,РПЗ!$AE:$AE,3)</f>
        <v>0</v>
      </c>
      <c r="L25" s="342">
        <f>SUMIFS(РПЗ!$L:$L,РПЗ!$Q:$Q,Справочно!$C21,РПЗ!$AE:$AE,3)</f>
        <v>0</v>
      </c>
      <c r="M25" s="193">
        <f t="shared" si="2"/>
        <v>0</v>
      </c>
      <c r="N25" s="335">
        <f t="shared" si="3"/>
        <v>0</v>
      </c>
      <c r="O25" s="153">
        <f>COUNTIFS(РПЗ!$Q:$Q,Справочно!$C21,РПЗ!$AE:$AE,4)</f>
        <v>0</v>
      </c>
      <c r="P25" s="336">
        <f>SUMIFS(РПЗ!$L:$L,РПЗ!$Q:$Q,Справочно!$C21,РПЗ!$AE:$AE,4)</f>
        <v>0</v>
      </c>
      <c r="Q25" s="153">
        <f>COUNTIFS(РПЗ!$Q:$Q,Справочно!$C21,РПЗ!$AE:$AE,5)</f>
        <v>0</v>
      </c>
      <c r="R25" s="336">
        <f>SUMIFS(РПЗ!$L:$L,РПЗ!$Q:$Q,Справочно!$C21,РПЗ!$AE:$AE,5)</f>
        <v>0</v>
      </c>
      <c r="S25" s="153">
        <f>COUNTIFS(РПЗ!$Q:$Q,Справочно!$C21,РПЗ!$AE:$AE,6)</f>
        <v>0</v>
      </c>
      <c r="T25" s="336">
        <f>SUMIFS(РПЗ!$L:$L,РПЗ!$Q:$Q,Справочно!$C21,РПЗ!$AE:$AE,6)</f>
        <v>0</v>
      </c>
      <c r="U25" s="197">
        <f t="shared" si="4"/>
        <v>0</v>
      </c>
      <c r="V25" s="337">
        <f t="shared" si="5"/>
        <v>0</v>
      </c>
      <c r="W25" s="147">
        <f>COUNTIFS(РПЗ!$Q:$Q,Справочно!$C21,РПЗ!$AE:$AE,7)</f>
        <v>0</v>
      </c>
      <c r="X25" s="338">
        <f>SUMIFS(РПЗ!$L:$L,РПЗ!$Q:$Q,Справочно!$C21,РПЗ!$AE:$AE,7)</f>
        <v>0</v>
      </c>
      <c r="Y25" s="147">
        <f>COUNTIFS(РПЗ!$Q:$Q,Справочно!$C21,РПЗ!$AE:$AE,8)</f>
        <v>0</v>
      </c>
      <c r="Z25" s="338">
        <f>SUMIFS(РПЗ!$L:$L,РПЗ!$Q:$Q,Справочно!$C21,РПЗ!$AE:$AE,8)</f>
        <v>0</v>
      </c>
      <c r="AA25" s="147">
        <f>COUNTIFS(РПЗ!$Q:$Q,Справочно!$C21,РПЗ!$AE:$AE,9)</f>
        <v>0</v>
      </c>
      <c r="AB25" s="338">
        <f>SUMIFS(РПЗ!$L:$L,РПЗ!$Q:$Q,Справочно!$C21,РПЗ!$AE:$AE,9)</f>
        <v>0</v>
      </c>
      <c r="AC25" s="198">
        <f t="shared" si="6"/>
        <v>0</v>
      </c>
      <c r="AD25" s="339">
        <f t="shared" si="7"/>
        <v>0</v>
      </c>
      <c r="AE25" s="155">
        <f>COUNTIFS(РПЗ!$Q:$Q,Справочно!$C21,РПЗ!$AE:$AE,10)</f>
        <v>0</v>
      </c>
      <c r="AF25" s="340">
        <f>SUMIFS(РПЗ!$L:$L,РПЗ!$Q:$Q,Справочно!$C21,РПЗ!$AE:$AE,10)</f>
        <v>0</v>
      </c>
      <c r="AG25" s="155">
        <f>COUNTIFS(РПЗ!$Q:$Q,Справочно!$C21,РПЗ!$AE:$AE,11)</f>
        <v>0</v>
      </c>
      <c r="AH25" s="340">
        <f>SUMIFS(РПЗ!$L:$L,РПЗ!$Q:$Q,Справочно!$C21,РПЗ!$AE:$AE,11)</f>
        <v>0</v>
      </c>
      <c r="AI25" s="155">
        <f>COUNTIFS(РПЗ!$Q:$Q,Справочно!$C21,РПЗ!$AE:$AE,12)</f>
        <v>0</v>
      </c>
      <c r="AJ25" s="340">
        <f>SUMIFS(РПЗ!$L:$L,РПЗ!$Q:$Q,Справочно!$C21,РПЗ!$AE:$AE,7)</f>
        <v>0</v>
      </c>
      <c r="AK25" s="202">
        <f t="shared" si="8"/>
        <v>0</v>
      </c>
      <c r="AL25" s="341">
        <f t="shared" si="9"/>
        <v>0</v>
      </c>
    </row>
    <row r="26" spans="1:38" ht="13.5" thickBot="1" x14ac:dyDescent="0.25">
      <c r="A26" s="87" t="s">
        <v>166</v>
      </c>
      <c r="B26" s="302">
        <f>COUNTIF(РПЗ!$Q:$Q,Справочно!$C22)</f>
        <v>0</v>
      </c>
      <c r="C26" s="351" t="e">
        <f t="shared" si="0"/>
        <v>#DIV/0!</v>
      </c>
      <c r="D26" s="354">
        <f>SUMIF(РПЗ!$Q:$Q,Справочно!$C22,РПЗ!$L:$L)</f>
        <v>0</v>
      </c>
      <c r="E26" s="353" t="e">
        <f t="shared" si="1"/>
        <v>#DIV/0!</v>
      </c>
      <c r="G26" s="150">
        <f>COUNTIFS(РПЗ!$Q:$Q,Справочно!$C22,РПЗ!$AE:$AE,1)</f>
        <v>0</v>
      </c>
      <c r="H26" s="342">
        <f>SUMIFS(РПЗ!$L:$L,РПЗ!$Q:$Q,Справочно!$C22,РПЗ!$AE:$AE,1)</f>
        <v>0</v>
      </c>
      <c r="I26" s="150">
        <f>COUNTIFS(РПЗ!$Q:$Q,Справочно!$C22,РПЗ!$AE:$AE,2)</f>
        <v>0</v>
      </c>
      <c r="J26" s="342">
        <f>SUMIFS(РПЗ!$L:$L,РПЗ!$Q:$Q,Справочно!$C22,РПЗ!$AE:$AE,2)</f>
        <v>0</v>
      </c>
      <c r="K26" s="150">
        <f>COUNTIFS(РПЗ!$Q:$Q,Справочно!$C22,РПЗ!$AE:$AE,3)</f>
        <v>0</v>
      </c>
      <c r="L26" s="342">
        <f>SUMIFS(РПЗ!$L:$L,РПЗ!$Q:$Q,Справочно!$C22,РПЗ!$AE:$AE,3)</f>
        <v>0</v>
      </c>
      <c r="M26" s="193">
        <f t="shared" si="2"/>
        <v>0</v>
      </c>
      <c r="N26" s="335">
        <f t="shared" si="3"/>
        <v>0</v>
      </c>
      <c r="O26" s="153">
        <f>COUNTIFS(РПЗ!$Q:$Q,Справочно!$C22,РПЗ!$AE:$AE,4)</f>
        <v>0</v>
      </c>
      <c r="P26" s="336">
        <f>SUMIFS(РПЗ!$L:$L,РПЗ!$Q:$Q,Справочно!$C22,РПЗ!$AE:$AE,4)</f>
        <v>0</v>
      </c>
      <c r="Q26" s="153">
        <f>COUNTIFS(РПЗ!$Q:$Q,Справочно!$C22,РПЗ!$AE:$AE,5)</f>
        <v>0</v>
      </c>
      <c r="R26" s="336">
        <f>SUMIFS(РПЗ!$L:$L,РПЗ!$Q:$Q,Справочно!$C22,РПЗ!$AE:$AE,5)</f>
        <v>0</v>
      </c>
      <c r="S26" s="153">
        <f>COUNTIFS(РПЗ!$Q:$Q,Справочно!$C22,РПЗ!$AE:$AE,6)</f>
        <v>0</v>
      </c>
      <c r="T26" s="336">
        <f>SUMIFS(РПЗ!$L:$L,РПЗ!$Q:$Q,Справочно!$C22,РПЗ!$AE:$AE,6)</f>
        <v>0</v>
      </c>
      <c r="U26" s="197">
        <f t="shared" si="4"/>
        <v>0</v>
      </c>
      <c r="V26" s="337">
        <f t="shared" si="5"/>
        <v>0</v>
      </c>
      <c r="W26" s="147">
        <f>COUNTIFS(РПЗ!$Q:$Q,Справочно!$C22,РПЗ!$AE:$AE,7)</f>
        <v>0</v>
      </c>
      <c r="X26" s="338">
        <f>SUMIFS(РПЗ!$L:$L,РПЗ!$Q:$Q,Справочно!$C22,РПЗ!$AE:$AE,7)</f>
        <v>0</v>
      </c>
      <c r="Y26" s="147">
        <f>COUNTIFS(РПЗ!$Q:$Q,Справочно!$C22,РПЗ!$AE:$AE,8)</f>
        <v>0</v>
      </c>
      <c r="Z26" s="338">
        <f>SUMIFS(РПЗ!$L:$L,РПЗ!$Q:$Q,Справочно!$C22,РПЗ!$AE:$AE,8)</f>
        <v>0</v>
      </c>
      <c r="AA26" s="147">
        <f>COUNTIFS(РПЗ!$Q:$Q,Справочно!$C22,РПЗ!$AE:$AE,9)</f>
        <v>0</v>
      </c>
      <c r="AB26" s="338">
        <f>SUMIFS(РПЗ!$L:$L,РПЗ!$Q:$Q,Справочно!$C22,РПЗ!$AE:$AE,9)</f>
        <v>0</v>
      </c>
      <c r="AC26" s="198">
        <f t="shared" si="6"/>
        <v>0</v>
      </c>
      <c r="AD26" s="339">
        <f t="shared" si="7"/>
        <v>0</v>
      </c>
      <c r="AE26" s="155">
        <f>COUNTIFS(РПЗ!$Q:$Q,Справочно!$C22,РПЗ!$AE:$AE,10)</f>
        <v>0</v>
      </c>
      <c r="AF26" s="340">
        <f>SUMIFS(РПЗ!$L:$L,РПЗ!$Q:$Q,Справочно!$C22,РПЗ!$AE:$AE,10)</f>
        <v>0</v>
      </c>
      <c r="AG26" s="155">
        <f>COUNTIFS(РПЗ!$Q:$Q,Справочно!$C22,РПЗ!$AE:$AE,11)</f>
        <v>0</v>
      </c>
      <c r="AH26" s="340">
        <f>SUMIFS(РПЗ!$L:$L,РПЗ!$Q:$Q,Справочно!$C22,РПЗ!$AE:$AE,11)</f>
        <v>0</v>
      </c>
      <c r="AI26" s="155">
        <f>COUNTIFS(РПЗ!$Q:$Q,Справочно!$C22,РПЗ!$AE:$AE,12)</f>
        <v>0</v>
      </c>
      <c r="AJ26" s="340">
        <f>SUMIFS(РПЗ!$L:$L,РПЗ!$Q:$Q,Справочно!$C22,РПЗ!$AE:$AE,12)</f>
        <v>0</v>
      </c>
      <c r="AK26" s="202">
        <f t="shared" si="8"/>
        <v>0</v>
      </c>
      <c r="AL26" s="341">
        <f t="shared" si="9"/>
        <v>0</v>
      </c>
    </row>
    <row r="27" spans="1:38" ht="13.5" thickBot="1" x14ac:dyDescent="0.25">
      <c r="A27" s="87" t="s">
        <v>253</v>
      </c>
      <c r="B27" s="302">
        <f>COUNTIF(РПЗ!$Q:$Q,Справочно!$C23)</f>
        <v>0</v>
      </c>
      <c r="C27" s="351" t="e">
        <f t="shared" si="0"/>
        <v>#DIV/0!</v>
      </c>
      <c r="D27" s="354">
        <f>SUMIF(РПЗ!$Q:$Q,Справочно!$C23,РПЗ!$L:$L)</f>
        <v>0</v>
      </c>
      <c r="E27" s="353" t="e">
        <f t="shared" si="1"/>
        <v>#DIV/0!</v>
      </c>
      <c r="G27" s="150">
        <f>COUNTIFS(РПЗ!$Q:$Q,Справочно!$C23,РПЗ!$AE:$AE,1)</f>
        <v>0</v>
      </c>
      <c r="H27" s="342">
        <f>SUMIFS(РПЗ!$L:$L,РПЗ!$Q:$Q,Справочно!$C23,РПЗ!$AE:$AE,1)</f>
        <v>0</v>
      </c>
      <c r="I27" s="150">
        <f>COUNTIFS(РПЗ!$Q:$Q,Справочно!$C23,РПЗ!$AE:$AE,2)</f>
        <v>0</v>
      </c>
      <c r="J27" s="342">
        <f>SUMIFS(РПЗ!$L:$L,РПЗ!$Q:$Q,Справочно!$C23,РПЗ!$AE:$AE,2)</f>
        <v>0</v>
      </c>
      <c r="K27" s="150">
        <f>COUNTIFS(РПЗ!$Q:$Q,Справочно!$C23,РПЗ!$AE:$AE,3)</f>
        <v>0</v>
      </c>
      <c r="L27" s="342">
        <f>SUMIFS(РПЗ!$L:$L,РПЗ!$Q:$Q,Справочно!$C23,РПЗ!$AE:$AE,3)</f>
        <v>0</v>
      </c>
      <c r="M27" s="193">
        <f t="shared" si="2"/>
        <v>0</v>
      </c>
      <c r="N27" s="335">
        <f t="shared" si="3"/>
        <v>0</v>
      </c>
      <c r="O27" s="153">
        <f>COUNTIFS(РПЗ!$Q:$Q,Справочно!$C23,РПЗ!$AE:$AE,4)</f>
        <v>0</v>
      </c>
      <c r="P27" s="336">
        <f>SUMIFS(РПЗ!$L:$L,РПЗ!$Q:$Q,Справочно!$C23,РПЗ!$AE:$AE,4)</f>
        <v>0</v>
      </c>
      <c r="Q27" s="153">
        <f>COUNTIFS(РПЗ!$Q:$Q,Справочно!$C23,РПЗ!$AE:$AE,5)</f>
        <v>0</v>
      </c>
      <c r="R27" s="336">
        <f>SUMIFS(РПЗ!$L:$L,РПЗ!$Q:$Q,Справочно!$C23,РПЗ!$AE:$AE,5)</f>
        <v>0</v>
      </c>
      <c r="S27" s="153">
        <f>COUNTIFS(РПЗ!$Q:$Q,Справочно!$C23,РПЗ!$AE:$AE,6)</f>
        <v>0</v>
      </c>
      <c r="T27" s="336">
        <f>SUMIFS(РПЗ!$L:$L,РПЗ!$Q:$Q,Справочно!$C23,РПЗ!$AE:$AE,6)</f>
        <v>0</v>
      </c>
      <c r="U27" s="197">
        <f t="shared" si="4"/>
        <v>0</v>
      </c>
      <c r="V27" s="337">
        <f t="shared" si="5"/>
        <v>0</v>
      </c>
      <c r="W27" s="147">
        <f>COUNTIFS(РПЗ!$Q:$Q,Справочно!$C23,РПЗ!$AE:$AE,7)</f>
        <v>0</v>
      </c>
      <c r="X27" s="338">
        <f>SUMIFS(РПЗ!$L:$L,РПЗ!$Q:$Q,Справочно!$C23,РПЗ!$AE:$AE,7)</f>
        <v>0</v>
      </c>
      <c r="Y27" s="147">
        <f>COUNTIFS(РПЗ!$Q:$Q,Справочно!$C23,РПЗ!$AE:$AE,8)</f>
        <v>0</v>
      </c>
      <c r="Z27" s="338">
        <f>SUMIFS(РПЗ!$L:$L,РПЗ!$Q:$Q,Справочно!$C23,РПЗ!$AE:$AE,8)</f>
        <v>0</v>
      </c>
      <c r="AA27" s="147">
        <f>COUNTIFS(РПЗ!$Q:$Q,Справочно!$C23,РПЗ!$AE:$AE,9)</f>
        <v>0</v>
      </c>
      <c r="AB27" s="338">
        <f>SUMIFS(РПЗ!$L:$L,РПЗ!$Q:$Q,Справочно!$C23,РПЗ!$AE:$AE,9)</f>
        <v>0</v>
      </c>
      <c r="AC27" s="198">
        <f t="shared" si="6"/>
        <v>0</v>
      </c>
      <c r="AD27" s="339">
        <f t="shared" si="7"/>
        <v>0</v>
      </c>
      <c r="AE27" s="155">
        <f>COUNTIFS(РПЗ!$Q:$Q,Справочно!$C23,РПЗ!$AE:$AE,10)</f>
        <v>0</v>
      </c>
      <c r="AF27" s="340">
        <f>SUMIFS(РПЗ!$L:$L,РПЗ!$Q:$Q,Справочно!$C23,РПЗ!$AE:$AE,10)</f>
        <v>0</v>
      </c>
      <c r="AG27" s="155">
        <f>COUNTIFS(РПЗ!$Q:$Q,Справочно!$C23,РПЗ!$AE:$AE,11)</f>
        <v>0</v>
      </c>
      <c r="AH27" s="340">
        <f>SUMIFS(РПЗ!$L:$L,РПЗ!$Q:$Q,Справочно!$C23,РПЗ!$AE:$AE,11)</f>
        <v>0</v>
      </c>
      <c r="AI27" s="155">
        <f>COUNTIFS(РПЗ!$Q:$Q,Справочно!$C23,РПЗ!$AE:$AE,12)</f>
        <v>0</v>
      </c>
      <c r="AJ27" s="340">
        <f>SUMIFS(РПЗ!$L:$L,РПЗ!$Q:$Q,Справочно!$C23,РПЗ!$AE:$AE,12)</f>
        <v>0</v>
      </c>
      <c r="AK27" s="202">
        <f t="shared" si="8"/>
        <v>0</v>
      </c>
      <c r="AL27" s="341">
        <f t="shared" si="9"/>
        <v>0</v>
      </c>
    </row>
    <row r="28" spans="1:38" ht="13.5" thickBot="1" x14ac:dyDescent="0.25">
      <c r="A28" s="87" t="s">
        <v>167</v>
      </c>
      <c r="B28" s="302">
        <f>COUNTIF(РПЗ!$Q:$Q,Справочно!$C24)</f>
        <v>0</v>
      </c>
      <c r="C28" s="351" t="e">
        <f t="shared" si="0"/>
        <v>#DIV/0!</v>
      </c>
      <c r="D28" s="354">
        <f>SUMIF(РПЗ!$Q:$Q,Справочно!$C24,РПЗ!$L:$L)</f>
        <v>0</v>
      </c>
      <c r="E28" s="353" t="e">
        <f t="shared" si="1"/>
        <v>#DIV/0!</v>
      </c>
      <c r="G28" s="150">
        <f>COUNTIFS(РПЗ!$Q:$Q,Справочно!$C24,РПЗ!$AE:$AE,1)</f>
        <v>0</v>
      </c>
      <c r="H28" s="342">
        <f>SUMIFS(РПЗ!$L:$L,РПЗ!$Q:$Q,Справочно!$C24,РПЗ!$AE:$AE,1)</f>
        <v>0</v>
      </c>
      <c r="I28" s="150">
        <f>COUNTIFS(РПЗ!$Q:$Q,Справочно!$C24,РПЗ!$AE:$AE,2)</f>
        <v>0</v>
      </c>
      <c r="J28" s="342">
        <f>SUMIFS(РПЗ!$L:$L,РПЗ!$Q:$Q,Справочно!$C24,РПЗ!$AE:$AE,2)</f>
        <v>0</v>
      </c>
      <c r="K28" s="150">
        <f>COUNTIFS(РПЗ!$Q:$Q,Справочно!$C24,РПЗ!$AE:$AE,3)</f>
        <v>0</v>
      </c>
      <c r="L28" s="342">
        <f>SUMIFS(РПЗ!$L:$L,РПЗ!$Q:$Q,Справочно!$C24,РПЗ!$AE:$AE,3)</f>
        <v>0</v>
      </c>
      <c r="M28" s="193">
        <f t="shared" si="2"/>
        <v>0</v>
      </c>
      <c r="N28" s="335">
        <f t="shared" si="3"/>
        <v>0</v>
      </c>
      <c r="O28" s="153">
        <f>COUNTIFS(РПЗ!$Q:$Q,Справочно!$C24,РПЗ!$AE:$AE,4)</f>
        <v>0</v>
      </c>
      <c r="P28" s="336">
        <f>SUMIFS(РПЗ!$L:$L,РПЗ!$Q:$Q,Справочно!$C24,РПЗ!$AE:$AE,4)</f>
        <v>0</v>
      </c>
      <c r="Q28" s="153">
        <f>COUNTIFS(РПЗ!$Q:$Q,Справочно!$C24,РПЗ!$AE:$AE,5)</f>
        <v>0</v>
      </c>
      <c r="R28" s="336">
        <f>SUMIFS(РПЗ!$L:$L,РПЗ!$Q:$Q,Справочно!$C24,РПЗ!$AE:$AE,5)</f>
        <v>0</v>
      </c>
      <c r="S28" s="153">
        <f>COUNTIFS(РПЗ!$Q:$Q,Справочно!$C24,РПЗ!$AE:$AE,6)</f>
        <v>0</v>
      </c>
      <c r="T28" s="336">
        <f>SUMIFS(РПЗ!$L:$L,РПЗ!$Q:$Q,Справочно!$C24,РПЗ!$AE:$AE,6)</f>
        <v>0</v>
      </c>
      <c r="U28" s="197">
        <f t="shared" si="4"/>
        <v>0</v>
      </c>
      <c r="V28" s="337">
        <f t="shared" si="5"/>
        <v>0</v>
      </c>
      <c r="W28" s="147">
        <f>COUNTIFS(РПЗ!$Q:$Q,Справочно!$C24,РПЗ!$AE:$AE,7)</f>
        <v>0</v>
      </c>
      <c r="X28" s="338">
        <f>SUMIFS(РПЗ!$L:$L,РПЗ!$Q:$Q,Справочно!$C24,РПЗ!$AE:$AE,7)</f>
        <v>0</v>
      </c>
      <c r="Y28" s="147">
        <f>COUNTIFS(РПЗ!$Q:$Q,Справочно!$C24,РПЗ!$AE:$AE,8)</f>
        <v>0</v>
      </c>
      <c r="Z28" s="338">
        <f>SUMIFS(РПЗ!$L:$L,РПЗ!$Q:$Q,Справочно!$C24,РПЗ!$AE:$AE,8)</f>
        <v>0</v>
      </c>
      <c r="AA28" s="147">
        <f>COUNTIFS(РПЗ!$Q:$Q,Справочно!$C24,РПЗ!$AE:$AE,9)</f>
        <v>0</v>
      </c>
      <c r="AB28" s="338">
        <f>SUMIFS(РПЗ!$L:$L,РПЗ!$Q:$Q,Справочно!$C24,РПЗ!$AE:$AE,9)</f>
        <v>0</v>
      </c>
      <c r="AC28" s="198">
        <f t="shared" si="6"/>
        <v>0</v>
      </c>
      <c r="AD28" s="339">
        <f t="shared" si="7"/>
        <v>0</v>
      </c>
      <c r="AE28" s="155">
        <f>COUNTIFS(РПЗ!$Q:$Q,Справочно!$C24,РПЗ!$AE:$AE,10)</f>
        <v>0</v>
      </c>
      <c r="AF28" s="340">
        <f>SUMIFS(РПЗ!$L:$L,РПЗ!$Q:$Q,Справочно!$C24,РПЗ!$AE:$AE,10)</f>
        <v>0</v>
      </c>
      <c r="AG28" s="155">
        <f>COUNTIFS(РПЗ!$Q:$Q,Справочно!$C24,РПЗ!$AE:$AE,11)</f>
        <v>0</v>
      </c>
      <c r="AH28" s="340">
        <f>SUMIFS(РПЗ!$L:$L,РПЗ!$Q:$Q,Справочно!$C24,РПЗ!$AE:$AE,11)</f>
        <v>0</v>
      </c>
      <c r="AI28" s="155">
        <f>COUNTIFS(РПЗ!$Q:$Q,Справочно!$C24,РПЗ!$AE:$AE,12)</f>
        <v>0</v>
      </c>
      <c r="AJ28" s="340">
        <f>SUMIFS(РПЗ!$L:$L,РПЗ!$Q:$Q,Справочно!$C24,РПЗ!$AE:$AE,12)</f>
        <v>0</v>
      </c>
      <c r="AK28" s="202">
        <f t="shared" si="8"/>
        <v>0</v>
      </c>
      <c r="AL28" s="341">
        <f t="shared" si="9"/>
        <v>0</v>
      </c>
    </row>
    <row r="29" spans="1:38" ht="13.5" thickBot="1" x14ac:dyDescent="0.25">
      <c r="A29" s="87" t="s">
        <v>254</v>
      </c>
      <c r="B29" s="302">
        <f>COUNTIF(РПЗ!$Q:$Q,Справочно!$C25)</f>
        <v>0</v>
      </c>
      <c r="C29" s="351" t="e">
        <f t="shared" si="0"/>
        <v>#DIV/0!</v>
      </c>
      <c r="D29" s="354">
        <f>SUMIF(РПЗ!$Q:$Q,Справочно!$C25,РПЗ!$L:$L)</f>
        <v>0</v>
      </c>
      <c r="E29" s="353" t="e">
        <f t="shared" si="1"/>
        <v>#DIV/0!</v>
      </c>
      <c r="G29" s="150">
        <f>COUNTIFS(РПЗ!$Q:$Q,Справочно!$C25,РПЗ!$AE:$AE,1)</f>
        <v>0</v>
      </c>
      <c r="H29" s="342">
        <f>SUMIFS(РПЗ!$L:$L,РПЗ!$Q:$Q,Справочно!$C25,РПЗ!$AE:$AE,1)</f>
        <v>0</v>
      </c>
      <c r="I29" s="150">
        <f>COUNTIFS(РПЗ!$Q:$Q,Справочно!$C25,РПЗ!$AE:$AE,2)</f>
        <v>0</v>
      </c>
      <c r="J29" s="342">
        <f>SUMIFS(РПЗ!$L:$L,РПЗ!$Q:$Q,Справочно!$C25,РПЗ!$AE:$AE,2)</f>
        <v>0</v>
      </c>
      <c r="K29" s="150">
        <f>COUNTIFS(РПЗ!$Q:$Q,Справочно!$C25,РПЗ!$AE:$AE,3)</f>
        <v>0</v>
      </c>
      <c r="L29" s="342">
        <f>SUMIFS(РПЗ!$L:$L,РПЗ!$Q:$Q,Справочно!$C25,РПЗ!$AE:$AE,3)</f>
        <v>0</v>
      </c>
      <c r="M29" s="193">
        <f t="shared" si="2"/>
        <v>0</v>
      </c>
      <c r="N29" s="335">
        <f t="shared" si="3"/>
        <v>0</v>
      </c>
      <c r="O29" s="153">
        <f>COUNTIFS(РПЗ!$Q:$Q,Справочно!$C25,РПЗ!$AE:$AE,4)</f>
        <v>0</v>
      </c>
      <c r="P29" s="336">
        <f>SUMIFS(РПЗ!$L:$L,РПЗ!$Q:$Q,Справочно!$C25,РПЗ!$AE:$AE,4)</f>
        <v>0</v>
      </c>
      <c r="Q29" s="153">
        <f>COUNTIFS(РПЗ!$Q:$Q,Справочно!$C25,РПЗ!$AE:$AE,5)</f>
        <v>0</v>
      </c>
      <c r="R29" s="336">
        <f>SUMIFS(РПЗ!$L:$L,РПЗ!$Q:$Q,Справочно!$C25,РПЗ!$AE:$AE,5)</f>
        <v>0</v>
      </c>
      <c r="S29" s="153">
        <f>COUNTIFS(РПЗ!$Q:$Q,Справочно!$C25,РПЗ!$AE:$AE,6)</f>
        <v>0</v>
      </c>
      <c r="T29" s="336">
        <f>SUMIFS(РПЗ!$L:$L,РПЗ!$Q:$Q,Справочно!$C25,РПЗ!$AE:$AE,6)</f>
        <v>0</v>
      </c>
      <c r="U29" s="197">
        <f t="shared" si="4"/>
        <v>0</v>
      </c>
      <c r="V29" s="337">
        <f t="shared" si="5"/>
        <v>0</v>
      </c>
      <c r="W29" s="147">
        <f>COUNTIFS(РПЗ!$Q:$Q,Справочно!$C25,РПЗ!$AE:$AE,7)</f>
        <v>0</v>
      </c>
      <c r="X29" s="338">
        <f>SUMIFS(РПЗ!$L:$L,РПЗ!$Q:$Q,Справочно!$C25,РПЗ!$AE:$AE,7)</f>
        <v>0</v>
      </c>
      <c r="Y29" s="147">
        <f>COUNTIFS(РПЗ!$Q:$Q,Справочно!$C25,РПЗ!$AE:$AE,8)</f>
        <v>0</v>
      </c>
      <c r="Z29" s="338">
        <f>SUMIFS(РПЗ!$L:$L,РПЗ!$Q:$Q,Справочно!$C25,РПЗ!$AE:$AE,8)</f>
        <v>0</v>
      </c>
      <c r="AA29" s="147">
        <f>COUNTIFS(РПЗ!$Q:$Q,Справочно!$C25,РПЗ!$AE:$AE,9)</f>
        <v>0</v>
      </c>
      <c r="AB29" s="338">
        <f>SUMIFS(РПЗ!$L:$L,РПЗ!$Q:$Q,Справочно!$C25,РПЗ!$AE:$AE,9)</f>
        <v>0</v>
      </c>
      <c r="AC29" s="198">
        <f t="shared" si="6"/>
        <v>0</v>
      </c>
      <c r="AD29" s="339">
        <f t="shared" si="7"/>
        <v>0</v>
      </c>
      <c r="AE29" s="155">
        <f>COUNTIFS(РПЗ!$Q:$Q,Справочно!$C25,РПЗ!$AE:$AE,10)</f>
        <v>0</v>
      </c>
      <c r="AF29" s="340">
        <f>SUMIFS(РПЗ!$L:$L,РПЗ!$Q:$Q,Справочно!$C25,РПЗ!$AE:$AE,10)</f>
        <v>0</v>
      </c>
      <c r="AG29" s="155">
        <f>COUNTIFS(РПЗ!$Q:$Q,Справочно!$C25,РПЗ!$AE:$AE,11)</f>
        <v>0</v>
      </c>
      <c r="AH29" s="340">
        <f>SUMIFS(РПЗ!$L:$L,РПЗ!$Q:$Q,Справочно!$C25,РПЗ!$AE:$AE,11)</f>
        <v>0</v>
      </c>
      <c r="AI29" s="155">
        <f>COUNTIFS(РПЗ!$Q:$Q,Справочно!$C25,РПЗ!$AE:$AE,12)</f>
        <v>0</v>
      </c>
      <c r="AJ29" s="340">
        <f>SUMIFS(РПЗ!$L:$L,РПЗ!$Q:$Q,Справочно!$C25,РПЗ!$AE:$AE,12)</f>
        <v>0</v>
      </c>
      <c r="AK29" s="202">
        <f t="shared" si="8"/>
        <v>0</v>
      </c>
      <c r="AL29" s="341">
        <f t="shared" si="9"/>
        <v>0</v>
      </c>
    </row>
    <row r="30" spans="1:38" ht="13.5" thickBot="1" x14ac:dyDescent="0.25">
      <c r="A30" s="87" t="s">
        <v>168</v>
      </c>
      <c r="B30" s="302">
        <f>COUNTIF(РПЗ!$Q:$Q,Справочно!$C26)</f>
        <v>0</v>
      </c>
      <c r="C30" s="351" t="e">
        <f t="shared" si="0"/>
        <v>#DIV/0!</v>
      </c>
      <c r="D30" s="354">
        <f>SUMIF(РПЗ!$Q:$Q,Справочно!$C26,РПЗ!$L:$L)</f>
        <v>0</v>
      </c>
      <c r="E30" s="353" t="e">
        <f t="shared" si="1"/>
        <v>#DIV/0!</v>
      </c>
      <c r="G30" s="150">
        <f>COUNTIFS(РПЗ!$Q:$Q,Справочно!$C26,РПЗ!$AE:$AE,1)</f>
        <v>0</v>
      </c>
      <c r="H30" s="342">
        <f>SUMIFS(РПЗ!$L:$L,РПЗ!$Q:$Q,Справочно!$C26,РПЗ!$AE:$AE,1)</f>
        <v>0</v>
      </c>
      <c r="I30" s="150">
        <f>COUNTIFS(РПЗ!$Q:$Q,Справочно!$C26,РПЗ!$AE:$AE,2)</f>
        <v>0</v>
      </c>
      <c r="J30" s="342">
        <f>SUMIFS(РПЗ!$L:$L,РПЗ!$Q:$Q,Справочно!$C26,РПЗ!$AE:$AE,2)</f>
        <v>0</v>
      </c>
      <c r="K30" s="150">
        <f>COUNTIFS(РПЗ!$Q:$Q,Справочно!$C26,РПЗ!$AE:$AE,3)</f>
        <v>0</v>
      </c>
      <c r="L30" s="342">
        <f>SUMIFS(РПЗ!$L:$L,РПЗ!$Q:$Q,Справочно!$C26,РПЗ!$AE:$AE,3)</f>
        <v>0</v>
      </c>
      <c r="M30" s="193">
        <f t="shared" si="2"/>
        <v>0</v>
      </c>
      <c r="N30" s="335">
        <f t="shared" si="3"/>
        <v>0</v>
      </c>
      <c r="O30" s="153">
        <f>COUNTIFS(РПЗ!$Q:$Q,Справочно!$C26,РПЗ!$AE:$AE,4)</f>
        <v>0</v>
      </c>
      <c r="P30" s="336">
        <f>SUMIFS(РПЗ!$L:$L,РПЗ!$Q:$Q,Справочно!$C26,РПЗ!$AE:$AE,4)</f>
        <v>0</v>
      </c>
      <c r="Q30" s="153">
        <f>COUNTIFS(РПЗ!$Q:$Q,Справочно!$C26,РПЗ!$AE:$AE,5)</f>
        <v>0</v>
      </c>
      <c r="R30" s="336">
        <f>SUMIFS(РПЗ!$L:$L,РПЗ!$Q:$Q,Справочно!$C26,РПЗ!$AE:$AE,5)</f>
        <v>0</v>
      </c>
      <c r="S30" s="153">
        <f>COUNTIFS(РПЗ!$Q:$Q,Справочно!$C26,РПЗ!$AE:$AE,6)</f>
        <v>0</v>
      </c>
      <c r="T30" s="336">
        <f>SUMIFS(РПЗ!$L:$L,РПЗ!$Q:$Q,Справочно!$C26,РПЗ!$AE:$AE,6)</f>
        <v>0</v>
      </c>
      <c r="U30" s="197">
        <f t="shared" si="4"/>
        <v>0</v>
      </c>
      <c r="V30" s="337">
        <f t="shared" si="5"/>
        <v>0</v>
      </c>
      <c r="W30" s="147">
        <f>COUNTIFS(РПЗ!$Q:$Q,Справочно!$C26,РПЗ!$AE:$AE,7)</f>
        <v>0</v>
      </c>
      <c r="X30" s="338">
        <f>SUMIFS(РПЗ!$L:$L,РПЗ!$Q:$Q,Справочно!$C26,РПЗ!$AE:$AE,7)</f>
        <v>0</v>
      </c>
      <c r="Y30" s="147">
        <f>COUNTIFS(РПЗ!$Q:$Q,Справочно!$C26,РПЗ!$AE:$AE,8)</f>
        <v>0</v>
      </c>
      <c r="Z30" s="338">
        <f>SUMIFS(РПЗ!$L:$L,РПЗ!$Q:$Q,Справочно!$C26,РПЗ!$AE:$AE,8)</f>
        <v>0</v>
      </c>
      <c r="AA30" s="147">
        <f>COUNTIFS(РПЗ!$Q:$Q,Справочно!$C26,РПЗ!$AE:$AE,9)</f>
        <v>0</v>
      </c>
      <c r="AB30" s="338">
        <f>SUMIFS(РПЗ!$L:$L,РПЗ!$Q:$Q,Справочно!$C26,РПЗ!$AE:$AE,9)</f>
        <v>0</v>
      </c>
      <c r="AC30" s="198">
        <f t="shared" si="6"/>
        <v>0</v>
      </c>
      <c r="AD30" s="339">
        <f t="shared" si="7"/>
        <v>0</v>
      </c>
      <c r="AE30" s="155">
        <f>COUNTIFS(РПЗ!$Q:$Q,Справочно!$C26,РПЗ!$AE:$AE,10)</f>
        <v>0</v>
      </c>
      <c r="AF30" s="340">
        <f>SUMIFS(РПЗ!$L:$L,РПЗ!$Q:$Q,Справочно!$C26,РПЗ!$AE:$AE,10)</f>
        <v>0</v>
      </c>
      <c r="AG30" s="155">
        <f>COUNTIFS(РПЗ!$Q:$Q,Справочно!$C26,РПЗ!$AE:$AE,11)</f>
        <v>0</v>
      </c>
      <c r="AH30" s="340">
        <f>SUMIFS(РПЗ!$L:$L,РПЗ!$Q:$Q,Справочно!$C26,РПЗ!$AE:$AE,11)</f>
        <v>0</v>
      </c>
      <c r="AI30" s="155">
        <f>COUNTIFS(РПЗ!$Q:$Q,Справочно!$C26,РПЗ!$AE:$AE,12)</f>
        <v>0</v>
      </c>
      <c r="AJ30" s="340">
        <f>SUMIFS(РПЗ!$L:$L,РПЗ!$Q:$Q,Справочно!$C26,РПЗ!$AE:$AE,12)</f>
        <v>0</v>
      </c>
      <c r="AK30" s="202">
        <f t="shared" si="8"/>
        <v>0</v>
      </c>
      <c r="AL30" s="341">
        <f t="shared" si="9"/>
        <v>0</v>
      </c>
    </row>
    <row r="31" spans="1:38" ht="13.5" thickBot="1" x14ac:dyDescent="0.25">
      <c r="A31" s="87" t="s">
        <v>255</v>
      </c>
      <c r="B31" s="302">
        <f>COUNTIF(РПЗ!$Q:$Q,Справочно!$C27)</f>
        <v>0</v>
      </c>
      <c r="C31" s="351" t="e">
        <f t="shared" si="0"/>
        <v>#DIV/0!</v>
      </c>
      <c r="D31" s="354">
        <f>SUMIF(РПЗ!$Q:$Q,Справочно!$C27,РПЗ!$L:$L)</f>
        <v>0</v>
      </c>
      <c r="E31" s="353" t="e">
        <f t="shared" si="1"/>
        <v>#DIV/0!</v>
      </c>
      <c r="G31" s="150">
        <f>COUNTIFS(РПЗ!$Q:$Q,Справочно!$C27,РПЗ!$AE:$AE,1)</f>
        <v>0</v>
      </c>
      <c r="H31" s="342">
        <f>SUMIFS(РПЗ!$L:$L,РПЗ!$Q:$Q,Справочно!$C27,РПЗ!$AE:$AE,1)</f>
        <v>0</v>
      </c>
      <c r="I31" s="150">
        <f>COUNTIFS(РПЗ!$Q:$Q,Справочно!$C27,РПЗ!$AE:$AE,2)</f>
        <v>0</v>
      </c>
      <c r="J31" s="342">
        <f>SUMIFS(РПЗ!$L:$L,РПЗ!$Q:$Q,Справочно!$C27,РПЗ!$AE:$AE,2)</f>
        <v>0</v>
      </c>
      <c r="K31" s="150">
        <f>COUNTIFS(РПЗ!$Q:$Q,Справочно!$C27,РПЗ!$AE:$AE,3)</f>
        <v>0</v>
      </c>
      <c r="L31" s="342">
        <f>SUMIFS(РПЗ!$L:$L,РПЗ!$Q:$Q,Справочно!$C27,РПЗ!$AE:$AE,3)</f>
        <v>0</v>
      </c>
      <c r="M31" s="193">
        <f t="shared" si="2"/>
        <v>0</v>
      </c>
      <c r="N31" s="335">
        <f t="shared" si="3"/>
        <v>0</v>
      </c>
      <c r="O31" s="153">
        <f>COUNTIFS(РПЗ!$Q:$Q,Справочно!$C27,РПЗ!$AE:$AE,4)</f>
        <v>0</v>
      </c>
      <c r="P31" s="336">
        <f>SUMIFS(РПЗ!$L:$L,РПЗ!$Q:$Q,Справочно!$C27,РПЗ!$AE:$AE,4)</f>
        <v>0</v>
      </c>
      <c r="Q31" s="153">
        <f>COUNTIFS(РПЗ!$Q:$Q,Справочно!$C27,РПЗ!$AE:$AE,5)</f>
        <v>0</v>
      </c>
      <c r="R31" s="336">
        <f>SUMIFS(РПЗ!$L:$L,РПЗ!$Q:$Q,Справочно!$C27,РПЗ!$AE:$AE,5)</f>
        <v>0</v>
      </c>
      <c r="S31" s="153">
        <f>COUNTIFS(РПЗ!$Q:$Q,Справочно!$C27,РПЗ!$AE:$AE,6)</f>
        <v>0</v>
      </c>
      <c r="T31" s="336">
        <f>SUMIFS(РПЗ!$L:$L,РПЗ!$Q:$Q,Справочно!$C27,РПЗ!$AE:$AE,6)</f>
        <v>0</v>
      </c>
      <c r="U31" s="197">
        <f t="shared" si="4"/>
        <v>0</v>
      </c>
      <c r="V31" s="337">
        <f t="shared" si="5"/>
        <v>0</v>
      </c>
      <c r="W31" s="147">
        <f>COUNTIFS(РПЗ!$Q:$Q,Справочно!$C27,РПЗ!$AE:$AE,7)</f>
        <v>0</v>
      </c>
      <c r="X31" s="338">
        <f>SUMIFS(РПЗ!$L:$L,РПЗ!$Q:$Q,Справочно!$C27,РПЗ!$AE:$AE,7)</f>
        <v>0</v>
      </c>
      <c r="Y31" s="147">
        <f>COUNTIFS(РПЗ!$Q:$Q,Справочно!$C27,РПЗ!$AE:$AE,8)</f>
        <v>0</v>
      </c>
      <c r="Z31" s="338">
        <f>SUMIFS(РПЗ!$L:$L,РПЗ!$Q:$Q,Справочно!$C27,РПЗ!$AE:$AE,8)</f>
        <v>0</v>
      </c>
      <c r="AA31" s="147">
        <f>COUNTIFS(РПЗ!$Q:$Q,Справочно!$C27,РПЗ!$AE:$AE,9)</f>
        <v>0</v>
      </c>
      <c r="AB31" s="338">
        <f>SUMIFS(РПЗ!$L:$L,РПЗ!$Q:$Q,Справочно!$C27,РПЗ!$AE:$AE,9)</f>
        <v>0</v>
      </c>
      <c r="AC31" s="198">
        <f t="shared" si="6"/>
        <v>0</v>
      </c>
      <c r="AD31" s="339">
        <f t="shared" si="7"/>
        <v>0</v>
      </c>
      <c r="AE31" s="155">
        <f>COUNTIFS(РПЗ!$Q:$Q,Справочно!$C27,РПЗ!$AE:$AE,10)</f>
        <v>0</v>
      </c>
      <c r="AF31" s="340">
        <f>SUMIFS(РПЗ!$L:$L,РПЗ!$Q:$Q,Справочно!$C27,РПЗ!$AE:$AE,10)</f>
        <v>0</v>
      </c>
      <c r="AG31" s="155">
        <f>COUNTIFS(РПЗ!$Q:$Q,Справочно!$C27,РПЗ!$AE:$AE,11)</f>
        <v>0</v>
      </c>
      <c r="AH31" s="340">
        <f>SUMIFS(РПЗ!$L:$L,РПЗ!$Q:$Q,Справочно!$C27,РПЗ!$AE:$AE,11)</f>
        <v>0</v>
      </c>
      <c r="AI31" s="155">
        <f>COUNTIFS(РПЗ!$Q:$Q,Справочно!$C27,РПЗ!$AE:$AE,12)</f>
        <v>0</v>
      </c>
      <c r="AJ31" s="340">
        <f>SUMIFS(РПЗ!$L:$L,РПЗ!$Q:$Q,Справочно!$C27,РПЗ!$AE:$AE,12)</f>
        <v>0</v>
      </c>
      <c r="AK31" s="202">
        <f t="shared" si="8"/>
        <v>0</v>
      </c>
      <c r="AL31" s="341">
        <f t="shared" si="9"/>
        <v>0</v>
      </c>
    </row>
    <row r="32" spans="1:38" ht="13.5" thickBot="1" x14ac:dyDescent="0.25">
      <c r="A32" s="87" t="s">
        <v>169</v>
      </c>
      <c r="B32" s="302">
        <f>COUNTIF(РПЗ!$Q:$Q,Справочно!$C28)</f>
        <v>0</v>
      </c>
      <c r="C32" s="351" t="e">
        <f t="shared" si="0"/>
        <v>#DIV/0!</v>
      </c>
      <c r="D32" s="354">
        <f>SUMIF(РПЗ!$Q:$Q,Справочно!$C28,РПЗ!$L:$L)</f>
        <v>0</v>
      </c>
      <c r="E32" s="353" t="e">
        <f t="shared" si="1"/>
        <v>#DIV/0!</v>
      </c>
      <c r="G32" s="150">
        <f>COUNTIFS(РПЗ!$Q:$Q,Справочно!$C28,РПЗ!$AE:$AE,1)</f>
        <v>0</v>
      </c>
      <c r="H32" s="342">
        <f>SUMIFS(РПЗ!$L:$L,РПЗ!$Q:$Q,Справочно!$C28,РПЗ!$AE:$AE,1)</f>
        <v>0</v>
      </c>
      <c r="I32" s="150">
        <f>COUNTIFS(РПЗ!$Q:$Q,Справочно!$C28,РПЗ!$AE:$AE,2)</f>
        <v>0</v>
      </c>
      <c r="J32" s="342">
        <f>SUMIFS(РПЗ!$L:$L,РПЗ!$Q:$Q,Справочно!$C28,РПЗ!$AE:$AE,2)</f>
        <v>0</v>
      </c>
      <c r="K32" s="150">
        <f>COUNTIFS(РПЗ!$Q:$Q,Справочно!$C28,РПЗ!$AE:$AE,3)</f>
        <v>0</v>
      </c>
      <c r="L32" s="342">
        <f>SUMIFS(РПЗ!$L:$L,РПЗ!$Q:$Q,Справочно!$C28,РПЗ!$AE:$AE,3)</f>
        <v>0</v>
      </c>
      <c r="M32" s="193">
        <f t="shared" si="2"/>
        <v>0</v>
      </c>
      <c r="N32" s="335">
        <f t="shared" si="3"/>
        <v>0</v>
      </c>
      <c r="O32" s="153">
        <f>COUNTIFS(РПЗ!$Q:$Q,Справочно!$C28,РПЗ!$AE:$AE,4)</f>
        <v>0</v>
      </c>
      <c r="P32" s="336">
        <f>SUMIFS(РПЗ!$L:$L,РПЗ!$Q:$Q,Справочно!$C28,РПЗ!$AE:$AE,4)</f>
        <v>0</v>
      </c>
      <c r="Q32" s="153">
        <f>COUNTIFS(РПЗ!$Q:$Q,Справочно!$C28,РПЗ!$AE:$AE,5)</f>
        <v>0</v>
      </c>
      <c r="R32" s="336">
        <f>SUMIFS(РПЗ!$L:$L,РПЗ!$Q:$Q,Справочно!$C28,РПЗ!$AE:$AE,5)</f>
        <v>0</v>
      </c>
      <c r="S32" s="153">
        <f>COUNTIFS(РПЗ!$Q:$Q,Справочно!$C28,РПЗ!$AE:$AE,6)</f>
        <v>0</v>
      </c>
      <c r="T32" s="336">
        <f>SUMIFS(РПЗ!$L:$L,РПЗ!$Q:$Q,Справочно!$C28,РПЗ!$AE:$AE,6)</f>
        <v>0</v>
      </c>
      <c r="U32" s="197">
        <f t="shared" si="4"/>
        <v>0</v>
      </c>
      <c r="V32" s="337">
        <f t="shared" si="5"/>
        <v>0</v>
      </c>
      <c r="W32" s="147">
        <f>COUNTIFS(РПЗ!$Q:$Q,Справочно!$C28,РПЗ!$AE:$AE,7)</f>
        <v>0</v>
      </c>
      <c r="X32" s="338">
        <f>SUMIFS(РПЗ!$L:$L,РПЗ!$Q:$Q,Справочно!$C28,РПЗ!$AE:$AE,7)</f>
        <v>0</v>
      </c>
      <c r="Y32" s="147">
        <f>COUNTIFS(РПЗ!$Q:$Q,Справочно!$C28,РПЗ!$AE:$AE,8)</f>
        <v>0</v>
      </c>
      <c r="Z32" s="338">
        <f>SUMIFS(РПЗ!$L:$L,РПЗ!$Q:$Q,Справочно!$C28,РПЗ!$AE:$AE,8)</f>
        <v>0</v>
      </c>
      <c r="AA32" s="147">
        <f>COUNTIFS(РПЗ!$Q:$Q,Справочно!$C28,РПЗ!$AE:$AE,9)</f>
        <v>0</v>
      </c>
      <c r="AB32" s="338">
        <f>SUMIFS(РПЗ!$L:$L,РПЗ!$Q:$Q,Справочно!$C28,РПЗ!$AE:$AE,9)</f>
        <v>0</v>
      </c>
      <c r="AC32" s="198">
        <f t="shared" si="6"/>
        <v>0</v>
      </c>
      <c r="AD32" s="339">
        <f t="shared" si="7"/>
        <v>0</v>
      </c>
      <c r="AE32" s="155">
        <f>COUNTIFS(РПЗ!$Q:$Q,Справочно!$C28,РПЗ!$AE:$AE,10)</f>
        <v>0</v>
      </c>
      <c r="AF32" s="340">
        <f>SUMIFS(РПЗ!$L:$L,РПЗ!$Q:$Q,Справочно!$C28,РПЗ!$AE:$AE,10)</f>
        <v>0</v>
      </c>
      <c r="AG32" s="155">
        <f>COUNTIFS(РПЗ!$Q:$Q,Справочно!$C28,РПЗ!$AE:$AE,11)</f>
        <v>0</v>
      </c>
      <c r="AH32" s="340">
        <f>SUMIFS(РПЗ!$L:$L,РПЗ!$Q:$Q,Справочно!$C28,РПЗ!$AE:$AE,11)</f>
        <v>0</v>
      </c>
      <c r="AI32" s="155">
        <f>COUNTIFS(РПЗ!$Q:$Q,Справочно!$C28,РПЗ!$AE:$AE,12)</f>
        <v>0</v>
      </c>
      <c r="AJ32" s="340">
        <f>SUMIFS(РПЗ!$L:$L,РПЗ!$Q:$Q,Справочно!$C28,РПЗ!$AE:$AE,12)</f>
        <v>0</v>
      </c>
      <c r="AK32" s="202">
        <f t="shared" si="8"/>
        <v>0</v>
      </c>
      <c r="AL32" s="341">
        <f t="shared" si="9"/>
        <v>0</v>
      </c>
    </row>
    <row r="33" spans="1:38" ht="13.5" thickBot="1" x14ac:dyDescent="0.25">
      <c r="A33" s="87" t="s">
        <v>256</v>
      </c>
      <c r="B33" s="302">
        <f>COUNTIF(РПЗ!$Q:$Q,Справочно!$C29)</f>
        <v>0</v>
      </c>
      <c r="C33" s="351" t="e">
        <f t="shared" si="0"/>
        <v>#DIV/0!</v>
      </c>
      <c r="D33" s="354">
        <f>SUMIF(РПЗ!$Q:$Q,Справочно!$C29,РПЗ!$L:$L)</f>
        <v>0</v>
      </c>
      <c r="E33" s="353" t="e">
        <f t="shared" si="1"/>
        <v>#DIV/0!</v>
      </c>
      <c r="G33" s="150">
        <f>COUNTIFS(РПЗ!$Q:$Q,Справочно!$C29,РПЗ!$AE:$AE,1)</f>
        <v>0</v>
      </c>
      <c r="H33" s="342">
        <f>SUMIFS(РПЗ!$L:$L,РПЗ!$Q:$Q,Справочно!$C29,РПЗ!$AE:$AE,1)</f>
        <v>0</v>
      </c>
      <c r="I33" s="150">
        <f>COUNTIFS(РПЗ!$Q:$Q,Справочно!$C29,РПЗ!$AE:$AE,2)</f>
        <v>0</v>
      </c>
      <c r="J33" s="342">
        <f>SUMIFS(РПЗ!$L:$L,РПЗ!$Q:$Q,Справочно!$C29,РПЗ!$AE:$AE,2)</f>
        <v>0</v>
      </c>
      <c r="K33" s="150">
        <f>COUNTIFS(РПЗ!$Q:$Q,Справочно!$C29,РПЗ!$AE:$AE,3)</f>
        <v>0</v>
      </c>
      <c r="L33" s="342">
        <f>SUMIFS(РПЗ!$L:$L,РПЗ!$Q:$Q,Справочно!$C29,РПЗ!$AE:$AE,3)</f>
        <v>0</v>
      </c>
      <c r="M33" s="193">
        <f t="shared" si="2"/>
        <v>0</v>
      </c>
      <c r="N33" s="335">
        <f t="shared" si="3"/>
        <v>0</v>
      </c>
      <c r="O33" s="153">
        <f>COUNTIFS(РПЗ!$Q:$Q,Справочно!$C29,РПЗ!$AE:$AE,4)</f>
        <v>0</v>
      </c>
      <c r="P33" s="336">
        <f>SUMIFS(РПЗ!$L:$L,РПЗ!$Q:$Q,Справочно!$C29,РПЗ!$AE:$AE,4)</f>
        <v>0</v>
      </c>
      <c r="Q33" s="153">
        <f>COUNTIFS(РПЗ!$Q:$Q,Справочно!$C29,РПЗ!$AE:$AE,5)</f>
        <v>0</v>
      </c>
      <c r="R33" s="336">
        <f>SUMIFS(РПЗ!$L:$L,РПЗ!$Q:$Q,Справочно!$C29,РПЗ!$AE:$AE,5)</f>
        <v>0</v>
      </c>
      <c r="S33" s="153">
        <f>COUNTIFS(РПЗ!$Q:$Q,Справочно!$C29,РПЗ!$AE:$AE,6)</f>
        <v>0</v>
      </c>
      <c r="T33" s="336">
        <f>SUMIFS(РПЗ!$L:$L,РПЗ!$Q:$Q,Справочно!$C29,РПЗ!$AE:$AE,6)</f>
        <v>0</v>
      </c>
      <c r="U33" s="197">
        <f t="shared" si="4"/>
        <v>0</v>
      </c>
      <c r="V33" s="337">
        <f t="shared" si="5"/>
        <v>0</v>
      </c>
      <c r="W33" s="147">
        <f>COUNTIFS(РПЗ!$Q:$Q,Справочно!$C29,РПЗ!$AE:$AE,7)</f>
        <v>0</v>
      </c>
      <c r="X33" s="338">
        <f>SUMIFS(РПЗ!$L:$L,РПЗ!$Q:$Q,Справочно!$C29,РПЗ!$AE:$AE,7)</f>
        <v>0</v>
      </c>
      <c r="Y33" s="147">
        <f>COUNTIFS(РПЗ!$Q:$Q,Справочно!$C29,РПЗ!$AE:$AE,8)</f>
        <v>0</v>
      </c>
      <c r="Z33" s="338">
        <f>SUMIFS(РПЗ!$L:$L,РПЗ!$Q:$Q,Справочно!$C29,РПЗ!$AE:$AE,8)</f>
        <v>0</v>
      </c>
      <c r="AA33" s="147">
        <f>COUNTIFS(РПЗ!$Q:$Q,Справочно!$C29,РПЗ!$AE:$AE,9)</f>
        <v>0</v>
      </c>
      <c r="AB33" s="338">
        <f>SUMIFS(РПЗ!$L:$L,РПЗ!$Q:$Q,Справочно!$C29,РПЗ!$AE:$AE,9)</f>
        <v>0</v>
      </c>
      <c r="AC33" s="198">
        <f t="shared" si="6"/>
        <v>0</v>
      </c>
      <c r="AD33" s="339">
        <f t="shared" si="7"/>
        <v>0</v>
      </c>
      <c r="AE33" s="155">
        <f>COUNTIFS(РПЗ!$Q:$Q,Справочно!$C29,РПЗ!$AE:$AE,10)</f>
        <v>0</v>
      </c>
      <c r="AF33" s="340">
        <f>SUMIFS(РПЗ!$L:$L,РПЗ!$Q:$Q,Справочно!$C29,РПЗ!$AE:$AE,10)</f>
        <v>0</v>
      </c>
      <c r="AG33" s="155">
        <f>COUNTIFS(РПЗ!$Q:$Q,Справочно!$C29,РПЗ!$AE:$AE,11)</f>
        <v>0</v>
      </c>
      <c r="AH33" s="340">
        <f>SUMIFS(РПЗ!$L:$L,РПЗ!$Q:$Q,Справочно!$C29,РПЗ!$AE:$AE,11)</f>
        <v>0</v>
      </c>
      <c r="AI33" s="155">
        <f>COUNTIFS(РПЗ!$Q:$Q,Справочно!$C29,РПЗ!$AE:$AE,12)</f>
        <v>0</v>
      </c>
      <c r="AJ33" s="340">
        <f>SUMIFS(РПЗ!$L:$L,РПЗ!$Q:$Q,Справочно!$C29,РПЗ!$AE:$AE,12)</f>
        <v>0</v>
      </c>
      <c r="AK33" s="202">
        <f t="shared" si="8"/>
        <v>0</v>
      </c>
      <c r="AL33" s="341">
        <f t="shared" si="9"/>
        <v>0</v>
      </c>
    </row>
    <row r="34" spans="1:38" ht="13.5" thickBot="1" x14ac:dyDescent="0.25">
      <c r="A34" s="87" t="s">
        <v>170</v>
      </c>
      <c r="B34" s="302">
        <f>COUNTIF(РПЗ!$Q:$Q,Справочно!$C30)</f>
        <v>0</v>
      </c>
      <c r="C34" s="351" t="e">
        <f t="shared" si="0"/>
        <v>#DIV/0!</v>
      </c>
      <c r="D34" s="354">
        <f>SUMIF(РПЗ!$Q:$Q,Справочно!$C30,РПЗ!$L:$L)</f>
        <v>0</v>
      </c>
      <c r="E34" s="353" t="e">
        <f t="shared" si="1"/>
        <v>#DIV/0!</v>
      </c>
      <c r="G34" s="150">
        <f>COUNTIFS(РПЗ!$Q:$Q,Справочно!$C30,РПЗ!$AE:$AE,1)</f>
        <v>0</v>
      </c>
      <c r="H34" s="342">
        <f>SUMIFS(РПЗ!$L:$L,РПЗ!$Q:$Q,Справочно!$C30,РПЗ!$AE:$AE,1)</f>
        <v>0</v>
      </c>
      <c r="I34" s="150">
        <f>COUNTIFS(РПЗ!$Q:$Q,Справочно!$C30,РПЗ!$AE:$AE,2)</f>
        <v>0</v>
      </c>
      <c r="J34" s="342">
        <f>SUMIFS(РПЗ!$L:$L,РПЗ!$Q:$Q,Справочно!$C30,РПЗ!$AE:$AE,2)</f>
        <v>0</v>
      </c>
      <c r="K34" s="150">
        <f>COUNTIFS(РПЗ!$Q:$Q,Справочно!$C30,РПЗ!$AE:$AE,3)</f>
        <v>0</v>
      </c>
      <c r="L34" s="342">
        <f>SUMIFS(РПЗ!$L:$L,РПЗ!$Q:$Q,Справочно!$C30,РПЗ!$AE:$AE,3)</f>
        <v>0</v>
      </c>
      <c r="M34" s="193">
        <f t="shared" si="2"/>
        <v>0</v>
      </c>
      <c r="N34" s="335">
        <f t="shared" si="3"/>
        <v>0</v>
      </c>
      <c r="O34" s="153">
        <f>COUNTIFS(РПЗ!$Q:$Q,Справочно!$C30,РПЗ!$AE:$AE,4)</f>
        <v>0</v>
      </c>
      <c r="P34" s="336">
        <f>SUMIFS(РПЗ!$L:$L,РПЗ!$Q:$Q,Справочно!$C30,РПЗ!$AE:$AE,4)</f>
        <v>0</v>
      </c>
      <c r="Q34" s="153">
        <f>COUNTIFS(РПЗ!$Q:$Q,Справочно!$C30,РПЗ!$AE:$AE,5)</f>
        <v>0</v>
      </c>
      <c r="R34" s="336">
        <f>SUMIFS(РПЗ!$L:$L,РПЗ!$Q:$Q,Справочно!$C30,РПЗ!$AE:$AE,5)</f>
        <v>0</v>
      </c>
      <c r="S34" s="153">
        <f>COUNTIFS(РПЗ!$Q:$Q,Справочно!$C30,РПЗ!$AE:$AE,6)</f>
        <v>0</v>
      </c>
      <c r="T34" s="336">
        <f>SUMIFS(РПЗ!$L:$L,РПЗ!$Q:$Q,Справочно!$C30,РПЗ!$AE:$AE,6)</f>
        <v>0</v>
      </c>
      <c r="U34" s="197">
        <f t="shared" si="4"/>
        <v>0</v>
      </c>
      <c r="V34" s="337">
        <f t="shared" si="5"/>
        <v>0</v>
      </c>
      <c r="W34" s="147">
        <f>COUNTIFS(РПЗ!$Q:$Q,Справочно!$C30,РПЗ!$AE:$AE,7)</f>
        <v>0</v>
      </c>
      <c r="X34" s="338">
        <f>SUMIFS(РПЗ!$L:$L,РПЗ!$Q:$Q,Справочно!$C30,РПЗ!$AE:$AE,7)</f>
        <v>0</v>
      </c>
      <c r="Y34" s="147">
        <f>COUNTIFS(РПЗ!$Q:$Q,Справочно!$C30,РПЗ!$AE:$AE,8)</f>
        <v>0</v>
      </c>
      <c r="Z34" s="338">
        <f>SUMIFS(РПЗ!$L:$L,РПЗ!$Q:$Q,Справочно!$C30,РПЗ!$AE:$AE,8)</f>
        <v>0</v>
      </c>
      <c r="AA34" s="147">
        <f>COUNTIFS(РПЗ!$Q:$Q,Справочно!$C30,РПЗ!$AE:$AE,9)</f>
        <v>0</v>
      </c>
      <c r="AB34" s="338">
        <f>SUMIFS(РПЗ!$L:$L,РПЗ!$Q:$Q,Справочно!$C30,РПЗ!$AE:$AE,9)</f>
        <v>0</v>
      </c>
      <c r="AC34" s="198">
        <f t="shared" si="6"/>
        <v>0</v>
      </c>
      <c r="AD34" s="339">
        <f t="shared" si="7"/>
        <v>0</v>
      </c>
      <c r="AE34" s="155">
        <f>COUNTIFS(РПЗ!$Q:$Q,Справочно!$C30,РПЗ!$AE:$AE,10)</f>
        <v>0</v>
      </c>
      <c r="AF34" s="340">
        <f>SUMIFS(РПЗ!$L:$L,РПЗ!$Q:$Q,Справочно!$C30,РПЗ!$AE:$AE,10)</f>
        <v>0</v>
      </c>
      <c r="AG34" s="155">
        <f>COUNTIFS(РПЗ!$Q:$Q,Справочно!$C30,РПЗ!$AE:$AE,11)</f>
        <v>0</v>
      </c>
      <c r="AH34" s="340">
        <f>SUMIFS(РПЗ!$L:$L,РПЗ!$Q:$Q,Справочно!$C30,РПЗ!$AE:$AE,11)</f>
        <v>0</v>
      </c>
      <c r="AI34" s="155">
        <f>COUNTIFS(РПЗ!$Q:$Q,Справочно!$C30,РПЗ!$AE:$AE,12)</f>
        <v>0</v>
      </c>
      <c r="AJ34" s="340">
        <f>SUMIFS(РПЗ!$L:$L,РПЗ!$Q:$Q,Справочно!$C30,РПЗ!$AE:$AE,12)</f>
        <v>0</v>
      </c>
      <c r="AK34" s="202">
        <f t="shared" si="8"/>
        <v>0</v>
      </c>
      <c r="AL34" s="341">
        <f t="shared" si="9"/>
        <v>0</v>
      </c>
    </row>
    <row r="35" spans="1:38" ht="13.5" thickBot="1" x14ac:dyDescent="0.25">
      <c r="A35" s="87" t="s">
        <v>257</v>
      </c>
      <c r="B35" s="73">
        <f>COUNTIF(РПЗ!$Q:$Q,Справочно!$C31)</f>
        <v>0</v>
      </c>
      <c r="C35" s="351" t="e">
        <f t="shared" si="0"/>
        <v>#DIV/0!</v>
      </c>
      <c r="D35" s="355">
        <f>SUMIF(РПЗ!$Q:$Q,Справочно!$C31,РПЗ!$L:$L)</f>
        <v>0</v>
      </c>
      <c r="E35" s="353" t="e">
        <f t="shared" si="1"/>
        <v>#DIV/0!</v>
      </c>
      <c r="G35" s="152">
        <f>COUNTIFS(РПЗ!$Q:$Q,Справочно!$C31,РПЗ!$AE:$AE,1)</f>
        <v>0</v>
      </c>
      <c r="H35" s="343">
        <f>SUMIFS(РПЗ!$L:$L,РПЗ!$Q:$Q,Справочно!$C31,РПЗ!$AE:$AE,1)</f>
        <v>0</v>
      </c>
      <c r="I35" s="152">
        <f>COUNTIFS(РПЗ!$Q:$Q,Справочно!$C31,РПЗ!$AE:$AE,2)</f>
        <v>0</v>
      </c>
      <c r="J35" s="343">
        <f>SUMIFS(РПЗ!$L:$L,РПЗ!$Q:$Q,Справочно!$C31,РПЗ!$AE:$AE,2)</f>
        <v>0</v>
      </c>
      <c r="K35" s="152">
        <f>COUNTIFS(РПЗ!$Q:$Q,Справочно!$C31,РПЗ!$AE:$AE,3)</f>
        <v>0</v>
      </c>
      <c r="L35" s="343">
        <f>SUMIFS(РПЗ!$L:$L,РПЗ!$Q:$Q,Справочно!$C31,РПЗ!$AE:$AE,3)</f>
        <v>0</v>
      </c>
      <c r="M35" s="193">
        <f t="shared" si="2"/>
        <v>0</v>
      </c>
      <c r="N35" s="335">
        <f t="shared" si="3"/>
        <v>0</v>
      </c>
      <c r="O35" s="153">
        <f>COUNTIFS(РПЗ!$Q:$Q,Справочно!$C31,РПЗ!$AE:$AE,4)</f>
        <v>0</v>
      </c>
      <c r="P35" s="336">
        <f>SUMIFS(РПЗ!$L:$L,РПЗ!$Q:$Q,Справочно!$C31,РПЗ!$AE:$AE,4)</f>
        <v>0</v>
      </c>
      <c r="Q35" s="153">
        <f>COUNTIFS(РПЗ!$Q:$Q,Справочно!$C31,РПЗ!$AE:$AE,5)</f>
        <v>0</v>
      </c>
      <c r="R35" s="336">
        <f>SUMIFS(РПЗ!$L:$L,РПЗ!$Q:$Q,Справочно!$C31,РПЗ!$AE:$AE,5)</f>
        <v>0</v>
      </c>
      <c r="S35" s="153">
        <f>COUNTIFS(РПЗ!$Q:$Q,Справочно!$C31,РПЗ!$AE:$AE,6)</f>
        <v>0</v>
      </c>
      <c r="T35" s="336">
        <f>SUMIFS(РПЗ!$L:$L,РПЗ!$Q:$Q,Справочно!$C31,РПЗ!$AE:$AE,6)</f>
        <v>0</v>
      </c>
      <c r="U35" s="197">
        <f t="shared" si="4"/>
        <v>0</v>
      </c>
      <c r="V35" s="337">
        <f t="shared" si="5"/>
        <v>0</v>
      </c>
      <c r="W35" s="147">
        <f>COUNTIFS(РПЗ!$Q:$Q,Справочно!$C31,РПЗ!$AE:$AE,7)</f>
        <v>0</v>
      </c>
      <c r="X35" s="338">
        <f>SUMIFS(РПЗ!$L:$L,РПЗ!$Q:$Q,Справочно!$C31,РПЗ!$AE:$AE,7)</f>
        <v>0</v>
      </c>
      <c r="Y35" s="147">
        <f>COUNTIFS(РПЗ!$Q:$Q,Справочно!$C31,РПЗ!$AE:$AE,8)</f>
        <v>0</v>
      </c>
      <c r="Z35" s="338">
        <f>SUMIFS(РПЗ!$L:$L,РПЗ!$Q:$Q,Справочно!$C31,РПЗ!$AE:$AE,8)</f>
        <v>0</v>
      </c>
      <c r="AA35" s="147">
        <f>COUNTIFS(РПЗ!$Q:$Q,Справочно!$C31,РПЗ!$AE:$AE,9)</f>
        <v>0</v>
      </c>
      <c r="AB35" s="338">
        <f>SUMIFS(РПЗ!$L:$L,РПЗ!$Q:$Q,Справочно!$C31,РПЗ!$AE:$AE,7)</f>
        <v>0</v>
      </c>
      <c r="AC35" s="198">
        <f t="shared" si="6"/>
        <v>0</v>
      </c>
      <c r="AD35" s="339">
        <f t="shared" si="7"/>
        <v>0</v>
      </c>
      <c r="AE35" s="155">
        <f>COUNTIFS(РПЗ!$Q:$Q,Справочно!$C31,РПЗ!$AE:$AE,10)</f>
        <v>0</v>
      </c>
      <c r="AF35" s="340">
        <f>SUMIFS(РПЗ!$L:$L,РПЗ!$Q:$Q,Справочно!$C31,РПЗ!$AE:$AE,10)</f>
        <v>0</v>
      </c>
      <c r="AG35" s="155">
        <f>COUNTIFS(РПЗ!$Q:$Q,Справочно!$C31,РПЗ!$AE:$AE,11)</f>
        <v>0</v>
      </c>
      <c r="AH35" s="340">
        <f>SUMIFS(РПЗ!$L:$L,РПЗ!$Q:$Q,Справочно!$C31,РПЗ!$AE:$AE,11)</f>
        <v>0</v>
      </c>
      <c r="AI35" s="155">
        <f>COUNTIFS(РПЗ!$Q:$Q,Справочно!$C31,РПЗ!$AE:$AE,12)</f>
        <v>0</v>
      </c>
      <c r="AJ35" s="340">
        <f>SUMIFS(РПЗ!$L:$L,РПЗ!$Q:$Q,Справочно!$C31,РПЗ!$AE:$AE,12)</f>
        <v>0</v>
      </c>
      <c r="AK35" s="202">
        <f t="shared" si="8"/>
        <v>0</v>
      </c>
      <c r="AL35" s="341">
        <f t="shared" si="9"/>
        <v>0</v>
      </c>
    </row>
    <row r="36" spans="1:38" ht="13.5" thickBot="1" x14ac:dyDescent="0.25">
      <c r="A36" s="68" t="s">
        <v>239</v>
      </c>
      <c r="B36" s="97">
        <f>SUM(B16:B35)</f>
        <v>0</v>
      </c>
      <c r="C36" s="401" t="e">
        <f>SUM(C16:C35)</f>
        <v>#DIV/0!</v>
      </c>
      <c r="D36" s="402">
        <f>SUM(D16:D35)</f>
        <v>0</v>
      </c>
      <c r="E36" s="401" t="e">
        <f>SUM(E16:E35)</f>
        <v>#DIV/0!</v>
      </c>
      <c r="G36" s="69">
        <f t="shared" ref="G36:N36" si="10">SUM(G16:G35)</f>
        <v>0</v>
      </c>
      <c r="H36" s="344">
        <f t="shared" si="10"/>
        <v>0</v>
      </c>
      <c r="I36" s="139">
        <f t="shared" si="10"/>
        <v>0</v>
      </c>
      <c r="J36" s="344">
        <f t="shared" si="10"/>
        <v>0</v>
      </c>
      <c r="K36" s="139">
        <f t="shared" si="10"/>
        <v>0</v>
      </c>
      <c r="L36" s="345">
        <f t="shared" si="10"/>
        <v>0</v>
      </c>
      <c r="M36" s="274">
        <f t="shared" si="10"/>
        <v>0</v>
      </c>
      <c r="N36" s="407">
        <f t="shared" si="10"/>
        <v>0</v>
      </c>
      <c r="O36" s="69">
        <f>SUM(O16:O35)</f>
        <v>0</v>
      </c>
      <c r="P36" s="344">
        <f t="shared" ref="P36:AL36" si="11">SUM(P16:P35)</f>
        <v>0</v>
      </c>
      <c r="Q36" s="139">
        <f t="shared" si="11"/>
        <v>0</v>
      </c>
      <c r="R36" s="344">
        <f t="shared" si="11"/>
        <v>0</v>
      </c>
      <c r="S36" s="139">
        <f t="shared" si="11"/>
        <v>0</v>
      </c>
      <c r="T36" s="345">
        <f t="shared" si="11"/>
        <v>0</v>
      </c>
      <c r="U36" s="274">
        <f t="shared" si="11"/>
        <v>0</v>
      </c>
      <c r="V36" s="407">
        <f t="shared" si="11"/>
        <v>0</v>
      </c>
      <c r="W36" s="69">
        <f t="shared" si="11"/>
        <v>0</v>
      </c>
      <c r="X36" s="344">
        <f t="shared" si="11"/>
        <v>0</v>
      </c>
      <c r="Y36" s="139">
        <f t="shared" si="11"/>
        <v>0</v>
      </c>
      <c r="Z36" s="344">
        <f t="shared" si="11"/>
        <v>0</v>
      </c>
      <c r="AA36" s="139">
        <f t="shared" si="11"/>
        <v>0</v>
      </c>
      <c r="AB36" s="345">
        <f t="shared" si="11"/>
        <v>0</v>
      </c>
      <c r="AC36" s="274">
        <f t="shared" si="11"/>
        <v>0</v>
      </c>
      <c r="AD36" s="407">
        <f t="shared" si="11"/>
        <v>0</v>
      </c>
      <c r="AE36" s="69">
        <f>SUM(AE16:AE35)</f>
        <v>0</v>
      </c>
      <c r="AF36" s="344">
        <f t="shared" si="11"/>
        <v>0</v>
      </c>
      <c r="AG36" s="139">
        <f t="shared" si="11"/>
        <v>0</v>
      </c>
      <c r="AH36" s="344">
        <f t="shared" si="11"/>
        <v>0</v>
      </c>
      <c r="AI36" s="139">
        <f>SUM(AI16:AI35)</f>
        <v>0</v>
      </c>
      <c r="AJ36" s="345">
        <f t="shared" si="11"/>
        <v>0</v>
      </c>
      <c r="AK36" s="274">
        <f t="shared" si="11"/>
        <v>0</v>
      </c>
      <c r="AL36" s="407">
        <f t="shared" si="11"/>
        <v>0</v>
      </c>
    </row>
    <row r="37" spans="1:38" ht="13.5" thickBot="1" x14ac:dyDescent="0.25">
      <c r="A37" s="84"/>
      <c r="B37" s="85"/>
      <c r="C37" s="356"/>
      <c r="D37" s="357"/>
      <c r="E37" s="356"/>
      <c r="G37" s="347"/>
      <c r="H37" s="348"/>
      <c r="I37" s="348"/>
      <c r="J37" s="348"/>
      <c r="K37" s="348"/>
      <c r="L37" s="348"/>
      <c r="M37" s="348"/>
      <c r="N37" s="349"/>
      <c r="O37" s="347"/>
      <c r="P37" s="348"/>
      <c r="Q37" s="348"/>
      <c r="R37" s="348"/>
      <c r="S37" s="348"/>
      <c r="T37" s="348"/>
      <c r="U37" s="348"/>
      <c r="V37" s="349"/>
      <c r="W37" s="347"/>
      <c r="X37" s="348"/>
      <c r="Y37" s="348"/>
      <c r="Z37" s="348"/>
      <c r="AA37" s="348"/>
      <c r="AB37" s="348"/>
      <c r="AC37" s="348"/>
      <c r="AD37" s="349"/>
      <c r="AE37" s="347"/>
      <c r="AF37" s="348"/>
      <c r="AG37" s="348"/>
      <c r="AH37" s="348"/>
      <c r="AI37" s="348"/>
      <c r="AJ37" s="348"/>
      <c r="AK37" s="348"/>
      <c r="AL37" s="349"/>
    </row>
    <row r="38" spans="1:38" ht="13.5" thickBot="1" x14ac:dyDescent="0.25">
      <c r="A38" s="75" t="s">
        <v>109</v>
      </c>
      <c r="B38" s="98">
        <f>COUNTIF(РПЗ!$Q:$Q,Справочно!$C33)</f>
        <v>0</v>
      </c>
      <c r="C38" s="403" t="e">
        <f>B38/$B$13</f>
        <v>#DIV/0!</v>
      </c>
      <c r="D38" s="402">
        <f>SUMIF(РПЗ!$Q:$Q,Справочно!$C33,РПЗ!$L:$L)</f>
        <v>0</v>
      </c>
      <c r="E38" s="403" t="e">
        <f>D38/$D$40</f>
        <v>#DIV/0!</v>
      </c>
      <c r="G38" s="69">
        <f>COUNTIFS(РПЗ!$Q:$Q,Справочно!$C33,РПЗ!$AE:$AE,1)</f>
        <v>0</v>
      </c>
      <c r="H38" s="344">
        <f>SUMIFS(РПЗ!$L:$L,РПЗ!$Q:$Q,Справочно!$C33,РПЗ!$AE:$AE,1)</f>
        <v>0</v>
      </c>
      <c r="I38" s="139">
        <f>COUNTIFS(РПЗ!$Q:$Q,Справочно!$C33,РПЗ!$AE:$AE,2)</f>
        <v>0</v>
      </c>
      <c r="J38" s="344">
        <f>SUMIFS(РПЗ!$L:$L,РПЗ!$Q:$Q,Справочно!$C33,РПЗ!$AE:$AE,2)</f>
        <v>0</v>
      </c>
      <c r="K38" s="139">
        <f>COUNTIFS(РПЗ!$Q:$Q,Справочно!$C33,РПЗ!$AE:$AE,3)</f>
        <v>0</v>
      </c>
      <c r="L38" s="344">
        <f>SUMIFS(РПЗ!$L:$L,РПЗ!$Q:$Q,Справочно!$C33,РПЗ!$AE:$AE,3)</f>
        <v>0</v>
      </c>
      <c r="M38" s="408">
        <f>SUM(G38,I38,K38)</f>
        <v>0</v>
      </c>
      <c r="N38" s="407">
        <f>SUM(H38,J38,L38)</f>
        <v>0</v>
      </c>
      <c r="O38" s="139">
        <f>COUNTIFS(РПЗ!$Q:$Q,Справочно!$C33,РПЗ!$AE:$AE,4)</f>
        <v>0</v>
      </c>
      <c r="P38" s="344">
        <f>SUMIFS(РПЗ!$L:$L,РПЗ!$Q:$Q,Справочно!$C33,РПЗ!$AE:$AE,4)</f>
        <v>0</v>
      </c>
      <c r="Q38" s="139">
        <f>COUNTIFS(РПЗ!$Q:$Q,Справочно!$C33,РПЗ!$AE:$AE,5)</f>
        <v>0</v>
      </c>
      <c r="R38" s="344">
        <f>SUMIFS(РПЗ!$L:$L,РПЗ!$Q:$Q,Справочно!$C33,РПЗ!$AE:$AE,5)</f>
        <v>0</v>
      </c>
      <c r="S38" s="139">
        <f>COUNTIFS(РПЗ!$Q:$Q,Справочно!$C33,РПЗ!$AE:$AE,6)</f>
        <v>0</v>
      </c>
      <c r="T38" s="344">
        <f>SUMIFS(РПЗ!$L:$L,РПЗ!$Q:$Q,Справочно!$C33,РПЗ!$AE:$AE,6)</f>
        <v>0</v>
      </c>
      <c r="U38" s="408">
        <f>SUM(O38,Q38,S38)</f>
        <v>0</v>
      </c>
      <c r="V38" s="407">
        <f>SUM(P38,R38,T38)</f>
        <v>0</v>
      </c>
      <c r="W38" s="139">
        <f>COUNTIFS(РПЗ!$Q:$Q,Справочно!$C33,РПЗ!$AE:$AE,7)</f>
        <v>0</v>
      </c>
      <c r="X38" s="344">
        <f>SUMIFS(РПЗ!$L:$L,РПЗ!$Q:$Q,Справочно!$C33,РПЗ!$AE:$AE,7)</f>
        <v>0</v>
      </c>
      <c r="Y38" s="139">
        <f>COUNTIFS(РПЗ!$Q:$Q,Справочно!$C33,РПЗ!$AE:$AE,8)</f>
        <v>0</v>
      </c>
      <c r="Z38" s="344">
        <f>SUMIFS(РПЗ!$L:$L,РПЗ!$Q:$Q,Справочно!$C33,РПЗ!$AE:$AE,8)</f>
        <v>0</v>
      </c>
      <c r="AA38" s="139">
        <f>COUNTIFS(РПЗ!$Q:$Q,Справочно!$C33,РПЗ!$AE:$AE,9)</f>
        <v>0</v>
      </c>
      <c r="AB38" s="344">
        <f>SUMIFS(РПЗ!$L:$L,РПЗ!$Q:$Q,Справочно!$C33,РПЗ!$AE:$AE,9)</f>
        <v>0</v>
      </c>
      <c r="AC38" s="408">
        <f>SUM(W38,Y38,AA38)</f>
        <v>0</v>
      </c>
      <c r="AD38" s="407">
        <f>SUM(X38,Z38,AB38)</f>
        <v>0</v>
      </c>
      <c r="AE38" s="139">
        <f>COUNTIFS(РПЗ!$Q:$Q,Справочно!$C33,РПЗ!$AE:$AE,10)</f>
        <v>0</v>
      </c>
      <c r="AF38" s="344">
        <f>SUMIFS(РПЗ!$L:$L,РПЗ!$Q:$Q,Справочно!$C33,РПЗ!$AE:$AE,10)</f>
        <v>0</v>
      </c>
      <c r="AG38" s="139">
        <f>COUNTIFS(РПЗ!$Q:$Q,Справочно!$C33,РПЗ!$AE:$AE,11)</f>
        <v>0</v>
      </c>
      <c r="AH38" s="344">
        <f>SUMIFS(РПЗ!$L:$L,РПЗ!$Q:$Q,Справочно!$C33,РПЗ!$AE:$AE,11)</f>
        <v>0</v>
      </c>
      <c r="AI38" s="139">
        <f>COUNTIFS(РПЗ!$Q:$Q,Справочно!$C33,РПЗ!$AE:$AE,12)</f>
        <v>0</v>
      </c>
      <c r="AJ38" s="344">
        <f>SUMIFS(РПЗ!$L:$L,РПЗ!$Q:$Q,Справочно!$C33,РПЗ!$AE:$AE,7)</f>
        <v>0</v>
      </c>
      <c r="AK38" s="408">
        <f>SUM(AE38,AG38,AI38)</f>
        <v>0</v>
      </c>
      <c r="AL38" s="407">
        <f>SUM(AF38,AH38,AJ38)</f>
        <v>0</v>
      </c>
    </row>
    <row r="39" spans="1:38" ht="13.5" thickBot="1" x14ac:dyDescent="0.25">
      <c r="A39" s="82"/>
      <c r="B39" s="83"/>
      <c r="C39" s="358"/>
      <c r="D39" s="359"/>
      <c r="E39" s="358"/>
      <c r="G39" s="347"/>
      <c r="H39" s="348"/>
      <c r="I39" s="348"/>
      <c r="J39" s="348"/>
      <c r="K39" s="348"/>
      <c r="L39" s="348"/>
      <c r="M39" s="348"/>
      <c r="N39" s="349"/>
      <c r="O39" s="347"/>
      <c r="P39" s="348"/>
      <c r="Q39" s="348"/>
      <c r="R39" s="348"/>
      <c r="S39" s="348"/>
      <c r="T39" s="348"/>
      <c r="U39" s="348"/>
      <c r="V39" s="349"/>
      <c r="W39" s="347"/>
      <c r="X39" s="348"/>
      <c r="Y39" s="348"/>
      <c r="Z39" s="348"/>
      <c r="AA39" s="348"/>
      <c r="AB39" s="348"/>
      <c r="AC39" s="348"/>
      <c r="AD39" s="349"/>
      <c r="AE39" s="347"/>
      <c r="AF39" s="348"/>
      <c r="AG39" s="348"/>
      <c r="AH39" s="348"/>
      <c r="AI39" s="348"/>
      <c r="AJ39" s="348"/>
      <c r="AK39" s="348"/>
      <c r="AL39" s="349"/>
    </row>
    <row r="40" spans="1:38" ht="13.5" thickBot="1" x14ac:dyDescent="0.25">
      <c r="A40" s="74" t="s">
        <v>259</v>
      </c>
      <c r="B40" s="404">
        <f>B36+B38</f>
        <v>0</v>
      </c>
      <c r="C40" s="405" t="e">
        <f>C36+C38</f>
        <v>#DIV/0!</v>
      </c>
      <c r="D40" s="402">
        <f>D36+D38</f>
        <v>0</v>
      </c>
      <c r="E40" s="406" t="e">
        <f>E36+E38</f>
        <v>#DIV/0!</v>
      </c>
      <c r="G40" s="88">
        <f>SUM(G36,G38)</f>
        <v>0</v>
      </c>
      <c r="H40" s="344">
        <f t="shared" ref="H40:N40" si="12">SUM(H36,H38)</f>
        <v>0</v>
      </c>
      <c r="I40" s="138">
        <f t="shared" si="12"/>
        <v>0</v>
      </c>
      <c r="J40" s="344">
        <f t="shared" si="12"/>
        <v>0</v>
      </c>
      <c r="K40" s="138">
        <f t="shared" si="12"/>
        <v>0</v>
      </c>
      <c r="L40" s="350">
        <f t="shared" si="12"/>
        <v>0</v>
      </c>
      <c r="M40" s="409">
        <f t="shared" si="12"/>
        <v>0</v>
      </c>
      <c r="N40" s="407">
        <f t="shared" si="12"/>
        <v>0</v>
      </c>
      <c r="O40" s="88">
        <f>SUM(O36,O38)</f>
        <v>0</v>
      </c>
      <c r="P40" s="344">
        <f t="shared" ref="P40:V40" si="13">SUM(P36,P38)</f>
        <v>0</v>
      </c>
      <c r="Q40" s="138">
        <f t="shared" si="13"/>
        <v>0</v>
      </c>
      <c r="R40" s="344">
        <f t="shared" si="13"/>
        <v>0</v>
      </c>
      <c r="S40" s="138">
        <f t="shared" si="13"/>
        <v>0</v>
      </c>
      <c r="T40" s="345">
        <f t="shared" si="13"/>
        <v>0</v>
      </c>
      <c r="U40" s="409">
        <f t="shared" si="13"/>
        <v>0</v>
      </c>
      <c r="V40" s="407">
        <f t="shared" si="13"/>
        <v>0</v>
      </c>
      <c r="W40" s="88">
        <f>SUM(W36,W38)</f>
        <v>0</v>
      </c>
      <c r="X40" s="344">
        <f t="shared" ref="X40:AD40" si="14">SUM(X36,X38)</f>
        <v>0</v>
      </c>
      <c r="Y40" s="138">
        <f t="shared" si="14"/>
        <v>0</v>
      </c>
      <c r="Z40" s="344">
        <f t="shared" si="14"/>
        <v>0</v>
      </c>
      <c r="AA40" s="138">
        <f t="shared" si="14"/>
        <v>0</v>
      </c>
      <c r="AB40" s="345">
        <f t="shared" si="14"/>
        <v>0</v>
      </c>
      <c r="AC40" s="409">
        <f t="shared" si="14"/>
        <v>0</v>
      </c>
      <c r="AD40" s="407">
        <f t="shared" si="14"/>
        <v>0</v>
      </c>
      <c r="AE40" s="88">
        <f>SUM(AE36,AE38)</f>
        <v>0</v>
      </c>
      <c r="AF40" s="344">
        <f t="shared" ref="AF40:AL40" si="15">SUM(AF36,AF38)</f>
        <v>0</v>
      </c>
      <c r="AG40" s="138">
        <f t="shared" si="15"/>
        <v>0</v>
      </c>
      <c r="AH40" s="344">
        <f t="shared" si="15"/>
        <v>0</v>
      </c>
      <c r="AI40" s="138">
        <f t="shared" si="15"/>
        <v>0</v>
      </c>
      <c r="AJ40" s="345">
        <f t="shared" si="15"/>
        <v>0</v>
      </c>
      <c r="AK40" s="409">
        <f t="shared" si="15"/>
        <v>0</v>
      </c>
      <c r="AL40" s="407">
        <f t="shared" si="15"/>
        <v>0</v>
      </c>
    </row>
    <row r="41" spans="1:38" x14ac:dyDescent="0.2">
      <c r="G41" s="109"/>
      <c r="H41" s="110"/>
      <c r="I41" s="110"/>
      <c r="J41" s="110"/>
      <c r="K41" s="110"/>
      <c r="L41" s="110"/>
      <c r="M41" s="110"/>
      <c r="N41" s="146"/>
      <c r="O41" s="109"/>
      <c r="P41" s="110"/>
      <c r="Q41" s="110"/>
      <c r="R41" s="110"/>
      <c r="S41" s="110"/>
      <c r="T41" s="110"/>
      <c r="U41" s="110"/>
      <c r="V41" s="146"/>
      <c r="W41" s="109"/>
      <c r="X41" s="110"/>
      <c r="Y41" s="110"/>
      <c r="Z41" s="110"/>
      <c r="AA41" s="110"/>
      <c r="AB41" s="110"/>
      <c r="AC41" s="110"/>
      <c r="AD41" s="146"/>
      <c r="AE41" s="109"/>
      <c r="AF41" s="110"/>
      <c r="AG41" s="110"/>
      <c r="AH41" s="110"/>
      <c r="AI41" s="110"/>
      <c r="AJ41" s="110"/>
      <c r="AK41" s="110"/>
      <c r="AL41" s="146"/>
    </row>
    <row r="42" spans="1:38" ht="21" customHeight="1" thickBot="1" x14ac:dyDescent="0.25">
      <c r="A42" s="684" t="s">
        <v>244</v>
      </c>
      <c r="B42" s="684"/>
      <c r="C42" s="684"/>
      <c r="D42" s="684"/>
      <c r="E42" s="684"/>
      <c r="G42" s="109"/>
      <c r="H42" s="110"/>
      <c r="I42" s="110"/>
      <c r="J42" s="110"/>
      <c r="K42" s="110"/>
      <c r="L42" s="110"/>
      <c r="M42" s="110"/>
      <c r="N42" s="146"/>
      <c r="O42" s="109"/>
      <c r="P42" s="110"/>
      <c r="Q42" s="110"/>
      <c r="R42" s="110"/>
      <c r="S42" s="110"/>
      <c r="T42" s="110"/>
      <c r="U42" s="110"/>
      <c r="V42" s="146"/>
      <c r="W42" s="109"/>
      <c r="X42" s="110"/>
      <c r="Y42" s="110"/>
      <c r="Z42" s="110"/>
      <c r="AA42" s="110"/>
      <c r="AB42" s="110"/>
      <c r="AC42" s="110"/>
      <c r="AD42" s="146"/>
      <c r="AE42" s="109"/>
      <c r="AF42" s="110"/>
      <c r="AG42" s="110"/>
      <c r="AH42" s="110"/>
      <c r="AI42" s="110"/>
      <c r="AJ42" s="110"/>
      <c r="AK42" s="110"/>
      <c r="AL42" s="146"/>
    </row>
    <row r="43" spans="1:38" ht="26.25" thickBot="1" x14ac:dyDescent="0.25">
      <c r="A43" s="61" t="s">
        <v>210</v>
      </c>
      <c r="B43" s="62" t="s">
        <v>290</v>
      </c>
      <c r="C43" s="63" t="s">
        <v>240</v>
      </c>
      <c r="D43" s="64" t="s">
        <v>289</v>
      </c>
      <c r="E43" s="63" t="s">
        <v>243</v>
      </c>
      <c r="G43" s="62" t="s">
        <v>290</v>
      </c>
      <c r="H43" s="66" t="s">
        <v>289</v>
      </c>
      <c r="I43" s="66" t="s">
        <v>290</v>
      </c>
      <c r="J43" s="66" t="s">
        <v>289</v>
      </c>
      <c r="K43" s="66" t="s">
        <v>290</v>
      </c>
      <c r="L43" s="145" t="s">
        <v>289</v>
      </c>
      <c r="M43" s="174" t="s">
        <v>290</v>
      </c>
      <c r="N43" s="174" t="s">
        <v>289</v>
      </c>
      <c r="O43" s="62" t="s">
        <v>290</v>
      </c>
      <c r="P43" s="66" t="s">
        <v>289</v>
      </c>
      <c r="Q43" s="66" t="s">
        <v>290</v>
      </c>
      <c r="R43" s="66" t="s">
        <v>289</v>
      </c>
      <c r="S43" s="66" t="s">
        <v>290</v>
      </c>
      <c r="T43" s="145" t="s">
        <v>289</v>
      </c>
      <c r="U43" s="174" t="s">
        <v>290</v>
      </c>
      <c r="V43" s="174" t="s">
        <v>289</v>
      </c>
      <c r="W43" s="62" t="s">
        <v>290</v>
      </c>
      <c r="X43" s="66" t="s">
        <v>289</v>
      </c>
      <c r="Y43" s="66" t="s">
        <v>290</v>
      </c>
      <c r="Z43" s="66" t="s">
        <v>289</v>
      </c>
      <c r="AA43" s="66" t="s">
        <v>290</v>
      </c>
      <c r="AB43" s="145" t="s">
        <v>289</v>
      </c>
      <c r="AC43" s="174" t="s">
        <v>290</v>
      </c>
      <c r="AD43" s="174" t="s">
        <v>289</v>
      </c>
      <c r="AE43" s="62" t="s">
        <v>290</v>
      </c>
      <c r="AF43" s="66" t="s">
        <v>289</v>
      </c>
      <c r="AG43" s="66" t="s">
        <v>290</v>
      </c>
      <c r="AH43" s="66" t="s">
        <v>289</v>
      </c>
      <c r="AI43" s="66" t="s">
        <v>290</v>
      </c>
      <c r="AJ43" s="145" t="s">
        <v>289</v>
      </c>
      <c r="AK43" s="174" t="s">
        <v>290</v>
      </c>
      <c r="AL43" s="174" t="s">
        <v>289</v>
      </c>
    </row>
    <row r="44" spans="1:38" ht="13.5" thickBot="1" x14ac:dyDescent="0.25">
      <c r="A44" s="93" t="str">
        <f>Справочно!E21</f>
        <v>ГК "Ростех"</v>
      </c>
      <c r="B44" s="73">
        <f>COUNTIF(РПЗ!$AB:$AB,Справочно!$E21)</f>
        <v>0</v>
      </c>
      <c r="C44" s="360" t="e">
        <f>B44/$B$13</f>
        <v>#DIV/0!</v>
      </c>
      <c r="D44" s="361">
        <f>SUMIF(РПЗ!$AB:$AB,Справочно!$E21,РПЗ!$L:$L)</f>
        <v>0</v>
      </c>
      <c r="E44" s="360" t="e">
        <f t="shared" ref="E44:E69" si="16">D44/$D$13</f>
        <v>#DIV/0!</v>
      </c>
      <c r="G44" s="190">
        <f>COUNTIFS(РПЗ!$AB:$AB,Справочно!$E21,РПЗ!$AE:$AE,1)</f>
        <v>0</v>
      </c>
      <c r="H44" s="342">
        <f>SUMIFS(РПЗ!$L:$L,РПЗ!$AB:$AB,Справочно!$E21,РПЗ!$AE:$AE,1)</f>
        <v>0</v>
      </c>
      <c r="I44" s="190">
        <f>COUNTIFS(РПЗ!$AB:$AB,Справочно!$E21,РПЗ!$AE:$AE,2)</f>
        <v>0</v>
      </c>
      <c r="J44" s="342">
        <f>SUMIFS(РПЗ!$L:$L,РПЗ!$AB:$AB,Справочно!$E21,РПЗ!$AE:$AE,2)</f>
        <v>0</v>
      </c>
      <c r="K44" s="190">
        <f>COUNTIFS(РПЗ!$AB:$AB,Справочно!$E21,РПЗ!$AE:$AE,3)</f>
        <v>0</v>
      </c>
      <c r="L44" s="342">
        <f>SUMIFS(РПЗ!$L:$L,РПЗ!$AB:$AB,Справочно!$E21,РПЗ!$AE:$AE,3)</f>
        <v>0</v>
      </c>
      <c r="M44" s="193">
        <f>SUM(G44,I44,K44)</f>
        <v>0</v>
      </c>
      <c r="N44" s="335">
        <f>SUM(H44,J44,L44)</f>
        <v>0</v>
      </c>
      <c r="O44" s="194">
        <f>COUNTIFS(РПЗ!$AB:$AB,Справочно!$E21,РПЗ!$AE:$AE,4)</f>
        <v>0</v>
      </c>
      <c r="P44" s="369">
        <f>SUMIFS(РПЗ!$L:$L,РПЗ!$AB:$AB,Справочно!$E21,РПЗ!$AE:$AE,4)</f>
        <v>0</v>
      </c>
      <c r="Q44" s="154">
        <f>COUNTIFS(РПЗ!$AB:$AB,Справочно!$E21,РПЗ!$AE:$AE,5)</f>
        <v>0</v>
      </c>
      <c r="R44" s="369">
        <f>SUMIFS(РПЗ!$L:$L,РПЗ!$AB:$AB,Справочно!$E21,РПЗ!$AE:$AE,5)</f>
        <v>0</v>
      </c>
      <c r="S44" s="154">
        <f>COUNTIFS(РПЗ!$AB:$AB,Справочно!$E21,РПЗ!$AE:$AE,6)</f>
        <v>0</v>
      </c>
      <c r="T44" s="369">
        <f>SUMIFS(РПЗ!$L:$L,РПЗ!$AB:$AB,Справочно!$E21,РПЗ!$AE:$AE,6)</f>
        <v>0</v>
      </c>
      <c r="U44" s="197">
        <f>SUM(O44,Q44,S44)</f>
        <v>0</v>
      </c>
      <c r="V44" s="337">
        <f>SUM(P44,R44,T44)</f>
        <v>0</v>
      </c>
      <c r="W44" s="199">
        <f>COUNTIFS(РПЗ!$AB:$AB,Справочно!$E21,РПЗ!$AE:$AE,7)</f>
        <v>0</v>
      </c>
      <c r="X44" s="371">
        <f>SUMIFS(РПЗ!$L:$L,РПЗ!$AB:$AB,Справочно!$E21,РПЗ!$AE:$AE,7)</f>
        <v>0</v>
      </c>
      <c r="Y44" s="199">
        <f>COUNTIFS(РПЗ!$AB:$AB,Справочно!$E21,РПЗ!$AE:$AE,8)</f>
        <v>0</v>
      </c>
      <c r="Z44" s="371">
        <f>SUMIFS(РПЗ!$L:$L,РПЗ!$AB:$AB,Справочно!$E21,РПЗ!$AE:$AE,8)</f>
        <v>0</v>
      </c>
      <c r="AA44" s="199">
        <f>COUNTIFS(РПЗ!$AB:$AB,Справочно!$E21,РПЗ!$AE:$AE,9)</f>
        <v>0</v>
      </c>
      <c r="AB44" s="371">
        <f>SUMIFS(РПЗ!$L:$L,РПЗ!$AB:$AB,Справочно!$E21,РПЗ!$AE:$AE,9)</f>
        <v>0</v>
      </c>
      <c r="AC44" s="198">
        <f>SUM(W44,Y44,AA44)</f>
        <v>0</v>
      </c>
      <c r="AD44" s="339">
        <f>SUM(X44,Z44,AB44)</f>
        <v>0</v>
      </c>
      <c r="AE44" s="203">
        <f>COUNTIFS(РПЗ!$AB:$AB,Справочно!$E21,РПЗ!$AE:$AE,10)</f>
        <v>0</v>
      </c>
      <c r="AF44" s="373">
        <f>SUMIFS(РПЗ!$L:$L,РПЗ!$AB:$AB,Справочно!$E21,РПЗ!$AE:$AE,10)</f>
        <v>0</v>
      </c>
      <c r="AG44" s="180">
        <f>COUNTIFS(РПЗ!$AB:$AB,Справочно!$E21,РПЗ!$AE:$AE,11)</f>
        <v>0</v>
      </c>
      <c r="AH44" s="373">
        <f>SUMIFS(РПЗ!$L:$L,РПЗ!$AB:$AB,Справочно!$E21,РПЗ!$AE:$AE,11)</f>
        <v>0</v>
      </c>
      <c r="AI44" s="180">
        <f>COUNTIFS(РПЗ!$AB:$AB,Справочно!$E21,РПЗ!$AE:$AE,12)</f>
        <v>0</v>
      </c>
      <c r="AJ44" s="373">
        <f>SUMIFS(РПЗ!$L:$L,РПЗ!$AB:$AB,Справочно!$E21,РПЗ!$AE:$AE,12)</f>
        <v>0</v>
      </c>
      <c r="AK44" s="202">
        <f>SUM(AE44,AG44,AI44)</f>
        <v>0</v>
      </c>
      <c r="AL44" s="341">
        <f>SUM(AF44,AH44,AJ44)</f>
        <v>0</v>
      </c>
    </row>
    <row r="45" spans="1:38" ht="15.75" customHeight="1" thickBot="1" x14ac:dyDescent="0.25">
      <c r="A45" s="94" t="str">
        <f>Справочно!E22</f>
        <v>ООО "РТ-Развитие бизнеса"</v>
      </c>
      <c r="B45" s="73">
        <f>COUNTIF(РПЗ!$AB:$AB,Справочно!$E22)</f>
        <v>0</v>
      </c>
      <c r="C45" s="360" t="e">
        <f t="shared" ref="C45:C68" si="17">B45/$B$13</f>
        <v>#DIV/0!</v>
      </c>
      <c r="D45" s="361">
        <f>SUMIF(РПЗ!$AB:$AB,Справочно!$E22,РПЗ!$L:$L)</f>
        <v>0</v>
      </c>
      <c r="E45" s="360" t="e">
        <f t="shared" si="16"/>
        <v>#DIV/0!</v>
      </c>
      <c r="G45" s="150">
        <f>COUNTIFS(РПЗ!$AB:$AB,Справочно!$E22,РПЗ!$AE:$AE,1)</f>
        <v>0</v>
      </c>
      <c r="H45" s="342">
        <f>SUMIFS(РПЗ!$L:$L,РПЗ!$AB:$AB,Справочно!$E22,РПЗ!$AE:$AE,1)</f>
        <v>0</v>
      </c>
      <c r="I45" s="150">
        <f>COUNTIFS(РПЗ!$AB:$AB,Справочно!$E22,РПЗ!$AE:$AE,2)</f>
        <v>0</v>
      </c>
      <c r="J45" s="342">
        <f>SUMIFS(РПЗ!$L:$L,РПЗ!$AB:$AB,Справочно!$E22,РПЗ!$AE:$AE,2)</f>
        <v>0</v>
      </c>
      <c r="K45" s="150">
        <f>COUNTIFS(РПЗ!$AB:$AB,Справочно!$E22,РПЗ!$AE:$AE,3)</f>
        <v>0</v>
      </c>
      <c r="L45" s="342">
        <f>SUMIFS(РПЗ!$L:$L,РПЗ!$AB:$AB,Справочно!$E22,РПЗ!$AE:$AE,3)</f>
        <v>0</v>
      </c>
      <c r="M45" s="193">
        <f t="shared" ref="M45:M66" si="18">SUM(G45,I45,K45)</f>
        <v>0</v>
      </c>
      <c r="N45" s="335">
        <f t="shared" ref="N45:N68" si="19">SUM(H45,J45,L45)</f>
        <v>0</v>
      </c>
      <c r="O45" s="195">
        <f>COUNTIFS(РПЗ!$AB:$AB,Справочно!$E22,РПЗ!$AE:$AE,4)</f>
        <v>0</v>
      </c>
      <c r="P45" s="376">
        <f>SUMIFS(РПЗ!$L:$L,РПЗ!$AB:$AB,Справочно!$E22,РПЗ!$AE:$AE,4)</f>
        <v>0</v>
      </c>
      <c r="Q45" s="187">
        <f>COUNTIFS(РПЗ!$AB:$AB,Справочно!$E22,РПЗ!$AE:$AE,5)</f>
        <v>0</v>
      </c>
      <c r="R45" s="376">
        <f>SUMIFS(РПЗ!$L:$L,РПЗ!$AB:$AB,Справочно!$E22,РПЗ!$AE:$AE,5)</f>
        <v>0</v>
      </c>
      <c r="S45" s="187">
        <f>COUNTIFS(РПЗ!$AB:$AB,Справочно!$E22,РПЗ!$AE:$AE,6)</f>
        <v>0</v>
      </c>
      <c r="T45" s="376">
        <f>SUMIFS(РПЗ!$L:$L,РПЗ!$AB:$AB,Справочно!$E22,РПЗ!$AE:$AE,6)</f>
        <v>0</v>
      </c>
      <c r="U45" s="197">
        <f t="shared" ref="U45:U68" si="20">SUM(O45,Q45,S45)</f>
        <v>0</v>
      </c>
      <c r="V45" s="337">
        <f t="shared" ref="V45:V55" si="21">SUM(P45,R45,T45)</f>
        <v>0</v>
      </c>
      <c r="W45" s="200">
        <f>COUNTIFS(РПЗ!$AB:$AB,Справочно!$E22,РПЗ!$AE:$AE,7)</f>
        <v>0</v>
      </c>
      <c r="X45" s="378">
        <f>SUMIFS(РПЗ!$L:$L,РПЗ!$AB:$AB,Справочно!$E22,РПЗ!$AE:$AE,7)</f>
        <v>0</v>
      </c>
      <c r="Y45" s="200">
        <f>COUNTIFS(РПЗ!$AB:$AB,Справочно!$E22,РПЗ!$AE:$AE,8)</f>
        <v>0</v>
      </c>
      <c r="Z45" s="378">
        <f>SUMIFS(РПЗ!$L:$L,РПЗ!$AB:$AB,Справочно!$E22,РПЗ!$AE:$AE,8)</f>
        <v>0</v>
      </c>
      <c r="AA45" s="200">
        <f>COUNTIFS(РПЗ!$AB:$AB,Справочно!$E22,РПЗ!$AE:$AE,9)</f>
        <v>0</v>
      </c>
      <c r="AB45" s="378">
        <f>SUMIFS(РПЗ!$L:$L,РПЗ!$AB:$AB,Справочно!$E22,РПЗ!$AE:$AE,9)</f>
        <v>0</v>
      </c>
      <c r="AC45" s="198">
        <f t="shared" ref="AC45:AC68" si="22">SUM(W45,Y45,AA45)</f>
        <v>0</v>
      </c>
      <c r="AD45" s="339">
        <f t="shared" ref="AD45:AD68" si="23">SUM(X45,Z45,AB45)</f>
        <v>0</v>
      </c>
      <c r="AE45" s="205">
        <f>COUNTIFS(РПЗ!$AB:$AB,Справочно!$E22,РПЗ!$AE:$AE,10)</f>
        <v>0</v>
      </c>
      <c r="AF45" s="380">
        <f>SUMIFS(РПЗ!$L:$L,РПЗ!$AB:$AB,Справочно!$E22,РПЗ!$AE:$AE,10)</f>
        <v>0</v>
      </c>
      <c r="AG45" s="181">
        <f>COUNTIFS(РПЗ!$AB:$AB,Справочно!$E22,РПЗ!$AE:$AE,11)</f>
        <v>0</v>
      </c>
      <c r="AH45" s="380">
        <f>SUMIFS(РПЗ!$L:$L,РПЗ!$AB:$AB,Справочно!$E22,РПЗ!$AE:$AE,11)</f>
        <v>0</v>
      </c>
      <c r="AI45" s="181">
        <f>COUNTIFS(РПЗ!$AB:$AB,Справочно!$E22,РПЗ!$AE:$AE,12)</f>
        <v>0</v>
      </c>
      <c r="AJ45" s="380">
        <f>SUMIFS(РПЗ!$L:$L,РПЗ!$AB:$AB,Справочно!$E22,РПЗ!$AE:$AE,12)</f>
        <v>0</v>
      </c>
      <c r="AK45" s="202">
        <f t="shared" ref="AK45:AK68" si="24">SUM(AE45,AG45,AI45)</f>
        <v>0</v>
      </c>
      <c r="AL45" s="341">
        <f t="shared" ref="AL45:AL68" si="25">SUM(AF45,AH45,AJ45)</f>
        <v>0</v>
      </c>
    </row>
    <row r="46" spans="1:38" ht="13.5" thickBot="1" x14ac:dyDescent="0.25">
      <c r="A46" s="94" t="str">
        <f>Справочно!E23</f>
        <v>АО "НПО "Сплав"</v>
      </c>
      <c r="B46" s="73">
        <f>COUNTIF(РПЗ!$AB:$AB,Справочно!$E23)</f>
        <v>0</v>
      </c>
      <c r="C46" s="360" t="e">
        <f t="shared" si="17"/>
        <v>#DIV/0!</v>
      </c>
      <c r="D46" s="361">
        <f>SUMIF(РПЗ!$AB:$AB,Справочно!$E23,РПЗ!$L:$L)</f>
        <v>0</v>
      </c>
      <c r="E46" s="360" t="e">
        <f t="shared" si="16"/>
        <v>#DIV/0!</v>
      </c>
      <c r="G46" s="150">
        <f>COUNTIFS(РПЗ!$AB:$AB,Справочно!$E23,РПЗ!$AE:$AE,1)</f>
        <v>0</v>
      </c>
      <c r="H46" s="342">
        <f>SUMIFS(РПЗ!$L:$L,РПЗ!$AB:$AB,Справочно!$E23,РПЗ!$AE:$AE,1)</f>
        <v>0</v>
      </c>
      <c r="I46" s="150">
        <f>COUNTIFS(РПЗ!$AB:$AB,Справочно!$E23,РПЗ!$AE:$AE,2)</f>
        <v>0</v>
      </c>
      <c r="J46" s="342">
        <f>SUMIFS(РПЗ!$L:$L,РПЗ!$AB:$AB,Справочно!$E23,РПЗ!$AE:$AE,2)</f>
        <v>0</v>
      </c>
      <c r="K46" s="150">
        <f>COUNTIFS(РПЗ!$AB:$AB,Справочно!$E23,РПЗ!$AE:$AE,3)</f>
        <v>0</v>
      </c>
      <c r="L46" s="342">
        <f>SUMIFS(РПЗ!$L:$L,РПЗ!$AB:$AB,Справочно!$E23,РПЗ!$AE:$AE,3)</f>
        <v>0</v>
      </c>
      <c r="M46" s="193">
        <f t="shared" si="18"/>
        <v>0</v>
      </c>
      <c r="N46" s="335">
        <f t="shared" si="19"/>
        <v>0</v>
      </c>
      <c r="O46" s="195">
        <f>COUNTIFS(РПЗ!$AB:$AB,Справочно!$E23,РПЗ!$AE:$AE,4)</f>
        <v>0</v>
      </c>
      <c r="P46" s="376">
        <f>SUMIFS(РПЗ!$L:$L,РПЗ!$AB:$AB,Справочно!$E23,РПЗ!$AE:$AE,4)</f>
        <v>0</v>
      </c>
      <c r="Q46" s="187">
        <f>COUNTIFS(РПЗ!$AB:$AB,Справочно!$E23,РПЗ!$AE:$AE,5)</f>
        <v>0</v>
      </c>
      <c r="R46" s="376">
        <f>SUMIFS(РПЗ!$L:$L,РПЗ!$AB:$AB,Справочно!$E23,РПЗ!$AE:$AE,5)</f>
        <v>0</v>
      </c>
      <c r="S46" s="187">
        <f>COUNTIFS(РПЗ!$AB:$AB,Справочно!$E23,РПЗ!$AE:$AE,6)</f>
        <v>0</v>
      </c>
      <c r="T46" s="376">
        <f>SUMIFS(РПЗ!$L:$L,РПЗ!$AB:$AB,Справочно!$E23,РПЗ!$AE:$AE,6)</f>
        <v>0</v>
      </c>
      <c r="U46" s="197">
        <f t="shared" si="20"/>
        <v>0</v>
      </c>
      <c r="V46" s="337">
        <f t="shared" si="21"/>
        <v>0</v>
      </c>
      <c r="W46" s="200">
        <f>COUNTIFS(РПЗ!$AB:$AB,Справочно!$E23,РПЗ!$AE:$AE,7)</f>
        <v>0</v>
      </c>
      <c r="X46" s="378">
        <f>SUMIFS(РПЗ!$L:$L,РПЗ!$AB:$AB,Справочно!$E23,РПЗ!$AE:$AE,7)</f>
        <v>0</v>
      </c>
      <c r="Y46" s="200">
        <f>COUNTIFS(РПЗ!$AB:$AB,Справочно!$E23,РПЗ!$AE:$AE,8)</f>
        <v>0</v>
      </c>
      <c r="Z46" s="378">
        <f>SUMIFS(РПЗ!$L:$L,РПЗ!$AB:$AB,Справочно!$E23,РПЗ!$AE:$AE,8)</f>
        <v>0</v>
      </c>
      <c r="AA46" s="200">
        <f>COUNTIFS(РПЗ!$AB:$AB,Справочно!$E23,РПЗ!$AE:$AE,9)</f>
        <v>0</v>
      </c>
      <c r="AB46" s="378">
        <f>SUMIFS(РПЗ!$L:$L,РПЗ!$AB:$AB,Справочно!$E23,РПЗ!$AE:$AE,9)</f>
        <v>0</v>
      </c>
      <c r="AC46" s="198">
        <f t="shared" si="22"/>
        <v>0</v>
      </c>
      <c r="AD46" s="339">
        <f t="shared" si="23"/>
        <v>0</v>
      </c>
      <c r="AE46" s="205">
        <f>COUNTIFS(РПЗ!$AB:$AB,Справочно!$E23,РПЗ!$AE:$AE,10)</f>
        <v>0</v>
      </c>
      <c r="AF46" s="380">
        <f>SUMIFS(РПЗ!$L:$L,РПЗ!$AB:$AB,Справочно!$E23,РПЗ!$AE:$AE,10)</f>
        <v>0</v>
      </c>
      <c r="AG46" s="181">
        <f>COUNTIFS(РПЗ!$AB:$AB,Справочно!$E23,РПЗ!$AE:$AE,11)</f>
        <v>0</v>
      </c>
      <c r="AH46" s="380">
        <f>SUMIFS(РПЗ!$L:$L,РПЗ!$AB:$AB,Справочно!$E23,РПЗ!$AE:$AE,11)</f>
        <v>0</v>
      </c>
      <c r="AI46" s="181">
        <f>COUNTIFS(РПЗ!$AB:$AB,Справочно!$E23,РПЗ!$AE:$AE,12)</f>
        <v>0</v>
      </c>
      <c r="AJ46" s="380">
        <f>SUMIFS(РПЗ!$L:$L,РПЗ!$AB:$AB,Справочно!$E23,РПЗ!$AE:$AE,12)</f>
        <v>0</v>
      </c>
      <c r="AK46" s="202">
        <f t="shared" si="24"/>
        <v>0</v>
      </c>
      <c r="AL46" s="341">
        <f t="shared" si="25"/>
        <v>0</v>
      </c>
    </row>
    <row r="47" spans="1:38" ht="13.5" thickBot="1" x14ac:dyDescent="0.25">
      <c r="A47" s="94" t="str">
        <f>Справочно!E24</f>
        <v>ОАО "РТ-Логистика"</v>
      </c>
      <c r="B47" s="73">
        <f>COUNTIF(РПЗ!$AB:$AB,Справочно!$E24)</f>
        <v>0</v>
      </c>
      <c r="C47" s="360" t="e">
        <f t="shared" si="17"/>
        <v>#DIV/0!</v>
      </c>
      <c r="D47" s="361">
        <f>SUMIF(РПЗ!$AB:$AB,Справочно!$E24,РПЗ!$L:$L)</f>
        <v>0</v>
      </c>
      <c r="E47" s="360" t="e">
        <f t="shared" si="16"/>
        <v>#DIV/0!</v>
      </c>
      <c r="G47" s="150">
        <f>COUNTIFS(РПЗ!$AB:$AB,Справочно!$E24,РПЗ!$AE:$AE,1)</f>
        <v>0</v>
      </c>
      <c r="H47" s="342">
        <f>SUMIFS(РПЗ!$L:$L,РПЗ!$AB:$AB,Справочно!$E24,РПЗ!$AE:$AE,1)</f>
        <v>0</v>
      </c>
      <c r="I47" s="150">
        <f>COUNTIFS(РПЗ!$AB:$AB,Справочно!$E24,РПЗ!$AE:$AE,2)</f>
        <v>0</v>
      </c>
      <c r="J47" s="342">
        <f>SUMIFS(РПЗ!$L:$L,РПЗ!$AB:$AB,Справочно!$E24,РПЗ!$AE:$AE,2)</f>
        <v>0</v>
      </c>
      <c r="K47" s="150">
        <f>COUNTIFS(РПЗ!$AB:$AB,Справочно!$E24,РПЗ!$AE:$AE,3)</f>
        <v>0</v>
      </c>
      <c r="L47" s="342">
        <f>SUMIFS(РПЗ!$L:$L,РПЗ!$AB:$AB,Справочно!$E24,РПЗ!$AE:$AE,3)</f>
        <v>0</v>
      </c>
      <c r="M47" s="193">
        <f t="shared" si="18"/>
        <v>0</v>
      </c>
      <c r="N47" s="335">
        <f t="shared" si="19"/>
        <v>0</v>
      </c>
      <c r="O47" s="195">
        <f>COUNTIFS(РПЗ!$AB:$AB,Справочно!$E24,РПЗ!$AE:$AE,4)</f>
        <v>0</v>
      </c>
      <c r="P47" s="376">
        <f>SUMIFS(РПЗ!$L:$L,РПЗ!$AB:$AB,Справочно!$E24,РПЗ!$AE:$AE,4)</f>
        <v>0</v>
      </c>
      <c r="Q47" s="187">
        <f>COUNTIFS(РПЗ!$AB:$AB,Справочно!$E24,РПЗ!$AE:$AE,5)</f>
        <v>0</v>
      </c>
      <c r="R47" s="376">
        <f>SUMIFS(РПЗ!$L:$L,РПЗ!$AB:$AB,Справочно!$E24,РПЗ!$AE:$AE,5)</f>
        <v>0</v>
      </c>
      <c r="S47" s="187">
        <f>COUNTIFS(РПЗ!$AB:$AB,Справочно!$E24,РПЗ!$AE:$AE,6)</f>
        <v>0</v>
      </c>
      <c r="T47" s="376">
        <f>SUMIFS(РПЗ!$L:$L,РПЗ!$AB:$AB,Справочно!$E24,РПЗ!$AE:$AE,6)</f>
        <v>0</v>
      </c>
      <c r="U47" s="197">
        <f t="shared" si="20"/>
        <v>0</v>
      </c>
      <c r="V47" s="337">
        <f t="shared" si="21"/>
        <v>0</v>
      </c>
      <c r="W47" s="200">
        <f>COUNTIFS(РПЗ!$AB:$AB,Справочно!$E24,РПЗ!$AE:$AE,7)</f>
        <v>0</v>
      </c>
      <c r="X47" s="378">
        <f>SUMIFS(РПЗ!$L:$L,РПЗ!$AB:$AB,Справочно!$E24,РПЗ!$AE:$AE,7)</f>
        <v>0</v>
      </c>
      <c r="Y47" s="200">
        <f>COUNTIFS(РПЗ!$AB:$AB,Справочно!$E24,РПЗ!$AE:$AE,8)</f>
        <v>0</v>
      </c>
      <c r="Z47" s="378">
        <f>SUMIFS(РПЗ!$L:$L,РПЗ!$AB:$AB,Справочно!$E24,РПЗ!$AE:$AE,8)</f>
        <v>0</v>
      </c>
      <c r="AA47" s="200">
        <f>COUNTIFS(РПЗ!$AB:$AB,Справочно!$E24,РПЗ!$AE:$AE,9)</f>
        <v>0</v>
      </c>
      <c r="AB47" s="378">
        <f>SUMIFS(РПЗ!$L:$L,РПЗ!$AB:$AB,Справочно!$E24,РПЗ!$AE:$AE,9)</f>
        <v>0</v>
      </c>
      <c r="AC47" s="198">
        <f t="shared" si="22"/>
        <v>0</v>
      </c>
      <c r="AD47" s="339">
        <f t="shared" si="23"/>
        <v>0</v>
      </c>
      <c r="AE47" s="205">
        <f>COUNTIFS(РПЗ!$AB:$AB,Справочно!$E24,РПЗ!$AE:$AE,10)</f>
        <v>0</v>
      </c>
      <c r="AF47" s="380">
        <f>SUMIFS(РПЗ!$L:$L,РПЗ!$AB:$AB,Справочно!$E24,РПЗ!$AE:$AE,10)</f>
        <v>0</v>
      </c>
      <c r="AG47" s="181">
        <f>COUNTIFS(РПЗ!$AB:$AB,Справочно!$E24,РПЗ!$AE:$AE,11)</f>
        <v>0</v>
      </c>
      <c r="AH47" s="380">
        <f>SUMIFS(РПЗ!$L:$L,РПЗ!$AB:$AB,Справочно!$E24,РПЗ!$AE:$AE,11)</f>
        <v>0</v>
      </c>
      <c r="AI47" s="181">
        <f>COUNTIFS(РПЗ!$AB:$AB,Справочно!$E24,РПЗ!$AE:$AE,12)</f>
        <v>0</v>
      </c>
      <c r="AJ47" s="380">
        <f>SUMIFS(РПЗ!$L:$L,РПЗ!$AB:$AB,Справочно!$E24,РПЗ!$AE:$AE,12)</f>
        <v>0</v>
      </c>
      <c r="AK47" s="202">
        <f t="shared" si="24"/>
        <v>0</v>
      </c>
      <c r="AL47" s="341">
        <f t="shared" si="25"/>
        <v>0</v>
      </c>
    </row>
    <row r="48" spans="1:38" ht="13.5" thickBot="1" x14ac:dyDescent="0.25">
      <c r="A48" s="94" t="str">
        <f>Справочно!E25</f>
        <v>ОАО "РТ-Медицина"</v>
      </c>
      <c r="B48" s="73">
        <f>COUNTIF(РПЗ!$AB:$AB,Справочно!$E25)</f>
        <v>0</v>
      </c>
      <c r="C48" s="360" t="e">
        <f t="shared" si="17"/>
        <v>#DIV/0!</v>
      </c>
      <c r="D48" s="361">
        <f>SUMIF(РПЗ!$AB:$AB,Справочно!$E25,РПЗ!$L:$L)</f>
        <v>0</v>
      </c>
      <c r="E48" s="360" t="e">
        <f t="shared" si="16"/>
        <v>#DIV/0!</v>
      </c>
      <c r="G48" s="150">
        <f>COUNTIFS(РПЗ!$AB:$AB,Справочно!$E25,РПЗ!$AE:$AE,1)</f>
        <v>0</v>
      </c>
      <c r="H48" s="342">
        <f>SUMIFS(РПЗ!$L:$L,РПЗ!$AB:$AB,Справочно!$E25,РПЗ!$AE:$AE,1)</f>
        <v>0</v>
      </c>
      <c r="I48" s="150">
        <f>COUNTIFS(РПЗ!$AB:$AB,Справочно!$E25,РПЗ!$AE:$AE,2)</f>
        <v>0</v>
      </c>
      <c r="J48" s="342">
        <f>SUMIFS(РПЗ!$L:$L,РПЗ!$AB:$AB,Справочно!$E25,РПЗ!$AE:$AE,2)</f>
        <v>0</v>
      </c>
      <c r="K48" s="150">
        <f>COUNTIFS(РПЗ!$AB:$AB,Справочно!$E25,РПЗ!$AE:$AE,3)</f>
        <v>0</v>
      </c>
      <c r="L48" s="342">
        <f>SUMIFS(РПЗ!$L:$L,РПЗ!$AB:$AB,Справочно!$E25,РПЗ!$AE:$AE,3)</f>
        <v>0</v>
      </c>
      <c r="M48" s="193">
        <f t="shared" si="18"/>
        <v>0</v>
      </c>
      <c r="N48" s="335">
        <f t="shared" si="19"/>
        <v>0</v>
      </c>
      <c r="O48" s="195">
        <f>COUNTIFS(РПЗ!$AB:$AB,Справочно!$E25,РПЗ!$AE:$AE,4)</f>
        <v>0</v>
      </c>
      <c r="P48" s="376">
        <f>SUMIFS(РПЗ!$L:$L,РПЗ!$AB:$AB,Справочно!$E25,РПЗ!$AE:$AE,4)</f>
        <v>0</v>
      </c>
      <c r="Q48" s="187">
        <f>COUNTIFS(РПЗ!$AB:$AB,Справочно!$E25,РПЗ!$AE:$AE,5)</f>
        <v>0</v>
      </c>
      <c r="R48" s="376">
        <f>SUMIFS(РПЗ!$L:$L,РПЗ!$AB:$AB,Справочно!$E25,РПЗ!$AE:$AE,5)</f>
        <v>0</v>
      </c>
      <c r="S48" s="187">
        <f>COUNTIFS(РПЗ!$AB:$AB,Справочно!$E25,РПЗ!$AE:$AE,6)</f>
        <v>0</v>
      </c>
      <c r="T48" s="376">
        <f>SUMIFS(РПЗ!$L:$L,РПЗ!$AB:$AB,Справочно!$E25,РПЗ!$AE:$AE,6)</f>
        <v>0</v>
      </c>
      <c r="U48" s="197">
        <f t="shared" si="20"/>
        <v>0</v>
      </c>
      <c r="V48" s="337">
        <f t="shared" si="21"/>
        <v>0</v>
      </c>
      <c r="W48" s="200">
        <f>COUNTIFS(РПЗ!$AB:$AB,Справочно!$E25,РПЗ!$AE:$AE,7)</f>
        <v>0</v>
      </c>
      <c r="X48" s="378">
        <f>SUMIFS(РПЗ!$L:$L,РПЗ!$AB:$AB,Справочно!$E25,РПЗ!$AE:$AE,7)</f>
        <v>0</v>
      </c>
      <c r="Y48" s="200">
        <f>COUNTIFS(РПЗ!$AB:$AB,Справочно!$E25,РПЗ!$AE:$AE,8)</f>
        <v>0</v>
      </c>
      <c r="Z48" s="378">
        <f>SUMIFS(РПЗ!$L:$L,РПЗ!$AB:$AB,Справочно!$E25,РПЗ!$AE:$AE,8)</f>
        <v>0</v>
      </c>
      <c r="AA48" s="200">
        <f>COUNTIFS(РПЗ!$AB:$AB,Справочно!$E25,РПЗ!$AE:$AE,9)</f>
        <v>0</v>
      </c>
      <c r="AB48" s="378">
        <f>SUMIFS(РПЗ!$L:$L,РПЗ!$AB:$AB,Справочно!$E25,РПЗ!$AE:$AE,9)</f>
        <v>0</v>
      </c>
      <c r="AC48" s="198">
        <f t="shared" si="22"/>
        <v>0</v>
      </c>
      <c r="AD48" s="339">
        <f t="shared" si="23"/>
        <v>0</v>
      </c>
      <c r="AE48" s="205">
        <f>COUNTIFS(РПЗ!$AB:$AB,Справочно!$E25,РПЗ!$AE:$AE,10)</f>
        <v>0</v>
      </c>
      <c r="AF48" s="380">
        <f>SUMIFS(РПЗ!$L:$L,РПЗ!$AB:$AB,Справочно!$E25,РПЗ!$AE:$AE,10)</f>
        <v>0</v>
      </c>
      <c r="AG48" s="181">
        <f>COUNTIFS(РПЗ!$AB:$AB,Справочно!$E25,РПЗ!$AE:$AE,11)</f>
        <v>0</v>
      </c>
      <c r="AH48" s="380">
        <f>SUMIFS(РПЗ!$L:$L,РПЗ!$AB:$AB,Справочно!$E25,РПЗ!$AE:$AE,11)</f>
        <v>0</v>
      </c>
      <c r="AI48" s="181">
        <f>COUNTIFS(РПЗ!$AB:$AB,Справочно!$E25,РПЗ!$AE:$AE,12)</f>
        <v>0</v>
      </c>
      <c r="AJ48" s="380">
        <f>SUMIFS(РПЗ!$L:$L,РПЗ!$AB:$AB,Справочно!$E25,РПЗ!$AE:$AE,12)</f>
        <v>0</v>
      </c>
      <c r="AK48" s="202">
        <f t="shared" si="24"/>
        <v>0</v>
      </c>
      <c r="AL48" s="341">
        <f t="shared" si="25"/>
        <v>0</v>
      </c>
    </row>
    <row r="49" spans="1:38" ht="13.5" thickBot="1" x14ac:dyDescent="0.25">
      <c r="A49" s="94" t="str">
        <f>Справочно!E26</f>
        <v>АО "Концерн "Автоматика"</v>
      </c>
      <c r="B49" s="73">
        <f>COUNTIF(РПЗ!$AB:$AB,Справочно!$E26)</f>
        <v>0</v>
      </c>
      <c r="C49" s="360" t="e">
        <f t="shared" si="17"/>
        <v>#DIV/0!</v>
      </c>
      <c r="D49" s="361">
        <f>SUMIF(РПЗ!$AB:$AB,Справочно!$E26,РПЗ!$L:$L)</f>
        <v>0</v>
      </c>
      <c r="E49" s="360" t="e">
        <f t="shared" si="16"/>
        <v>#DIV/0!</v>
      </c>
      <c r="G49" s="150">
        <f>COUNTIFS(РПЗ!$AB:$AB,Справочно!$E26,РПЗ!$AE:$AE,1)</f>
        <v>0</v>
      </c>
      <c r="H49" s="342">
        <f>SUMIFS(РПЗ!$L:$L,РПЗ!$AB:$AB,Справочно!$E26,РПЗ!$AE:$AE,1)</f>
        <v>0</v>
      </c>
      <c r="I49" s="150">
        <f>COUNTIFS(РПЗ!$AB:$AB,Справочно!$E26,РПЗ!$AE:$AE,2)</f>
        <v>0</v>
      </c>
      <c r="J49" s="342">
        <f>SUMIFS(РПЗ!$L:$L,РПЗ!$AB:$AB,Справочно!$E26,РПЗ!$AE:$AE,2)</f>
        <v>0</v>
      </c>
      <c r="K49" s="150">
        <f>COUNTIFS(РПЗ!$AB:$AB,Справочно!$E26,РПЗ!$AE:$AE,3)</f>
        <v>0</v>
      </c>
      <c r="L49" s="342">
        <f>SUMIFS(РПЗ!$L:$L,РПЗ!$AB:$AB,Справочно!$E26,РПЗ!$AE:$AE,3)</f>
        <v>0</v>
      </c>
      <c r="M49" s="193">
        <f t="shared" si="18"/>
        <v>0</v>
      </c>
      <c r="N49" s="335">
        <f t="shared" si="19"/>
        <v>0</v>
      </c>
      <c r="O49" s="195">
        <f>COUNTIFS(РПЗ!$AB:$AB,Справочно!$E26,РПЗ!$AE:$AE,4)</f>
        <v>0</v>
      </c>
      <c r="P49" s="376">
        <f>SUMIFS(РПЗ!$L:$L,РПЗ!$AB:$AB,Справочно!$E26,РПЗ!$AE:$AE,4)</f>
        <v>0</v>
      </c>
      <c r="Q49" s="187">
        <f>COUNTIFS(РПЗ!$AB:$AB,Справочно!$E26,РПЗ!$AE:$AE,5)</f>
        <v>0</v>
      </c>
      <c r="R49" s="376">
        <f>SUMIFS(РПЗ!$L:$L,РПЗ!$AB:$AB,Справочно!$E26,РПЗ!$AE:$AE,5)</f>
        <v>0</v>
      </c>
      <c r="S49" s="187">
        <f>COUNTIFS(РПЗ!$AB:$AB,Справочно!$E26,РПЗ!$AE:$AE,6)</f>
        <v>0</v>
      </c>
      <c r="T49" s="376">
        <f>SUMIFS(РПЗ!$L:$L,РПЗ!$AB:$AB,Справочно!$E26,РПЗ!$AE:$AE,6)</f>
        <v>0</v>
      </c>
      <c r="U49" s="197">
        <f t="shared" si="20"/>
        <v>0</v>
      </c>
      <c r="V49" s="337">
        <f t="shared" si="21"/>
        <v>0</v>
      </c>
      <c r="W49" s="200">
        <f>COUNTIFS(РПЗ!$AB:$AB,Справочно!$E26,РПЗ!$AE:$AE,7)</f>
        <v>0</v>
      </c>
      <c r="X49" s="378">
        <f>SUMIFS(РПЗ!$L:$L,РПЗ!$AB:$AB,Справочно!$E26,РПЗ!$AE:$AE,7)</f>
        <v>0</v>
      </c>
      <c r="Y49" s="200">
        <f>COUNTIFS(РПЗ!$AB:$AB,Справочно!$E26,РПЗ!$AE:$AE,8)</f>
        <v>0</v>
      </c>
      <c r="Z49" s="378">
        <f>SUMIFS(РПЗ!$L:$L,РПЗ!$AB:$AB,Справочно!$E26,РПЗ!$AE:$AE,8)</f>
        <v>0</v>
      </c>
      <c r="AA49" s="200">
        <f>COUNTIFS(РПЗ!$AB:$AB,Справочно!$E26,РПЗ!$AE:$AE,9)</f>
        <v>0</v>
      </c>
      <c r="AB49" s="378">
        <f>SUMIFS(РПЗ!$L:$L,РПЗ!$AB:$AB,Справочно!$E26,РПЗ!$AE:$AE,9)</f>
        <v>0</v>
      </c>
      <c r="AC49" s="198">
        <f t="shared" si="22"/>
        <v>0</v>
      </c>
      <c r="AD49" s="339">
        <f t="shared" si="23"/>
        <v>0</v>
      </c>
      <c r="AE49" s="205">
        <f>COUNTIFS(РПЗ!$AB:$AB,Справочно!$E26,РПЗ!$AE:$AE,10)</f>
        <v>0</v>
      </c>
      <c r="AF49" s="380">
        <f>SUMIFS(РПЗ!$L:$L,РПЗ!$AB:$AB,Справочно!$E26,РПЗ!$AE:$AE,10)</f>
        <v>0</v>
      </c>
      <c r="AG49" s="181">
        <f>COUNTIFS(РПЗ!$AB:$AB,Справочно!$E26,РПЗ!$AE:$AE,11)</f>
        <v>0</v>
      </c>
      <c r="AH49" s="380">
        <f>SUMIFS(РПЗ!$L:$L,РПЗ!$AB:$AB,Справочно!$E26,РПЗ!$AE:$AE,11)</f>
        <v>0</v>
      </c>
      <c r="AI49" s="181">
        <f>COUNTIFS(РПЗ!$AB:$AB,Справочно!$E26,РПЗ!$AE:$AE,12)</f>
        <v>0</v>
      </c>
      <c r="AJ49" s="380">
        <f>SUMIFS(РПЗ!$L:$L,РПЗ!$AB:$AB,Справочно!$E26,РПЗ!$AE:$AE,12)</f>
        <v>0</v>
      </c>
      <c r="AK49" s="202">
        <f t="shared" si="24"/>
        <v>0</v>
      </c>
      <c r="AL49" s="341">
        <f t="shared" si="25"/>
        <v>0</v>
      </c>
    </row>
    <row r="50" spans="1:38" ht="13.5" thickBot="1" x14ac:dyDescent="0.25">
      <c r="A50" s="94" t="str">
        <f>Справочно!E27</f>
        <v>АО "Станкопром"</v>
      </c>
      <c r="B50" s="73">
        <f>COUNTIF(РПЗ!$AB:$AB,Справочно!$E27)</f>
        <v>0</v>
      </c>
      <c r="C50" s="360" t="e">
        <f t="shared" si="17"/>
        <v>#DIV/0!</v>
      </c>
      <c r="D50" s="361">
        <f>SUMIF(РПЗ!$AB:$AB,Справочно!$E27,РПЗ!$L:$L)</f>
        <v>0</v>
      </c>
      <c r="E50" s="360" t="e">
        <f t="shared" si="16"/>
        <v>#DIV/0!</v>
      </c>
      <c r="G50" s="150">
        <f>COUNTIFS(РПЗ!$AB:$AB,Справочно!$E27,РПЗ!$AE:$AE,1)</f>
        <v>0</v>
      </c>
      <c r="H50" s="342">
        <f>SUMIFS(РПЗ!$L:$L,РПЗ!$AB:$AB,Справочно!$E27,РПЗ!$AE:$AE,1)</f>
        <v>0</v>
      </c>
      <c r="I50" s="150">
        <f>COUNTIFS(РПЗ!$AB:$AB,Справочно!$E27,РПЗ!$AE:$AE,2)</f>
        <v>0</v>
      </c>
      <c r="J50" s="342">
        <f>SUMIFS(РПЗ!$L:$L,РПЗ!$AB:$AB,Справочно!$E27,РПЗ!$AE:$AE,2)</f>
        <v>0</v>
      </c>
      <c r="K50" s="150">
        <f>COUNTIFS(РПЗ!$AB:$AB,Справочно!$E27,РПЗ!$AE:$AE,3)</f>
        <v>0</v>
      </c>
      <c r="L50" s="342">
        <f>SUMIFS(РПЗ!$L:$L,РПЗ!$AB:$AB,Справочно!$E27,РПЗ!$AE:$AE,3)</f>
        <v>0</v>
      </c>
      <c r="M50" s="193">
        <f t="shared" si="18"/>
        <v>0</v>
      </c>
      <c r="N50" s="335">
        <f t="shared" si="19"/>
        <v>0</v>
      </c>
      <c r="O50" s="195">
        <f>COUNTIFS(РПЗ!$AB:$AB,Справочно!$E27,РПЗ!$AE:$AE,4)</f>
        <v>0</v>
      </c>
      <c r="P50" s="376">
        <f>SUMIFS(РПЗ!$L:$L,РПЗ!$AB:$AB,Справочно!$E27,РПЗ!$AE:$AE,4)</f>
        <v>0</v>
      </c>
      <c r="Q50" s="187">
        <f>COUNTIFS(РПЗ!$AB:$AB,Справочно!$E27,РПЗ!$AE:$AE,5)</f>
        <v>0</v>
      </c>
      <c r="R50" s="376">
        <f>SUMIFS(РПЗ!$L:$L,РПЗ!$AB:$AB,Справочно!$E27,РПЗ!$AE:$AE,5)</f>
        <v>0</v>
      </c>
      <c r="S50" s="187">
        <f>COUNTIFS(РПЗ!$AB:$AB,Справочно!$E27,РПЗ!$AE:$AE,6)</f>
        <v>0</v>
      </c>
      <c r="T50" s="376">
        <f>SUMIFS(РПЗ!$L:$L,РПЗ!$AB:$AB,Справочно!$E27,РПЗ!$AE:$AE,6)</f>
        <v>0</v>
      </c>
      <c r="U50" s="197">
        <f t="shared" si="20"/>
        <v>0</v>
      </c>
      <c r="V50" s="337">
        <f t="shared" si="21"/>
        <v>0</v>
      </c>
      <c r="W50" s="200">
        <f>COUNTIFS(РПЗ!$AB:$AB,Справочно!$E27,РПЗ!$AE:$AE,7)</f>
        <v>0</v>
      </c>
      <c r="X50" s="378">
        <f>SUMIFS(РПЗ!$L:$L,РПЗ!$AB:$AB,Справочно!$E27,РПЗ!$AE:$AE,7)</f>
        <v>0</v>
      </c>
      <c r="Y50" s="200">
        <f>COUNTIFS(РПЗ!$AB:$AB,Справочно!$E27,РПЗ!$AE:$AE,8)</f>
        <v>0</v>
      </c>
      <c r="Z50" s="378">
        <f>SUMIFS(РПЗ!$L:$L,РПЗ!$AB:$AB,Справочно!$E27,РПЗ!$AE:$AE,8)</f>
        <v>0</v>
      </c>
      <c r="AA50" s="200">
        <f>COUNTIFS(РПЗ!$AB:$AB,Справочно!$E27,РПЗ!$AE:$AE,9)</f>
        <v>0</v>
      </c>
      <c r="AB50" s="378">
        <f>SUMIFS(РПЗ!$L:$L,РПЗ!$AB:$AB,Справочно!$E27,РПЗ!$AE:$AE,9)</f>
        <v>0</v>
      </c>
      <c r="AC50" s="198">
        <f t="shared" si="22"/>
        <v>0</v>
      </c>
      <c r="AD50" s="339">
        <f t="shared" si="23"/>
        <v>0</v>
      </c>
      <c r="AE50" s="205">
        <f>COUNTIFS(РПЗ!$AB:$AB,Справочно!$E27,РПЗ!$AE:$AE,10)</f>
        <v>0</v>
      </c>
      <c r="AF50" s="380">
        <f>SUMIFS(РПЗ!$L:$L,РПЗ!$AB:$AB,Справочно!$E27,РПЗ!$AE:$AE,10)</f>
        <v>0</v>
      </c>
      <c r="AG50" s="181">
        <f>COUNTIFS(РПЗ!$AB:$AB,Справочно!$E27,РПЗ!$AE:$AE,11)</f>
        <v>0</v>
      </c>
      <c r="AH50" s="380">
        <f>SUMIFS(РПЗ!$L:$L,РПЗ!$AB:$AB,Справочно!$E27,РПЗ!$AE:$AE,11)</f>
        <v>0</v>
      </c>
      <c r="AI50" s="181">
        <f>COUNTIFS(РПЗ!$AB:$AB,Справочно!$E27,РПЗ!$AE:$AE,12)</f>
        <v>0</v>
      </c>
      <c r="AJ50" s="380">
        <f>SUMIFS(РПЗ!$L:$L,РПЗ!$AB:$AB,Справочно!$E27,РПЗ!$AE:$AE,12)</f>
        <v>0</v>
      </c>
      <c r="AK50" s="202">
        <f t="shared" si="24"/>
        <v>0</v>
      </c>
      <c r="AL50" s="341">
        <f t="shared" si="25"/>
        <v>0</v>
      </c>
    </row>
    <row r="51" spans="1:38" ht="13.5" thickBot="1" x14ac:dyDescent="0.25">
      <c r="A51" s="94" t="str">
        <f>Справочно!E28</f>
        <v>АО "СИБЕР"</v>
      </c>
      <c r="B51" s="73">
        <f>COUNTIF(РПЗ!$AB:$AB,Справочно!$E28)</f>
        <v>0</v>
      </c>
      <c r="C51" s="360" t="e">
        <f t="shared" si="17"/>
        <v>#DIV/0!</v>
      </c>
      <c r="D51" s="361">
        <f>SUMIF(РПЗ!$AB:$AB,Справочно!$E28,РПЗ!$L:$L)</f>
        <v>0</v>
      </c>
      <c r="E51" s="360" t="e">
        <f t="shared" si="16"/>
        <v>#DIV/0!</v>
      </c>
      <c r="G51" s="150">
        <f>COUNTIFS(РПЗ!$AB:$AB,Справочно!$E28,РПЗ!$AE:$AE,1)</f>
        <v>0</v>
      </c>
      <c r="H51" s="342">
        <f>SUMIFS(РПЗ!$L:$L,РПЗ!$AB:$AB,Справочно!$E28,РПЗ!$AE:$AE,1)</f>
        <v>0</v>
      </c>
      <c r="I51" s="150">
        <f>COUNTIFS(РПЗ!$AB:$AB,Справочно!$E28,РПЗ!$AE:$AE,2)</f>
        <v>0</v>
      </c>
      <c r="J51" s="342">
        <f>SUMIFS(РПЗ!$L:$L,РПЗ!$AB:$AB,Справочно!$E28,РПЗ!$AE:$AE,2)</f>
        <v>0</v>
      </c>
      <c r="K51" s="150">
        <f>COUNTIFS(РПЗ!$AB:$AB,Справочно!$E28,РПЗ!$AE:$AE,3)</f>
        <v>0</v>
      </c>
      <c r="L51" s="342">
        <f>SUMIFS(РПЗ!$L:$L,РПЗ!$AB:$AB,Справочно!$E28,РПЗ!$AE:$AE,3)</f>
        <v>0</v>
      </c>
      <c r="M51" s="193">
        <f t="shared" si="18"/>
        <v>0</v>
      </c>
      <c r="N51" s="335">
        <f t="shared" si="19"/>
        <v>0</v>
      </c>
      <c r="O51" s="195">
        <f>COUNTIFS(РПЗ!$AB:$AB,Справочно!$E28,РПЗ!$AE:$AE,4)</f>
        <v>0</v>
      </c>
      <c r="P51" s="376">
        <f>SUMIFS(РПЗ!$L:$L,РПЗ!$AB:$AB,Справочно!$E28,РПЗ!$AE:$AE,4)</f>
        <v>0</v>
      </c>
      <c r="Q51" s="187">
        <f>COUNTIFS(РПЗ!$AB:$AB,Справочно!$E28,РПЗ!$AE:$AE,5)</f>
        <v>0</v>
      </c>
      <c r="R51" s="376">
        <f>SUMIFS(РПЗ!$L:$L,РПЗ!$AB:$AB,Справочно!$E28,РПЗ!$AE:$AE,5)</f>
        <v>0</v>
      </c>
      <c r="S51" s="187">
        <f>COUNTIFS(РПЗ!$AB:$AB,Справочно!$E28,РПЗ!$AE:$AE,6)</f>
        <v>0</v>
      </c>
      <c r="T51" s="376">
        <f>SUMIFS(РПЗ!$L:$L,РПЗ!$AB:$AB,Справочно!$E28,РПЗ!$AE:$AE,6)</f>
        <v>0</v>
      </c>
      <c r="U51" s="197">
        <f t="shared" si="20"/>
        <v>0</v>
      </c>
      <c r="V51" s="337">
        <f t="shared" si="21"/>
        <v>0</v>
      </c>
      <c r="W51" s="200">
        <f>COUNTIFS(РПЗ!$AB:$AB,Справочно!$E28,РПЗ!$AE:$AE,7)</f>
        <v>0</v>
      </c>
      <c r="X51" s="378">
        <f>SUMIFS(РПЗ!$L:$L,РПЗ!$AB:$AB,Справочно!$E28,РПЗ!$AE:$AE,7)</f>
        <v>0</v>
      </c>
      <c r="Y51" s="200">
        <f>COUNTIFS(РПЗ!$AB:$AB,Справочно!$E28,РПЗ!$AE:$AE,8)</f>
        <v>0</v>
      </c>
      <c r="Z51" s="378">
        <f>SUMIFS(РПЗ!$L:$L,РПЗ!$AB:$AB,Справочно!$E28,РПЗ!$AE:$AE,8)</f>
        <v>0</v>
      </c>
      <c r="AA51" s="200">
        <f>COUNTIFS(РПЗ!$AB:$AB,Справочно!$E28,РПЗ!$AE:$AE,9)</f>
        <v>0</v>
      </c>
      <c r="AB51" s="378">
        <f>SUMIFS(РПЗ!$L:$L,РПЗ!$AB:$AB,Справочно!$E28,РПЗ!$AE:$AE,9)</f>
        <v>0</v>
      </c>
      <c r="AC51" s="198">
        <f t="shared" si="22"/>
        <v>0</v>
      </c>
      <c r="AD51" s="339">
        <f t="shared" si="23"/>
        <v>0</v>
      </c>
      <c r="AE51" s="205">
        <f>COUNTIFS(РПЗ!$AB:$AB,Справочно!$E28,РПЗ!$AE:$AE,10)</f>
        <v>0</v>
      </c>
      <c r="AF51" s="380">
        <f>SUMIFS(РПЗ!$L:$L,РПЗ!$AB:$AB,Справочно!$E28,РПЗ!$AE:$AE,10)</f>
        <v>0</v>
      </c>
      <c r="AG51" s="181">
        <f>COUNTIFS(РПЗ!$AB:$AB,Справочно!$E28,РПЗ!$AE:$AE,11)</f>
        <v>0</v>
      </c>
      <c r="AH51" s="380">
        <f>SUMIFS(РПЗ!$L:$L,РПЗ!$AB:$AB,Справочно!$E28,РПЗ!$AE:$AE,11)</f>
        <v>0</v>
      </c>
      <c r="AI51" s="181">
        <f>COUNTIFS(РПЗ!$AB:$AB,Справочно!$E28,РПЗ!$AE:$AE,12)</f>
        <v>0</v>
      </c>
      <c r="AJ51" s="380">
        <f>SUMIFS(РПЗ!$L:$L,РПЗ!$AB:$AB,Справочно!$E28,РПЗ!$AE:$AE,12)</f>
        <v>0</v>
      </c>
      <c r="AK51" s="202">
        <f t="shared" si="24"/>
        <v>0</v>
      </c>
      <c r="AL51" s="341">
        <f t="shared" si="25"/>
        <v>0</v>
      </c>
    </row>
    <row r="52" spans="1:38" ht="26.25" thickBot="1" x14ac:dyDescent="0.25">
      <c r="A52" s="94" t="str">
        <f>Справочно!E29</f>
        <v>АО "Объединенная двигателестроительная корпорация"</v>
      </c>
      <c r="B52" s="73">
        <f>COUNTIF(РПЗ!$AB:$AB,Справочно!$E29)</f>
        <v>0</v>
      </c>
      <c r="C52" s="351" t="e">
        <f t="shared" si="17"/>
        <v>#DIV/0!</v>
      </c>
      <c r="D52" s="361">
        <f>SUMIF(РПЗ!$AB:$AB,Справочно!$E29,РПЗ!$L:$L)</f>
        <v>0</v>
      </c>
      <c r="E52" s="351" t="e">
        <f t="shared" si="16"/>
        <v>#DIV/0!</v>
      </c>
      <c r="F52" s="47"/>
      <c r="G52" s="150">
        <f>COUNTIFS(РПЗ!$AB:$AB,Справочно!$E29,РПЗ!$AE:$AE,1)</f>
        <v>0</v>
      </c>
      <c r="H52" s="342">
        <f>SUMIFS(РПЗ!$L:$L,РПЗ!$AB:$AB,Справочно!$E29,РПЗ!$AE:$AE,1)</f>
        <v>0</v>
      </c>
      <c r="I52" s="150">
        <f>COUNTIFS(РПЗ!$AB:$AB,Справочно!$E29,РПЗ!$AE:$AE,2)</f>
        <v>0</v>
      </c>
      <c r="J52" s="342">
        <f>SUMIFS(РПЗ!$L:$L,РПЗ!$AB:$AB,Справочно!$E29,РПЗ!$AE:$AE,2)</f>
        <v>0</v>
      </c>
      <c r="K52" s="150">
        <f>COUNTIFS(РПЗ!$AB:$AB,Справочно!$E29,РПЗ!$AE:$AE,3)</f>
        <v>0</v>
      </c>
      <c r="L52" s="342">
        <f>SUMIFS(РПЗ!$L:$L,РПЗ!$AB:$AB,Справочно!$E29,РПЗ!$AE:$AE,3)</f>
        <v>0</v>
      </c>
      <c r="M52" s="193">
        <f t="shared" si="18"/>
        <v>0</v>
      </c>
      <c r="N52" s="335">
        <f t="shared" si="19"/>
        <v>0</v>
      </c>
      <c r="O52" s="195">
        <f>COUNTIFS(РПЗ!$AB:$AB,Справочно!$E29,РПЗ!$AE:$AE,4)</f>
        <v>0</v>
      </c>
      <c r="P52" s="376">
        <f>SUMIFS(РПЗ!$L:$L,РПЗ!$AB:$AB,Справочно!$E29,РПЗ!$AE:$AE,4)</f>
        <v>0</v>
      </c>
      <c r="Q52" s="187">
        <f>COUNTIFS(РПЗ!$AB:$AB,Справочно!$E29,РПЗ!$AE:$AE,5)</f>
        <v>0</v>
      </c>
      <c r="R52" s="376">
        <f>SUMIFS(РПЗ!$L:$L,РПЗ!$AB:$AB,Справочно!$E29,РПЗ!$AE:$AE,5)</f>
        <v>0</v>
      </c>
      <c r="S52" s="187">
        <f>COUNTIFS(РПЗ!$AB:$AB,Справочно!$E29,РПЗ!$AE:$AE,6)</f>
        <v>0</v>
      </c>
      <c r="T52" s="376">
        <f>SUMIFS(РПЗ!$L:$L,РПЗ!$AB:$AB,Справочно!$E29,РПЗ!$AE:$AE,6)</f>
        <v>0</v>
      </c>
      <c r="U52" s="197">
        <f t="shared" si="20"/>
        <v>0</v>
      </c>
      <c r="V52" s="337">
        <f t="shared" si="21"/>
        <v>0</v>
      </c>
      <c r="W52" s="200">
        <f>COUNTIFS(РПЗ!$AB:$AB,Справочно!$E29,РПЗ!$AE:$AE,7)</f>
        <v>0</v>
      </c>
      <c r="X52" s="378">
        <f>SUMIFS(РПЗ!$L:$L,РПЗ!$AB:$AB,Справочно!$E29,РПЗ!$AE:$AE,7)</f>
        <v>0</v>
      </c>
      <c r="Y52" s="200">
        <f>COUNTIFS(РПЗ!$AB:$AB,Справочно!$E29,РПЗ!$AE:$AE,8)</f>
        <v>0</v>
      </c>
      <c r="Z52" s="378">
        <f>SUMIFS(РПЗ!$L:$L,РПЗ!$AB:$AB,Справочно!$E29,РПЗ!$AE:$AE,8)</f>
        <v>0</v>
      </c>
      <c r="AA52" s="200">
        <f>COUNTIFS(РПЗ!$AB:$AB,Справочно!$E29,РПЗ!$AE:$AE,9)</f>
        <v>0</v>
      </c>
      <c r="AB52" s="378">
        <f>SUMIFS(РПЗ!$L:$L,РПЗ!$AB:$AB,Справочно!$E29,РПЗ!$AE:$AE,9)</f>
        <v>0</v>
      </c>
      <c r="AC52" s="198">
        <f t="shared" si="22"/>
        <v>0</v>
      </c>
      <c r="AD52" s="339">
        <f t="shared" si="23"/>
        <v>0</v>
      </c>
      <c r="AE52" s="205">
        <f>COUNTIFS(РПЗ!$AB:$AB,Справочно!$E29,РПЗ!$AE:$AE,10)</f>
        <v>0</v>
      </c>
      <c r="AF52" s="380">
        <f>SUMIFS(РПЗ!$L:$L,РПЗ!$AB:$AB,Справочно!$E29,РПЗ!$AE:$AE,10)</f>
        <v>0</v>
      </c>
      <c r="AG52" s="181">
        <f>COUNTIFS(РПЗ!$AB:$AB,Справочно!$E29,РПЗ!$AE:$AE,11)</f>
        <v>0</v>
      </c>
      <c r="AH52" s="380">
        <f>SUMIFS(РПЗ!$L:$L,РПЗ!$AB:$AB,Справочно!$E29,РПЗ!$AE:$AE,11)</f>
        <v>0</v>
      </c>
      <c r="AI52" s="181">
        <f>COUNTIFS(РПЗ!$AB:$AB,Справочно!$E29,РПЗ!$AE:$AE,12)</f>
        <v>0</v>
      </c>
      <c r="AJ52" s="380">
        <f>SUMIFS(РПЗ!$L:$L,РПЗ!$AB:$AB,Справочно!$E29,РПЗ!$AE:$AE,12)</f>
        <v>0</v>
      </c>
      <c r="AK52" s="202">
        <f t="shared" si="24"/>
        <v>0</v>
      </c>
      <c r="AL52" s="341">
        <f t="shared" si="25"/>
        <v>0</v>
      </c>
    </row>
    <row r="53" spans="1:38" ht="13.5" thickBot="1" x14ac:dyDescent="0.25">
      <c r="A53" s="94" t="str">
        <f>Справочно!E30</f>
        <v>ООО "РТ-Информ"</v>
      </c>
      <c r="B53" s="73">
        <f>COUNTIF(РПЗ!$AB:$AB,Справочно!$E30)</f>
        <v>0</v>
      </c>
      <c r="C53" s="360" t="e">
        <f t="shared" si="17"/>
        <v>#DIV/0!</v>
      </c>
      <c r="D53" s="361">
        <f>SUMIF(РПЗ!$AB:$AB,Справочно!$E30,РПЗ!$L:$L)</f>
        <v>0</v>
      </c>
      <c r="E53" s="360" t="e">
        <f t="shared" si="16"/>
        <v>#DIV/0!</v>
      </c>
      <c r="G53" s="150">
        <f>COUNTIFS(РПЗ!$AB:$AB,Справочно!$E30,РПЗ!$AE:$AE,1)</f>
        <v>0</v>
      </c>
      <c r="H53" s="342">
        <f>SUMIFS(РПЗ!$L:$L,РПЗ!$AB:$AB,Справочно!$E30,РПЗ!$AE:$AE,1)</f>
        <v>0</v>
      </c>
      <c r="I53" s="150">
        <f>COUNTIFS(РПЗ!$AB:$AB,Справочно!$E30,РПЗ!$AE:$AE,2)</f>
        <v>0</v>
      </c>
      <c r="J53" s="342">
        <f>SUMIFS(РПЗ!$L:$L,РПЗ!$AB:$AB,Справочно!$E30,РПЗ!$AE:$AE,2)</f>
        <v>0</v>
      </c>
      <c r="K53" s="150">
        <f>COUNTIFS(РПЗ!$AB:$AB,Справочно!$E30,РПЗ!$AE:$AE,3)</f>
        <v>0</v>
      </c>
      <c r="L53" s="342">
        <f>SUMIFS(РПЗ!$L:$L,РПЗ!$AB:$AB,Справочно!$E30,РПЗ!$AE:$AE,3)</f>
        <v>0</v>
      </c>
      <c r="M53" s="193">
        <f t="shared" si="18"/>
        <v>0</v>
      </c>
      <c r="N53" s="335">
        <f t="shared" si="19"/>
        <v>0</v>
      </c>
      <c r="O53" s="195">
        <f>COUNTIFS(РПЗ!$AB:$AB,Справочно!$E30,РПЗ!$AE:$AE,4)</f>
        <v>0</v>
      </c>
      <c r="P53" s="376">
        <f>SUMIFS(РПЗ!$L:$L,РПЗ!$AB:$AB,Справочно!$E30,РПЗ!$AE:$AE,4)</f>
        <v>0</v>
      </c>
      <c r="Q53" s="187">
        <f>COUNTIFS(РПЗ!$AB:$AB,Справочно!$E30,РПЗ!$AE:$AE,5)</f>
        <v>0</v>
      </c>
      <c r="R53" s="376">
        <f>SUMIFS(РПЗ!$L:$L,РПЗ!$AB:$AB,Справочно!$E30,РПЗ!$AE:$AE,5)</f>
        <v>0</v>
      </c>
      <c r="S53" s="187">
        <f>COUNTIFS(РПЗ!$AB:$AB,Справочно!$E30,РПЗ!$AE:$AE,6)</f>
        <v>0</v>
      </c>
      <c r="T53" s="376">
        <f>SUMIFS(РПЗ!$L:$L,РПЗ!$AB:$AB,Справочно!$E30,РПЗ!$AE:$AE,6)</f>
        <v>0</v>
      </c>
      <c r="U53" s="197">
        <f t="shared" si="20"/>
        <v>0</v>
      </c>
      <c r="V53" s="337">
        <f t="shared" si="21"/>
        <v>0</v>
      </c>
      <c r="W53" s="200">
        <f>COUNTIFS(РПЗ!$AB:$AB,Справочно!$E30,РПЗ!$AE:$AE,7)</f>
        <v>0</v>
      </c>
      <c r="X53" s="378">
        <f>SUMIFS(РПЗ!$L:$L,РПЗ!$AB:$AB,Справочно!$E30,РПЗ!$AE:$AE,7)</f>
        <v>0</v>
      </c>
      <c r="Y53" s="200">
        <f>COUNTIFS(РПЗ!$AB:$AB,Справочно!$E30,РПЗ!$AE:$AE,8)</f>
        <v>0</v>
      </c>
      <c r="Z53" s="378">
        <f>SUMIFS(РПЗ!$L:$L,РПЗ!$AB:$AB,Справочно!$E30,РПЗ!$AE:$AE,8)</f>
        <v>0</v>
      </c>
      <c r="AA53" s="200">
        <f>COUNTIFS(РПЗ!$AB:$AB,Справочно!$E30,РПЗ!$AE:$AE,9)</f>
        <v>0</v>
      </c>
      <c r="AB53" s="378">
        <f>SUMIFS(РПЗ!$L:$L,РПЗ!$AB:$AB,Справочно!$E30,РПЗ!$AE:$AE,9)</f>
        <v>0</v>
      </c>
      <c r="AC53" s="198">
        <f t="shared" si="22"/>
        <v>0</v>
      </c>
      <c r="AD53" s="339">
        <f t="shared" si="23"/>
        <v>0</v>
      </c>
      <c r="AE53" s="205">
        <f>COUNTIFS(РПЗ!$AB:$AB,Справочно!$E30,РПЗ!$AE:$AE,10)</f>
        <v>0</v>
      </c>
      <c r="AF53" s="380">
        <f>SUMIFS(РПЗ!$L:$L,РПЗ!$AB:$AB,Справочно!$E30,РПЗ!$AE:$AE,10)</f>
        <v>0</v>
      </c>
      <c r="AG53" s="181">
        <f>COUNTIFS(РПЗ!$AB:$AB,Справочно!$E30,РПЗ!$AE:$AE,11)</f>
        <v>0</v>
      </c>
      <c r="AH53" s="380">
        <f>SUMIFS(РПЗ!$L:$L,РПЗ!$AB:$AB,Справочно!$E30,РПЗ!$AE:$AE,11)</f>
        <v>0</v>
      </c>
      <c r="AI53" s="181">
        <f>COUNTIFS(РПЗ!$AB:$AB,Справочно!$E30,РПЗ!$AE:$AE,12)</f>
        <v>0</v>
      </c>
      <c r="AJ53" s="380">
        <f>SUMIFS(РПЗ!$L:$L,РПЗ!$AB:$AB,Справочно!$E30,РПЗ!$AE:$AE,12)</f>
        <v>0</v>
      </c>
      <c r="AK53" s="202">
        <f t="shared" si="24"/>
        <v>0</v>
      </c>
      <c r="AL53" s="341">
        <f t="shared" si="25"/>
        <v>0</v>
      </c>
    </row>
    <row r="54" spans="1:38" ht="13.5" thickBot="1" x14ac:dyDescent="0.25">
      <c r="A54" s="94" t="str">
        <f>Справочно!E31</f>
        <v>ООО "РТ-Комплектимпекс"</v>
      </c>
      <c r="B54" s="73">
        <f>COUNTIF(РПЗ!$AB:$AB,Справочно!$E31)</f>
        <v>0</v>
      </c>
      <c r="C54" s="360" t="e">
        <f t="shared" si="17"/>
        <v>#DIV/0!</v>
      </c>
      <c r="D54" s="361">
        <f>SUMIF(РПЗ!$AB:$AB,Справочно!$E31,РПЗ!$L:$L)</f>
        <v>0</v>
      </c>
      <c r="E54" s="360" t="e">
        <f t="shared" si="16"/>
        <v>#DIV/0!</v>
      </c>
      <c r="G54" s="150">
        <f>COUNTIFS(РПЗ!$AB:$AB,Справочно!$E31,РПЗ!$AE:$AE,1)</f>
        <v>0</v>
      </c>
      <c r="H54" s="342">
        <f>SUMIFS(РПЗ!$L:$L,РПЗ!$AB:$AB,Справочно!$E31,РПЗ!$AE:$AE,1)</f>
        <v>0</v>
      </c>
      <c r="I54" s="150">
        <f>COUNTIFS(РПЗ!$AB:$AB,Справочно!$E31,РПЗ!$AE:$AE,2)</f>
        <v>0</v>
      </c>
      <c r="J54" s="342">
        <f>SUMIFS(РПЗ!$L:$L,РПЗ!$AB:$AB,Справочно!$E31,РПЗ!$AE:$AE,2)</f>
        <v>0</v>
      </c>
      <c r="K54" s="150">
        <f>COUNTIFS(РПЗ!$AB:$AB,Справочно!$E31,РПЗ!$AE:$AE,3)</f>
        <v>0</v>
      </c>
      <c r="L54" s="342">
        <f>SUMIFS(РПЗ!$L:$L,РПЗ!$AB:$AB,Справочно!$E31,РПЗ!$AE:$AE,3)</f>
        <v>0</v>
      </c>
      <c r="M54" s="193">
        <f t="shared" si="18"/>
        <v>0</v>
      </c>
      <c r="N54" s="335">
        <f t="shared" si="19"/>
        <v>0</v>
      </c>
      <c r="O54" s="195">
        <f>COUNTIFS(РПЗ!$AB:$AB,Справочно!$E31,РПЗ!$AE:$AE,4)</f>
        <v>0</v>
      </c>
      <c r="P54" s="376">
        <f>SUMIFS(РПЗ!$L:$L,РПЗ!$AB:$AB,Справочно!$E31,РПЗ!$AE:$AE,4)</f>
        <v>0</v>
      </c>
      <c r="Q54" s="187">
        <f>COUNTIFS(РПЗ!$AB:$AB,Справочно!$E31,РПЗ!$AE:$AE,5)</f>
        <v>0</v>
      </c>
      <c r="R54" s="376">
        <f>SUMIFS(РПЗ!$L:$L,РПЗ!$AB:$AB,Справочно!$E31,РПЗ!$AE:$AE,5)</f>
        <v>0</v>
      </c>
      <c r="S54" s="187">
        <f>COUNTIFS(РПЗ!$AB:$AB,Справочно!$E31,РПЗ!$AE:$AE,6)</f>
        <v>0</v>
      </c>
      <c r="T54" s="376">
        <f>SUMIFS(РПЗ!$L:$L,РПЗ!$AB:$AB,Справочно!$E31,РПЗ!$AE:$AE,6)</f>
        <v>0</v>
      </c>
      <c r="U54" s="197">
        <f t="shared" si="20"/>
        <v>0</v>
      </c>
      <c r="V54" s="337">
        <f t="shared" si="21"/>
        <v>0</v>
      </c>
      <c r="W54" s="200">
        <f>COUNTIFS(РПЗ!$AB:$AB,Справочно!$E31,РПЗ!$AE:$AE,7)</f>
        <v>0</v>
      </c>
      <c r="X54" s="378">
        <f>SUMIFS(РПЗ!$L:$L,РПЗ!$AB:$AB,Справочно!$E31,РПЗ!$AE:$AE,7)</f>
        <v>0</v>
      </c>
      <c r="Y54" s="200">
        <f>COUNTIFS(РПЗ!$AB:$AB,Справочно!$E31,РПЗ!$AE:$AE,8)</f>
        <v>0</v>
      </c>
      <c r="Z54" s="378">
        <f>SUMIFS(РПЗ!$L:$L,РПЗ!$AB:$AB,Справочно!$E31,РПЗ!$AE:$AE,8)</f>
        <v>0</v>
      </c>
      <c r="AA54" s="200">
        <f>COUNTIFS(РПЗ!$AB:$AB,Справочно!$E31,РПЗ!$AE:$AE,9)</f>
        <v>0</v>
      </c>
      <c r="AB54" s="378">
        <f>SUMIFS(РПЗ!$L:$L,РПЗ!$AB:$AB,Справочно!$E31,РПЗ!$AE:$AE,9)</f>
        <v>0</v>
      </c>
      <c r="AC54" s="198">
        <f t="shared" si="22"/>
        <v>0</v>
      </c>
      <c r="AD54" s="339">
        <f t="shared" si="23"/>
        <v>0</v>
      </c>
      <c r="AE54" s="205">
        <f>COUNTIFS(РПЗ!$AB:$AB,Справочно!$E31,РПЗ!$AE:$AE,10)</f>
        <v>0</v>
      </c>
      <c r="AF54" s="380">
        <f>SUMIFS(РПЗ!$L:$L,РПЗ!$AB:$AB,Справочно!$E31,РПЗ!$AE:$AE,10)</f>
        <v>0</v>
      </c>
      <c r="AG54" s="181">
        <f>COUNTIFS(РПЗ!$AB:$AB,Справочно!$E31,РПЗ!$AE:$AE,11)</f>
        <v>0</v>
      </c>
      <c r="AH54" s="380">
        <f>SUMIFS(РПЗ!$L:$L,РПЗ!$AB:$AB,Справочно!$E31,РПЗ!$AE:$AE,11)</f>
        <v>0</v>
      </c>
      <c r="AI54" s="181">
        <f>COUNTIFS(РПЗ!$AB:$AB,Справочно!$E31,РПЗ!$AE:$AE,12)</f>
        <v>0</v>
      </c>
      <c r="AJ54" s="380">
        <f>SUMIFS(РПЗ!$L:$L,РПЗ!$AB:$AB,Справочно!$E31,РПЗ!$AE:$AE,12)</f>
        <v>0</v>
      </c>
      <c r="AK54" s="202">
        <f t="shared" si="24"/>
        <v>0</v>
      </c>
      <c r="AL54" s="341">
        <f t="shared" si="25"/>
        <v>0</v>
      </c>
    </row>
    <row r="55" spans="1:38" ht="13.5" thickBot="1" x14ac:dyDescent="0.25">
      <c r="A55" s="94" t="str">
        <f>Справочно!E32</f>
        <v>ООО "РТ-Экспо"</v>
      </c>
      <c r="B55" s="73">
        <f>COUNTIF(РПЗ!$AB:$AB,Справочно!$E32)</f>
        <v>0</v>
      </c>
      <c r="C55" s="360" t="e">
        <f t="shared" si="17"/>
        <v>#DIV/0!</v>
      </c>
      <c r="D55" s="361">
        <f>SUMIF(РПЗ!$AB:$AB,Справочно!$E32,РПЗ!$L:$L)</f>
        <v>0</v>
      </c>
      <c r="E55" s="360" t="e">
        <f t="shared" si="16"/>
        <v>#DIV/0!</v>
      </c>
      <c r="G55" s="150">
        <f>COUNTIFS(РПЗ!$AB:$AB,Справочно!$E32,РПЗ!$AE:$AE,1)</f>
        <v>0</v>
      </c>
      <c r="H55" s="342">
        <f>SUMIFS(РПЗ!$L:$L,РПЗ!$AB:$AB,Справочно!$E32,РПЗ!$AE:$AE,1)</f>
        <v>0</v>
      </c>
      <c r="I55" s="150">
        <f>COUNTIFS(РПЗ!$AB:$AB,Справочно!$E32,РПЗ!$AE:$AE,2)</f>
        <v>0</v>
      </c>
      <c r="J55" s="342">
        <f>SUMIFS(РПЗ!$L:$L,РПЗ!$AB:$AB,Справочно!$E32,РПЗ!$AE:$AE,2)</f>
        <v>0</v>
      </c>
      <c r="K55" s="150">
        <f>COUNTIFS(РПЗ!$AB:$AB,Справочно!$E32,РПЗ!$AE:$AE,3)</f>
        <v>0</v>
      </c>
      <c r="L55" s="342">
        <f>SUMIFS(РПЗ!$L:$L,РПЗ!$AB:$AB,Справочно!$E32,РПЗ!$AE:$AE,3)</f>
        <v>0</v>
      </c>
      <c r="M55" s="193">
        <f t="shared" si="18"/>
        <v>0</v>
      </c>
      <c r="N55" s="335">
        <f t="shared" si="19"/>
        <v>0</v>
      </c>
      <c r="O55" s="195">
        <f>COUNTIFS(РПЗ!$AB:$AB,Справочно!$E32,РПЗ!$AE:$AE,4)</f>
        <v>0</v>
      </c>
      <c r="P55" s="376">
        <f>SUMIFS(РПЗ!$L:$L,РПЗ!$AB:$AB,Справочно!$E32,РПЗ!$AE:$AE,4)</f>
        <v>0</v>
      </c>
      <c r="Q55" s="187">
        <f>COUNTIFS(РПЗ!$AB:$AB,Справочно!$E32,РПЗ!$AE:$AE,5)</f>
        <v>0</v>
      </c>
      <c r="R55" s="376">
        <f>SUMIFS(РПЗ!$L:$L,РПЗ!$AB:$AB,Справочно!$E32,РПЗ!$AE:$AE,5)</f>
        <v>0</v>
      </c>
      <c r="S55" s="187">
        <f>COUNTIFS(РПЗ!$AB:$AB,Справочно!$E32,РПЗ!$AE:$AE,6)</f>
        <v>0</v>
      </c>
      <c r="T55" s="376">
        <f>SUMIFS(РПЗ!$L:$L,РПЗ!$AB:$AB,Справочно!$E32,РПЗ!$AE:$AE,6)</f>
        <v>0</v>
      </c>
      <c r="U55" s="197">
        <f t="shared" si="20"/>
        <v>0</v>
      </c>
      <c r="V55" s="337">
        <f t="shared" si="21"/>
        <v>0</v>
      </c>
      <c r="W55" s="200">
        <f>COUNTIFS(РПЗ!$AB:$AB,Справочно!$E32,РПЗ!$AE:$AE,7)</f>
        <v>0</v>
      </c>
      <c r="X55" s="378">
        <f>SUMIFS(РПЗ!$L:$L,РПЗ!$AB:$AB,Справочно!$E32,РПЗ!$AE:$AE,7)</f>
        <v>0</v>
      </c>
      <c r="Y55" s="200">
        <f>COUNTIFS(РПЗ!$AB:$AB,Справочно!$E32,РПЗ!$AE:$AE,8)</f>
        <v>0</v>
      </c>
      <c r="Z55" s="378">
        <f>SUMIFS(РПЗ!$L:$L,РПЗ!$AB:$AB,Справочно!$E32,РПЗ!$AE:$AE,8)</f>
        <v>0</v>
      </c>
      <c r="AA55" s="200">
        <f>COUNTIFS(РПЗ!$AB:$AB,Справочно!$E32,РПЗ!$AE:$AE,9)</f>
        <v>0</v>
      </c>
      <c r="AB55" s="378">
        <f>SUMIFS(РПЗ!$L:$L,РПЗ!$AB:$AB,Справочно!$E32,РПЗ!$AE:$AE,9)</f>
        <v>0</v>
      </c>
      <c r="AC55" s="198">
        <f t="shared" si="22"/>
        <v>0</v>
      </c>
      <c r="AD55" s="339">
        <f t="shared" si="23"/>
        <v>0</v>
      </c>
      <c r="AE55" s="205">
        <f>COUNTIFS(РПЗ!$AB:$AB,Справочно!$E32,РПЗ!$AE:$AE,10)</f>
        <v>0</v>
      </c>
      <c r="AF55" s="380">
        <f>SUMIFS(РПЗ!$L:$L,РПЗ!$AB:$AB,Справочно!$E32,РПЗ!$AE:$AE,10)</f>
        <v>0</v>
      </c>
      <c r="AG55" s="181">
        <f>COUNTIFS(РПЗ!$AB:$AB,Справочно!$E32,РПЗ!$AE:$AE,11)</f>
        <v>0</v>
      </c>
      <c r="AH55" s="380">
        <f>SUMIFS(РПЗ!$L:$L,РПЗ!$AB:$AB,Справочно!$E32,РПЗ!$AE:$AE,11)</f>
        <v>0</v>
      </c>
      <c r="AI55" s="181">
        <f>COUNTIFS(РПЗ!$AB:$AB,Справочно!$E32,РПЗ!$AE:$AE,12)</f>
        <v>0</v>
      </c>
      <c r="AJ55" s="380">
        <f>SUMIFS(РПЗ!$L:$L,РПЗ!$AB:$AB,Справочно!$E32,РПЗ!$AE:$AE,12)</f>
        <v>0</v>
      </c>
      <c r="AK55" s="202">
        <f t="shared" si="24"/>
        <v>0</v>
      </c>
      <c r="AL55" s="341">
        <f t="shared" si="25"/>
        <v>0</v>
      </c>
    </row>
    <row r="56" spans="1:38" ht="13.5" thickBot="1" x14ac:dyDescent="0.25">
      <c r="A56" s="94" t="str">
        <f>Справочно!E33</f>
        <v>ООО "РТ-Страхование"</v>
      </c>
      <c r="B56" s="73">
        <f>COUNTIF(РПЗ!$AB:$AB,Справочно!$E33)</f>
        <v>0</v>
      </c>
      <c r="C56" s="360" t="e">
        <f t="shared" si="17"/>
        <v>#DIV/0!</v>
      </c>
      <c r="D56" s="361">
        <f>SUMIF(РПЗ!$AB:$AB,Справочно!$E33,РПЗ!$L:$L)</f>
        <v>0</v>
      </c>
      <c r="E56" s="360" t="e">
        <f t="shared" si="16"/>
        <v>#DIV/0!</v>
      </c>
      <c r="G56" s="150">
        <f>COUNTIFS(РПЗ!$AB:$AB,Справочно!$E33,РПЗ!$AE:$AE,1)</f>
        <v>0</v>
      </c>
      <c r="H56" s="342">
        <f>SUMIFS(РПЗ!$L:$L,РПЗ!$AB:$AB,Справочно!$E33,РПЗ!$AE:$AE,1)</f>
        <v>0</v>
      </c>
      <c r="I56" s="150">
        <f>COUNTIFS(РПЗ!$AB:$AB,Справочно!$E33,РПЗ!$AE:$AE,2)</f>
        <v>0</v>
      </c>
      <c r="J56" s="342">
        <f>SUMIFS(РПЗ!$L:$L,РПЗ!$AB:$AB,Справочно!$E33,РПЗ!$AE:$AE,2)</f>
        <v>0</v>
      </c>
      <c r="K56" s="150">
        <f>COUNTIFS(РПЗ!$AB:$AB,Справочно!$E33,РПЗ!$AE:$AE,3)</f>
        <v>0</v>
      </c>
      <c r="L56" s="342">
        <f>SUMIFS(РПЗ!$L:$L,РПЗ!$AB:$AB,Справочно!$E33,РПЗ!$AE:$AE,3)</f>
        <v>0</v>
      </c>
      <c r="M56" s="193">
        <f t="shared" si="18"/>
        <v>0</v>
      </c>
      <c r="N56" s="335">
        <f t="shared" si="19"/>
        <v>0</v>
      </c>
      <c r="O56" s="195">
        <f>COUNTIFS(РПЗ!$AB:$AB,Справочно!$E33,РПЗ!$AE:$AE,4)</f>
        <v>0</v>
      </c>
      <c r="P56" s="376">
        <f>SUMIFS(РПЗ!$L:$L,РПЗ!$AB:$AB,Справочно!$E33,РПЗ!$AE:$AE,4)</f>
        <v>0</v>
      </c>
      <c r="Q56" s="187">
        <f>COUNTIFS(РПЗ!$AB:$AB,Справочно!$E33,РПЗ!$AE:$AE,5)</f>
        <v>0</v>
      </c>
      <c r="R56" s="376">
        <f>SUMIFS(РПЗ!$L:$L,РПЗ!$AB:$AB,Справочно!$E33,РПЗ!$AE:$AE,5)</f>
        <v>0</v>
      </c>
      <c r="S56" s="187">
        <f>COUNTIFS(РПЗ!$AB:$AB,Справочно!$E33,РПЗ!$AE:$AE,6)</f>
        <v>0</v>
      </c>
      <c r="T56" s="376">
        <f>SUMIFS(РПЗ!$L:$L,РПЗ!$AB:$AB,Справочно!$E33,РПЗ!$AE:$AE,6)</f>
        <v>0</v>
      </c>
      <c r="U56" s="197">
        <f t="shared" si="20"/>
        <v>0</v>
      </c>
      <c r="V56" s="337">
        <f t="shared" ref="V56:V68" si="26">SUM(P56,R56,T56)</f>
        <v>0</v>
      </c>
      <c r="W56" s="200">
        <f>COUNTIFS(РПЗ!$AB:$AB,Справочно!$E33,РПЗ!$AE:$AE,7)</f>
        <v>0</v>
      </c>
      <c r="X56" s="378">
        <f>SUMIFS(РПЗ!$L:$L,РПЗ!$AB:$AB,Справочно!$E33,РПЗ!$AE:$AE,7)</f>
        <v>0</v>
      </c>
      <c r="Y56" s="200">
        <f>COUNTIFS(РПЗ!$AB:$AB,Справочно!$E33,РПЗ!$AE:$AE,8)</f>
        <v>0</v>
      </c>
      <c r="Z56" s="378">
        <f>SUMIFS(РПЗ!$L:$L,РПЗ!$AB:$AB,Справочно!$E33,РПЗ!$AE:$AE,8)</f>
        <v>0</v>
      </c>
      <c r="AA56" s="200">
        <f>COUNTIFS(РПЗ!$AB:$AB,Справочно!$E33,РПЗ!$AE:$AE,9)</f>
        <v>0</v>
      </c>
      <c r="AB56" s="378">
        <f>SUMIFS(РПЗ!$L:$L,РПЗ!$AB:$AB,Справочно!$E33,РПЗ!$AE:$AE,9)</f>
        <v>0</v>
      </c>
      <c r="AC56" s="198">
        <f t="shared" si="22"/>
        <v>0</v>
      </c>
      <c r="AD56" s="339">
        <f t="shared" si="23"/>
        <v>0</v>
      </c>
      <c r="AE56" s="205">
        <f>COUNTIFS(РПЗ!$AB:$AB,Справочно!$E33,РПЗ!$AE:$AE,10)</f>
        <v>0</v>
      </c>
      <c r="AF56" s="380">
        <f>SUMIFS(РПЗ!$L:$L,РПЗ!$AB:$AB,Справочно!$E33,РПЗ!$AE:$AE,10)</f>
        <v>0</v>
      </c>
      <c r="AG56" s="181">
        <f>COUNTIFS(РПЗ!$AB:$AB,Справочно!$E33,РПЗ!$AE:$AE,11)</f>
        <v>0</v>
      </c>
      <c r="AH56" s="380">
        <f>SUMIFS(РПЗ!$L:$L,РПЗ!$AB:$AB,Справочно!$E33,РПЗ!$AE:$AE,11)</f>
        <v>0</v>
      </c>
      <c r="AI56" s="181">
        <f>COUNTIFS(РПЗ!$AB:$AB,Справочно!$E33,РПЗ!$AE:$AE,12)</f>
        <v>0</v>
      </c>
      <c r="AJ56" s="380">
        <f>SUMIFS(РПЗ!$L:$L,РПЗ!$AB:$AB,Справочно!$E33,РПЗ!$AE:$AE,12)</f>
        <v>0</v>
      </c>
      <c r="AK56" s="202">
        <f t="shared" si="24"/>
        <v>0</v>
      </c>
      <c r="AL56" s="341">
        <f t="shared" si="25"/>
        <v>0</v>
      </c>
    </row>
    <row r="57" spans="1:38" ht="26.25" thickBot="1" x14ac:dyDescent="0.25">
      <c r="A57" s="94" t="str">
        <f>Справочно!E34</f>
        <v>АО "Концерн Радиоэлектронные технологии"</v>
      </c>
      <c r="B57" s="73">
        <f>COUNTIF(РПЗ!$AB:$AB,Справочно!$E34)</f>
        <v>0</v>
      </c>
      <c r="C57" s="360" t="e">
        <f t="shared" si="17"/>
        <v>#DIV/0!</v>
      </c>
      <c r="D57" s="361">
        <f>SUMIF(РПЗ!$AB:$AB,Справочно!$E34,РПЗ!$L:$L)</f>
        <v>0</v>
      </c>
      <c r="E57" s="360" t="e">
        <f t="shared" si="16"/>
        <v>#DIV/0!</v>
      </c>
      <c r="G57" s="150">
        <f>COUNTIFS(РПЗ!$AB:$AB,Справочно!$E34,РПЗ!$AE:$AE,1)</f>
        <v>0</v>
      </c>
      <c r="H57" s="342">
        <f>SUMIFS(РПЗ!$L:$L,РПЗ!$AB:$AB,Справочно!$E34,РПЗ!$AE:$AE,1)</f>
        <v>0</v>
      </c>
      <c r="I57" s="150">
        <f>COUNTIFS(РПЗ!$AB:$AB,Справочно!$E34,РПЗ!$AE:$AE,2)</f>
        <v>0</v>
      </c>
      <c r="J57" s="342">
        <f>SUMIFS(РПЗ!$L:$L,РПЗ!$AB:$AB,Справочно!$E34,РПЗ!$AE:$AE,2)</f>
        <v>0</v>
      </c>
      <c r="K57" s="150">
        <f>COUNTIFS(РПЗ!$AB:$AB,Справочно!$E34,РПЗ!$AE:$AE,3)</f>
        <v>0</v>
      </c>
      <c r="L57" s="342">
        <f>SUMIFS(РПЗ!$L:$L,РПЗ!$AB:$AB,Справочно!$E34,РПЗ!$AE:$AE,3)</f>
        <v>0</v>
      </c>
      <c r="M57" s="193">
        <f t="shared" si="18"/>
        <v>0</v>
      </c>
      <c r="N57" s="335">
        <f t="shared" si="19"/>
        <v>0</v>
      </c>
      <c r="O57" s="195">
        <f>COUNTIFS(РПЗ!$AB:$AB,Справочно!$E34,РПЗ!$AE:$AE,4)</f>
        <v>0</v>
      </c>
      <c r="P57" s="376">
        <f>SUMIFS(РПЗ!$L:$L,РПЗ!$AB:$AB,Справочно!$E34,РПЗ!$AE:$AE,4)</f>
        <v>0</v>
      </c>
      <c r="Q57" s="187">
        <f>COUNTIFS(РПЗ!$AB:$AB,Справочно!$E34,РПЗ!$AE:$AE,5)</f>
        <v>0</v>
      </c>
      <c r="R57" s="376">
        <f>SUMIFS(РПЗ!$L:$L,РПЗ!$AB:$AB,Справочно!$E34,РПЗ!$AE:$AE,5)</f>
        <v>0</v>
      </c>
      <c r="S57" s="187">
        <f>COUNTIFS(РПЗ!$AB:$AB,Справочно!$E34,РПЗ!$AE:$AE,6)</f>
        <v>0</v>
      </c>
      <c r="T57" s="376">
        <f>SUMIFS(РПЗ!$L:$L,РПЗ!$AB:$AB,Справочно!$E34,РПЗ!$AE:$AE,6)</f>
        <v>0</v>
      </c>
      <c r="U57" s="197">
        <f t="shared" si="20"/>
        <v>0</v>
      </c>
      <c r="V57" s="337">
        <f t="shared" si="26"/>
        <v>0</v>
      </c>
      <c r="W57" s="200">
        <f>COUNTIFS(РПЗ!$AB:$AB,Справочно!$E34,РПЗ!$AE:$AE,7)</f>
        <v>0</v>
      </c>
      <c r="X57" s="378">
        <f>SUMIFS(РПЗ!$L:$L,РПЗ!$AB:$AB,Справочно!$E34,РПЗ!$AE:$AE,7)</f>
        <v>0</v>
      </c>
      <c r="Y57" s="200">
        <f>COUNTIFS(РПЗ!$AB:$AB,Справочно!$E34,РПЗ!$AE:$AE,8)</f>
        <v>0</v>
      </c>
      <c r="Z57" s="378">
        <f>SUMIFS(РПЗ!$L:$L,РПЗ!$AB:$AB,Справочно!$E34,РПЗ!$AE:$AE,8)</f>
        <v>0</v>
      </c>
      <c r="AA57" s="200">
        <f>COUNTIFS(РПЗ!$AB:$AB,Справочно!$E34,РПЗ!$AE:$AE,9)</f>
        <v>0</v>
      </c>
      <c r="AB57" s="378">
        <f>SUMIFS(РПЗ!$L:$L,РПЗ!$AB:$AB,Справочно!$E34,РПЗ!$AE:$AE,9)</f>
        <v>0</v>
      </c>
      <c r="AC57" s="198">
        <f t="shared" si="22"/>
        <v>0</v>
      </c>
      <c r="AD57" s="339">
        <f t="shared" si="23"/>
        <v>0</v>
      </c>
      <c r="AE57" s="205">
        <f>COUNTIFS(РПЗ!$AB:$AB,Справочно!$E34,РПЗ!$AE:$AE,10)</f>
        <v>0</v>
      </c>
      <c r="AF57" s="380">
        <f>SUMIFS(РПЗ!$L:$L,РПЗ!$AB:$AB,Справочно!$E34,РПЗ!$AE:$AE,10)</f>
        <v>0</v>
      </c>
      <c r="AG57" s="181">
        <f>COUNTIFS(РПЗ!$AB:$AB,Справочно!$E34,РПЗ!$AE:$AE,11)</f>
        <v>0</v>
      </c>
      <c r="AH57" s="380">
        <f>SUMIFS(РПЗ!$L:$L,РПЗ!$AB:$AB,Справочно!$E34,РПЗ!$AE:$AE,11)</f>
        <v>0</v>
      </c>
      <c r="AI57" s="181">
        <f>COUNTIFS(РПЗ!$AB:$AB,Справочно!$E34,РПЗ!$AE:$AE,12)</f>
        <v>0</v>
      </c>
      <c r="AJ57" s="380">
        <f>SUMIFS(РПЗ!$L:$L,РПЗ!$AB:$AB,Справочно!$E34,РПЗ!$AE:$AE,12)</f>
        <v>0</v>
      </c>
      <c r="AK57" s="202">
        <f t="shared" si="24"/>
        <v>0</v>
      </c>
      <c r="AL57" s="341">
        <f t="shared" si="25"/>
        <v>0</v>
      </c>
    </row>
    <row r="58" spans="1:38" ht="13.5" thickBot="1" x14ac:dyDescent="0.25">
      <c r="A58" s="94" t="str">
        <f>Справочно!E35</f>
        <v>АО "НПК "Технологии машиностроения"</v>
      </c>
      <c r="B58" s="73">
        <f>COUNTIF(РПЗ!$AB:$AB,Справочно!$E35)</f>
        <v>0</v>
      </c>
      <c r="C58" s="360" t="e">
        <f t="shared" si="17"/>
        <v>#DIV/0!</v>
      </c>
      <c r="D58" s="361">
        <f>SUMIF(РПЗ!$AB:$AB,Справочно!$E35,РПЗ!$L:$L)</f>
        <v>0</v>
      </c>
      <c r="E58" s="360" t="e">
        <f t="shared" si="16"/>
        <v>#DIV/0!</v>
      </c>
      <c r="G58" s="150">
        <f>COUNTIFS(РПЗ!$AB:$AB,Справочно!$E35,РПЗ!$AE:$AE,1)</f>
        <v>0</v>
      </c>
      <c r="H58" s="342">
        <f>SUMIFS(РПЗ!$L:$L,РПЗ!$AB:$AB,Справочно!$E35,РПЗ!$AE:$AE,1)</f>
        <v>0</v>
      </c>
      <c r="I58" s="150">
        <f>COUNTIFS(РПЗ!$AB:$AB,Справочно!$E35,РПЗ!$AE:$AE,2)</f>
        <v>0</v>
      </c>
      <c r="J58" s="342">
        <f>SUMIFS(РПЗ!$L:$L,РПЗ!$AB:$AB,Справочно!$E35,РПЗ!$AE:$AE,2)</f>
        <v>0</v>
      </c>
      <c r="K58" s="150">
        <f>COUNTIFS(РПЗ!$AB:$AB,Справочно!$E35,РПЗ!$AE:$AE,3)</f>
        <v>0</v>
      </c>
      <c r="L58" s="342">
        <f>SUMIFS(РПЗ!$L:$L,РПЗ!$AB:$AB,Справочно!$E35,РПЗ!$AE:$AE,3)</f>
        <v>0</v>
      </c>
      <c r="M58" s="193">
        <f t="shared" si="18"/>
        <v>0</v>
      </c>
      <c r="N58" s="335">
        <f t="shared" si="19"/>
        <v>0</v>
      </c>
      <c r="O58" s="195">
        <f>COUNTIFS(РПЗ!$AB:$AB,Справочно!$E35,РПЗ!$AE:$AE,4)</f>
        <v>0</v>
      </c>
      <c r="P58" s="376">
        <f>SUMIFS(РПЗ!$L:$L,РПЗ!$AB:$AB,Справочно!$E35,РПЗ!$AE:$AE,4)</f>
        <v>0</v>
      </c>
      <c r="Q58" s="187">
        <f>COUNTIFS(РПЗ!$AB:$AB,Справочно!$E35,РПЗ!$AE:$AE,5)</f>
        <v>0</v>
      </c>
      <c r="R58" s="376">
        <f>SUMIFS(РПЗ!$L:$L,РПЗ!$AB:$AB,Справочно!$E35,РПЗ!$AE:$AE,5)</f>
        <v>0</v>
      </c>
      <c r="S58" s="187">
        <f>COUNTIFS(РПЗ!$AB:$AB,Справочно!$E35,РПЗ!$AE:$AE,6)</f>
        <v>0</v>
      </c>
      <c r="T58" s="376">
        <f>SUMIFS(РПЗ!$L:$L,РПЗ!$AB:$AB,Справочно!$E35,РПЗ!$AE:$AE,6)</f>
        <v>0</v>
      </c>
      <c r="U58" s="197">
        <f t="shared" si="20"/>
        <v>0</v>
      </c>
      <c r="V58" s="337">
        <f t="shared" si="26"/>
        <v>0</v>
      </c>
      <c r="W58" s="200">
        <f>COUNTIFS(РПЗ!$AB:$AB,Справочно!$E35,РПЗ!$AE:$AE,7)</f>
        <v>0</v>
      </c>
      <c r="X58" s="378">
        <f>SUMIFS(РПЗ!$L:$L,РПЗ!$AB:$AB,Справочно!$E35,РПЗ!$AE:$AE,7)</f>
        <v>0</v>
      </c>
      <c r="Y58" s="200">
        <f>COUNTIFS(РПЗ!$AB:$AB,Справочно!$E35,РПЗ!$AE:$AE,8)</f>
        <v>0</v>
      </c>
      <c r="Z58" s="378">
        <f>SUMIFS(РПЗ!$L:$L,РПЗ!$AB:$AB,Справочно!$E35,РПЗ!$AE:$AE,8)</f>
        <v>0</v>
      </c>
      <c r="AA58" s="200">
        <f>COUNTIFS(РПЗ!$AB:$AB,Справочно!$E35,РПЗ!$AE:$AE,9)</f>
        <v>0</v>
      </c>
      <c r="AB58" s="378">
        <f>SUMIFS(РПЗ!$L:$L,РПЗ!$AB:$AB,Справочно!$E35,РПЗ!$AE:$AE,9)</f>
        <v>0</v>
      </c>
      <c r="AC58" s="198">
        <f t="shared" si="22"/>
        <v>0</v>
      </c>
      <c r="AD58" s="339">
        <f t="shared" si="23"/>
        <v>0</v>
      </c>
      <c r="AE58" s="205">
        <f>COUNTIFS(РПЗ!$AB:$AB,Справочно!$E35,РПЗ!$AE:$AE,10)</f>
        <v>0</v>
      </c>
      <c r="AF58" s="380">
        <f>SUMIFS(РПЗ!$L:$L,РПЗ!$AB:$AB,Справочно!$E35,РПЗ!$AE:$AE,10)</f>
        <v>0</v>
      </c>
      <c r="AG58" s="181">
        <f>COUNTIFS(РПЗ!$AB:$AB,Справочно!$E35,РПЗ!$AE:$AE,11)</f>
        <v>0</v>
      </c>
      <c r="AH58" s="380">
        <f>SUMIFS(РПЗ!$L:$L,РПЗ!$AB:$AB,Справочно!$E35,РПЗ!$AE:$AE,11)</f>
        <v>0</v>
      </c>
      <c r="AI58" s="181">
        <f>COUNTIFS(РПЗ!$AB:$AB,Справочно!$E35,РПЗ!$AE:$AE,12)</f>
        <v>0</v>
      </c>
      <c r="AJ58" s="380">
        <f>SUMIFS(РПЗ!$L:$L,РПЗ!$AB:$AB,Справочно!$E35,РПЗ!$AE:$AE,12)</f>
        <v>0</v>
      </c>
      <c r="AK58" s="202">
        <f t="shared" si="24"/>
        <v>0</v>
      </c>
      <c r="AL58" s="341">
        <f t="shared" si="25"/>
        <v>0</v>
      </c>
    </row>
    <row r="59" spans="1:38" ht="12.75" customHeight="1" thickBot="1" x14ac:dyDescent="0.25">
      <c r="A59" s="94" t="str">
        <f>Справочно!E36</f>
        <v>АО "НПО "Высокоточные комплексы"</v>
      </c>
      <c r="B59" s="73">
        <f>COUNTIF(РПЗ!$AB:$AB,Справочно!$E36)</f>
        <v>0</v>
      </c>
      <c r="C59" s="360" t="e">
        <f t="shared" si="17"/>
        <v>#DIV/0!</v>
      </c>
      <c r="D59" s="361">
        <f>SUMIF(РПЗ!$AB:$AB,Справочно!$E36,РПЗ!$L:$L)</f>
        <v>0</v>
      </c>
      <c r="E59" s="360" t="e">
        <f t="shared" si="16"/>
        <v>#DIV/0!</v>
      </c>
      <c r="G59" s="150">
        <f>COUNTIFS(РПЗ!$AB:$AB,Справочно!$E36,РПЗ!$AE:$AE,1)</f>
        <v>0</v>
      </c>
      <c r="H59" s="342">
        <f>SUMIFS(РПЗ!$L:$L,РПЗ!$AB:$AB,Справочно!$E36,РПЗ!$AE:$AE,1)</f>
        <v>0</v>
      </c>
      <c r="I59" s="150">
        <f>COUNTIFS(РПЗ!$AB:$AB,Справочно!$E36,РПЗ!$AE:$AE,2)</f>
        <v>0</v>
      </c>
      <c r="J59" s="342">
        <f>SUMIFS(РПЗ!$L:$L,РПЗ!$AB:$AB,Справочно!$E36,РПЗ!$AE:$AE,2)</f>
        <v>0</v>
      </c>
      <c r="K59" s="150">
        <f>COUNTIFS(РПЗ!$AB:$AB,Справочно!$E36,РПЗ!$AE:$AE,3)</f>
        <v>0</v>
      </c>
      <c r="L59" s="342">
        <f>SUMIFS(РПЗ!$L:$L,РПЗ!$AB:$AB,Справочно!$E36,РПЗ!$AE:$AE,3)</f>
        <v>0</v>
      </c>
      <c r="M59" s="193">
        <f t="shared" si="18"/>
        <v>0</v>
      </c>
      <c r="N59" s="335">
        <f t="shared" si="19"/>
        <v>0</v>
      </c>
      <c r="O59" s="195">
        <f>COUNTIFS(РПЗ!$AB:$AB,Справочно!$E36,РПЗ!$AE:$AE,4)</f>
        <v>0</v>
      </c>
      <c r="P59" s="376">
        <f>SUMIFS(РПЗ!$L:$L,РПЗ!$AB:$AB,Справочно!$E36,РПЗ!$AE:$AE,4)</f>
        <v>0</v>
      </c>
      <c r="Q59" s="187">
        <f>COUNTIFS(РПЗ!$AB:$AB,Справочно!$E36,РПЗ!$AE:$AE,5)</f>
        <v>0</v>
      </c>
      <c r="R59" s="376">
        <f>SUMIFS(РПЗ!$L:$L,РПЗ!$AB:$AB,Справочно!$E36,РПЗ!$AE:$AE,5)</f>
        <v>0</v>
      </c>
      <c r="S59" s="187">
        <f>COUNTIFS(РПЗ!$AB:$AB,Справочно!$E36,РПЗ!$AE:$AE,6)</f>
        <v>0</v>
      </c>
      <c r="T59" s="376">
        <f>SUMIFS(РПЗ!$L:$L,РПЗ!$AB:$AB,Справочно!$E36,РПЗ!$AE:$AE,6)</f>
        <v>0</v>
      </c>
      <c r="U59" s="197">
        <f t="shared" si="20"/>
        <v>0</v>
      </c>
      <c r="V59" s="337">
        <f t="shared" si="26"/>
        <v>0</v>
      </c>
      <c r="W59" s="200">
        <f>COUNTIFS(РПЗ!$AB:$AB,Справочно!$E36,РПЗ!$AE:$AE,7)</f>
        <v>0</v>
      </c>
      <c r="X59" s="378">
        <f>SUMIFS(РПЗ!$L:$L,РПЗ!$AB:$AB,Справочно!$E36,РПЗ!$AE:$AE,7)</f>
        <v>0</v>
      </c>
      <c r="Y59" s="200">
        <f>COUNTIFS(РПЗ!$AB:$AB,Справочно!$E36,РПЗ!$AE:$AE,8)</f>
        <v>0</v>
      </c>
      <c r="Z59" s="378">
        <f>SUMIFS(РПЗ!$L:$L,РПЗ!$AB:$AB,Справочно!$E36,РПЗ!$AE:$AE,8)</f>
        <v>0</v>
      </c>
      <c r="AA59" s="200">
        <f>COUNTIFS(РПЗ!$AB:$AB,Справочно!$E36,РПЗ!$AE:$AE,9)</f>
        <v>0</v>
      </c>
      <c r="AB59" s="378">
        <f>SUMIFS(РПЗ!$L:$L,РПЗ!$AB:$AB,Справочно!$E36,РПЗ!$AE:$AE,9)</f>
        <v>0</v>
      </c>
      <c r="AC59" s="198">
        <f t="shared" si="22"/>
        <v>0</v>
      </c>
      <c r="AD59" s="339">
        <f t="shared" si="23"/>
        <v>0</v>
      </c>
      <c r="AE59" s="205">
        <f>COUNTIFS(РПЗ!$AB:$AB,Справочно!$E36,РПЗ!$AE:$AE,10)</f>
        <v>0</v>
      </c>
      <c r="AF59" s="380">
        <f>SUMIFS(РПЗ!$L:$L,РПЗ!$AB:$AB,Справочно!$E36,РПЗ!$AE:$AE,10)</f>
        <v>0</v>
      </c>
      <c r="AG59" s="181">
        <f>COUNTIFS(РПЗ!$AB:$AB,Справочно!$E36,РПЗ!$AE:$AE,11)</f>
        <v>0</v>
      </c>
      <c r="AH59" s="380">
        <f>SUMIFS(РПЗ!$L:$L,РПЗ!$AB:$AB,Справочно!$E36,РПЗ!$AE:$AE,11)</f>
        <v>0</v>
      </c>
      <c r="AI59" s="181">
        <f>COUNTIFS(РПЗ!$AB:$AB,Справочно!$E36,РПЗ!$AE:$AE,12)</f>
        <v>0</v>
      </c>
      <c r="AJ59" s="380">
        <f>SUMIFS(РПЗ!$L:$L,РПЗ!$AB:$AB,Справочно!$E36,РПЗ!$AE:$AE,12)</f>
        <v>0</v>
      </c>
      <c r="AK59" s="202">
        <f t="shared" si="24"/>
        <v>0</v>
      </c>
      <c r="AL59" s="341">
        <f t="shared" si="25"/>
        <v>0</v>
      </c>
    </row>
    <row r="60" spans="1:38" ht="26.25" thickBot="1" x14ac:dyDescent="0.25">
      <c r="A60" s="94" t="str">
        <f>Справочно!E37</f>
        <v>АО "Объединенная приборостроительная компания"</v>
      </c>
      <c r="B60" s="73">
        <f>COUNTIF(РПЗ!$AB:$AB,Справочно!$E37)</f>
        <v>0</v>
      </c>
      <c r="C60" s="360" t="e">
        <f t="shared" si="17"/>
        <v>#DIV/0!</v>
      </c>
      <c r="D60" s="361">
        <f>SUMIF(РПЗ!$AB:$AB,Справочно!$E37,РПЗ!$L:$L)</f>
        <v>0</v>
      </c>
      <c r="E60" s="360" t="e">
        <f t="shared" si="16"/>
        <v>#DIV/0!</v>
      </c>
      <c r="G60" s="150">
        <f>COUNTIFS(РПЗ!$AB:$AB,Справочно!$E37,РПЗ!$AE:$AE,1)</f>
        <v>0</v>
      </c>
      <c r="H60" s="342">
        <f>SUMIFS(РПЗ!$L:$L,РПЗ!$AB:$AB,Справочно!$E37,РПЗ!$AE:$AE,1)</f>
        <v>0</v>
      </c>
      <c r="I60" s="150">
        <f>COUNTIFS(РПЗ!$AB:$AB,Справочно!$E37,РПЗ!$AE:$AE,2)</f>
        <v>0</v>
      </c>
      <c r="J60" s="342">
        <f>SUMIFS(РПЗ!$L:$L,РПЗ!$AB:$AB,Справочно!$E37,РПЗ!$AE:$AE,2)</f>
        <v>0</v>
      </c>
      <c r="K60" s="150">
        <f>COUNTIFS(РПЗ!$AB:$AB,Справочно!$E37,РПЗ!$AE:$AE,3)</f>
        <v>0</v>
      </c>
      <c r="L60" s="342">
        <f>SUMIFS(РПЗ!$L:$L,РПЗ!$AB:$AB,Справочно!$E37,РПЗ!$AE:$AE,3)</f>
        <v>0</v>
      </c>
      <c r="M60" s="193">
        <f t="shared" si="18"/>
        <v>0</v>
      </c>
      <c r="N60" s="335">
        <f t="shared" si="19"/>
        <v>0</v>
      </c>
      <c r="O60" s="195">
        <f>COUNTIFS(РПЗ!$AB:$AB,Справочно!$E37,РПЗ!$AE:$AE,4)</f>
        <v>0</v>
      </c>
      <c r="P60" s="376">
        <f>SUMIFS(РПЗ!$L:$L,РПЗ!$AB:$AB,Справочно!$E37,РПЗ!$AE:$AE,4)</f>
        <v>0</v>
      </c>
      <c r="Q60" s="187">
        <f>COUNTIFS(РПЗ!$AB:$AB,Справочно!$E37,РПЗ!$AE:$AE,5)</f>
        <v>0</v>
      </c>
      <c r="R60" s="376">
        <f>SUMIFS(РПЗ!$L:$L,РПЗ!$AB:$AB,Справочно!$E37,РПЗ!$AE:$AE,5)</f>
        <v>0</v>
      </c>
      <c r="S60" s="187">
        <f>COUNTIFS(РПЗ!$AB:$AB,Справочно!$E37,РПЗ!$AE:$AE,6)</f>
        <v>0</v>
      </c>
      <c r="T60" s="376">
        <f>SUMIFS(РПЗ!$L:$L,РПЗ!$AB:$AB,Справочно!$E37,РПЗ!$AE:$AE,6)</f>
        <v>0</v>
      </c>
      <c r="U60" s="197">
        <f t="shared" si="20"/>
        <v>0</v>
      </c>
      <c r="V60" s="337">
        <f t="shared" si="26"/>
        <v>0</v>
      </c>
      <c r="W60" s="200">
        <f>COUNTIFS(РПЗ!$AB:$AB,Справочно!$E37,РПЗ!$AE:$AE,7)</f>
        <v>0</v>
      </c>
      <c r="X60" s="378">
        <f>SUMIFS(РПЗ!$L:$L,РПЗ!$AB:$AB,Справочно!$E37,РПЗ!$AE:$AE,7)</f>
        <v>0</v>
      </c>
      <c r="Y60" s="200">
        <f>COUNTIFS(РПЗ!$AB:$AB,Справочно!$E37,РПЗ!$AE:$AE,8)</f>
        <v>0</v>
      </c>
      <c r="Z60" s="378">
        <f>SUMIFS(РПЗ!$L:$L,РПЗ!$AB:$AB,Справочно!$E37,РПЗ!$AE:$AE,8)</f>
        <v>0</v>
      </c>
      <c r="AA60" s="200">
        <f>COUNTIFS(РПЗ!$AB:$AB,Справочно!$E37,РПЗ!$AE:$AE,9)</f>
        <v>0</v>
      </c>
      <c r="AB60" s="378">
        <f>SUMIFS(РПЗ!$L:$L,РПЗ!$AB:$AB,Справочно!$E37,РПЗ!$AE:$AE,9)</f>
        <v>0</v>
      </c>
      <c r="AC60" s="198">
        <f t="shared" si="22"/>
        <v>0</v>
      </c>
      <c r="AD60" s="339">
        <f t="shared" si="23"/>
        <v>0</v>
      </c>
      <c r="AE60" s="205">
        <f>COUNTIFS(РПЗ!$AB:$AB,Справочно!$E37,РПЗ!$AE:$AE,10)</f>
        <v>0</v>
      </c>
      <c r="AF60" s="380">
        <f>SUMIFS(РПЗ!$L:$L,РПЗ!$AB:$AB,Справочно!$E37,РПЗ!$AE:$AE,10)</f>
        <v>0</v>
      </c>
      <c r="AG60" s="181">
        <f>COUNTIFS(РПЗ!$AB:$AB,Справочно!$E37,РПЗ!$AE:$AE,11)</f>
        <v>0</v>
      </c>
      <c r="AH60" s="380">
        <f>SUMIFS(РПЗ!$L:$L,РПЗ!$AB:$AB,Справочно!$E37,РПЗ!$AE:$AE,11)</f>
        <v>0</v>
      </c>
      <c r="AI60" s="181">
        <f>COUNTIFS(РПЗ!$AB:$AB,Справочно!$E37,РПЗ!$AE:$AE,12)</f>
        <v>0</v>
      </c>
      <c r="AJ60" s="380">
        <f>SUMIFS(РПЗ!$L:$L,РПЗ!$AB:$AB,Справочно!$E37,РПЗ!$AE:$AE,12)</f>
        <v>0</v>
      </c>
      <c r="AK60" s="202">
        <f t="shared" si="24"/>
        <v>0</v>
      </c>
      <c r="AL60" s="341">
        <f t="shared" si="25"/>
        <v>0</v>
      </c>
    </row>
    <row r="61" spans="1:38" ht="13.5" thickBot="1" x14ac:dyDescent="0.25">
      <c r="A61" s="231" t="s">
        <v>626</v>
      </c>
      <c r="B61" s="73">
        <f>COUNTIF(РПЗ!$AB:$AB,Справочно!$E38)</f>
        <v>0</v>
      </c>
      <c r="C61" s="360" t="e">
        <f t="shared" si="17"/>
        <v>#DIV/0!</v>
      </c>
      <c r="D61" s="361">
        <f>SUMIF(РПЗ!$AB:$AB,Справочно!$E38,РПЗ!$L:$L)</f>
        <v>0</v>
      </c>
      <c r="E61" s="360" t="e">
        <f t="shared" si="16"/>
        <v>#DIV/0!</v>
      </c>
      <c r="G61" s="150">
        <f>COUNTIFS(РПЗ!$AB:$AB,Справочно!$E38,РПЗ!$AE:$AE,1)</f>
        <v>0</v>
      </c>
      <c r="H61" s="342">
        <f>SUMIFS(РПЗ!$L:$L,РПЗ!$AB:$AB,Справочно!$E38,РПЗ!$AE:$AE,1)</f>
        <v>0</v>
      </c>
      <c r="I61" s="150">
        <f>COUNTIFS(РПЗ!$AB:$AB,Справочно!$E38,РПЗ!$AE:$AE,2)</f>
        <v>0</v>
      </c>
      <c r="J61" s="342">
        <f>SUMIFS(РПЗ!$L:$L,РПЗ!$AB:$AB,Справочно!$E38,РПЗ!$AE:$AE,2)</f>
        <v>0</v>
      </c>
      <c r="K61" s="150">
        <f>COUNTIFS(РПЗ!$AB:$AB,Справочно!$E38,РПЗ!$AE:$AE,3)</f>
        <v>0</v>
      </c>
      <c r="L61" s="342">
        <f>SUMIFS(РПЗ!$L:$L,РПЗ!$AB:$AB,Справочно!$E38,РПЗ!$AE:$AE,3)</f>
        <v>0</v>
      </c>
      <c r="M61" s="193">
        <f t="shared" si="18"/>
        <v>0</v>
      </c>
      <c r="N61" s="335">
        <f t="shared" si="19"/>
        <v>0</v>
      </c>
      <c r="O61" s="195">
        <f>COUNTIFS(РПЗ!$AB:$AB,Справочно!$E38,РПЗ!$AE:$AE,4)</f>
        <v>0</v>
      </c>
      <c r="P61" s="376">
        <f>SUMIFS(РПЗ!$L:$L,РПЗ!$AB:$AB,Справочно!$E38,РПЗ!$AE:$AE,4)</f>
        <v>0</v>
      </c>
      <c r="Q61" s="187">
        <f>COUNTIFS(РПЗ!$AB:$AB,Справочно!$E38,РПЗ!$AE:$AE,5)</f>
        <v>0</v>
      </c>
      <c r="R61" s="376">
        <f>SUMIFS(РПЗ!$L:$L,РПЗ!$AB:$AB,Справочно!$E38,РПЗ!$AE:$AE,5)</f>
        <v>0</v>
      </c>
      <c r="S61" s="187">
        <f>COUNTIFS(РПЗ!$AB:$AB,Справочно!$E38,РПЗ!$AE:$AE,6)</f>
        <v>0</v>
      </c>
      <c r="T61" s="376">
        <f>SUMIFS(РПЗ!$L:$L,РПЗ!$AB:$AB,Справочно!$E38,РПЗ!$AE:$AE,6)</f>
        <v>0</v>
      </c>
      <c r="U61" s="197">
        <f t="shared" si="20"/>
        <v>0</v>
      </c>
      <c r="V61" s="337">
        <f t="shared" si="26"/>
        <v>0</v>
      </c>
      <c r="W61" s="200">
        <f>COUNTIFS(РПЗ!$AB:$AB,Справочно!$E38,РПЗ!$AE:$AE,7)</f>
        <v>0</v>
      </c>
      <c r="X61" s="378">
        <f>SUMIFS(РПЗ!$L:$L,РПЗ!$AB:$AB,Справочно!$E38,РПЗ!$AE:$AE,7)</f>
        <v>0</v>
      </c>
      <c r="Y61" s="200">
        <f>COUNTIFS(РПЗ!$AB:$AB,Справочно!$E38,РПЗ!$AE:$AE,8)</f>
        <v>0</v>
      </c>
      <c r="Z61" s="378">
        <f>SUMIFS(РПЗ!$L:$L,РПЗ!$AB:$AB,Справочно!$E38,РПЗ!$AE:$AE,8)</f>
        <v>0</v>
      </c>
      <c r="AA61" s="200">
        <f>COUNTIFS(РПЗ!$AB:$AB,Справочно!$E38,РПЗ!$AE:$AE,9)</f>
        <v>0</v>
      </c>
      <c r="AB61" s="378">
        <f>SUMIFS(РПЗ!$L:$L,РПЗ!$AB:$AB,Справочно!$E38,РПЗ!$AE:$AE,9)</f>
        <v>0</v>
      </c>
      <c r="AC61" s="198">
        <f t="shared" si="22"/>
        <v>0</v>
      </c>
      <c r="AD61" s="339">
        <f t="shared" si="23"/>
        <v>0</v>
      </c>
      <c r="AE61" s="205">
        <f>COUNTIFS(РПЗ!$AB:$AB,Справочно!$E38,РПЗ!$AE:$AE,10)</f>
        <v>0</v>
      </c>
      <c r="AF61" s="380">
        <f>SUMIFS(РПЗ!$L:$L,РПЗ!$AB:$AB,Справочно!$E38,РПЗ!$AE:$AE,10)</f>
        <v>0</v>
      </c>
      <c r="AG61" s="181">
        <f>COUNTIFS(РПЗ!$AB:$AB,Справочно!$E38,РПЗ!$AE:$AE,11)</f>
        <v>0</v>
      </c>
      <c r="AH61" s="380">
        <f>SUMIFS(РПЗ!$L:$L,РПЗ!$AB:$AB,Справочно!$E38,РПЗ!$AE:$AE,11)</f>
        <v>0</v>
      </c>
      <c r="AI61" s="181">
        <f>COUNTIFS(РПЗ!$AB:$AB,Справочно!$E38,РПЗ!$AE:$AE,12)</f>
        <v>0</v>
      </c>
      <c r="AJ61" s="380">
        <f>SUMIFS(РПЗ!$L:$L,РПЗ!$AB:$AB,Справочно!$E38,РПЗ!$AE:$AE,12)</f>
        <v>0</v>
      </c>
      <c r="AK61" s="202">
        <f t="shared" si="24"/>
        <v>0</v>
      </c>
      <c r="AL61" s="341">
        <f t="shared" si="25"/>
        <v>0</v>
      </c>
    </row>
    <row r="62" spans="1:38" ht="13.5" thickBot="1" x14ac:dyDescent="0.25">
      <c r="A62" s="94" t="str">
        <f>Справочно!E39</f>
        <v>АО "РТ-Авто"</v>
      </c>
      <c r="B62" s="73">
        <f>COUNTIF(РПЗ!$AB:$AB,Справочно!$E39)</f>
        <v>0</v>
      </c>
      <c r="C62" s="360" t="e">
        <f t="shared" si="17"/>
        <v>#DIV/0!</v>
      </c>
      <c r="D62" s="361">
        <f>SUMIF(РПЗ!$AB:$AB,Справочно!$E39,РПЗ!$L:$L)</f>
        <v>0</v>
      </c>
      <c r="E62" s="360" t="e">
        <f t="shared" si="16"/>
        <v>#DIV/0!</v>
      </c>
      <c r="G62" s="150">
        <f>COUNTIFS(РПЗ!$AB:$AB,Справочно!$E39,РПЗ!$AE:$AE,1)</f>
        <v>0</v>
      </c>
      <c r="H62" s="342">
        <f>SUMIFS(РПЗ!$L:$L,РПЗ!$AB:$AB,Справочно!$E39,РПЗ!$AE:$AE,1)</f>
        <v>0</v>
      </c>
      <c r="I62" s="150">
        <f>COUNTIFS(РПЗ!$AB:$AB,Справочно!$E39,РПЗ!$AE:$AE,2)</f>
        <v>0</v>
      </c>
      <c r="J62" s="342">
        <f>SUMIFS(РПЗ!$L:$L,РПЗ!$AB:$AB,Справочно!$E39,РПЗ!$AE:$AE,2)</f>
        <v>0</v>
      </c>
      <c r="K62" s="150">
        <f>COUNTIFS(РПЗ!$AB:$AB,Справочно!$E39,РПЗ!$AE:$AE,3)</f>
        <v>0</v>
      </c>
      <c r="L62" s="342">
        <f>SUMIFS(РПЗ!$L:$L,РПЗ!$AB:$AB,Справочно!$E39,РПЗ!$AE:$AE,3)</f>
        <v>0</v>
      </c>
      <c r="M62" s="193">
        <f t="shared" si="18"/>
        <v>0</v>
      </c>
      <c r="N62" s="335">
        <f t="shared" si="19"/>
        <v>0</v>
      </c>
      <c r="O62" s="195">
        <f>COUNTIFS(РПЗ!$AB:$AB,Справочно!$E39,РПЗ!$AE:$AE,4)</f>
        <v>0</v>
      </c>
      <c r="P62" s="376">
        <f>SUMIFS(РПЗ!$L:$L,РПЗ!$AB:$AB,Справочно!$E39,РПЗ!$AE:$AE,4)</f>
        <v>0</v>
      </c>
      <c r="Q62" s="187">
        <f>COUNTIFS(РПЗ!$AB:$AB,Справочно!$E39,РПЗ!$AE:$AE,5)</f>
        <v>0</v>
      </c>
      <c r="R62" s="376">
        <f>SUMIFS(РПЗ!$L:$L,РПЗ!$AB:$AB,Справочно!$E39,РПЗ!$AE:$AE,5)</f>
        <v>0</v>
      </c>
      <c r="S62" s="187">
        <f>COUNTIFS(РПЗ!$AB:$AB,Справочно!$E39,РПЗ!$AE:$AE,6)</f>
        <v>0</v>
      </c>
      <c r="T62" s="376">
        <f>SUMIFS(РПЗ!$L:$L,РПЗ!$AB:$AB,Справочно!$E39,РПЗ!$AE:$AE,6)</f>
        <v>0</v>
      </c>
      <c r="U62" s="197">
        <f t="shared" si="20"/>
        <v>0</v>
      </c>
      <c r="V62" s="337">
        <f t="shared" si="26"/>
        <v>0</v>
      </c>
      <c r="W62" s="200">
        <f>COUNTIFS(РПЗ!$AB:$AB,Справочно!$E39,РПЗ!$AE:$AE,7)</f>
        <v>0</v>
      </c>
      <c r="X62" s="378">
        <f>SUMIFS(РПЗ!$L:$L,РПЗ!$AB:$AB,Справочно!$E39,РПЗ!$AE:$AE,7)</f>
        <v>0</v>
      </c>
      <c r="Y62" s="200">
        <f>COUNTIFS(РПЗ!$AB:$AB,Справочно!$E39,РПЗ!$AE:$AE,8)</f>
        <v>0</v>
      </c>
      <c r="Z62" s="378">
        <f>SUMIFS(РПЗ!$L:$L,РПЗ!$AB:$AB,Справочно!$E39,РПЗ!$AE:$AE,8)</f>
        <v>0</v>
      </c>
      <c r="AA62" s="200">
        <f>COUNTIFS(РПЗ!$AB:$AB,Справочно!$E39,РПЗ!$AE:$AE,9)</f>
        <v>0</v>
      </c>
      <c r="AB62" s="378">
        <f>SUMIFS(РПЗ!$L:$L,РПЗ!$AB:$AB,Справочно!$E39,РПЗ!$AE:$AE,9)</f>
        <v>0</v>
      </c>
      <c r="AC62" s="198">
        <f t="shared" si="22"/>
        <v>0</v>
      </c>
      <c r="AD62" s="339">
        <f t="shared" si="23"/>
        <v>0</v>
      </c>
      <c r="AE62" s="205">
        <f>COUNTIFS(РПЗ!$AB:$AB,Справочно!$E39,РПЗ!$AE:$AE,10)</f>
        <v>0</v>
      </c>
      <c r="AF62" s="380">
        <f>SUMIFS(РПЗ!$L:$L,РПЗ!$AB:$AB,Справочно!$E39,РПЗ!$AE:$AE,10)</f>
        <v>0</v>
      </c>
      <c r="AG62" s="181">
        <f>COUNTIFS(РПЗ!$AB:$AB,Справочно!$E39,РПЗ!$AE:$AE,11)</f>
        <v>0</v>
      </c>
      <c r="AH62" s="380">
        <f>SUMIFS(РПЗ!$L:$L,РПЗ!$AB:$AB,Справочно!$E39,РПЗ!$AE:$AE,11)</f>
        <v>0</v>
      </c>
      <c r="AI62" s="181">
        <f>COUNTIFS(РПЗ!$AB:$AB,Справочно!$E39,РПЗ!$AE:$AE,12)</f>
        <v>0</v>
      </c>
      <c r="AJ62" s="380">
        <f>SUMIFS(РПЗ!$L:$L,РПЗ!$AB:$AB,Справочно!$E39,РПЗ!$AE:$AE,12)</f>
        <v>0</v>
      </c>
      <c r="AK62" s="202">
        <f t="shared" si="24"/>
        <v>0</v>
      </c>
      <c r="AL62" s="341">
        <f t="shared" si="25"/>
        <v>0</v>
      </c>
    </row>
    <row r="63" spans="1:38" ht="26.25" thickBot="1" x14ac:dyDescent="0.25">
      <c r="A63" s="94" t="str">
        <f>Справочно!E40</f>
        <v>АО "Национальная иммунобиологическая компания"</v>
      </c>
      <c r="B63" s="73">
        <f>COUNTIF(РПЗ!$AB:$AB,Справочно!$E40)</f>
        <v>0</v>
      </c>
      <c r="C63" s="360" t="e">
        <f t="shared" si="17"/>
        <v>#DIV/0!</v>
      </c>
      <c r="D63" s="361">
        <f>SUMIF(РПЗ!$AB:$AB,Справочно!$E40,РПЗ!$L:$L)</f>
        <v>0</v>
      </c>
      <c r="E63" s="360" t="e">
        <f t="shared" si="16"/>
        <v>#DIV/0!</v>
      </c>
      <c r="G63" s="150">
        <f>COUNTIFS(РПЗ!$AB:$AB,Справочно!$E40,РПЗ!$AE:$AE,1)</f>
        <v>0</v>
      </c>
      <c r="H63" s="342">
        <f>SUMIFS(РПЗ!$L:$L,РПЗ!$AB:$AB,Справочно!$E40,РПЗ!$AE:$AE,1)</f>
        <v>0</v>
      </c>
      <c r="I63" s="150">
        <f>COUNTIFS(РПЗ!$AB:$AB,Справочно!$E40,РПЗ!$AE:$AE,2)</f>
        <v>0</v>
      </c>
      <c r="J63" s="342">
        <f>SUMIFS(РПЗ!$L:$L,РПЗ!$AB:$AB,Справочно!$E40,РПЗ!$AE:$AE,2)</f>
        <v>0</v>
      </c>
      <c r="K63" s="150">
        <f>COUNTIFS(РПЗ!$AB:$AB,Справочно!$E40,РПЗ!$AE:$AE,3)</f>
        <v>0</v>
      </c>
      <c r="L63" s="342">
        <f>SUMIFS(РПЗ!$L:$L,РПЗ!$AB:$AB,Справочно!$E40,РПЗ!$AE:$AE,3)</f>
        <v>0</v>
      </c>
      <c r="M63" s="193">
        <f t="shared" si="18"/>
        <v>0</v>
      </c>
      <c r="N63" s="335">
        <f t="shared" si="19"/>
        <v>0</v>
      </c>
      <c r="O63" s="195">
        <f>COUNTIFS(РПЗ!$AB:$AB,Справочно!$E40,РПЗ!$AE:$AE,4)</f>
        <v>0</v>
      </c>
      <c r="P63" s="376">
        <f>SUMIFS(РПЗ!$L:$L,РПЗ!$AB:$AB,Справочно!$E40,РПЗ!$AE:$AE,4)</f>
        <v>0</v>
      </c>
      <c r="Q63" s="187">
        <f>COUNTIFS(РПЗ!$AB:$AB,Справочно!$E40,РПЗ!$AE:$AE,5)</f>
        <v>0</v>
      </c>
      <c r="R63" s="376">
        <f>SUMIFS(РПЗ!$L:$L,РПЗ!$AB:$AB,Справочно!$E40,РПЗ!$AE:$AE,5)</f>
        <v>0</v>
      </c>
      <c r="S63" s="187">
        <f>COUNTIFS(РПЗ!$AB:$AB,Справочно!$E40,РПЗ!$AE:$AE,6)</f>
        <v>0</v>
      </c>
      <c r="T63" s="376">
        <f>SUMIFS(РПЗ!$L:$L,РПЗ!$AB:$AB,Справочно!$E40,РПЗ!$AE:$AE,6)</f>
        <v>0</v>
      </c>
      <c r="U63" s="197">
        <f t="shared" si="20"/>
        <v>0</v>
      </c>
      <c r="V63" s="337">
        <f t="shared" si="26"/>
        <v>0</v>
      </c>
      <c r="W63" s="200">
        <f>COUNTIFS(РПЗ!$AB:$AB,Справочно!$E40,РПЗ!$AE:$AE,7)</f>
        <v>0</v>
      </c>
      <c r="X63" s="378">
        <f>SUMIFS(РПЗ!$L:$L,РПЗ!$AB:$AB,Справочно!$E40,РПЗ!$AE:$AE,7)</f>
        <v>0</v>
      </c>
      <c r="Y63" s="200">
        <f>COUNTIFS(РПЗ!$AB:$AB,Справочно!$E40,РПЗ!$AE:$AE,8)</f>
        <v>0</v>
      </c>
      <c r="Z63" s="378">
        <f>SUMIFS(РПЗ!$L:$L,РПЗ!$AB:$AB,Справочно!$E40,РПЗ!$AE:$AE,8)</f>
        <v>0</v>
      </c>
      <c r="AA63" s="200">
        <f>COUNTIFS(РПЗ!$AB:$AB,Справочно!$E40,РПЗ!$AE:$AE,9)</f>
        <v>0</v>
      </c>
      <c r="AB63" s="378">
        <f>SUMIFS(РПЗ!$L:$L,РПЗ!$AB:$AB,Справочно!$E40,РПЗ!$AE:$AE,9)</f>
        <v>0</v>
      </c>
      <c r="AC63" s="198">
        <f t="shared" si="22"/>
        <v>0</v>
      </c>
      <c r="AD63" s="339">
        <f t="shared" si="23"/>
        <v>0</v>
      </c>
      <c r="AE63" s="205">
        <f>COUNTIFS(РПЗ!$AB:$AB,Справочно!$E40,РПЗ!$AE:$AE,10)</f>
        <v>0</v>
      </c>
      <c r="AF63" s="380">
        <f>SUMIFS(РПЗ!$L:$L,РПЗ!$AB:$AB,Справочно!$E40,РПЗ!$AE:$AE,10)</f>
        <v>0</v>
      </c>
      <c r="AG63" s="181">
        <f>COUNTIFS(РПЗ!$AB:$AB,Справочно!$E40,РПЗ!$AE:$AE,11)</f>
        <v>0</v>
      </c>
      <c r="AH63" s="380">
        <f>SUMIFS(РПЗ!$L:$L,РПЗ!$AB:$AB,Справочно!$E40,РПЗ!$AE:$AE,11)</f>
        <v>0</v>
      </c>
      <c r="AI63" s="181">
        <f>COUNTIFS(РПЗ!$AB:$AB,Справочно!$E40,РПЗ!$AE:$AE,12)</f>
        <v>0</v>
      </c>
      <c r="AJ63" s="380">
        <f>SUMIFS(РПЗ!$L:$L,РПЗ!$AB:$AB,Справочно!$E40,РПЗ!$AE:$AE,12)</f>
        <v>0</v>
      </c>
      <c r="AK63" s="202">
        <f t="shared" si="24"/>
        <v>0</v>
      </c>
      <c r="AL63" s="341">
        <f t="shared" si="25"/>
        <v>0</v>
      </c>
    </row>
    <row r="64" spans="1:38" ht="26.25" thickBot="1" x14ac:dyDescent="0.25">
      <c r="A64" s="94" t="str">
        <f>Справочно!E41</f>
        <v>АО "РТ-Химические технологии и композиционные материалы"</v>
      </c>
      <c r="B64" s="73">
        <f>COUNTIF(РПЗ!$AB:$AB,Справочно!$E41)</f>
        <v>0</v>
      </c>
      <c r="C64" s="360" t="e">
        <f t="shared" si="17"/>
        <v>#DIV/0!</v>
      </c>
      <c r="D64" s="361">
        <f>SUMIF(РПЗ!$AB:$AB,Справочно!$E41,РПЗ!$L:$L)</f>
        <v>0</v>
      </c>
      <c r="E64" s="360" t="e">
        <f t="shared" si="16"/>
        <v>#DIV/0!</v>
      </c>
      <c r="G64" s="150">
        <f>COUNTIFS(РПЗ!$AB:$AB,Справочно!$E41,РПЗ!$AE:$AE,1)</f>
        <v>0</v>
      </c>
      <c r="H64" s="342">
        <f>SUMIFS(РПЗ!$L:$L,РПЗ!$AB:$AB,Справочно!$E41,РПЗ!$AE:$AE,1)</f>
        <v>0</v>
      </c>
      <c r="I64" s="150">
        <f>COUNTIFS(РПЗ!$AB:$AB,Справочно!$E41,РПЗ!$AE:$AE,2)</f>
        <v>0</v>
      </c>
      <c r="J64" s="342">
        <f>SUMIFS(РПЗ!$L:$L,РПЗ!$AB:$AB,Справочно!$E41,РПЗ!$AE:$AE,2)</f>
        <v>0</v>
      </c>
      <c r="K64" s="150">
        <f>COUNTIFS(РПЗ!$AB:$AB,Справочно!$E41,РПЗ!$AE:$AE,3)</f>
        <v>0</v>
      </c>
      <c r="L64" s="342">
        <f>SUMIFS(РПЗ!$L:$L,РПЗ!$AB:$AB,Справочно!$E41,РПЗ!$AE:$AE,3)</f>
        <v>0</v>
      </c>
      <c r="M64" s="193">
        <f t="shared" si="18"/>
        <v>0</v>
      </c>
      <c r="N64" s="335">
        <f t="shared" si="19"/>
        <v>0</v>
      </c>
      <c r="O64" s="195">
        <f>COUNTIFS(РПЗ!$AB:$AB,Справочно!$E41,РПЗ!$AE:$AE,4)</f>
        <v>0</v>
      </c>
      <c r="P64" s="376">
        <f>SUMIFS(РПЗ!$L:$L,РПЗ!$AB:$AB,Справочно!$E41,РПЗ!$AE:$AE,4)</f>
        <v>0</v>
      </c>
      <c r="Q64" s="187">
        <f>COUNTIFS(РПЗ!$AB:$AB,Справочно!$E41,РПЗ!$AE:$AE,5)</f>
        <v>0</v>
      </c>
      <c r="R64" s="376">
        <f>SUMIFS(РПЗ!$L:$L,РПЗ!$AB:$AB,Справочно!$E41,РПЗ!$AE:$AE,5)</f>
        <v>0</v>
      </c>
      <c r="S64" s="187">
        <f>COUNTIFS(РПЗ!$AB:$AB,Справочно!$E41,РПЗ!$AE:$AE,6)</f>
        <v>0</v>
      </c>
      <c r="T64" s="376">
        <f>SUMIFS(РПЗ!$L:$L,РПЗ!$AB:$AB,Справочно!$E41,РПЗ!$AE:$AE,6)</f>
        <v>0</v>
      </c>
      <c r="U64" s="197">
        <f t="shared" si="20"/>
        <v>0</v>
      </c>
      <c r="V64" s="337">
        <f t="shared" si="26"/>
        <v>0</v>
      </c>
      <c r="W64" s="200">
        <f>COUNTIFS(РПЗ!$AB:$AB,Справочно!$E41,РПЗ!$AE:$AE,7)</f>
        <v>0</v>
      </c>
      <c r="X64" s="378">
        <f>SUMIFS(РПЗ!$L:$L,РПЗ!$AB:$AB,Справочно!$E41,РПЗ!$AE:$AE,7)</f>
        <v>0</v>
      </c>
      <c r="Y64" s="200">
        <f>COUNTIFS(РПЗ!$AB:$AB,Справочно!$E41,РПЗ!$AE:$AE,8)</f>
        <v>0</v>
      </c>
      <c r="Z64" s="378">
        <f>SUMIFS(РПЗ!$L:$L,РПЗ!$AB:$AB,Справочно!$E41,РПЗ!$AE:$AE,8)</f>
        <v>0</v>
      </c>
      <c r="AA64" s="200">
        <f>COUNTIFS(РПЗ!$AB:$AB,Справочно!$E41,РПЗ!$AE:$AE,9)</f>
        <v>0</v>
      </c>
      <c r="AB64" s="378">
        <f>SUMIFS(РПЗ!$L:$L,РПЗ!$AB:$AB,Справочно!$E41,РПЗ!$AE:$AE,9)</f>
        <v>0</v>
      </c>
      <c r="AC64" s="198">
        <f t="shared" si="22"/>
        <v>0</v>
      </c>
      <c r="AD64" s="339">
        <f t="shared" si="23"/>
        <v>0</v>
      </c>
      <c r="AE64" s="205">
        <f>COUNTIFS(РПЗ!$AB:$AB,Справочно!$E41,РПЗ!$AE:$AE,10)</f>
        <v>0</v>
      </c>
      <c r="AF64" s="380">
        <f>SUMIFS(РПЗ!$L:$L,РПЗ!$AB:$AB,Справочно!$E41,РПЗ!$AE:$AE,10)</f>
        <v>0</v>
      </c>
      <c r="AG64" s="181">
        <f>COUNTIFS(РПЗ!$AB:$AB,Справочно!$E41,РПЗ!$AE:$AE,11)</f>
        <v>0</v>
      </c>
      <c r="AH64" s="380">
        <f>SUMIFS(РПЗ!$L:$L,РПЗ!$AB:$AB,Справочно!$E41,РПЗ!$AE:$AE,11)</f>
        <v>0</v>
      </c>
      <c r="AI64" s="181">
        <f>COUNTIFS(РПЗ!$AB:$AB,Справочно!$E41,РПЗ!$AE:$AE,12)</f>
        <v>0</v>
      </c>
      <c r="AJ64" s="380">
        <f>SUMIFS(РПЗ!$L:$L,РПЗ!$AB:$AB,Справочно!$E41,РПЗ!$AE:$AE,12)</f>
        <v>0</v>
      </c>
      <c r="AK64" s="202">
        <f t="shared" si="24"/>
        <v>0</v>
      </c>
      <c r="AL64" s="341">
        <f t="shared" si="25"/>
        <v>0</v>
      </c>
    </row>
    <row r="65" spans="1:38" ht="13.5" thickBot="1" x14ac:dyDescent="0.25">
      <c r="A65" s="94" t="str">
        <f>Справочно!E42</f>
        <v>АО "Технодинамика"</v>
      </c>
      <c r="B65" s="73">
        <f>COUNTIF(РПЗ!$AB:$AB,Справочно!$E42)</f>
        <v>0</v>
      </c>
      <c r="C65" s="360" t="e">
        <f t="shared" si="17"/>
        <v>#DIV/0!</v>
      </c>
      <c r="D65" s="361">
        <f>SUMIF(РПЗ!$AB:$AB,Справочно!$E42,РПЗ!$L:$L)</f>
        <v>0</v>
      </c>
      <c r="E65" s="360" t="e">
        <f t="shared" si="16"/>
        <v>#DIV/0!</v>
      </c>
      <c r="G65" s="150">
        <f>COUNTIFS(РПЗ!$AB:$AB,Справочно!$E42,РПЗ!$AE:$AE,1)</f>
        <v>0</v>
      </c>
      <c r="H65" s="342">
        <f>SUMIFS(РПЗ!$L:$L,РПЗ!$AB:$AB,Справочно!$E42,РПЗ!$AE:$AE,1)</f>
        <v>0</v>
      </c>
      <c r="I65" s="150">
        <f>COUNTIFS(РПЗ!$AB:$AB,Справочно!$E42,РПЗ!$AE:$AE,2)</f>
        <v>0</v>
      </c>
      <c r="J65" s="342">
        <f>SUMIFS(РПЗ!$L:$L,РПЗ!$AB:$AB,Справочно!$E42,РПЗ!$AE:$AE,2)</f>
        <v>0</v>
      </c>
      <c r="K65" s="150">
        <f>COUNTIFS(РПЗ!$AB:$AB,Справочно!$E42,РПЗ!$AE:$AE,3)</f>
        <v>0</v>
      </c>
      <c r="L65" s="342">
        <f>SUMIFS(РПЗ!$L:$L,РПЗ!$AB:$AB,Справочно!$E42,РПЗ!$AE:$AE,3)</f>
        <v>0</v>
      </c>
      <c r="M65" s="193">
        <f t="shared" si="18"/>
        <v>0</v>
      </c>
      <c r="N65" s="335">
        <f t="shared" si="19"/>
        <v>0</v>
      </c>
      <c r="O65" s="195">
        <f>COUNTIFS(РПЗ!$AB:$AB,Справочно!$E42,РПЗ!$AE:$AE,4)</f>
        <v>0</v>
      </c>
      <c r="P65" s="376">
        <f>SUMIFS(РПЗ!$L:$L,РПЗ!$AB:$AB,Справочно!$E42,РПЗ!$AE:$AE,4)</f>
        <v>0</v>
      </c>
      <c r="Q65" s="187">
        <f>COUNTIFS(РПЗ!$AB:$AB,Справочно!$E42,РПЗ!$AE:$AE,5)</f>
        <v>0</v>
      </c>
      <c r="R65" s="376">
        <f>SUMIFS(РПЗ!$L:$L,РПЗ!$AB:$AB,Справочно!$E42,РПЗ!$AE:$AE,5)</f>
        <v>0</v>
      </c>
      <c r="S65" s="187">
        <f>COUNTIFS(РПЗ!$AB:$AB,Справочно!$E42,РПЗ!$AE:$AE,6)</f>
        <v>0</v>
      </c>
      <c r="T65" s="376">
        <f>SUMIFS(РПЗ!$L:$L,РПЗ!$AB:$AB,Справочно!$E42,РПЗ!$AE:$AE,6)</f>
        <v>0</v>
      </c>
      <c r="U65" s="197">
        <f t="shared" si="20"/>
        <v>0</v>
      </c>
      <c r="V65" s="337">
        <f t="shared" si="26"/>
        <v>0</v>
      </c>
      <c r="W65" s="200">
        <f>COUNTIFS(РПЗ!$AB:$AB,Справочно!$E42,РПЗ!$AE:$AE,7)</f>
        <v>0</v>
      </c>
      <c r="X65" s="378">
        <f>SUMIFS(РПЗ!$L:$L,РПЗ!$AB:$AB,Справочно!$E42,РПЗ!$AE:$AE,7)</f>
        <v>0</v>
      </c>
      <c r="Y65" s="200">
        <f>COUNTIFS(РПЗ!$AB:$AB,Справочно!$E42,РПЗ!$AE:$AE,8)</f>
        <v>0</v>
      </c>
      <c r="Z65" s="378">
        <f>SUMIFS(РПЗ!$L:$L,РПЗ!$AB:$AB,Справочно!$E42,РПЗ!$AE:$AE,8)</f>
        <v>0</v>
      </c>
      <c r="AA65" s="200">
        <f>COUNTIFS(РПЗ!$AB:$AB,Справочно!$E42,РПЗ!$AE:$AE,9)</f>
        <v>0</v>
      </c>
      <c r="AB65" s="378">
        <f>SUMIFS(РПЗ!$L:$L,РПЗ!$AB:$AB,Справочно!$E42,РПЗ!$AE:$AE,9)</f>
        <v>0</v>
      </c>
      <c r="AC65" s="198">
        <f t="shared" si="22"/>
        <v>0</v>
      </c>
      <c r="AD65" s="339">
        <f t="shared" si="23"/>
        <v>0</v>
      </c>
      <c r="AE65" s="205">
        <f>COUNTIFS(РПЗ!$AB:$AB,Справочно!$E42,РПЗ!$AE:$AE,10)</f>
        <v>0</v>
      </c>
      <c r="AF65" s="380">
        <f>SUMIFS(РПЗ!$L:$L,РПЗ!$AB:$AB,Справочно!$E42,РПЗ!$AE:$AE,10)</f>
        <v>0</v>
      </c>
      <c r="AG65" s="181">
        <f>COUNTIFS(РПЗ!$AB:$AB,Справочно!$E42,РПЗ!$AE:$AE,11)</f>
        <v>0</v>
      </c>
      <c r="AH65" s="380">
        <f>SUMIFS(РПЗ!$L:$L,РПЗ!$AB:$AB,Справочно!$E42,РПЗ!$AE:$AE,11)</f>
        <v>0</v>
      </c>
      <c r="AI65" s="181">
        <f>COUNTIFS(РПЗ!$AB:$AB,Справочно!$E42,РПЗ!$AE:$AE,12)</f>
        <v>0</v>
      </c>
      <c r="AJ65" s="380">
        <f>SUMIFS(РПЗ!$L:$L,РПЗ!$AB:$AB,Справочно!$E42,РПЗ!$AE:$AE,12)</f>
        <v>0</v>
      </c>
      <c r="AK65" s="202">
        <f t="shared" si="24"/>
        <v>0</v>
      </c>
      <c r="AL65" s="341">
        <f t="shared" si="25"/>
        <v>0</v>
      </c>
    </row>
    <row r="66" spans="1:38" ht="13.5" thickBot="1" x14ac:dyDescent="0.25">
      <c r="A66" s="94" t="str">
        <f>Справочно!E43</f>
        <v>АО "Швабе"</v>
      </c>
      <c r="B66" s="73">
        <f>COUNTIF(РПЗ!$AB:$AB,Справочно!$E43)</f>
        <v>0</v>
      </c>
      <c r="C66" s="360" t="e">
        <f t="shared" si="17"/>
        <v>#DIV/0!</v>
      </c>
      <c r="D66" s="361">
        <f>SUMIF(РПЗ!$AB:$AB,Справочно!$E43,РПЗ!$L:$L)</f>
        <v>0</v>
      </c>
      <c r="E66" s="360" t="e">
        <f t="shared" si="16"/>
        <v>#DIV/0!</v>
      </c>
      <c r="G66" s="150">
        <f>COUNTIFS(РПЗ!$AB:$AB,Справочно!$E43,РПЗ!$AE:$AE,1)</f>
        <v>0</v>
      </c>
      <c r="H66" s="342">
        <f>SUMIFS(РПЗ!$L:$L,РПЗ!$AB:$AB,Справочно!$E43,РПЗ!$AE:$AE,1)</f>
        <v>0</v>
      </c>
      <c r="I66" s="150">
        <f>COUNTIFS(РПЗ!$AB:$AB,Справочно!$E43,РПЗ!$AE:$AE,2)</f>
        <v>0</v>
      </c>
      <c r="J66" s="342">
        <f>SUMIFS(РПЗ!$L:$L,РПЗ!$AB:$AB,Справочно!$E43,РПЗ!$AE:$AE,2)</f>
        <v>0</v>
      </c>
      <c r="K66" s="150">
        <f>COUNTIFS(РПЗ!$AB:$AB,Справочно!$E43,РПЗ!$AE:$AE,3)</f>
        <v>0</v>
      </c>
      <c r="L66" s="342">
        <f>SUMIFS(РПЗ!$L:$L,РПЗ!$AB:$AB,Справочно!$E43,РПЗ!$AE:$AE,3)</f>
        <v>0</v>
      </c>
      <c r="M66" s="193">
        <f t="shared" si="18"/>
        <v>0</v>
      </c>
      <c r="N66" s="335">
        <f t="shared" si="19"/>
        <v>0</v>
      </c>
      <c r="O66" s="195">
        <f>COUNTIFS(РПЗ!$AB:$AB,Справочно!$E43,РПЗ!$AE:$AE,4)</f>
        <v>0</v>
      </c>
      <c r="P66" s="376">
        <f>SUMIFS(РПЗ!$L:$L,РПЗ!$AB:$AB,Справочно!$E43,РПЗ!$AE:$AE,4)</f>
        <v>0</v>
      </c>
      <c r="Q66" s="187">
        <f>COUNTIFS(РПЗ!$AB:$AB,Справочно!$E43,РПЗ!$AE:$AE,5)</f>
        <v>0</v>
      </c>
      <c r="R66" s="376">
        <f>SUMIFS(РПЗ!$L:$L,РПЗ!$AB:$AB,Справочно!$E43,РПЗ!$AE:$AE,5)</f>
        <v>0</v>
      </c>
      <c r="S66" s="187">
        <f>COUNTIFS(РПЗ!$AB:$AB,Справочно!$E43,РПЗ!$AE:$AE,6)</f>
        <v>0</v>
      </c>
      <c r="T66" s="376">
        <f>SUMIFS(РПЗ!$L:$L,РПЗ!$AB:$AB,Справочно!$E43,РПЗ!$AE:$AE,6)</f>
        <v>0</v>
      </c>
      <c r="U66" s="197">
        <f t="shared" si="20"/>
        <v>0</v>
      </c>
      <c r="V66" s="337">
        <f t="shared" si="26"/>
        <v>0</v>
      </c>
      <c r="W66" s="200">
        <f>COUNTIFS(РПЗ!$AB:$AB,Справочно!$E43,РПЗ!$AE:$AE,7)</f>
        <v>0</v>
      </c>
      <c r="X66" s="378">
        <f>SUMIFS(РПЗ!$L:$L,РПЗ!$AB:$AB,Справочно!$E43,РПЗ!$AE:$AE,7)</f>
        <v>0</v>
      </c>
      <c r="Y66" s="200">
        <f>COUNTIFS(РПЗ!$AB:$AB,Справочно!$E43,РПЗ!$AE:$AE,8)</f>
        <v>0</v>
      </c>
      <c r="Z66" s="378">
        <f>SUMIFS(РПЗ!$L:$L,РПЗ!$AB:$AB,Справочно!$E43,РПЗ!$AE:$AE,8)</f>
        <v>0</v>
      </c>
      <c r="AA66" s="200">
        <f>COUNTIFS(РПЗ!$AB:$AB,Справочно!$E43,РПЗ!$AE:$AE,9)</f>
        <v>0</v>
      </c>
      <c r="AB66" s="378">
        <f>SUMIFS(РПЗ!$L:$L,РПЗ!$AB:$AB,Справочно!$E43,РПЗ!$AE:$AE,9)</f>
        <v>0</v>
      </c>
      <c r="AC66" s="198">
        <f t="shared" si="22"/>
        <v>0</v>
      </c>
      <c r="AD66" s="339">
        <f t="shared" si="23"/>
        <v>0</v>
      </c>
      <c r="AE66" s="205">
        <f>COUNTIFS(РПЗ!$AB:$AB,Справочно!$E43,РПЗ!$AE:$AE,10)</f>
        <v>0</v>
      </c>
      <c r="AF66" s="380">
        <f>SUMIFS(РПЗ!$L:$L,РПЗ!$AB:$AB,Справочно!$E43,РПЗ!$AE:$AE,10)</f>
        <v>0</v>
      </c>
      <c r="AG66" s="181">
        <f>COUNTIFS(РПЗ!$AB:$AB,Справочно!$E43,РПЗ!$AE:$AE,11)</f>
        <v>0</v>
      </c>
      <c r="AH66" s="380">
        <f>SUMIFS(РПЗ!$L:$L,РПЗ!$AB:$AB,Справочно!$E43,РПЗ!$AE:$AE,11)</f>
        <v>0</v>
      </c>
      <c r="AI66" s="181">
        <f>COUNTIFS(РПЗ!$AB:$AB,Справочно!$E43,РПЗ!$AE:$AE,12)</f>
        <v>0</v>
      </c>
      <c r="AJ66" s="380">
        <f>SUMIFS(РПЗ!$L:$L,РПЗ!$AB:$AB,Справочно!$E43,РПЗ!$AE:$AE,12)</f>
        <v>0</v>
      </c>
      <c r="AK66" s="202">
        <f t="shared" si="24"/>
        <v>0</v>
      </c>
      <c r="AL66" s="341">
        <f t="shared" si="25"/>
        <v>0</v>
      </c>
    </row>
    <row r="67" spans="1:38" ht="13.5" thickBot="1" x14ac:dyDescent="0.25">
      <c r="A67" s="94" t="str">
        <f>Справочно!E44</f>
        <v>АО "Вертолеты России"</v>
      </c>
      <c r="B67" s="230">
        <f>COUNTIF(РПЗ!$AB:$AB,Справочно!$E44)</f>
        <v>0</v>
      </c>
      <c r="C67" s="362" t="e">
        <f t="shared" si="17"/>
        <v>#DIV/0!</v>
      </c>
      <c r="D67" s="363">
        <f>SUMIF(РПЗ!$AB:$AB,Справочно!$E44,РПЗ!$L:$L)</f>
        <v>0</v>
      </c>
      <c r="E67" s="362" t="e">
        <f t="shared" si="16"/>
        <v>#DIV/0!</v>
      </c>
      <c r="G67" s="152">
        <f>COUNTIFS(РПЗ!$AB:$AB,Справочно!$E44,РПЗ!$AE:$AE,1)</f>
        <v>0</v>
      </c>
      <c r="H67" s="343">
        <f>SUMIFS(РПЗ!$L:$L,РПЗ!$AB:$AB,Справочно!$E44,РПЗ!$AE:$AE,1)</f>
        <v>0</v>
      </c>
      <c r="I67" s="152">
        <f>COUNTIFS(РПЗ!$AB:$AB,Справочно!$E44,РПЗ!$AE:$AE,2)</f>
        <v>0</v>
      </c>
      <c r="J67" s="343">
        <f>SUMIFS(РПЗ!$L:$L,РПЗ!$AB:$AB,Справочно!$E44,РПЗ!$AE:$AE,2)</f>
        <v>0</v>
      </c>
      <c r="K67" s="152">
        <f>COUNTIFS(РПЗ!$AB:$AB,Справочно!$E44,РПЗ!$AE:$AE,3)</f>
        <v>0</v>
      </c>
      <c r="L67" s="343">
        <f>SUMIFS(РПЗ!$L:$L,РПЗ!$AB:$AB,Справочно!$E44,РПЗ!$AE:$AE,3)</f>
        <v>0</v>
      </c>
      <c r="M67" s="193">
        <f>SUM(G67,I67,K67)</f>
        <v>0</v>
      </c>
      <c r="N67" s="335">
        <f t="shared" si="19"/>
        <v>0</v>
      </c>
      <c r="O67" s="228">
        <f>COUNTIFS(РПЗ!$AB:$AB,Справочно!$E44,РПЗ!$AE:$AE,4)</f>
        <v>0</v>
      </c>
      <c r="P67" s="382">
        <f>SUMIFS(РПЗ!$L:$L,РПЗ!$AB:$AB,Справочно!$E44,РПЗ!$AE:$AE,4)</f>
        <v>0</v>
      </c>
      <c r="Q67" s="229">
        <f>COUNTIFS(РПЗ!$AB:$AB,Справочно!$E44,РПЗ!$AE:$AE,5)</f>
        <v>0</v>
      </c>
      <c r="R67" s="382">
        <f>SUMIFS(РПЗ!$L:$L,РПЗ!$AB:$AB,Справочно!$E44,РПЗ!$AE:$AE,5)</f>
        <v>0</v>
      </c>
      <c r="S67" s="229">
        <f>COUNTIFS(РПЗ!$AB:$AB,Справочно!$E44,РПЗ!$AE:$AE,6)</f>
        <v>0</v>
      </c>
      <c r="T67" s="382">
        <f>SUMIFS(РПЗ!$L:$L,РПЗ!$AB:$AB,Справочно!$E44,РПЗ!$AE:$AE,6)</f>
        <v>0</v>
      </c>
      <c r="U67" s="197">
        <f t="shared" si="20"/>
        <v>0</v>
      </c>
      <c r="V67" s="337">
        <f t="shared" si="26"/>
        <v>0</v>
      </c>
      <c r="W67" s="225">
        <f>COUNTIFS(РПЗ!$AB:$AB,Справочно!$E44,РПЗ!$AE:$AE,7)</f>
        <v>0</v>
      </c>
      <c r="X67" s="383">
        <f>SUMIFS(РПЗ!$L:$L,РПЗ!$AB:$AB,Справочно!$E44,РПЗ!$AE:$AE,7)</f>
        <v>0</v>
      </c>
      <c r="Y67" s="225">
        <f>COUNTIFS(РПЗ!$AB:$AB,Справочно!$E44,РПЗ!$AE:$AE,8)</f>
        <v>0</v>
      </c>
      <c r="Z67" s="383">
        <f>SUMIFS(РПЗ!$L:$L,РПЗ!$AB:$AB,Справочно!$E44,РПЗ!$AE:$AE,8)</f>
        <v>0</v>
      </c>
      <c r="AA67" s="225">
        <f>COUNTIFS(РПЗ!$AB:$AB,Справочно!$E44,РПЗ!$AE:$AE,9)</f>
        <v>0</v>
      </c>
      <c r="AB67" s="383">
        <f>SUMIFS(РПЗ!$L:$L,РПЗ!$AB:$AB,Справочно!$E44,РПЗ!$AE:$AE,9)</f>
        <v>0</v>
      </c>
      <c r="AC67" s="198">
        <f t="shared" si="22"/>
        <v>0</v>
      </c>
      <c r="AD67" s="339">
        <f t="shared" si="23"/>
        <v>0</v>
      </c>
      <c r="AE67" s="226">
        <f>COUNTIFS(РПЗ!$AB:$AB,Справочно!$E44,РПЗ!$AE:$AE,10)</f>
        <v>0</v>
      </c>
      <c r="AF67" s="384">
        <f>SUMIFS(РПЗ!$L:$L,РПЗ!$AB:$AB,Справочно!$E44,РПЗ!$AE:$AE,10)</f>
        <v>0</v>
      </c>
      <c r="AG67" s="227">
        <f>COUNTIFS(РПЗ!$AB:$AB,Справочно!$E44,РПЗ!$AE:$AE,11)</f>
        <v>0</v>
      </c>
      <c r="AH67" s="384">
        <f>SUMIFS(РПЗ!$L:$L,РПЗ!$AB:$AB,Справочно!$E44,РПЗ!$AE:$AE,11)</f>
        <v>0</v>
      </c>
      <c r="AI67" s="227">
        <f>COUNTIFS(РПЗ!$AB:$AB,Справочно!$E44,РПЗ!$AE:$AE,12)</f>
        <v>0</v>
      </c>
      <c r="AJ67" s="384">
        <f>SUMIFS(РПЗ!$L:$L,РПЗ!$AB:$AB,Справочно!$E44,РПЗ!$AE:$AE,12)</f>
        <v>0</v>
      </c>
      <c r="AK67" s="202">
        <f t="shared" si="24"/>
        <v>0</v>
      </c>
      <c r="AL67" s="341">
        <f t="shared" si="25"/>
        <v>0</v>
      </c>
    </row>
    <row r="68" spans="1:38" ht="13.5" thickBot="1" x14ac:dyDescent="0.25">
      <c r="A68" s="94" t="str">
        <f>Справочно!E45</f>
        <v>Заказчик</v>
      </c>
      <c r="B68" s="90">
        <f>COUNTIF(РПЗ!$AB:$AB,Справочно!$E45)</f>
        <v>0</v>
      </c>
      <c r="C68" s="364" t="e">
        <f t="shared" si="17"/>
        <v>#DIV/0!</v>
      </c>
      <c r="D68" s="365">
        <f>SUMIF(РПЗ!$AB:$AB,Справочно!$E45,РПЗ!$L:$L)</f>
        <v>0</v>
      </c>
      <c r="E68" s="364" t="e">
        <f t="shared" si="16"/>
        <v>#DIV/0!</v>
      </c>
      <c r="G68" s="191">
        <f>COUNTIFS(РПЗ!$AB:$AB,Справочно!$E45,РПЗ!$AE:$AE,1)</f>
        <v>0</v>
      </c>
      <c r="H68" s="385">
        <f>SUMIFS(РПЗ!$L:$L,РПЗ!$AB:$AB,Справочно!$E45,РПЗ!$AE:$AE,1)</f>
        <v>0</v>
      </c>
      <c r="I68" s="191">
        <f>COUNTIFS(РПЗ!$AB:$AB,Справочно!$E45,РПЗ!$AE:$AE,2)</f>
        <v>0</v>
      </c>
      <c r="J68" s="385">
        <f>SUMIFS(РПЗ!$L:$L,РПЗ!$AB:$AB,Справочно!$E45,РПЗ!$AE:$AE,2)</f>
        <v>0</v>
      </c>
      <c r="K68" s="191">
        <f>COUNTIFS(РПЗ!$AB:$AB,Справочно!$E45,РПЗ!$AE:$AE,3)</f>
        <v>0</v>
      </c>
      <c r="L68" s="385">
        <f>SUMIFS(РПЗ!$L:$L,РПЗ!$AB:$AB,Справочно!$E45,РПЗ!$AE:$AE,3)</f>
        <v>0</v>
      </c>
      <c r="M68" s="193">
        <f>SUM(G68,I68,K68)</f>
        <v>0</v>
      </c>
      <c r="N68" s="335">
        <f t="shared" si="19"/>
        <v>0</v>
      </c>
      <c r="O68" s="196">
        <f>COUNTIFS(РПЗ!$AB:$AB,Справочно!$E45,РПЗ!$AE:$AE,4)</f>
        <v>0</v>
      </c>
      <c r="P68" s="387">
        <f>SUMIFS(РПЗ!$L:$L,РПЗ!$AB:$AB,Справочно!$E45,РПЗ!$AE:$AE,4)</f>
        <v>0</v>
      </c>
      <c r="Q68" s="188">
        <f>COUNTIFS(РПЗ!$AB:$AB,Справочно!$E45,РПЗ!$AE:$AE,5)</f>
        <v>0</v>
      </c>
      <c r="R68" s="387">
        <f>SUMIFS(РПЗ!$L:$L,РПЗ!$AB:$AB,Справочно!$E45,РПЗ!$AE:$AE,5)</f>
        <v>0</v>
      </c>
      <c r="S68" s="188">
        <f>COUNTIFS(РПЗ!$AB:$AB,Справочно!$E45,РПЗ!$AE:$AE,6)</f>
        <v>0</v>
      </c>
      <c r="T68" s="387">
        <f>SUMIFS(РПЗ!$L:$L,РПЗ!$AB:$AB,Справочно!$E45,РПЗ!$AE:$AE,6)</f>
        <v>0</v>
      </c>
      <c r="U68" s="197">
        <f t="shared" si="20"/>
        <v>0</v>
      </c>
      <c r="V68" s="337">
        <f t="shared" si="26"/>
        <v>0</v>
      </c>
      <c r="W68" s="201">
        <f>COUNTIFS(РПЗ!$AB:$AB,Справочно!$E45,РПЗ!$AE:$AE,7)</f>
        <v>0</v>
      </c>
      <c r="X68" s="389">
        <f>SUMIFS(РПЗ!$L:$L,РПЗ!$AB:$AB,Справочно!$E45,РПЗ!$AE:$AE,7)</f>
        <v>0</v>
      </c>
      <c r="Y68" s="201">
        <f>COUNTIFS(РПЗ!$AB:$AB,Справочно!$E45,РПЗ!$AE:$AE,8)</f>
        <v>0</v>
      </c>
      <c r="Z68" s="389">
        <f>SUMIFS(РПЗ!$L:$L,РПЗ!$AB:$AB,Справочно!$E45,РПЗ!$AE:$AE,8)</f>
        <v>0</v>
      </c>
      <c r="AA68" s="201">
        <f>COUNTIFS(РПЗ!$AB:$AB,Справочно!$E45,РПЗ!$AE:$AE,9)</f>
        <v>0</v>
      </c>
      <c r="AB68" s="389">
        <f>SUMIFS(РПЗ!$L:$L,РПЗ!$AB:$AB,Справочно!$E45,РПЗ!$AE:$AE,9)</f>
        <v>0</v>
      </c>
      <c r="AC68" s="198">
        <f t="shared" si="22"/>
        <v>0</v>
      </c>
      <c r="AD68" s="339">
        <f t="shared" si="23"/>
        <v>0</v>
      </c>
      <c r="AE68" s="204">
        <f>COUNTIFS(РПЗ!$AB:$AB,Справочно!$E45,РПЗ!$AE:$AE,10)</f>
        <v>0</v>
      </c>
      <c r="AF68" s="391">
        <f>SUMIFS(РПЗ!$L:$L,РПЗ!$AB:$AB,Справочно!$E45,РПЗ!$AE:$AE,10)</f>
        <v>0</v>
      </c>
      <c r="AG68" s="182">
        <f>COUNTIFS(РПЗ!$AB:$AB,Справочно!$E45,РПЗ!$AE:$AE,11)</f>
        <v>0</v>
      </c>
      <c r="AH68" s="391">
        <f>SUMIFS(РПЗ!$L:$L,РПЗ!$AB:$AB,Справочно!$E45,РПЗ!$AE:$AE,11)</f>
        <v>0</v>
      </c>
      <c r="AI68" s="182">
        <f>COUNTIFS(РПЗ!$AB:$AB,Справочно!$E45,РПЗ!$AE:$AE,12)</f>
        <v>0</v>
      </c>
      <c r="AJ68" s="391">
        <f>SUMIFS(РПЗ!$L:$L,РПЗ!$AB:$AB,Справочно!$E45,РПЗ!$AE:$AE,12)</f>
        <v>0</v>
      </c>
      <c r="AK68" s="202">
        <f t="shared" si="24"/>
        <v>0</v>
      </c>
      <c r="AL68" s="341">
        <f t="shared" si="25"/>
        <v>0</v>
      </c>
    </row>
    <row r="69" spans="1:38" ht="13.5" thickBot="1" x14ac:dyDescent="0.25">
      <c r="A69" s="74" t="s">
        <v>242</v>
      </c>
      <c r="B69" s="410">
        <f>SUM(B44:B68)</f>
        <v>0</v>
      </c>
      <c r="C69" s="411" t="e">
        <f>B69/$B$13</f>
        <v>#DIV/0!</v>
      </c>
      <c r="D69" s="412">
        <f>SUM(D44:D68)</f>
        <v>0</v>
      </c>
      <c r="E69" s="411" t="e">
        <f t="shared" si="16"/>
        <v>#DIV/0!</v>
      </c>
      <c r="G69" s="89">
        <f t="shared" ref="G69:AL69" si="27">SUM(G44:G68)</f>
        <v>0</v>
      </c>
      <c r="H69" s="393">
        <f t="shared" si="27"/>
        <v>0</v>
      </c>
      <c r="I69" s="143">
        <f t="shared" si="27"/>
        <v>0</v>
      </c>
      <c r="J69" s="393">
        <f>SUM(J44:J68)</f>
        <v>0</v>
      </c>
      <c r="K69" s="143">
        <f t="shared" si="27"/>
        <v>0</v>
      </c>
      <c r="L69" s="394">
        <f t="shared" si="27"/>
        <v>0</v>
      </c>
      <c r="M69" s="179">
        <f t="shared" si="27"/>
        <v>0</v>
      </c>
      <c r="N69" s="395">
        <f t="shared" si="27"/>
        <v>0</v>
      </c>
      <c r="O69" s="89">
        <f>SUM(O44:O68)</f>
        <v>0</v>
      </c>
      <c r="P69" s="393">
        <f>SUM(P44:P68)</f>
        <v>0</v>
      </c>
      <c r="Q69" s="143">
        <f>SUM(Q44:Q68)</f>
        <v>0</v>
      </c>
      <c r="R69" s="393">
        <f>SUM(R44:R68)</f>
        <v>0</v>
      </c>
      <c r="S69" s="143">
        <f t="shared" si="27"/>
        <v>0</v>
      </c>
      <c r="T69" s="394">
        <f t="shared" si="27"/>
        <v>0</v>
      </c>
      <c r="U69" s="179">
        <f t="shared" si="27"/>
        <v>0</v>
      </c>
      <c r="V69" s="395">
        <f t="shared" si="27"/>
        <v>0</v>
      </c>
      <c r="W69" s="89">
        <f>SUM(W44:W68)</f>
        <v>0</v>
      </c>
      <c r="X69" s="366">
        <f t="shared" si="27"/>
        <v>0</v>
      </c>
      <c r="Y69" s="89">
        <f t="shared" si="27"/>
        <v>0</v>
      </c>
      <c r="Z69" s="366">
        <f t="shared" si="27"/>
        <v>0</v>
      </c>
      <c r="AA69" s="89">
        <f>SUM(AA44:AA68)</f>
        <v>0</v>
      </c>
      <c r="AB69" s="396">
        <f t="shared" si="27"/>
        <v>0</v>
      </c>
      <c r="AC69" s="179">
        <f t="shared" si="27"/>
        <v>0</v>
      </c>
      <c r="AD69" s="395">
        <f t="shared" si="27"/>
        <v>0</v>
      </c>
      <c r="AE69" s="89">
        <f t="shared" si="27"/>
        <v>0</v>
      </c>
      <c r="AF69" s="393">
        <f>SUM(AF44:AF68)</f>
        <v>0</v>
      </c>
      <c r="AG69" s="143">
        <f>SUM(AG44:AG68)</f>
        <v>0</v>
      </c>
      <c r="AH69" s="393">
        <f t="shared" si="27"/>
        <v>0</v>
      </c>
      <c r="AI69" s="143">
        <f>SUM(AI44:AI68)</f>
        <v>0</v>
      </c>
      <c r="AJ69" s="394">
        <f t="shared" si="27"/>
        <v>0</v>
      </c>
      <c r="AK69" s="179">
        <f t="shared" si="27"/>
        <v>0</v>
      </c>
      <c r="AL69" s="395">
        <f t="shared" si="27"/>
        <v>0</v>
      </c>
    </row>
    <row r="70" spans="1:38" x14ac:dyDescent="0.2">
      <c r="G70" s="109"/>
      <c r="H70" s="110"/>
      <c r="I70" s="110"/>
      <c r="J70" s="110"/>
      <c r="K70" s="110"/>
      <c r="L70" s="110"/>
      <c r="M70" s="110"/>
      <c r="N70" s="146"/>
      <c r="O70" s="109"/>
      <c r="P70" s="110"/>
      <c r="Q70" s="110"/>
      <c r="R70" s="110"/>
      <c r="S70" s="110"/>
      <c r="T70" s="110"/>
      <c r="U70" s="110"/>
      <c r="V70" s="146"/>
      <c r="W70" s="109"/>
      <c r="X70" s="110"/>
      <c r="Y70" s="110"/>
      <c r="Z70" s="110"/>
      <c r="AA70" s="110"/>
      <c r="AB70" s="110"/>
      <c r="AC70" s="110"/>
      <c r="AD70" s="146"/>
      <c r="AE70" s="109"/>
      <c r="AF70" s="110"/>
      <c r="AG70" s="110"/>
      <c r="AH70" s="110"/>
      <c r="AI70" s="110"/>
      <c r="AJ70" s="110"/>
      <c r="AK70" s="110"/>
      <c r="AL70" s="146"/>
    </row>
    <row r="71" spans="1:38" ht="25.5" customHeight="1" thickBot="1" x14ac:dyDescent="0.25">
      <c r="A71" s="684" t="s">
        <v>994</v>
      </c>
      <c r="B71" s="684"/>
      <c r="C71" s="684"/>
      <c r="D71" s="684"/>
      <c r="E71" s="684"/>
      <c r="G71" s="109"/>
      <c r="H71" s="110"/>
      <c r="I71" s="110"/>
      <c r="J71" s="110"/>
      <c r="K71" s="110"/>
      <c r="L71" s="110"/>
      <c r="M71" s="110"/>
      <c r="N71" s="146"/>
      <c r="O71" s="109"/>
      <c r="P71" s="110"/>
      <c r="Q71" s="110"/>
      <c r="R71" s="110"/>
      <c r="S71" s="110"/>
      <c r="T71" s="110"/>
      <c r="U71" s="110"/>
      <c r="V71" s="146"/>
      <c r="W71" s="109"/>
      <c r="X71" s="110"/>
      <c r="Y71" s="110"/>
      <c r="Z71" s="110"/>
      <c r="AA71" s="110"/>
      <c r="AB71" s="110"/>
      <c r="AC71" s="110"/>
      <c r="AD71" s="146"/>
      <c r="AE71" s="109"/>
      <c r="AF71" s="110"/>
      <c r="AG71" s="110"/>
      <c r="AH71" s="110"/>
      <c r="AI71" s="110"/>
      <c r="AJ71" s="110"/>
      <c r="AK71" s="110"/>
      <c r="AL71" s="146"/>
    </row>
    <row r="72" spans="1:38" ht="26.25" thickBot="1" x14ac:dyDescent="0.25">
      <c r="A72" s="265" t="s">
        <v>245</v>
      </c>
      <c r="B72" s="62" t="s">
        <v>290</v>
      </c>
      <c r="C72" s="63" t="s">
        <v>240</v>
      </c>
      <c r="D72" s="64" t="s">
        <v>289</v>
      </c>
      <c r="E72" s="63" t="s">
        <v>243</v>
      </c>
      <c r="G72" s="62" t="s">
        <v>290</v>
      </c>
      <c r="H72" s="66" t="s">
        <v>289</v>
      </c>
      <c r="I72" s="66" t="s">
        <v>290</v>
      </c>
      <c r="J72" s="66" t="s">
        <v>289</v>
      </c>
      <c r="K72" s="66" t="s">
        <v>290</v>
      </c>
      <c r="L72" s="145" t="s">
        <v>289</v>
      </c>
      <c r="M72" s="174" t="s">
        <v>290</v>
      </c>
      <c r="N72" s="174" t="s">
        <v>289</v>
      </c>
      <c r="O72" s="62" t="s">
        <v>290</v>
      </c>
      <c r="P72" s="66" t="s">
        <v>289</v>
      </c>
      <c r="Q72" s="66" t="s">
        <v>290</v>
      </c>
      <c r="R72" s="66" t="s">
        <v>289</v>
      </c>
      <c r="S72" s="66" t="s">
        <v>290</v>
      </c>
      <c r="T72" s="145" t="s">
        <v>289</v>
      </c>
      <c r="U72" s="174" t="s">
        <v>290</v>
      </c>
      <c r="V72" s="174" t="s">
        <v>289</v>
      </c>
      <c r="W72" s="62" t="s">
        <v>290</v>
      </c>
      <c r="X72" s="66" t="s">
        <v>289</v>
      </c>
      <c r="Y72" s="66" t="s">
        <v>290</v>
      </c>
      <c r="Z72" s="66" t="s">
        <v>289</v>
      </c>
      <c r="AA72" s="66" t="s">
        <v>290</v>
      </c>
      <c r="AB72" s="145" t="s">
        <v>289</v>
      </c>
      <c r="AC72" s="174" t="s">
        <v>290</v>
      </c>
      <c r="AD72" s="174" t="s">
        <v>289</v>
      </c>
      <c r="AE72" s="62" t="s">
        <v>290</v>
      </c>
      <c r="AF72" s="66" t="s">
        <v>289</v>
      </c>
      <c r="AG72" s="66" t="s">
        <v>290</v>
      </c>
      <c r="AH72" s="66" t="s">
        <v>289</v>
      </c>
      <c r="AI72" s="66" t="s">
        <v>290</v>
      </c>
      <c r="AJ72" s="145" t="s">
        <v>289</v>
      </c>
      <c r="AK72" s="174" t="s">
        <v>290</v>
      </c>
      <c r="AL72" s="174" t="s">
        <v>289</v>
      </c>
    </row>
    <row r="73" spans="1:38" ht="13.5" thickBot="1" x14ac:dyDescent="0.25">
      <c r="A73" s="91" t="s">
        <v>246</v>
      </c>
      <c r="B73" s="73">
        <f>COUNTIF(РПЗ!$R:$R,Справочно!$E16)</f>
        <v>0</v>
      </c>
      <c r="C73" s="399" t="e">
        <f>B73/$B$13</f>
        <v>#DIV/0!</v>
      </c>
      <c r="D73" s="361">
        <f>SUMIF(РПЗ!$R:$R,Справочно!$E16,РПЗ!$L:$L)</f>
        <v>0</v>
      </c>
      <c r="E73" s="399" t="e">
        <f>D73/$D$13</f>
        <v>#DIV/0!</v>
      </c>
      <c r="G73" s="190">
        <f>COUNTIFS(РПЗ!$R:$R,Справочно!$E16,РПЗ!$AE:$AE,1)</f>
        <v>0</v>
      </c>
      <c r="H73" s="367">
        <f>SUMIFS(РПЗ!$L:$L,РПЗ!$R:$R,Справочно!$E16,РПЗ!$AE:$AE,1)</f>
        <v>0</v>
      </c>
      <c r="I73" s="190">
        <f>COUNTIFS(РПЗ!$R:$R,Справочно!$E16,РПЗ!$AE:$AE,2)</f>
        <v>0</v>
      </c>
      <c r="J73" s="367">
        <f>SUMIFS(РПЗ!$L:$L,РПЗ!$R:$R,Справочно!$E16,РПЗ!$AE:$AE,2)</f>
        <v>0</v>
      </c>
      <c r="K73" s="190">
        <f>COUNTIFS(РПЗ!$R:$R,Справочно!$E16,РПЗ!$AE:$AE,3)</f>
        <v>0</v>
      </c>
      <c r="L73" s="367">
        <f>SUMIFS(РПЗ!$L:$L,РПЗ!$R:$R,Справочно!$E16,РПЗ!$AE:$AE,3)</f>
        <v>0</v>
      </c>
      <c r="M73" s="193">
        <f>SUM($G73,$I73,$K73)</f>
        <v>0</v>
      </c>
      <c r="N73" s="335">
        <f>SUM($H73,$J73,$L73)</f>
        <v>0</v>
      </c>
      <c r="O73" s="194">
        <f>COUNTIFS(РПЗ!$R:$R,Справочно!$E16,РПЗ!$AE:$AE,4)</f>
        <v>0</v>
      </c>
      <c r="P73" s="369">
        <f>SUMIFS(РПЗ!$L:$L,РПЗ!$R:$R,Справочно!$E16,РПЗ!$AE:$AE,4)</f>
        <v>0</v>
      </c>
      <c r="Q73" s="194">
        <f>COUNTIFS(РПЗ!$R:$R,Справочно!$E16,РПЗ!$AE:$AE,5)</f>
        <v>0</v>
      </c>
      <c r="R73" s="369">
        <f>SUMIFS(РПЗ!$L:$L,РПЗ!$R:$R,Справочно!$E16,РПЗ!$AE:$AE,5)</f>
        <v>0</v>
      </c>
      <c r="S73" s="194">
        <f>COUNTIFS(РПЗ!$R:$R,Справочно!$E16,РПЗ!$AE:$AE,6)</f>
        <v>0</v>
      </c>
      <c r="T73" s="397">
        <f>SUMIFS(РПЗ!$L:$L,РПЗ!$R:$R,Справочно!$E16,РПЗ!$AE:$AE,6)</f>
        <v>0</v>
      </c>
      <c r="U73" s="197">
        <f>SUM($O73,$Q73,$S73)</f>
        <v>0</v>
      </c>
      <c r="V73" s="337">
        <f>SUM($P73,$R73,$T73)</f>
        <v>0</v>
      </c>
      <c r="W73" s="199">
        <f>COUNTIFS(РПЗ!$R:$R,Справочно!$E16,РПЗ!$AE:$AE,7)</f>
        <v>0</v>
      </c>
      <c r="X73" s="371">
        <f>SUMIFS(РПЗ!$L:$L,РПЗ!$R:$R,Справочно!$E16,РПЗ!$AE:$AE,7)</f>
        <v>0</v>
      </c>
      <c r="Y73" s="199">
        <f>COUNTIFS(РПЗ!$R:$R,Справочно!$E16,РПЗ!$AE:$AE,8)</f>
        <v>0</v>
      </c>
      <c r="Z73" s="371">
        <f>SUMIFS(РПЗ!$L:$L,РПЗ!$R:$R,Справочно!$E16,РПЗ!$AE:$AE,8)</f>
        <v>0</v>
      </c>
      <c r="AA73" s="199">
        <f>COUNTIFS(РПЗ!$R:$R,Справочно!$E16,РПЗ!$AE:$AE,9)</f>
        <v>0</v>
      </c>
      <c r="AB73" s="371">
        <f>SUMIFS(РПЗ!$L:$L,РПЗ!$R:$R,Справочно!$E16,РПЗ!$AE:$AE,9)</f>
        <v>0</v>
      </c>
      <c r="AC73" s="198">
        <f>SUM($W73,$Y73,$AA73)</f>
        <v>0</v>
      </c>
      <c r="AD73" s="339">
        <f>SUM($X73,$Z73,$AB73)</f>
        <v>0</v>
      </c>
      <c r="AE73" s="203">
        <f>COUNTIFS(РПЗ!$R:$R,Справочно!$E16,РПЗ!$AE:$AE,10)</f>
        <v>0</v>
      </c>
      <c r="AF73" s="373">
        <f>SUMIFS(РПЗ!$L:$L,РПЗ!$R:$R,Справочно!$E16,РПЗ!$AE:$AE,10)</f>
        <v>0</v>
      </c>
      <c r="AG73" s="203">
        <f>COUNTIFS(РПЗ!$R:$R,Справочно!$E16,РПЗ!$AE:$AE,11)</f>
        <v>0</v>
      </c>
      <c r="AH73" s="373">
        <f>SUMIFS(РПЗ!$L:$L,РПЗ!$R:$R,Справочно!$E16,РПЗ!$AE:$AE,11)</f>
        <v>0</v>
      </c>
      <c r="AI73" s="203">
        <f>COUNTIFS(РПЗ!$R:$R,Справочно!$E16,РПЗ!$AE:$AE,12)</f>
        <v>0</v>
      </c>
      <c r="AJ73" s="373">
        <f>SUMIFS(РПЗ!$L:$L,РПЗ!$R:$R,Справочно!$E16,РПЗ!$AE:$AE,12)</f>
        <v>0</v>
      </c>
      <c r="AK73" s="202">
        <f>SUM($AE73,$AG73,$AI73)</f>
        <v>0</v>
      </c>
      <c r="AL73" s="341">
        <f>SUM($AF73,$AH73,$AJ73)</f>
        <v>0</v>
      </c>
    </row>
    <row r="74" spans="1:38" ht="13.5" thickBot="1" x14ac:dyDescent="0.25">
      <c r="A74" s="92" t="s">
        <v>978</v>
      </c>
      <c r="B74" s="90">
        <f>COUNTIF(РПЗ!$R:$R,Справочно!$E17)</f>
        <v>0</v>
      </c>
      <c r="C74" s="364" t="e">
        <f>B74/$B$13</f>
        <v>#DIV/0!</v>
      </c>
      <c r="D74" s="361">
        <f>SUMIF(РПЗ!$R:$R,Справочно!$E17,РПЗ!$L:$L)</f>
        <v>0</v>
      </c>
      <c r="E74" s="360" t="e">
        <f>D74/$D$13</f>
        <v>#DIV/0!</v>
      </c>
      <c r="G74" s="191">
        <f>COUNTIFS(РПЗ!$R:$R,Справочно!$E17,РПЗ!$AE:$AE,1)</f>
        <v>0</v>
      </c>
      <c r="H74" s="385">
        <f>SUMIFS(РПЗ!$L:$L,РПЗ!$R:$R,Справочно!$E17,РПЗ!$AE:$AE,1)</f>
        <v>0</v>
      </c>
      <c r="I74" s="191">
        <f>COUNTIFS(РПЗ!$R:$R,Справочно!$E17,РПЗ!$AE:$AE,2)</f>
        <v>0</v>
      </c>
      <c r="J74" s="385">
        <f>SUMIFS(РПЗ!$L:$L,РПЗ!$R:$R,Справочно!$E17,РПЗ!$AE:$AE,2)</f>
        <v>0</v>
      </c>
      <c r="K74" s="191">
        <f>COUNTIFS(РПЗ!$R:$R,Справочно!$E17,РПЗ!$AE:$AE,3)</f>
        <v>0</v>
      </c>
      <c r="L74" s="385">
        <f>SUMIFS(РПЗ!$L:$L,РПЗ!$R:$R,Справочно!$E17,РПЗ!$AE:$AE,3)</f>
        <v>0</v>
      </c>
      <c r="M74" s="193">
        <f>SUM($G74,$I74,$K74)</f>
        <v>0</v>
      </c>
      <c r="N74" s="335">
        <f>SUM($H74,$J74,$L74)</f>
        <v>0</v>
      </c>
      <c r="O74" s="196">
        <f>COUNTIFS(РПЗ!$R:$R,Справочно!$E17,РПЗ!$AE:$AE,4)</f>
        <v>0</v>
      </c>
      <c r="P74" s="387">
        <f>SUMIFS(РПЗ!$L:$L,РПЗ!$R:$R,Справочно!$E17,РПЗ!$AE:$AE,4)</f>
        <v>0</v>
      </c>
      <c r="Q74" s="196">
        <f>COUNTIFS(РПЗ!$R:$R,Справочно!$E17,РПЗ!$AE:$AE,5)</f>
        <v>0</v>
      </c>
      <c r="R74" s="387">
        <f>SUMIFS(РПЗ!$L:$L,РПЗ!$R:$R,Справочно!$E17,РПЗ!$AE:$AE,5)</f>
        <v>0</v>
      </c>
      <c r="S74" s="196">
        <f>COUNTIFS(РПЗ!$R:$R,Справочно!$E17,РПЗ!$AE:$AE,6)</f>
        <v>0</v>
      </c>
      <c r="T74" s="398">
        <f>SUMIFS(РПЗ!$L:$L,РПЗ!$R:$R,Справочно!$E17,РПЗ!$AE:$AE,6)</f>
        <v>0</v>
      </c>
      <c r="U74" s="197">
        <f>SUM($O74,$Q74,$S74)</f>
        <v>0</v>
      </c>
      <c r="V74" s="337">
        <f>SUM($P74,$R74,$T74)</f>
        <v>0</v>
      </c>
      <c r="W74" s="201">
        <f>COUNTIFS(РПЗ!$R:$R,Справочно!$E17,РПЗ!$AE:$AE,7)</f>
        <v>0</v>
      </c>
      <c r="X74" s="389">
        <f>SUMIFS(РПЗ!$L:$L,РПЗ!$R:$R,Справочно!$E17,РПЗ!$AE:$AE,7)</f>
        <v>0</v>
      </c>
      <c r="Y74" s="201">
        <f>COUNTIFS(РПЗ!$R:$R,Справочно!$E17,РПЗ!$AE:$AE,8)</f>
        <v>0</v>
      </c>
      <c r="Z74" s="389">
        <f>SUMIFS(РПЗ!$L:$L,РПЗ!$R:$R,Справочно!$E17,РПЗ!$AE:$AE,8)</f>
        <v>0</v>
      </c>
      <c r="AA74" s="201">
        <f>COUNTIFS(РПЗ!$R:$R,Справочно!$E17,РПЗ!$AE:$AE,9)</f>
        <v>0</v>
      </c>
      <c r="AB74" s="389">
        <f>SUMIFS(РПЗ!$L:$L,РПЗ!$R:$R,Справочно!$E17,РПЗ!$AE:$AE,9)</f>
        <v>0</v>
      </c>
      <c r="AC74" s="198">
        <f>SUM($W74,$Y74,$AA74)</f>
        <v>0</v>
      </c>
      <c r="AD74" s="339">
        <f>SUM($X74,$Z74,$AB74)</f>
        <v>0</v>
      </c>
      <c r="AE74" s="204">
        <f>COUNTIFS(РПЗ!$R:$R,Справочно!$E17,РПЗ!$AE:$AE,10)</f>
        <v>0</v>
      </c>
      <c r="AF74" s="391">
        <f>SUMIFS(РПЗ!$L:$L,РПЗ!$R:$R,Справочно!$E17,РПЗ!$AE:$AE,10)</f>
        <v>0</v>
      </c>
      <c r="AG74" s="204">
        <f>COUNTIFS(РПЗ!$R:$R,Справочно!$E17,РПЗ!$AE:$AE,11)</f>
        <v>0</v>
      </c>
      <c r="AH74" s="391">
        <f>SUMIFS(РПЗ!$L:$L,РПЗ!$R:$R,Справочно!$E17,РПЗ!$AE:$AE,11)</f>
        <v>0</v>
      </c>
      <c r="AI74" s="204">
        <f>COUNTIFS(РПЗ!$R:$R,Справочно!$E17,РПЗ!$AE:$AE,12)</f>
        <v>0</v>
      </c>
      <c r="AJ74" s="391">
        <f>SUMIFS(РПЗ!$L:$L,РПЗ!$R:$R,Справочно!$E17,РПЗ!$AE:$AE,12)</f>
        <v>0</v>
      </c>
      <c r="AK74" s="202">
        <f>SUM($AE74,$AG74,$AI74)</f>
        <v>0</v>
      </c>
      <c r="AL74" s="341">
        <f>SUM($AF74,$AH74,$AJ74)</f>
        <v>0</v>
      </c>
    </row>
    <row r="75" spans="1:38" ht="13.5" thickBot="1" x14ac:dyDescent="0.25">
      <c r="A75" s="74" t="s">
        <v>260</v>
      </c>
      <c r="B75" s="410">
        <f>B73+B74</f>
        <v>0</v>
      </c>
      <c r="C75" s="413" t="e">
        <f>C73+C74</f>
        <v>#DIV/0!</v>
      </c>
      <c r="D75" s="402">
        <f>D73+D74</f>
        <v>0</v>
      </c>
      <c r="E75" s="413" t="e">
        <f>E73+E74</f>
        <v>#DIV/0!</v>
      </c>
      <c r="G75" s="89">
        <f t="shared" ref="G75:AL75" si="28">G73+G74</f>
        <v>0</v>
      </c>
      <c r="H75" s="344">
        <f t="shared" si="28"/>
        <v>0</v>
      </c>
      <c r="I75" s="143">
        <f t="shared" si="28"/>
        <v>0</v>
      </c>
      <c r="J75" s="344">
        <f t="shared" si="28"/>
        <v>0</v>
      </c>
      <c r="K75" s="143">
        <f t="shared" si="28"/>
        <v>0</v>
      </c>
      <c r="L75" s="350">
        <f t="shared" si="28"/>
        <v>0</v>
      </c>
      <c r="M75" s="179">
        <f t="shared" si="28"/>
        <v>0</v>
      </c>
      <c r="N75" s="346">
        <f t="shared" si="28"/>
        <v>0</v>
      </c>
      <c r="O75" s="89">
        <f>O73+O74</f>
        <v>0</v>
      </c>
      <c r="P75" s="344">
        <f t="shared" si="28"/>
        <v>0</v>
      </c>
      <c r="Q75" s="143">
        <f t="shared" si="28"/>
        <v>0</v>
      </c>
      <c r="R75" s="344">
        <f t="shared" si="28"/>
        <v>0</v>
      </c>
      <c r="S75" s="143">
        <f t="shared" si="28"/>
        <v>0</v>
      </c>
      <c r="T75" s="350">
        <f t="shared" si="28"/>
        <v>0</v>
      </c>
      <c r="U75" s="179">
        <f t="shared" si="28"/>
        <v>0</v>
      </c>
      <c r="V75" s="346">
        <f t="shared" si="28"/>
        <v>0</v>
      </c>
      <c r="W75" s="89">
        <f t="shared" si="28"/>
        <v>0</v>
      </c>
      <c r="X75" s="344">
        <f t="shared" si="28"/>
        <v>0</v>
      </c>
      <c r="Y75" s="143">
        <f t="shared" si="28"/>
        <v>0</v>
      </c>
      <c r="Z75" s="344">
        <f t="shared" si="28"/>
        <v>0</v>
      </c>
      <c r="AA75" s="143">
        <f t="shared" si="28"/>
        <v>0</v>
      </c>
      <c r="AB75" s="350">
        <f t="shared" si="28"/>
        <v>0</v>
      </c>
      <c r="AC75" s="179">
        <f t="shared" si="28"/>
        <v>0</v>
      </c>
      <c r="AD75" s="346">
        <f t="shared" si="28"/>
        <v>0</v>
      </c>
      <c r="AE75" s="89">
        <f t="shared" si="28"/>
        <v>0</v>
      </c>
      <c r="AF75" s="344">
        <f t="shared" si="28"/>
        <v>0</v>
      </c>
      <c r="AG75" s="143">
        <f t="shared" si="28"/>
        <v>0</v>
      </c>
      <c r="AH75" s="344">
        <f t="shared" si="28"/>
        <v>0</v>
      </c>
      <c r="AI75" s="143">
        <f t="shared" si="28"/>
        <v>0</v>
      </c>
      <c r="AJ75" s="350">
        <f t="shared" si="28"/>
        <v>0</v>
      </c>
      <c r="AK75" s="179">
        <f t="shared" si="28"/>
        <v>0</v>
      </c>
      <c r="AL75" s="346">
        <f t="shared" si="28"/>
        <v>0</v>
      </c>
    </row>
    <row r="77" spans="1:38" ht="13.5" thickBot="1" x14ac:dyDescent="0.25"/>
    <row r="78" spans="1:38" ht="26.25" customHeight="1" thickBot="1" x14ac:dyDescent="0.25">
      <c r="A78" s="685" t="s">
        <v>980</v>
      </c>
      <c r="B78" s="686"/>
    </row>
    <row r="79" spans="1:38" ht="13.5" thickBot="1" x14ac:dyDescent="0.25">
      <c r="A79" s="106" t="s">
        <v>258</v>
      </c>
      <c r="B79" s="107">
        <f>COUNTIF(РПЗ!$Q:$Q,Справочно!$C32)</f>
        <v>0</v>
      </c>
    </row>
    <row r="82" spans="1:38" ht="22.5" customHeight="1" thickBot="1" x14ac:dyDescent="0.25">
      <c r="A82" s="683" t="s">
        <v>1281</v>
      </c>
      <c r="B82" s="683"/>
      <c r="C82" s="683"/>
      <c r="D82" s="683"/>
      <c r="E82" s="683"/>
      <c r="F82" s="50" t="s">
        <v>1280</v>
      </c>
    </row>
    <row r="83" spans="1:38" ht="51.75" thickBot="1" x14ac:dyDescent="0.25">
      <c r="A83" s="494" t="s">
        <v>1273</v>
      </c>
      <c r="B83" s="497" t="s">
        <v>290</v>
      </c>
      <c r="C83" s="496" t="s">
        <v>1277</v>
      </c>
      <c r="D83" s="497" t="s">
        <v>289</v>
      </c>
      <c r="E83" s="496" t="s">
        <v>1278</v>
      </c>
      <c r="G83" s="495" t="s">
        <v>290</v>
      </c>
      <c r="H83" s="66" t="s">
        <v>289</v>
      </c>
      <c r="I83" s="66" t="s">
        <v>290</v>
      </c>
      <c r="J83" s="66" t="s">
        <v>289</v>
      </c>
      <c r="K83" s="66" t="s">
        <v>290</v>
      </c>
      <c r="L83" s="487" t="s">
        <v>289</v>
      </c>
      <c r="M83" s="494" t="s">
        <v>290</v>
      </c>
      <c r="N83" s="494" t="s">
        <v>289</v>
      </c>
      <c r="O83" s="495" t="s">
        <v>290</v>
      </c>
      <c r="P83" s="66" t="s">
        <v>289</v>
      </c>
      <c r="Q83" s="66" t="s">
        <v>290</v>
      </c>
      <c r="R83" s="66" t="s">
        <v>289</v>
      </c>
      <c r="S83" s="66" t="s">
        <v>290</v>
      </c>
      <c r="T83" s="487" t="s">
        <v>289</v>
      </c>
      <c r="U83" s="494" t="s">
        <v>290</v>
      </c>
      <c r="V83" s="494" t="s">
        <v>289</v>
      </c>
      <c r="W83" s="495" t="s">
        <v>290</v>
      </c>
      <c r="X83" s="66" t="s">
        <v>289</v>
      </c>
      <c r="Y83" s="66" t="s">
        <v>290</v>
      </c>
      <c r="Z83" s="66" t="s">
        <v>289</v>
      </c>
      <c r="AA83" s="66" t="s">
        <v>290</v>
      </c>
      <c r="AB83" s="487" t="s">
        <v>289</v>
      </c>
      <c r="AC83" s="494" t="s">
        <v>290</v>
      </c>
      <c r="AD83" s="494" t="s">
        <v>289</v>
      </c>
      <c r="AE83" s="495" t="s">
        <v>290</v>
      </c>
      <c r="AF83" s="66" t="s">
        <v>289</v>
      </c>
      <c r="AG83" s="66" t="s">
        <v>290</v>
      </c>
      <c r="AH83" s="66" t="s">
        <v>289</v>
      </c>
      <c r="AI83" s="66" t="s">
        <v>290</v>
      </c>
      <c r="AJ83" s="487" t="s">
        <v>289</v>
      </c>
      <c r="AK83" s="494" t="s">
        <v>290</v>
      </c>
      <c r="AL83" s="494" t="s">
        <v>289</v>
      </c>
    </row>
    <row r="84" spans="1:38" ht="13.5" thickBot="1" x14ac:dyDescent="0.25">
      <c r="A84" s="93" t="s">
        <v>1279</v>
      </c>
      <c r="B84" s="504">
        <f>COUNTIFS(РПЗ!$AD:$AD,Справочно!$E16,РПЗ!$L:$L,"&lt;50000000",РПЗ!$Q:$Q,"&lt;&gt;ЕП")</f>
        <v>0</v>
      </c>
      <c r="C84" s="353" t="e">
        <f>B84/$B$36</f>
        <v>#DIV/0!</v>
      </c>
      <c r="D84" s="507">
        <f>SUMIFS(РПЗ!$L:$L,РПЗ!$AD:$AD,Справочно!$E16,РПЗ!$L:$L,"&lt;50000000",РПЗ!$Q:$Q,"&lt;&gt;ЕП")</f>
        <v>0</v>
      </c>
      <c r="E84" s="353" t="e">
        <f>D84/$D$36</f>
        <v>#DIV/0!</v>
      </c>
      <c r="G84" s="190">
        <f>COUNTIFS(РПЗ!$AD:$AD,Справочно!$E16,РПЗ!$L:$L,"&lt;50000000",РПЗ!$Q:$Q,"&lt;&gt;ЕП",РПЗ!$AE:$AE,1)</f>
        <v>0</v>
      </c>
      <c r="H84" s="367">
        <f>SUMIFS(РПЗ!$L:$L,РПЗ!$AD:$AD,Справочно!$E16,РПЗ!$L:$L,"&lt;50000000",РПЗ!$Q:$Q,"&lt;&gt;ЕП",РПЗ!$AE:$AE,1)</f>
        <v>0</v>
      </c>
      <c r="I84" s="190">
        <f>COUNTIFS(РПЗ!$AD:$AD,Справочно!$E16,РПЗ!$L:$L,"&lt;50000000",РПЗ!$Q:$Q,"&lt;&gt;ЕП",РПЗ!$AE:$AE,2)</f>
        <v>0</v>
      </c>
      <c r="J84" s="367">
        <f>SUMIFS(РПЗ!$L:$L,РПЗ!$AD:$AD,Справочно!$E16,РПЗ!$L:$L,"&lt;50000000",РПЗ!$Q:$Q,"&lt;&gt;ЕП",РПЗ!$AE:$AE,2)</f>
        <v>0</v>
      </c>
      <c r="K84" s="190">
        <f>COUNTIFS(РПЗ!$AD:$AD,Справочно!$E16,РПЗ!$L:$L,"&lt;50000000",РПЗ!$Q:$Q,"&lt;&gt;ЕП",РПЗ!$AE:$AE,3)</f>
        <v>0</v>
      </c>
      <c r="L84" s="367">
        <f>SUMIFS(РПЗ!$L:$L,РПЗ!$AD:$AD,Справочно!$E16,РПЗ!$L:$L,"&lt;50000000",РПЗ!$Q:$Q,"&lt;&gt;ЕП",РПЗ!$AE:$AE,3)</f>
        <v>0</v>
      </c>
      <c r="M84" s="193">
        <f>SUM($G84,$I84,$K84)</f>
        <v>0</v>
      </c>
      <c r="N84" s="335">
        <f>SUM($H84,$J84,$L84)</f>
        <v>0</v>
      </c>
      <c r="O84" s="194">
        <f>COUNTIFS(РПЗ!$AD:$AD,Справочно!$E16,РПЗ!$L:$L,"&lt;50000000",РПЗ!$Q:$Q,"&lt;&gt;ЕП",РПЗ!$AE:$AE,4)</f>
        <v>0</v>
      </c>
      <c r="P84" s="369">
        <f>SUMIFS(РПЗ!$L:$L,РПЗ!$AD:$AD,Справочно!$E16,РПЗ!$L:$L,"&lt;50000000",РПЗ!$Q:$Q,"&lt;&gt;ЕП",РПЗ!$AE:$AE,4)</f>
        <v>0</v>
      </c>
      <c r="Q84" s="194">
        <f>COUNTIFS(РПЗ!$AD:$AD,Справочно!$E16,РПЗ!$L:$L,"&lt;50000000",РПЗ!$Q:$Q,"&lt;&gt;ЕП",РПЗ!$AE:$AE,5)</f>
        <v>0</v>
      </c>
      <c r="R84" s="369">
        <f>SUMIFS(РПЗ!$L:$L,РПЗ!$AD:$AD,Справочно!$E16,РПЗ!$L:$L,"&lt;50000000",РПЗ!$Q:$Q,"&lt;&gt;ЕП",РПЗ!$AE:$AE,5)</f>
        <v>0</v>
      </c>
      <c r="S84" s="194">
        <f>COUNTIFS(РПЗ!$AD:$AD,Справочно!$E16,РПЗ!$L:$L,"&lt;50000000",РПЗ!$Q:$Q,"&lt;&gt;ЕП",РПЗ!$AE:$AE,6)</f>
        <v>0</v>
      </c>
      <c r="T84" s="397">
        <f>SUMIFS(РПЗ!$L:$L,РПЗ!$AD:$AD,Справочно!$E16,РПЗ!$L:$L,"&lt;50000000",РПЗ!$Q:$Q,"&lt;&gt;ЕП",РПЗ!$AE:$AE,6)</f>
        <v>0</v>
      </c>
      <c r="U84" s="197">
        <f>SUM($O84,$Q84,$S84)</f>
        <v>0</v>
      </c>
      <c r="V84" s="337">
        <f>SUM($P84,$R84,$T84)</f>
        <v>0</v>
      </c>
      <c r="W84" s="199">
        <f>COUNTIFS(РПЗ!$AD:$AD,Справочно!$E16,РПЗ!$L:$L,"&lt;50000000",РПЗ!$Q:$Q,"&lt;&gt;ЕП",РПЗ!$AE:$AE,7)</f>
        <v>0</v>
      </c>
      <c r="X84" s="371">
        <f>SUMIFS(РПЗ!$L:$L,РПЗ!$AD:$AD,Справочно!$E16,РПЗ!$L:$L,"&lt;50000000",РПЗ!$Q:$Q,"&lt;&gt;ЕП",РПЗ!$AE:$AE,7)</f>
        <v>0</v>
      </c>
      <c r="Y84" s="199">
        <f>COUNTIFS(РПЗ!$AD:$AD,Справочно!$E16,РПЗ!$L:$L,"&lt;50000000",РПЗ!$Q:$Q,"&lt;&gt;ЕП",РПЗ!$AE:$AE,8)</f>
        <v>0</v>
      </c>
      <c r="Z84" s="371">
        <f>SUMIFS(РПЗ!$L:$L,РПЗ!$AD:$AD,Справочно!$E16,РПЗ!$L:$L,"&lt;50000000",РПЗ!$Q:$Q,"&lt;&gt;ЕП",РПЗ!$AE:$AE,8)</f>
        <v>0</v>
      </c>
      <c r="AA84" s="199">
        <f>COUNTIFS(РПЗ!$AD:$AD,Справочно!$E16,РПЗ!$L:$L,"&lt;50000000",РПЗ!$Q:$Q,"&lt;&gt;ЕП",РПЗ!$AE:$AE,9)</f>
        <v>0</v>
      </c>
      <c r="AB84" s="371">
        <f>SUMIFS(РПЗ!$L:$L,РПЗ!$AD:$AD,Справочно!$E16,РПЗ!$L:$L,"&lt;50000000",РПЗ!$Q:$Q,"&lt;&gt;ЕП",РПЗ!$AE:$AE,9)</f>
        <v>0</v>
      </c>
      <c r="AC84" s="198">
        <f>SUM($W84,$Y84,$AA84)</f>
        <v>0</v>
      </c>
      <c r="AD84" s="339">
        <f>SUM($X84,$Z84,$AB84)</f>
        <v>0</v>
      </c>
      <c r="AE84" s="203">
        <f>COUNTIFS(РПЗ!$AD:$AD,Справочно!$E16,РПЗ!$L:$L,"&lt;50000000",РПЗ!$Q:$Q,"&lt;&gt;ЕП",РПЗ!$AE:$AE,10)</f>
        <v>0</v>
      </c>
      <c r="AF84" s="373">
        <f>SUMIFS(РПЗ!$L:$L,РПЗ!$AD:$AD,Справочно!$E16,РПЗ!$L:$L,"&lt;50000000",РПЗ!$Q:$Q,"&lt;&gt;ЕП",РПЗ!$AE:$AE,10)</f>
        <v>0</v>
      </c>
      <c r="AG84" s="203">
        <f>COUNTIFS(РПЗ!$AD:$AD,Справочно!$E16,РПЗ!$L:$L,"&lt;50000000",РПЗ!$Q:$Q,"&lt;&gt;ЕП",РПЗ!$AE:$AE,11)</f>
        <v>0</v>
      </c>
      <c r="AH84" s="373">
        <f>SUMIFS(РПЗ!$L:$L,РПЗ!$AD:$AD,Справочно!$E16,РПЗ!$L:$L,"&lt;50000000",РПЗ!$Q:$Q,"&lt;&gt;ЕП",РПЗ!$AE:$AE,11)</f>
        <v>0</v>
      </c>
      <c r="AI84" s="203">
        <f>COUNTIFS(РПЗ!$AD:$AD,Справочно!$E16,РПЗ!$L:$L,"&lt;50000000",РПЗ!$Q:$Q,"&lt;&gt;ЕП",РПЗ!$AE:$AE,12)</f>
        <v>0</v>
      </c>
      <c r="AJ84" s="373">
        <f>SUMIFS(РПЗ!$L:$L,РПЗ!$AD:$AD,Справочно!$E16,РПЗ!$L:$L,"&lt;50000000",РПЗ!$Q:$Q,"&lt;&gt;ЕП",РПЗ!$AE:$AE,12)</f>
        <v>0</v>
      </c>
      <c r="AK84" s="202">
        <f>SUM($AE84,$AG84,$AI84)</f>
        <v>0</v>
      </c>
      <c r="AL84" s="341">
        <f>SUM($AF84,$AH84,$AJ84)</f>
        <v>0</v>
      </c>
    </row>
    <row r="85" spans="1:38" ht="13.5" thickBot="1" x14ac:dyDescent="0.25">
      <c r="A85" s="500" t="s">
        <v>1274</v>
      </c>
      <c r="B85" s="505">
        <f>COUNTIFS(РПЗ!$AD:$AD,Справочно!$E16,РПЗ!$L:$L,"&gt;=50000000",РПЗ!$Q:$Q,"&lt;&gt;ЕП")</f>
        <v>0</v>
      </c>
      <c r="C85" s="353" t="e">
        <f>B85/$B$36</f>
        <v>#DIV/0!</v>
      </c>
      <c r="D85" s="508">
        <f>SUMIFS(РПЗ!$L:$L,РПЗ!$AD:$AD,Справочно!$E16,РПЗ!$L:$L,"&gt;=50000000",РПЗ!$Q:$Q,"&lt;&gt;ЕП")</f>
        <v>0</v>
      </c>
      <c r="E85" s="353" t="e">
        <f>D85/$D$36</f>
        <v>#DIV/0!</v>
      </c>
      <c r="G85" s="190">
        <f>COUNTIFS(РПЗ!$AD:$AD,Справочно!$E16,РПЗ!$L:$L,"&gt;=50000000",РПЗ!$Q:$Q,"&lt;&gt;ЕП",РПЗ!$AE:$AE,1)</f>
        <v>0</v>
      </c>
      <c r="H85" s="367">
        <f>SUMIFS(РПЗ!$L:$L,РПЗ!$AD:$AD,Справочно!$E16,РПЗ!$L:$L,"&gt;=50000000",РПЗ!$Q:$Q,"&lt;&gt;ЕП",РПЗ!$AE:$AE,1)</f>
        <v>0</v>
      </c>
      <c r="I85" s="191">
        <f>COUNTIFS(РПЗ!$AD:$AD,Справочно!$E16,РПЗ!$L:$L,"&gt;=50000000",РПЗ!$Q:$Q,"&lt;&gt;ЕП",РПЗ!$AE:$AE,2)</f>
        <v>0</v>
      </c>
      <c r="J85" s="385">
        <f>SUMIFS(РПЗ!$L:$L,РПЗ!$AD:$AD,Справочно!$E16,РПЗ!$L:$L,"&gt;=50000000",РПЗ!$Q:$Q,"&lt;&gt;ЕП",РПЗ!$AE:$AE,2)</f>
        <v>0</v>
      </c>
      <c r="K85" s="191">
        <f>COUNTIFS(РПЗ!$AD:$AD,Справочно!$E16,РПЗ!$L:$L,"&gt;=50000000",РПЗ!$Q:$Q,"&lt;&gt;ЕП",РПЗ!$AE:$AE,3)</f>
        <v>0</v>
      </c>
      <c r="L85" s="385">
        <f>SUMIFS(РПЗ!$L:$L,РПЗ!$AD:$AD,Справочно!$E16,РПЗ!$L:$L,"&gt;=50000000",РПЗ!$Q:$Q,"&lt;&gt;ЕП",РПЗ!$AE:$AE,3)</f>
        <v>0</v>
      </c>
      <c r="M85" s="193">
        <f>SUM($G85,$I85,$K85)</f>
        <v>0</v>
      </c>
      <c r="N85" s="335">
        <f>SUM($H85,$J85,$L85)</f>
        <v>0</v>
      </c>
      <c r="O85" s="196">
        <f>COUNTIFS(РПЗ!$AD:$AD,Справочно!$E16,РПЗ!$L:$L,"&gt;=50000000",РПЗ!$Q:$Q,"&lt;&gt;ЕП",РПЗ!$AE:$AE,4)</f>
        <v>0</v>
      </c>
      <c r="P85" s="387">
        <f>SUMIFS(РПЗ!$L:$L,РПЗ!$AD:$AD,Справочно!$E16,РПЗ!$L:$L,"&gt;=50000000",РПЗ!$Q:$Q,"&lt;&gt;ЕП",РПЗ!$AE:$AE,4)</f>
        <v>0</v>
      </c>
      <c r="Q85" s="196">
        <f>COUNTIFS(РПЗ!$AD:$AD,Справочно!$E16,РПЗ!$L:$L,"&gt;=50000000",РПЗ!$Q:$Q,"&lt;&gt;ЕП",РПЗ!$AE:$AE,5)</f>
        <v>0</v>
      </c>
      <c r="R85" s="387">
        <f>SUMIFS(РПЗ!$L:$L,РПЗ!$AD:$AD,Справочно!$E16,РПЗ!$L:$L,"&gt;=50000000",РПЗ!$Q:$Q,"&lt;&gt;ЕП",РПЗ!$AE:$AE,5)</f>
        <v>0</v>
      </c>
      <c r="S85" s="196">
        <f>COUNTIFS(РПЗ!$AD:$AD,Справочно!$E16,РПЗ!$L:$L,"&gt;=50000000",РПЗ!$Q:$Q,"&lt;&gt;ЕП",РПЗ!$AE:$AE,6)</f>
        <v>0</v>
      </c>
      <c r="T85" s="398">
        <f>SUMIFS(РПЗ!$L:$L,РПЗ!$AD:$AD,Справочно!$E16,РПЗ!$L:$L,"&gt;=50000000",РПЗ!$Q:$Q,"&lt;&gt;ЕП",РПЗ!$AE:$AE,6)</f>
        <v>0</v>
      </c>
      <c r="U85" s="197">
        <f>SUM($O85,$Q85,$S85)</f>
        <v>0</v>
      </c>
      <c r="V85" s="337">
        <f>SUM($P85,$R85,$T85)</f>
        <v>0</v>
      </c>
      <c r="W85" s="201">
        <f>COUNTIFS(РПЗ!$AD:$AD,Справочно!$E16,РПЗ!$L:$L,"&gt;=50000000",РПЗ!$Q:$Q,"&lt;&gt;ЕП",РПЗ!$AE:$AE,7)</f>
        <v>0</v>
      </c>
      <c r="X85" s="389">
        <f>SUMIFS(РПЗ!$L:$L,РПЗ!$AD:$AD,Справочно!$E16,РПЗ!$L:$L,"&gt;=50000000",РПЗ!$Q:$Q,"&lt;&gt;ЕП",РПЗ!$AE:$AE,7)</f>
        <v>0</v>
      </c>
      <c r="Y85" s="201">
        <f>COUNTIFS(РПЗ!$AD:$AD,Справочно!$E16,РПЗ!$L:$L,"&gt;=50000000",РПЗ!$Q:$Q,"&lt;&gt;ЕП",РПЗ!$AE:$AE,8)</f>
        <v>0</v>
      </c>
      <c r="Z85" s="389">
        <f>SUMIFS(РПЗ!$L:$L,РПЗ!$AD:$AD,Справочно!$E16,РПЗ!$L:$L,"&gt;=50000000",РПЗ!$Q:$Q,"&lt;&gt;ЕП",РПЗ!$AE:$AE,8)</f>
        <v>0</v>
      </c>
      <c r="AA85" s="201">
        <f>COUNTIFS(РПЗ!$AD:$AD,Справочно!$E16,РПЗ!$L:$L,"&gt;=50000000",РПЗ!$Q:$Q,"&lt;&gt;ЕП",РПЗ!$AE:$AE,9)</f>
        <v>0</v>
      </c>
      <c r="AB85" s="389">
        <f>SUMIFS(РПЗ!$L:$L,РПЗ!$AD:$AD,Справочно!$E16,РПЗ!$L:$L,"&gt;=50000000",РПЗ!$Q:$Q,"&lt;&gt;ЕП",РПЗ!$AE:$AE,9)</f>
        <v>0</v>
      </c>
      <c r="AC85" s="198">
        <f>SUM($W85,$Y85,$AA85)</f>
        <v>0</v>
      </c>
      <c r="AD85" s="339">
        <f>SUM($X85,$Z85,$AB85)</f>
        <v>0</v>
      </c>
      <c r="AE85" s="204">
        <f>COUNTIFS(РПЗ!$AD:$AD,Справочно!$E16,РПЗ!$L:$L,"&gt;=50000000",РПЗ!$Q:$Q,"&lt;&gt;ЕП",РПЗ!$AE:$AE,10)</f>
        <v>0</v>
      </c>
      <c r="AF85" s="391">
        <f>SUMIFS(РПЗ!$L:$L,РПЗ!$AD:$AD,Справочно!$E16,РПЗ!$L:$L,"&gt;=50000000",РПЗ!$Q:$Q,"&lt;&gt;ЕП",РПЗ!$AE:$AE,10)</f>
        <v>0</v>
      </c>
      <c r="AG85" s="204">
        <f>COUNTIFS(РПЗ!$AD:$AD,Справочно!$E16,РПЗ!$L:$L,"&gt;=50000000",РПЗ!$Q:$Q,"&lt;&gt;ЕП",РПЗ!$AE:$AE,11)</f>
        <v>0</v>
      </c>
      <c r="AH85" s="391">
        <f>SUMIFS(РПЗ!$L:$L,РПЗ!$AD:$AD,Справочно!$E16,РПЗ!$L:$L,"&gt;=50000000",РПЗ!$Q:$Q,"&lt;&gt;ЕП",РПЗ!$AE:$AE,11)</f>
        <v>0</v>
      </c>
      <c r="AI85" s="204">
        <f>COUNTIFS(РПЗ!$AD:$AD,Справочно!$E16,РПЗ!$L:$L,"&gt;=50000000",РПЗ!$Q:$Q,"&lt;&gt;ЕП",РПЗ!$AE:$AE,12)</f>
        <v>0</v>
      </c>
      <c r="AJ85" s="391">
        <f>SUMIFS(РПЗ!$L:$L,РПЗ!$AD:$AD,Справочно!$E16,РПЗ!$L:$L,"&gt;=50000000",РПЗ!$Q:$Q,"&lt;&gt;ЕП",РПЗ!$AE:$AE,12)</f>
        <v>0</v>
      </c>
      <c r="AK85" s="202">
        <f>SUM($AE85,$AG85,$AI85)</f>
        <v>0</v>
      </c>
      <c r="AL85" s="341">
        <f>SUM($AF85,$AH85,$AJ85)</f>
        <v>0</v>
      </c>
    </row>
    <row r="86" spans="1:38" ht="13.5" thickBot="1" x14ac:dyDescent="0.25">
      <c r="A86" s="74" t="s">
        <v>1275</v>
      </c>
      <c r="B86" s="408">
        <f>SUM(B84:B85)</f>
        <v>0</v>
      </c>
      <c r="C86" s="502" t="e">
        <f>B86/$B$36</f>
        <v>#DIV/0!</v>
      </c>
      <c r="D86" s="407">
        <f>SUM(D84:D85)</f>
        <v>0</v>
      </c>
      <c r="E86" s="502" t="e">
        <f>D86/$D$36</f>
        <v>#DIV/0!</v>
      </c>
      <c r="G86" s="89">
        <f>G84+G85</f>
        <v>0</v>
      </c>
      <c r="H86" s="344">
        <f t="shared" ref="H86:N86" si="29">H84+H85</f>
        <v>0</v>
      </c>
      <c r="I86" s="143">
        <f t="shared" si="29"/>
        <v>0</v>
      </c>
      <c r="J86" s="344">
        <f t="shared" si="29"/>
        <v>0</v>
      </c>
      <c r="K86" s="143">
        <f t="shared" si="29"/>
        <v>0</v>
      </c>
      <c r="L86" s="350">
        <f t="shared" si="29"/>
        <v>0</v>
      </c>
      <c r="M86" s="179">
        <f t="shared" si="29"/>
        <v>0</v>
      </c>
      <c r="N86" s="346">
        <f t="shared" si="29"/>
        <v>0</v>
      </c>
      <c r="O86" s="89">
        <f>O84+O85</f>
        <v>0</v>
      </c>
      <c r="P86" s="344">
        <f t="shared" ref="P86:AL86" si="30">P84+P85</f>
        <v>0</v>
      </c>
      <c r="Q86" s="143">
        <f t="shared" si="30"/>
        <v>0</v>
      </c>
      <c r="R86" s="344">
        <f t="shared" si="30"/>
        <v>0</v>
      </c>
      <c r="S86" s="143">
        <f t="shared" si="30"/>
        <v>0</v>
      </c>
      <c r="T86" s="350">
        <f t="shared" si="30"/>
        <v>0</v>
      </c>
      <c r="U86" s="179">
        <f t="shared" si="30"/>
        <v>0</v>
      </c>
      <c r="V86" s="346">
        <f t="shared" si="30"/>
        <v>0</v>
      </c>
      <c r="W86" s="89">
        <f t="shared" si="30"/>
        <v>0</v>
      </c>
      <c r="X86" s="344">
        <f t="shared" si="30"/>
        <v>0</v>
      </c>
      <c r="Y86" s="143">
        <f t="shared" si="30"/>
        <v>0</v>
      </c>
      <c r="Z86" s="344">
        <f t="shared" si="30"/>
        <v>0</v>
      </c>
      <c r="AA86" s="143">
        <f t="shared" si="30"/>
        <v>0</v>
      </c>
      <c r="AB86" s="350">
        <f t="shared" si="30"/>
        <v>0</v>
      </c>
      <c r="AC86" s="179">
        <f t="shared" si="30"/>
        <v>0</v>
      </c>
      <c r="AD86" s="346">
        <f t="shared" si="30"/>
        <v>0</v>
      </c>
      <c r="AE86" s="89">
        <f t="shared" si="30"/>
        <v>0</v>
      </c>
      <c r="AF86" s="344">
        <f t="shared" si="30"/>
        <v>0</v>
      </c>
      <c r="AG86" s="143">
        <f t="shared" si="30"/>
        <v>0</v>
      </c>
      <c r="AH86" s="344">
        <f t="shared" si="30"/>
        <v>0</v>
      </c>
      <c r="AI86" s="143">
        <f t="shared" si="30"/>
        <v>0</v>
      </c>
      <c r="AJ86" s="350">
        <f t="shared" si="30"/>
        <v>0</v>
      </c>
      <c r="AK86" s="179">
        <f t="shared" si="30"/>
        <v>0</v>
      </c>
      <c r="AL86" s="346">
        <f t="shared" si="30"/>
        <v>0</v>
      </c>
    </row>
    <row r="87" spans="1:38" ht="13.5" thickBot="1" x14ac:dyDescent="0.25">
      <c r="A87" s="501" t="s">
        <v>1276</v>
      </c>
      <c r="B87" s="506">
        <f>COUNTIFS(РПЗ!$AD:$AD,Справочно!$E17,РПЗ!$L:$L,"&gt;=50000000",РПЗ!$Q:$Q,"&lt;&gt;ЕП")</f>
        <v>0</v>
      </c>
      <c r="C87" s="503" t="e">
        <f>B87/$B$36</f>
        <v>#DIV/0!</v>
      </c>
      <c r="D87" s="509">
        <f>SUMIFS(РПЗ!$L:$L,РПЗ!$AD:$AD,Справочно!$E17,РПЗ!$L:$L,"&gt;=50000000",РПЗ!$Q:$Q,"&lt;&gt;ЕП")</f>
        <v>0</v>
      </c>
      <c r="E87" s="503" t="e">
        <f>D87/$D$36</f>
        <v>#DIV/0!</v>
      </c>
      <c r="G87" s="510">
        <f>COUNTIFS(РПЗ!$AD:$AD,Справочно!$E17,РПЗ!$L:$L,"&gt;=50000000",РПЗ!$Q:$Q,"&lt;&gt;ЕП",РПЗ!$AE:$AE,1)</f>
        <v>0</v>
      </c>
      <c r="H87" s="511">
        <f>SUMIFS(РПЗ!$L:$L,РПЗ!$AD:$AD,Справочно!$E17,РПЗ!$L:$L,"&gt;=50000000",РПЗ!$AE:$AE,1)</f>
        <v>0</v>
      </c>
      <c r="I87" s="510">
        <f>COUNTIFS(РПЗ!$AD:$AD,Справочно!$E17,РПЗ!$L:$L,"&gt;=50000000",РПЗ!$Q:$Q,"&lt;&gt;ЕП",РПЗ!$AE:$AE,2)</f>
        <v>0</v>
      </c>
      <c r="J87" s="511">
        <f>SUMIFS(РПЗ!$L:$L,РПЗ!$AD:$AD,Справочно!$E17,РПЗ!$L:$L,"&gt;=50000000",РПЗ!$AE:$AE,2)</f>
        <v>0</v>
      </c>
      <c r="K87" s="510">
        <f>COUNTIFS(РПЗ!$AD:$AD,Справочно!$E17,РПЗ!$L:$L,"&gt;=50000000",РПЗ!$Q:$Q,"&lt;&gt;ЕП",РПЗ!$AE:$AE,3)</f>
        <v>0</v>
      </c>
      <c r="L87" s="511">
        <f>SUMIFS(РПЗ!$L:$L,РПЗ!$AD:$AD,Справочно!$E17,РПЗ!$L:$L,"&gt;=50000000",РПЗ!$AE:$AE,3)</f>
        <v>0</v>
      </c>
      <c r="M87" s="512">
        <f>SUM($G87,$I87,$K87)</f>
        <v>0</v>
      </c>
      <c r="N87" s="513">
        <f>SUM($H87,$J87,$L87)</f>
        <v>0</v>
      </c>
      <c r="O87" s="510">
        <f>COUNTIFS(РПЗ!$AD:$AD,Справочно!$E17,РПЗ!$L:$L,"&gt;=50000000",РПЗ!$Q:$Q,"&lt;&gt;ЕП",РПЗ!$AE:$AE,4)</f>
        <v>0</v>
      </c>
      <c r="P87" s="511">
        <f>SUMIFS(РПЗ!$L:$L,РПЗ!$AD:$AD,Справочно!$E17,РПЗ!$L:$L,"&gt;=50000000",РПЗ!$AE:$AE,4)</f>
        <v>0</v>
      </c>
      <c r="Q87" s="510">
        <f>COUNTIFS(РПЗ!$AD:$AD,Справочно!$E17,РПЗ!$L:$L,"&gt;=50000000",РПЗ!$Q:$Q,"&lt;&gt;ЕП",РПЗ!$AE:$AE,5)</f>
        <v>0</v>
      </c>
      <c r="R87" s="511">
        <f>SUMIFS(РПЗ!$L:$L,РПЗ!$AD:$AD,Справочно!$E17,РПЗ!$L:$L,"&gt;=50000000",РПЗ!$AE:$AE,5)</f>
        <v>0</v>
      </c>
      <c r="S87" s="510">
        <f>COUNTIFS(РПЗ!$AD:$AD,Справочно!$E17,РПЗ!$L:$L,"&gt;=50000000",РПЗ!$Q:$Q,"&lt;&gt;ЕП",РПЗ!$AE:$AE,6)</f>
        <v>0</v>
      </c>
      <c r="T87" s="514">
        <f>SUMIFS(РПЗ!$L:$L,РПЗ!$AD:$AD,Справочно!$E17,РПЗ!$L:$L,"&gt;=50000000",РПЗ!$AE:$AE,6)</f>
        <v>0</v>
      </c>
      <c r="U87" s="512">
        <f>SUM($O87,$Q87,$S87)</f>
        <v>0</v>
      </c>
      <c r="V87" s="513">
        <f>SUM($P87,$R87,$T87)</f>
        <v>0</v>
      </c>
      <c r="W87" s="510">
        <f>COUNTIFS(РПЗ!$AD:$AD,Справочно!$E17,РПЗ!$L:$L,"&gt;=50000000",РПЗ!$Q:$Q,"&lt;&gt;ЕП",РПЗ!$AE:$AE,7)</f>
        <v>0</v>
      </c>
      <c r="X87" s="511">
        <f>SUMIFS(РПЗ!$L:$L,РПЗ!$AD:$AD,Справочно!$E17,РПЗ!$L:$L,"&gt;=50000000",РПЗ!$AE:$AE,7)</f>
        <v>0</v>
      </c>
      <c r="Y87" s="510">
        <f>COUNTIFS(РПЗ!$AD:$AD,Справочно!$E17,РПЗ!$L:$L,"&gt;=50000000",РПЗ!$Q:$Q,"&lt;&gt;ЕП",РПЗ!$AE:$AE,8)</f>
        <v>0</v>
      </c>
      <c r="Z87" s="511">
        <f>SUMIFS(РПЗ!$L:$L,РПЗ!$AD:$AD,Справочно!$E17,РПЗ!$L:$L,"&gt;=50000000",РПЗ!$AE:$AE,8)</f>
        <v>0</v>
      </c>
      <c r="AA87" s="510">
        <f>COUNTIFS(РПЗ!$AD:$AD,Справочно!$E17,РПЗ!$L:$L,"&gt;=50000000",РПЗ!$Q:$Q,"&lt;&gt;ЕП",РПЗ!$AE:$AE,9)</f>
        <v>0</v>
      </c>
      <c r="AB87" s="511">
        <f>SUMIFS(РПЗ!$L:$L,РПЗ!$AD:$AD,Справочно!$E17,РПЗ!$L:$L,"&gt;=50000000",РПЗ!$AE:$AE,9)</f>
        <v>0</v>
      </c>
      <c r="AC87" s="512">
        <f>SUM($W87,$Y87,$AA87)</f>
        <v>0</v>
      </c>
      <c r="AD87" s="513">
        <f>SUM($X87,$Z87,$AB87)</f>
        <v>0</v>
      </c>
      <c r="AE87" s="510">
        <f>COUNTIFS(РПЗ!$AD:$AD,Справочно!$E17,РПЗ!$L:$L,"&gt;=50000000",РПЗ!$Q:$Q,"&lt;&gt;ЕП",РПЗ!$AE:$AE,10)</f>
        <v>0</v>
      </c>
      <c r="AF87" s="511">
        <f>SUMIFS(РПЗ!$L:$L,РПЗ!$AD:$AD,Справочно!$E17,РПЗ!$L:$L,"&gt;=50000000",РПЗ!$AE:$AE,10)</f>
        <v>0</v>
      </c>
      <c r="AG87" s="510">
        <f>COUNTIFS(РПЗ!$AD:$AD,Справочно!$E17,РПЗ!$L:$L,"&gt;=50000000",РПЗ!$Q:$Q,"&lt;&gt;ЕП",РПЗ!$AE:$AE,11)</f>
        <v>0</v>
      </c>
      <c r="AH87" s="511">
        <f>SUMIFS(РПЗ!$L:$L,РПЗ!$AD:$AD,Справочно!$E17,РПЗ!$L:$L,"&gt;=50000000",РПЗ!$AE:$AE,11)</f>
        <v>0</v>
      </c>
      <c r="AI87" s="510">
        <f>COUNTIFS(РПЗ!$AD:$AD,Справочно!$E17,РПЗ!$L:$L,"&gt;=50000000",РПЗ!$Q:$Q,"&lt;&gt;ЕП",РПЗ!$AE:$AE,12)</f>
        <v>0</v>
      </c>
      <c r="AJ87" s="511">
        <f>SUMIFS(РПЗ!$L:$L,РПЗ!$AD:$AD,Справочно!$E17,РПЗ!$L:$L,"&gt;=50000000",РПЗ!$AE:$AE,12)</f>
        <v>0</v>
      </c>
      <c r="AK87" s="512">
        <f>SUM($AE87,$AG87,$AI87)</f>
        <v>0</v>
      </c>
      <c r="AL87" s="513">
        <f>SUM($AF87,$AH87,$AJ87)</f>
        <v>0</v>
      </c>
    </row>
  </sheetData>
  <mergeCells count="32">
    <mergeCell ref="A82:E82"/>
    <mergeCell ref="A42:E42"/>
    <mergeCell ref="A71:E71"/>
    <mergeCell ref="A78:B78"/>
    <mergeCell ref="A2:P2"/>
    <mergeCell ref="G14:H14"/>
    <mergeCell ref="I14:J14"/>
    <mergeCell ref="K14:L14"/>
    <mergeCell ref="M14:N14"/>
    <mergeCell ref="G12:N13"/>
    <mergeCell ref="B10:C10"/>
    <mergeCell ref="B4:C4"/>
    <mergeCell ref="B5:C5"/>
    <mergeCell ref="B6:C6"/>
    <mergeCell ref="B7:C7"/>
    <mergeCell ref="B8:C8"/>
    <mergeCell ref="B9:C9"/>
    <mergeCell ref="O12:V13"/>
    <mergeCell ref="O14:P14"/>
    <mergeCell ref="Q14:R14"/>
    <mergeCell ref="S14:T14"/>
    <mergeCell ref="U14:V14"/>
    <mergeCell ref="W12:AD13"/>
    <mergeCell ref="W14:X14"/>
    <mergeCell ref="Y14:Z14"/>
    <mergeCell ref="AA14:AB14"/>
    <mergeCell ref="AC14:AD14"/>
    <mergeCell ref="AE12:AL13"/>
    <mergeCell ref="AE14:AF14"/>
    <mergeCell ref="AG14:AH14"/>
    <mergeCell ref="AI14:AJ14"/>
    <mergeCell ref="AK14:AL1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Q51"/>
  <sheetViews>
    <sheetView view="pageLayout" topLeftCell="A10" zoomScaleNormal="100" workbookViewId="0">
      <selection activeCell="B28" sqref="B28"/>
    </sheetView>
  </sheetViews>
  <sheetFormatPr defaultRowHeight="15" x14ac:dyDescent="0.25"/>
  <cols>
    <col min="1" max="1" width="24.5703125" customWidth="1"/>
    <col min="2" max="2" width="33.85546875" customWidth="1"/>
    <col min="3" max="3" width="27.42578125" customWidth="1"/>
    <col min="4" max="4" width="34.28515625" customWidth="1"/>
    <col min="5" max="5" width="24" customWidth="1"/>
    <col min="6" max="8" width="11.42578125" customWidth="1"/>
    <col min="9" max="11" width="14.85546875" customWidth="1"/>
    <col min="12" max="12" width="14" customWidth="1"/>
    <col min="13" max="13" width="15.28515625" customWidth="1"/>
    <col min="14" max="14" width="14.140625" customWidth="1"/>
    <col min="15" max="20" width="12.42578125" customWidth="1"/>
    <col min="21" max="21" width="18.7109375" customWidth="1"/>
    <col min="22" max="22" width="15.140625" customWidth="1"/>
    <col min="23" max="23" width="24.42578125" customWidth="1"/>
    <col min="24" max="25" width="14.42578125" customWidth="1"/>
    <col min="26" max="26" width="25.5703125" customWidth="1"/>
    <col min="27" max="27" width="17.5703125" customWidth="1"/>
    <col min="28" max="28" width="20.5703125" customWidth="1"/>
    <col min="29" max="29" width="17.140625" customWidth="1"/>
    <col min="30" max="30" width="15.5703125" customWidth="1"/>
    <col min="31" max="31" width="13.28515625" customWidth="1"/>
    <col min="32" max="32" width="8.140625" customWidth="1"/>
    <col min="33" max="33" width="26.140625" customWidth="1"/>
    <col min="34" max="34" width="19" customWidth="1"/>
    <col min="35" max="35" width="14.42578125" customWidth="1"/>
    <col min="36" max="36" width="16.28515625" customWidth="1"/>
    <col min="37" max="37" width="15.7109375" customWidth="1"/>
    <col min="38" max="38" width="15.42578125" customWidth="1"/>
    <col min="39" max="39" width="17.7109375" customWidth="1"/>
    <col min="40" max="42" width="20.85546875" customWidth="1"/>
    <col min="43" max="43" width="9.5703125" bestFit="1" customWidth="1"/>
    <col min="44" max="44" width="10.140625" customWidth="1"/>
  </cols>
  <sheetData>
    <row r="1" spans="1:43" ht="21.75" customHeight="1" x14ac:dyDescent="0.25">
      <c r="B1" s="14"/>
      <c r="C1" s="14"/>
      <c r="D1" s="14"/>
      <c r="E1" s="14"/>
      <c r="F1" s="14"/>
      <c r="G1" s="642" t="s">
        <v>274</v>
      </c>
      <c r="H1" s="642"/>
      <c r="I1" s="642"/>
      <c r="J1" s="642"/>
      <c r="K1" s="642"/>
      <c r="L1" s="642"/>
      <c r="M1" s="642"/>
      <c r="N1" s="642"/>
      <c r="O1" s="14"/>
      <c r="P1" s="14"/>
      <c r="Q1" s="14"/>
      <c r="R1" s="14"/>
      <c r="S1" s="14"/>
      <c r="T1" s="14"/>
      <c r="U1" s="14"/>
      <c r="V1" s="14"/>
      <c r="W1" s="642"/>
      <c r="X1" s="642"/>
      <c r="Y1" s="642"/>
      <c r="Z1" s="642"/>
      <c r="AA1" s="642"/>
      <c r="AB1" s="642"/>
      <c r="AC1" s="642"/>
      <c r="AD1" s="55"/>
      <c r="AE1" s="55"/>
      <c r="AF1" s="132"/>
      <c r="AG1" s="55"/>
      <c r="AH1" s="55"/>
      <c r="AI1" s="55"/>
      <c r="AJ1" s="21"/>
      <c r="AK1" s="21"/>
      <c r="AL1" s="19"/>
      <c r="AM1" s="55"/>
      <c r="AN1" s="318"/>
      <c r="AO1" s="461"/>
      <c r="AP1" s="461"/>
    </row>
    <row r="2" spans="1:43" ht="15.75" thickBot="1" x14ac:dyDescent="0.3">
      <c r="A2" s="14"/>
      <c r="B2" s="14"/>
      <c r="C2" s="14"/>
      <c r="D2" s="14"/>
      <c r="E2" s="14"/>
      <c r="F2" s="14"/>
      <c r="G2" s="211"/>
      <c r="H2" s="211"/>
      <c r="I2" s="208"/>
      <c r="J2" s="287"/>
      <c r="K2" s="287"/>
      <c r="L2" s="144" t="s">
        <v>318</v>
      </c>
      <c r="M2" s="208"/>
      <c r="N2" s="14" t="s">
        <v>319</v>
      </c>
      <c r="O2" s="14"/>
      <c r="P2" s="14"/>
      <c r="Q2" s="14"/>
      <c r="R2" s="14"/>
      <c r="S2" s="14"/>
      <c r="T2" s="14"/>
      <c r="U2" s="14"/>
      <c r="V2" s="14"/>
      <c r="W2" s="642"/>
      <c r="X2" s="642"/>
      <c r="Y2" s="642"/>
      <c r="Z2" s="642"/>
      <c r="AA2" s="642"/>
      <c r="AB2" s="642"/>
      <c r="AC2" s="642"/>
      <c r="AD2" s="55"/>
      <c r="AE2" s="55"/>
      <c r="AF2" s="132"/>
      <c r="AG2" s="55"/>
      <c r="AH2" s="55"/>
      <c r="AI2" s="55"/>
      <c r="AJ2" s="21"/>
      <c r="AK2" s="21"/>
      <c r="AL2" s="19"/>
      <c r="AM2" s="55"/>
      <c r="AN2" s="318"/>
      <c r="AO2" s="461"/>
      <c r="AP2" s="461"/>
    </row>
    <row r="3" spans="1:43" x14ac:dyDescent="0.25">
      <c r="A3" s="123" t="s">
        <v>1</v>
      </c>
      <c r="B3" s="316">
        <f>РПЗ!B4</f>
        <v>0</v>
      </c>
      <c r="C3" s="55"/>
      <c r="D3" s="55"/>
      <c r="E3" s="55"/>
      <c r="F3" s="20"/>
      <c r="G3" s="20"/>
      <c r="H3" s="20"/>
      <c r="I3" s="3"/>
      <c r="J3" s="264"/>
      <c r="K3" s="264"/>
      <c r="L3" s="3"/>
      <c r="M3" s="3"/>
      <c r="N3" s="3"/>
      <c r="O3" s="26"/>
      <c r="P3" s="3"/>
      <c r="Q3" s="3"/>
      <c r="R3" s="3"/>
      <c r="S3" s="3"/>
      <c r="T3" s="55"/>
      <c r="U3" s="3"/>
      <c r="V3" s="3"/>
      <c r="W3" s="3"/>
      <c r="X3" s="55"/>
      <c r="Y3" s="55"/>
      <c r="Z3" s="21"/>
      <c r="AA3" s="26"/>
      <c r="AB3" s="3"/>
      <c r="AC3" s="3"/>
      <c r="AD3" s="55"/>
      <c r="AE3" s="55"/>
      <c r="AF3" s="132"/>
      <c r="AG3" s="55"/>
      <c r="AH3" s="55"/>
      <c r="AI3" s="55"/>
      <c r="AJ3" s="21"/>
      <c r="AK3" s="21"/>
      <c r="AL3" s="19"/>
      <c r="AM3" s="55"/>
      <c r="AN3" s="318"/>
      <c r="AO3" s="461"/>
      <c r="AP3" s="461"/>
    </row>
    <row r="4" spans="1:43" ht="25.5" x14ac:dyDescent="0.25">
      <c r="A4" s="124" t="s">
        <v>2</v>
      </c>
      <c r="B4" s="15">
        <f>РПЗ!B5</f>
        <v>0</v>
      </c>
      <c r="C4" s="55"/>
      <c r="D4" s="55"/>
      <c r="E4" s="55"/>
      <c r="F4" s="20"/>
      <c r="G4" s="20"/>
      <c r="H4" s="20"/>
      <c r="I4" s="3"/>
      <c r="J4" s="264"/>
      <c r="K4" s="264"/>
      <c r="L4" s="3"/>
      <c r="M4" s="3"/>
      <c r="N4" s="3"/>
      <c r="O4" s="26"/>
      <c r="P4" s="3"/>
      <c r="Q4" s="3"/>
      <c r="R4" s="3"/>
      <c r="S4" s="3"/>
      <c r="T4" s="55"/>
      <c r="U4" s="3"/>
      <c r="V4" s="3"/>
      <c r="W4" s="3"/>
      <c r="X4" s="55"/>
      <c r="Y4" s="55"/>
      <c r="Z4" s="21"/>
      <c r="AA4" s="26"/>
      <c r="AB4" s="3"/>
      <c r="AC4" s="3"/>
      <c r="AD4" s="55"/>
      <c r="AE4" s="55"/>
      <c r="AF4" s="132"/>
      <c r="AG4" s="55"/>
      <c r="AH4" s="55"/>
      <c r="AI4" s="55"/>
      <c r="AJ4" s="21"/>
      <c r="AK4" s="21"/>
      <c r="AL4" s="19"/>
      <c r="AM4" s="55"/>
      <c r="AN4" s="318"/>
      <c r="AO4" s="461"/>
      <c r="AP4" s="461"/>
    </row>
    <row r="5" spans="1:43" x14ac:dyDescent="0.25">
      <c r="A5" s="124" t="s">
        <v>3</v>
      </c>
      <c r="B5" s="15">
        <f>РПЗ!B6</f>
        <v>0</v>
      </c>
      <c r="C5" s="55"/>
      <c r="D5" s="55"/>
      <c r="E5" s="55"/>
      <c r="F5" s="20"/>
      <c r="G5" s="20"/>
      <c r="H5" s="20"/>
      <c r="I5" s="3"/>
      <c r="J5" s="264"/>
      <c r="K5" s="264"/>
      <c r="L5" s="3"/>
      <c r="M5" s="3"/>
      <c r="N5" s="3"/>
      <c r="O5" s="26"/>
      <c r="P5" s="3"/>
      <c r="Q5" s="3"/>
      <c r="R5" s="3"/>
      <c r="S5" s="3"/>
      <c r="T5" s="55"/>
      <c r="U5" s="3"/>
      <c r="V5" s="3"/>
      <c r="W5" s="3"/>
      <c r="X5" s="55"/>
      <c r="Y5" s="55"/>
      <c r="Z5" s="21"/>
      <c r="AA5" s="26"/>
      <c r="AB5" s="3"/>
      <c r="AC5" s="3"/>
      <c r="AD5" s="55"/>
      <c r="AE5" s="55"/>
      <c r="AF5" s="132"/>
      <c r="AG5" s="55"/>
      <c r="AH5" s="55"/>
      <c r="AI5" s="55"/>
      <c r="AJ5" s="21"/>
      <c r="AK5" s="21"/>
      <c r="AL5" s="19"/>
      <c r="AM5" s="55"/>
      <c r="AN5" s="318"/>
      <c r="AO5" s="461"/>
      <c r="AP5" s="461"/>
    </row>
    <row r="6" spans="1:43" ht="25.5" x14ac:dyDescent="0.25">
      <c r="A6" s="124" t="s">
        <v>4</v>
      </c>
      <c r="B6" s="15">
        <f>РПЗ!B7</f>
        <v>0</v>
      </c>
      <c r="F6" s="20"/>
      <c r="G6" s="20"/>
      <c r="H6" s="20"/>
    </row>
    <row r="7" spans="1:43" x14ac:dyDescent="0.25">
      <c r="A7" s="124" t="s">
        <v>5</v>
      </c>
      <c r="B7" s="15">
        <f>РПЗ!B8</f>
        <v>0</v>
      </c>
      <c r="F7" s="20"/>
      <c r="G7" s="20"/>
      <c r="H7" s="20"/>
    </row>
    <row r="8" spans="1:43" x14ac:dyDescent="0.25">
      <c r="A8" s="124" t="s">
        <v>6</v>
      </c>
      <c r="B8" s="15">
        <f>РПЗ!B9</f>
        <v>0</v>
      </c>
      <c r="F8" s="20"/>
      <c r="G8" s="20"/>
      <c r="H8" s="20"/>
    </row>
    <row r="9" spans="1:43" ht="15.75" thickBot="1" x14ac:dyDescent="0.3">
      <c r="A9" s="125" t="s">
        <v>7</v>
      </c>
      <c r="B9" s="317">
        <f>РПЗ!B10</f>
        <v>0</v>
      </c>
      <c r="F9" s="20"/>
      <c r="G9" s="20"/>
      <c r="H9" s="20"/>
    </row>
    <row r="10" spans="1:43" ht="26.25" thickBot="1" x14ac:dyDescent="0.3">
      <c r="A10" s="126" t="s">
        <v>321</v>
      </c>
      <c r="B10" s="127"/>
      <c r="F10" s="20"/>
      <c r="G10" s="20"/>
      <c r="H10" s="20"/>
    </row>
    <row r="11" spans="1:43" ht="15.75" thickBot="1" x14ac:dyDescent="0.3">
      <c r="A11" s="4"/>
      <c r="B11" s="5"/>
      <c r="F11" s="56"/>
      <c r="G11" s="5"/>
      <c r="H11" s="5"/>
    </row>
    <row r="12" spans="1:43" ht="26.25" customHeight="1" thickBot="1" x14ac:dyDescent="0.3">
      <c r="A12" s="631" t="s">
        <v>213</v>
      </c>
      <c r="B12" s="631" t="s">
        <v>214</v>
      </c>
      <c r="C12" s="631" t="s">
        <v>14</v>
      </c>
      <c r="D12" s="631" t="s">
        <v>204</v>
      </c>
      <c r="E12" s="693" t="s">
        <v>205</v>
      </c>
      <c r="F12" s="631" t="s">
        <v>217</v>
      </c>
      <c r="G12" s="698" t="s">
        <v>161</v>
      </c>
      <c r="H12" s="631" t="s">
        <v>10</v>
      </c>
      <c r="I12" s="695" t="s">
        <v>938</v>
      </c>
      <c r="J12" s="696"/>
      <c r="K12" s="697"/>
      <c r="L12" s="629" t="s">
        <v>160</v>
      </c>
      <c r="M12" s="639" t="s">
        <v>21</v>
      </c>
      <c r="N12" s="640"/>
      <c r="O12" s="640"/>
      <c r="P12" s="640"/>
      <c r="Q12" s="640"/>
      <c r="R12" s="640"/>
      <c r="S12" s="640"/>
      <c r="T12" s="640"/>
      <c r="U12" s="640"/>
      <c r="V12" s="641"/>
      <c r="W12" s="631" t="s">
        <v>294</v>
      </c>
      <c r="X12" s="698" t="s">
        <v>223</v>
      </c>
      <c r="Y12" s="698" t="s">
        <v>224</v>
      </c>
      <c r="Z12" s="698" t="s">
        <v>208</v>
      </c>
      <c r="AA12" s="698" t="s">
        <v>209</v>
      </c>
      <c r="AB12" s="639" t="s">
        <v>158</v>
      </c>
      <c r="AC12" s="641"/>
      <c r="AD12" s="707" t="s">
        <v>226</v>
      </c>
      <c r="AE12" s="708"/>
      <c r="AF12" s="629" t="s">
        <v>299</v>
      </c>
      <c r="AG12" s="629" t="s">
        <v>225</v>
      </c>
      <c r="AH12" s="695" t="s">
        <v>219</v>
      </c>
      <c r="AI12" s="697"/>
      <c r="AJ12" s="700" t="s">
        <v>229</v>
      </c>
      <c r="AK12" s="701"/>
      <c r="AL12" s="702"/>
      <c r="AM12" s="698" t="s">
        <v>238</v>
      </c>
      <c r="AN12" s="707" t="s">
        <v>212</v>
      </c>
      <c r="AO12" s="711" t="s">
        <v>1266</v>
      </c>
      <c r="AP12" s="714" t="s">
        <v>12</v>
      </c>
      <c r="AQ12" s="624" t="s">
        <v>982</v>
      </c>
    </row>
    <row r="13" spans="1:43" ht="77.25" thickBot="1" x14ac:dyDescent="0.3">
      <c r="A13" s="628"/>
      <c r="B13" s="628"/>
      <c r="C13" s="628"/>
      <c r="D13" s="628"/>
      <c r="E13" s="694"/>
      <c r="F13" s="628"/>
      <c r="G13" s="699"/>
      <c r="H13" s="628"/>
      <c r="I13" s="631" t="s">
        <v>13</v>
      </c>
      <c r="J13" s="631" t="s">
        <v>207</v>
      </c>
      <c r="K13" s="631" t="s">
        <v>26</v>
      </c>
      <c r="L13" s="638"/>
      <c r="M13" s="639" t="s">
        <v>33</v>
      </c>
      <c r="N13" s="641"/>
      <c r="O13" s="57" t="s">
        <v>605</v>
      </c>
      <c r="P13" s="639" t="s">
        <v>34</v>
      </c>
      <c r="Q13" s="641"/>
      <c r="R13" s="639" t="s">
        <v>269</v>
      </c>
      <c r="S13" s="641"/>
      <c r="T13" s="54" t="s">
        <v>218</v>
      </c>
      <c r="U13" s="639" t="s">
        <v>35</v>
      </c>
      <c r="V13" s="641"/>
      <c r="W13" s="632"/>
      <c r="X13" s="699"/>
      <c r="Y13" s="699"/>
      <c r="Z13" s="699"/>
      <c r="AA13" s="699"/>
      <c r="AB13" s="629" t="s">
        <v>270</v>
      </c>
      <c r="AC13" s="57" t="s">
        <v>35</v>
      </c>
      <c r="AD13" s="709"/>
      <c r="AE13" s="710"/>
      <c r="AF13" s="630"/>
      <c r="AG13" s="630"/>
      <c r="AH13" s="232" t="s">
        <v>220</v>
      </c>
      <c r="AI13" s="232" t="s">
        <v>221</v>
      </c>
      <c r="AJ13" s="23" t="s">
        <v>162</v>
      </c>
      <c r="AK13" s="23" t="s">
        <v>163</v>
      </c>
      <c r="AL13" s="23" t="s">
        <v>164</v>
      </c>
      <c r="AM13" s="703"/>
      <c r="AN13" s="717"/>
      <c r="AO13" s="712"/>
      <c r="AP13" s="715"/>
      <c r="AQ13" s="625"/>
    </row>
    <row r="14" spans="1:43" ht="39" thickBot="1" x14ac:dyDescent="0.3">
      <c r="A14" s="628"/>
      <c r="B14" s="628"/>
      <c r="C14" s="628"/>
      <c r="D14" s="628"/>
      <c r="E14" s="694"/>
      <c r="F14" s="628"/>
      <c r="G14" s="699"/>
      <c r="H14" s="628"/>
      <c r="I14" s="632"/>
      <c r="J14" s="632"/>
      <c r="K14" s="632"/>
      <c r="L14" s="9" t="s">
        <v>36</v>
      </c>
      <c r="M14" s="2" t="s">
        <v>37</v>
      </c>
      <c r="N14" s="10" t="s">
        <v>38</v>
      </c>
      <c r="O14" s="10" t="s">
        <v>38</v>
      </c>
      <c r="P14" s="10" t="s">
        <v>39</v>
      </c>
      <c r="Q14" s="10" t="s">
        <v>38</v>
      </c>
      <c r="R14" s="10" t="s">
        <v>39</v>
      </c>
      <c r="S14" s="10" t="s">
        <v>38</v>
      </c>
      <c r="T14" s="10" t="s">
        <v>38</v>
      </c>
      <c r="U14" s="22" t="s">
        <v>37</v>
      </c>
      <c r="V14" s="10" t="s">
        <v>272</v>
      </c>
      <c r="W14" s="2" t="s">
        <v>247</v>
      </c>
      <c r="X14" s="699"/>
      <c r="Y14" s="699"/>
      <c r="Z14" s="699"/>
      <c r="AA14" s="699"/>
      <c r="AB14" s="630"/>
      <c r="AC14" s="10" t="s">
        <v>272</v>
      </c>
      <c r="AD14" s="53" t="s">
        <v>227</v>
      </c>
      <c r="AE14" s="53" t="s">
        <v>271</v>
      </c>
      <c r="AF14" s="57" t="s">
        <v>300</v>
      </c>
      <c r="AG14" s="630"/>
      <c r="AH14" s="232" t="s">
        <v>222</v>
      </c>
      <c r="AI14" s="232" t="s">
        <v>116</v>
      </c>
      <c r="AJ14" s="704" t="s">
        <v>302</v>
      </c>
      <c r="AK14" s="705"/>
      <c r="AL14" s="706"/>
      <c r="AM14" s="58" t="s">
        <v>25</v>
      </c>
      <c r="AN14" s="717"/>
      <c r="AO14" s="713"/>
      <c r="AP14" s="716"/>
      <c r="AQ14" s="625"/>
    </row>
    <row r="15" spans="1:43" s="315" customFormat="1" ht="13.5" customHeight="1" thickBot="1" x14ac:dyDescent="0.25">
      <c r="A15" s="313" t="s">
        <v>119</v>
      </c>
      <c r="B15" s="314" t="s">
        <v>120</v>
      </c>
      <c r="C15" s="314" t="s">
        <v>121</v>
      </c>
      <c r="D15" s="314" t="s">
        <v>122</v>
      </c>
      <c r="E15" s="314" t="s">
        <v>123</v>
      </c>
      <c r="F15" s="314" t="s">
        <v>124</v>
      </c>
      <c r="G15" s="314" t="s">
        <v>125</v>
      </c>
      <c r="H15" s="314" t="s">
        <v>977</v>
      </c>
      <c r="I15" s="314" t="s">
        <v>126</v>
      </c>
      <c r="J15" s="314" t="s">
        <v>936</v>
      </c>
      <c r="K15" s="314" t="s">
        <v>937</v>
      </c>
      <c r="L15" s="314" t="s">
        <v>127</v>
      </c>
      <c r="M15" s="314" t="s">
        <v>128</v>
      </c>
      <c r="N15" s="314" t="s">
        <v>129</v>
      </c>
      <c r="O15" s="314" t="s">
        <v>130</v>
      </c>
      <c r="P15" s="314" t="s">
        <v>131</v>
      </c>
      <c r="Q15" s="314" t="s">
        <v>132</v>
      </c>
      <c r="R15" s="314" t="s">
        <v>133</v>
      </c>
      <c r="S15" s="314" t="s">
        <v>134</v>
      </c>
      <c r="T15" s="314" t="s">
        <v>135</v>
      </c>
      <c r="U15" s="314" t="s">
        <v>136</v>
      </c>
      <c r="V15" s="314" t="s">
        <v>137</v>
      </c>
      <c r="W15" s="314" t="s">
        <v>138</v>
      </c>
      <c r="X15" s="314" t="s">
        <v>139</v>
      </c>
      <c r="Y15" s="314" t="s">
        <v>140</v>
      </c>
      <c r="Z15" s="314" t="s">
        <v>215</v>
      </c>
      <c r="AA15" s="314" t="s">
        <v>216</v>
      </c>
      <c r="AB15" s="314" t="s">
        <v>301</v>
      </c>
      <c r="AC15" s="314" t="s">
        <v>151</v>
      </c>
      <c r="AD15" s="314" t="s">
        <v>152</v>
      </c>
      <c r="AE15" s="314" t="s">
        <v>153</v>
      </c>
      <c r="AF15" s="314" t="s">
        <v>231</v>
      </c>
      <c r="AG15" s="314" t="s">
        <v>155</v>
      </c>
      <c r="AH15" s="314" t="s">
        <v>232</v>
      </c>
      <c r="AI15" s="314" t="s">
        <v>230</v>
      </c>
      <c r="AJ15" s="314" t="s">
        <v>233</v>
      </c>
      <c r="AK15" s="314" t="s">
        <v>234</v>
      </c>
      <c r="AL15" s="314" t="s">
        <v>235</v>
      </c>
      <c r="AM15" s="314" t="s">
        <v>236</v>
      </c>
      <c r="AN15" s="314" t="s">
        <v>237</v>
      </c>
      <c r="AO15" s="313" t="s">
        <v>1265</v>
      </c>
      <c r="AP15" s="313" t="s">
        <v>1267</v>
      </c>
      <c r="AQ15" s="319" t="s">
        <v>973</v>
      </c>
    </row>
    <row r="16" spans="1:43" ht="15.75" thickBot="1" x14ac:dyDescent="0.3">
      <c r="A16" s="237">
        <f t="shared" ref="A16:A50" si="0">INDEX(Диапазон1,ROW(), COLUMN())</f>
        <v>0</v>
      </c>
      <c r="B16" s="15">
        <f>РПЗ!$D16</f>
        <v>0</v>
      </c>
      <c r="C16" s="15">
        <f>РПЗ!$AA16</f>
        <v>0</v>
      </c>
      <c r="D16" s="473">
        <f>РПЗ!$AB16</f>
        <v>0</v>
      </c>
      <c r="E16" s="100"/>
      <c r="F16" s="15">
        <f>РПЗ!Q16</f>
        <v>0</v>
      </c>
      <c r="G16" s="16"/>
      <c r="H16" s="15">
        <f>РПЗ!R16</f>
        <v>0</v>
      </c>
      <c r="I16" s="15">
        <f>РПЗ!W16</f>
        <v>0</v>
      </c>
      <c r="J16" s="15">
        <f>РПЗ!X16</f>
        <v>0</v>
      </c>
      <c r="K16" s="288">
        <f>РПЗ!Z16</f>
        <v>0</v>
      </c>
      <c r="L16" s="17"/>
      <c r="M16" s="18">
        <f>РПЗ!O16</f>
        <v>0</v>
      </c>
      <c r="N16" s="243"/>
      <c r="O16" s="17"/>
      <c r="P16" s="17"/>
      <c r="Q16" s="17"/>
      <c r="R16" s="17"/>
      <c r="S16" s="17"/>
      <c r="T16" s="17"/>
      <c r="U16" s="18">
        <f>РПЗ!P16</f>
        <v>0</v>
      </c>
      <c r="V16" s="17"/>
      <c r="W16" s="467">
        <f>РПЗ!L16</f>
        <v>0</v>
      </c>
      <c r="X16" s="241"/>
      <c r="Y16" s="241"/>
      <c r="Z16" s="486"/>
      <c r="AA16" s="242"/>
      <c r="AB16" s="115"/>
      <c r="AC16" s="17"/>
      <c r="AD16" s="486"/>
      <c r="AE16" s="17"/>
      <c r="AF16" s="486"/>
      <c r="AG16" s="467"/>
      <c r="AH16" s="238" t="str">
        <f>IF(Таблица5[[#This Row],[30]]=0,"НД",Таблица5[[#This Row],[20]]-Таблица5[[#This Row],[30]])</f>
        <v>НД</v>
      </c>
      <c r="AI16" s="239" t="e">
        <f>IF(((1-Таблица5[[#This Row],[30]]/Таблица5[[#This Row],[20]])=1),"НД",(1-Таблица5[[#This Row],[30]]/Таблица5[[#This Row],[20]]))</f>
        <v>#DIV/0!</v>
      </c>
      <c r="AJ16" s="115"/>
      <c r="AK16" s="115"/>
      <c r="AL16" s="116"/>
      <c r="AM16" s="474"/>
      <c r="AN16" s="475"/>
      <c r="AO16" s="478">
        <f>РПЗ!AD16</f>
        <v>0</v>
      </c>
      <c r="AP16" s="482">
        <f>РПЗ!V16</f>
        <v>0</v>
      </c>
      <c r="AQ16" s="481">
        <f>IF(Таблица5[[#This Row],[11]]=0,,MONTH(Таблица5[[#This Row],[11]]))</f>
        <v>0</v>
      </c>
    </row>
    <row r="17" spans="1:43" ht="15.75" thickBot="1" x14ac:dyDescent="0.3">
      <c r="A17" s="237">
        <f t="shared" si="0"/>
        <v>0</v>
      </c>
      <c r="B17" s="15">
        <f>РПЗ!$D17</f>
        <v>0</v>
      </c>
      <c r="C17" s="15">
        <f>РПЗ!$AA17</f>
        <v>0</v>
      </c>
      <c r="D17" s="473">
        <f>РПЗ!$AB17</f>
        <v>0</v>
      </c>
      <c r="E17" s="100"/>
      <c r="F17" s="15">
        <f>РПЗ!Q17</f>
        <v>0</v>
      </c>
      <c r="G17" s="16"/>
      <c r="H17" s="15">
        <f>РПЗ!R17</f>
        <v>0</v>
      </c>
      <c r="I17" s="15">
        <f>РПЗ!W17</f>
        <v>0</v>
      </c>
      <c r="J17" s="15">
        <f>РПЗ!X17</f>
        <v>0</v>
      </c>
      <c r="K17" s="288">
        <f>РПЗ!Z17</f>
        <v>0</v>
      </c>
      <c r="L17" s="17"/>
      <c r="M17" s="18"/>
      <c r="N17" s="243"/>
      <c r="O17" s="17"/>
      <c r="P17" s="17"/>
      <c r="Q17" s="17"/>
      <c r="R17" s="17"/>
      <c r="S17" s="17"/>
      <c r="T17" s="17"/>
      <c r="U17" s="18">
        <f>РПЗ!P17</f>
        <v>0</v>
      </c>
      <c r="V17" s="17"/>
      <c r="W17" s="240">
        <f>РПЗ!L17</f>
        <v>0</v>
      </c>
      <c r="X17" s="241"/>
      <c r="Y17" s="241"/>
      <c r="Z17" s="486"/>
      <c r="AA17" s="242"/>
      <c r="AB17" s="115"/>
      <c r="AC17" s="17"/>
      <c r="AD17" s="486"/>
      <c r="AE17" s="17"/>
      <c r="AF17" s="486"/>
      <c r="AG17" s="115"/>
      <c r="AH17" s="238" t="str">
        <f>IF(Таблица5[[#This Row],[30]]=0,"НД",Таблица5[[#This Row],[20]]-Таблица5[[#This Row],[30]])</f>
        <v>НД</v>
      </c>
      <c r="AI17" s="239" t="e">
        <f>IF(((1-Таблица5[[#This Row],[30]]/Таблица5[[#This Row],[20]])=1),"НД",(1-Таблица5[[#This Row],[30]]/Таблица5[[#This Row],[20]]))</f>
        <v>#DIV/0!</v>
      </c>
      <c r="AJ17" s="115"/>
      <c r="AK17" s="115"/>
      <c r="AL17" s="116"/>
      <c r="AM17" s="474"/>
      <c r="AN17" s="476"/>
      <c r="AO17" s="479">
        <f>РПЗ!AD17</f>
        <v>0</v>
      </c>
      <c r="AP17" s="483">
        <f>РПЗ!V17</f>
        <v>0</v>
      </c>
      <c r="AQ17" s="481">
        <f>IF(Таблица5[[#This Row],[11]]=0,,MONTH(Таблица5[[#This Row],[11]]))</f>
        <v>0</v>
      </c>
    </row>
    <row r="18" spans="1:43" ht="15.75" thickBot="1" x14ac:dyDescent="0.3">
      <c r="A18" s="237">
        <f t="shared" si="0"/>
        <v>0</v>
      </c>
      <c r="B18" s="15">
        <f>РПЗ!$D18</f>
        <v>0</v>
      </c>
      <c r="C18" s="15">
        <f>РПЗ!$AA18</f>
        <v>0</v>
      </c>
      <c r="D18" s="473">
        <f>РПЗ!$AB18</f>
        <v>0</v>
      </c>
      <c r="E18" s="100"/>
      <c r="F18" s="15">
        <f>РПЗ!Q18</f>
        <v>0</v>
      </c>
      <c r="G18" s="16"/>
      <c r="H18" s="15">
        <f>РПЗ!R18</f>
        <v>0</v>
      </c>
      <c r="I18" s="15">
        <f>РПЗ!W18</f>
        <v>0</v>
      </c>
      <c r="J18" s="15">
        <f>РПЗ!X18</f>
        <v>0</v>
      </c>
      <c r="K18" s="288">
        <f>РПЗ!Z18</f>
        <v>0</v>
      </c>
      <c r="L18" s="17"/>
      <c r="M18" s="18">
        <f>РПЗ!O18</f>
        <v>0</v>
      </c>
      <c r="N18" s="243"/>
      <c r="O18" s="17"/>
      <c r="P18" s="17"/>
      <c r="Q18" s="17"/>
      <c r="R18" s="17"/>
      <c r="S18" s="17"/>
      <c r="T18" s="17"/>
      <c r="U18" s="18">
        <f>РПЗ!P18</f>
        <v>0</v>
      </c>
      <c r="V18" s="17"/>
      <c r="W18" s="240">
        <f>РПЗ!L18</f>
        <v>0</v>
      </c>
      <c r="X18" s="241"/>
      <c r="Y18" s="241"/>
      <c r="Z18" s="486"/>
      <c r="AA18" s="242"/>
      <c r="AB18" s="115"/>
      <c r="AC18" s="17"/>
      <c r="AD18" s="486"/>
      <c r="AE18" s="17"/>
      <c r="AF18" s="486"/>
      <c r="AG18" s="115"/>
      <c r="AH18" s="238" t="str">
        <f>IF(Таблица5[[#This Row],[30]]=0,"НД",Таблица5[[#This Row],[20]]-Таблица5[[#This Row],[30]])</f>
        <v>НД</v>
      </c>
      <c r="AI18" s="239" t="e">
        <f>IF(((1-Таблица5[[#This Row],[30]]/Таблица5[[#This Row],[20]])=1),"НД",(1-Таблица5[[#This Row],[30]]/Таблица5[[#This Row],[20]]))</f>
        <v>#DIV/0!</v>
      </c>
      <c r="AJ18" s="115"/>
      <c r="AK18" s="115"/>
      <c r="AL18" s="116"/>
      <c r="AM18" s="474"/>
      <c r="AN18" s="476"/>
      <c r="AO18" s="479">
        <f>РПЗ!AD18</f>
        <v>0</v>
      </c>
      <c r="AP18" s="483">
        <f>РПЗ!V18</f>
        <v>0</v>
      </c>
      <c r="AQ18" s="481">
        <f>IF(Таблица5[[#This Row],[11]]=0,,MONTH(Таблица5[[#This Row],[11]]))</f>
        <v>0</v>
      </c>
    </row>
    <row r="19" spans="1:43" ht="15.75" thickBot="1" x14ac:dyDescent="0.3">
      <c r="A19" s="237">
        <f t="shared" si="0"/>
        <v>0</v>
      </c>
      <c r="B19" s="15">
        <f>РПЗ!$D19</f>
        <v>0</v>
      </c>
      <c r="C19" s="15">
        <f>РПЗ!$AA19</f>
        <v>0</v>
      </c>
      <c r="D19" s="473">
        <f>РПЗ!$AB19</f>
        <v>0</v>
      </c>
      <c r="E19" s="100"/>
      <c r="F19" s="15">
        <f>РПЗ!Q19</f>
        <v>0</v>
      </c>
      <c r="G19" s="16"/>
      <c r="H19" s="15">
        <f>РПЗ!R19</f>
        <v>0</v>
      </c>
      <c r="I19" s="15">
        <f>РПЗ!W19</f>
        <v>0</v>
      </c>
      <c r="J19" s="15">
        <f>РПЗ!X19</f>
        <v>0</v>
      </c>
      <c r="K19" s="288">
        <f>РПЗ!Z19</f>
        <v>0</v>
      </c>
      <c r="L19" s="17"/>
      <c r="M19" s="18">
        <f>РПЗ!O19</f>
        <v>0</v>
      </c>
      <c r="N19" s="243"/>
      <c r="O19" s="17"/>
      <c r="P19" s="17"/>
      <c r="Q19" s="17"/>
      <c r="R19" s="17"/>
      <c r="S19" s="17"/>
      <c r="T19" s="17"/>
      <c r="U19" s="18">
        <f>РПЗ!P19</f>
        <v>0</v>
      </c>
      <c r="V19" s="17"/>
      <c r="W19" s="240">
        <f>РПЗ!L19</f>
        <v>0</v>
      </c>
      <c r="X19" s="241"/>
      <c r="Y19" s="241"/>
      <c r="Z19" s="486"/>
      <c r="AA19" s="242"/>
      <c r="AB19" s="115"/>
      <c r="AC19" s="17"/>
      <c r="AD19" s="486"/>
      <c r="AE19" s="17"/>
      <c r="AF19" s="486"/>
      <c r="AG19" s="115"/>
      <c r="AH19" s="238" t="str">
        <f>IF(Таблица5[[#This Row],[30]]=0,"НД",Таблица5[[#This Row],[20]]-Таблица5[[#This Row],[30]])</f>
        <v>НД</v>
      </c>
      <c r="AI19" s="239" t="e">
        <f>IF(((1-Таблица5[[#This Row],[30]]/Таблица5[[#This Row],[20]])=1),"НД",(1-Таблица5[[#This Row],[30]]/Таблица5[[#This Row],[20]]))</f>
        <v>#DIV/0!</v>
      </c>
      <c r="AJ19" s="115"/>
      <c r="AK19" s="115"/>
      <c r="AL19" s="116"/>
      <c r="AM19" s="474"/>
      <c r="AN19" s="476"/>
      <c r="AO19" s="479">
        <f>РПЗ!AD19</f>
        <v>0</v>
      </c>
      <c r="AP19" s="483">
        <f>РПЗ!V19</f>
        <v>0</v>
      </c>
      <c r="AQ19" s="481">
        <f>IF(Таблица5[[#This Row],[11]]=0,,MONTH(Таблица5[[#This Row],[11]]))</f>
        <v>0</v>
      </c>
    </row>
    <row r="20" spans="1:43" ht="15.75" thickBot="1" x14ac:dyDescent="0.3">
      <c r="A20" s="237">
        <f t="shared" si="0"/>
        <v>0</v>
      </c>
      <c r="B20" s="15">
        <f>РПЗ!$D20</f>
        <v>0</v>
      </c>
      <c r="C20" s="15">
        <f>РПЗ!$AA20</f>
        <v>0</v>
      </c>
      <c r="D20" s="473">
        <f>РПЗ!$AB20</f>
        <v>0</v>
      </c>
      <c r="E20" s="100"/>
      <c r="F20" s="15">
        <f>РПЗ!Q20</f>
        <v>0</v>
      </c>
      <c r="G20" s="16"/>
      <c r="H20" s="15">
        <f>РПЗ!R20</f>
        <v>0</v>
      </c>
      <c r="I20" s="15">
        <f>РПЗ!W20</f>
        <v>0</v>
      </c>
      <c r="J20" s="15">
        <f>РПЗ!X20</f>
        <v>0</v>
      </c>
      <c r="K20" s="288">
        <f>РПЗ!Z20</f>
        <v>0</v>
      </c>
      <c r="L20" s="17"/>
      <c r="M20" s="18">
        <f>РПЗ!O20</f>
        <v>0</v>
      </c>
      <c r="N20" s="243"/>
      <c r="O20" s="17"/>
      <c r="P20" s="17"/>
      <c r="Q20" s="17"/>
      <c r="R20" s="17"/>
      <c r="S20" s="17"/>
      <c r="T20" s="17"/>
      <c r="U20" s="18">
        <f>РПЗ!P20</f>
        <v>0</v>
      </c>
      <c r="V20" s="17"/>
      <c r="W20" s="240">
        <f>РПЗ!L20</f>
        <v>0</v>
      </c>
      <c r="X20" s="241"/>
      <c r="Y20" s="241"/>
      <c r="Z20" s="486"/>
      <c r="AA20" s="242"/>
      <c r="AB20" s="115"/>
      <c r="AC20" s="17"/>
      <c r="AD20" s="486"/>
      <c r="AE20" s="17"/>
      <c r="AF20" s="486"/>
      <c r="AG20" s="115"/>
      <c r="AH20" s="238" t="str">
        <f>IF(Таблица5[[#This Row],[30]]=0,"НД",Таблица5[[#This Row],[20]]-Таблица5[[#This Row],[30]])</f>
        <v>НД</v>
      </c>
      <c r="AI20" s="239" t="e">
        <f>IF(((1-Таблица5[[#This Row],[30]]/Таблица5[[#This Row],[20]])=1),"НД",(1-Таблица5[[#This Row],[30]]/Таблица5[[#This Row],[20]]))</f>
        <v>#DIV/0!</v>
      </c>
      <c r="AJ20" s="115"/>
      <c r="AK20" s="115"/>
      <c r="AL20" s="116"/>
      <c r="AM20" s="474"/>
      <c r="AN20" s="476"/>
      <c r="AO20" s="479">
        <f>РПЗ!AD20</f>
        <v>0</v>
      </c>
      <c r="AP20" s="483">
        <f>РПЗ!V20</f>
        <v>0</v>
      </c>
      <c r="AQ20" s="481">
        <f>IF(Таблица5[[#This Row],[11]]=0,,MONTH(Таблица5[[#This Row],[11]]))</f>
        <v>0</v>
      </c>
    </row>
    <row r="21" spans="1:43" ht="15.75" thickBot="1" x14ac:dyDescent="0.3">
      <c r="A21" s="237">
        <f t="shared" si="0"/>
        <v>0</v>
      </c>
      <c r="B21" s="15">
        <f>РПЗ!$D21</f>
        <v>0</v>
      </c>
      <c r="C21" s="15">
        <f>РПЗ!$AA21</f>
        <v>0</v>
      </c>
      <c r="D21" s="473">
        <f>РПЗ!$AB21</f>
        <v>0</v>
      </c>
      <c r="E21" s="100"/>
      <c r="F21" s="15">
        <f>РПЗ!Q21</f>
        <v>0</v>
      </c>
      <c r="G21" s="16"/>
      <c r="H21" s="15">
        <f>РПЗ!R21</f>
        <v>0</v>
      </c>
      <c r="I21" s="15">
        <f>РПЗ!W21</f>
        <v>0</v>
      </c>
      <c r="J21" s="15">
        <f>РПЗ!X21</f>
        <v>0</v>
      </c>
      <c r="K21" s="288">
        <f>РПЗ!Z21</f>
        <v>0</v>
      </c>
      <c r="L21" s="17"/>
      <c r="M21" s="18">
        <f>РПЗ!O21</f>
        <v>0</v>
      </c>
      <c r="N21" s="243"/>
      <c r="O21" s="17"/>
      <c r="P21" s="17"/>
      <c r="Q21" s="17"/>
      <c r="R21" s="17"/>
      <c r="S21" s="17"/>
      <c r="T21" s="17"/>
      <c r="U21" s="18">
        <f>РПЗ!P21</f>
        <v>0</v>
      </c>
      <c r="V21" s="17"/>
      <c r="W21" s="240">
        <f>РПЗ!L21</f>
        <v>0</v>
      </c>
      <c r="X21" s="241"/>
      <c r="Y21" s="241"/>
      <c r="Z21" s="486"/>
      <c r="AA21" s="242"/>
      <c r="AB21" s="115"/>
      <c r="AC21" s="17"/>
      <c r="AD21" s="486"/>
      <c r="AE21" s="17"/>
      <c r="AF21" s="486"/>
      <c r="AG21" s="115"/>
      <c r="AH21" s="238" t="str">
        <f>IF(Таблица5[[#This Row],[30]]=0,"НД",Таблица5[[#This Row],[20]]-Таблица5[[#This Row],[30]])</f>
        <v>НД</v>
      </c>
      <c r="AI21" s="239" t="e">
        <f>IF(((1-Таблица5[[#This Row],[30]]/Таблица5[[#This Row],[20]])=1),"НД",(1-Таблица5[[#This Row],[30]]/Таблица5[[#This Row],[20]]))</f>
        <v>#DIV/0!</v>
      </c>
      <c r="AJ21" s="115"/>
      <c r="AK21" s="115"/>
      <c r="AL21" s="116"/>
      <c r="AM21" s="474"/>
      <c r="AN21" s="476"/>
      <c r="AO21" s="479">
        <f>РПЗ!AD21</f>
        <v>0</v>
      </c>
      <c r="AP21" s="483">
        <f>РПЗ!V21</f>
        <v>0</v>
      </c>
      <c r="AQ21" s="481">
        <f>IF(Таблица5[[#This Row],[11]]=0,,MONTH(Таблица5[[#This Row],[11]]))</f>
        <v>0</v>
      </c>
    </row>
    <row r="22" spans="1:43" ht="15.75" thickBot="1" x14ac:dyDescent="0.3">
      <c r="A22" s="237">
        <f t="shared" si="0"/>
        <v>0</v>
      </c>
      <c r="B22" s="15">
        <f>РПЗ!$D22</f>
        <v>0</v>
      </c>
      <c r="C22" s="15">
        <f>РПЗ!$AA22</f>
        <v>0</v>
      </c>
      <c r="D22" s="473">
        <f>РПЗ!$AB22</f>
        <v>0</v>
      </c>
      <c r="E22" s="100"/>
      <c r="F22" s="15">
        <f>РПЗ!Q22</f>
        <v>0</v>
      </c>
      <c r="G22" s="16"/>
      <c r="H22" s="15">
        <f>РПЗ!R22</f>
        <v>0</v>
      </c>
      <c r="I22" s="15">
        <f>РПЗ!W22</f>
        <v>0</v>
      </c>
      <c r="J22" s="15">
        <f>РПЗ!X22</f>
        <v>0</v>
      </c>
      <c r="K22" s="288">
        <f>РПЗ!Z22</f>
        <v>0</v>
      </c>
      <c r="L22" s="17"/>
      <c r="M22" s="18">
        <f>РПЗ!O22</f>
        <v>0</v>
      </c>
      <c r="N22" s="243"/>
      <c r="O22" s="17"/>
      <c r="P22" s="17"/>
      <c r="Q22" s="17"/>
      <c r="R22" s="17"/>
      <c r="S22" s="17"/>
      <c r="T22" s="17"/>
      <c r="U22" s="18">
        <f>РПЗ!P22</f>
        <v>0</v>
      </c>
      <c r="V22" s="17"/>
      <c r="W22" s="240">
        <f>РПЗ!L22</f>
        <v>0</v>
      </c>
      <c r="X22" s="241"/>
      <c r="Y22" s="241"/>
      <c r="Z22" s="486"/>
      <c r="AA22" s="242"/>
      <c r="AB22" s="115"/>
      <c r="AC22" s="17"/>
      <c r="AD22" s="486"/>
      <c r="AE22" s="17"/>
      <c r="AF22" s="486"/>
      <c r="AG22" s="115"/>
      <c r="AH22" s="238" t="str">
        <f>IF(Таблица5[[#This Row],[30]]=0,"НД",Таблица5[[#This Row],[20]]-Таблица5[[#This Row],[30]])</f>
        <v>НД</v>
      </c>
      <c r="AI22" s="239" t="e">
        <f>IF(((1-Таблица5[[#This Row],[30]]/Таблица5[[#This Row],[20]])=1),"НД",(1-Таблица5[[#This Row],[30]]/Таблица5[[#This Row],[20]]))</f>
        <v>#DIV/0!</v>
      </c>
      <c r="AJ22" s="115"/>
      <c r="AK22" s="115"/>
      <c r="AL22" s="116"/>
      <c r="AM22" s="474"/>
      <c r="AN22" s="476"/>
      <c r="AO22" s="479">
        <f>РПЗ!AD22</f>
        <v>0</v>
      </c>
      <c r="AP22" s="483">
        <f>РПЗ!V22</f>
        <v>0</v>
      </c>
      <c r="AQ22" s="481">
        <f>IF(Таблица5[[#This Row],[11]]=0,,MONTH(Таблица5[[#This Row],[11]]))</f>
        <v>0</v>
      </c>
    </row>
    <row r="23" spans="1:43" ht="15.75" thickBot="1" x14ac:dyDescent="0.3">
      <c r="A23" s="237">
        <f t="shared" si="0"/>
        <v>0</v>
      </c>
      <c r="B23" s="15">
        <f>РПЗ!$D23</f>
        <v>0</v>
      </c>
      <c r="C23" s="15">
        <f>РПЗ!$AA23</f>
        <v>0</v>
      </c>
      <c r="D23" s="473">
        <f>РПЗ!$AB23</f>
        <v>0</v>
      </c>
      <c r="E23" s="100"/>
      <c r="F23" s="15">
        <f>РПЗ!Q23</f>
        <v>0</v>
      </c>
      <c r="G23" s="16"/>
      <c r="H23" s="15">
        <f>РПЗ!R23</f>
        <v>0</v>
      </c>
      <c r="I23" s="15">
        <f>РПЗ!W23</f>
        <v>0</v>
      </c>
      <c r="J23" s="15">
        <f>РПЗ!X23</f>
        <v>0</v>
      </c>
      <c r="K23" s="288">
        <f>РПЗ!Z23</f>
        <v>0</v>
      </c>
      <c r="L23" s="17"/>
      <c r="M23" s="18">
        <f>РПЗ!O23</f>
        <v>0</v>
      </c>
      <c r="N23" s="243"/>
      <c r="O23" s="17"/>
      <c r="P23" s="17"/>
      <c r="Q23" s="17"/>
      <c r="R23" s="17"/>
      <c r="S23" s="17"/>
      <c r="T23" s="17"/>
      <c r="U23" s="18">
        <f>РПЗ!P23</f>
        <v>0</v>
      </c>
      <c r="V23" s="17"/>
      <c r="W23" s="240">
        <f>РПЗ!L23</f>
        <v>0</v>
      </c>
      <c r="X23" s="241"/>
      <c r="Y23" s="241"/>
      <c r="Z23" s="486"/>
      <c r="AA23" s="242"/>
      <c r="AB23" s="115"/>
      <c r="AC23" s="17"/>
      <c r="AD23" s="486"/>
      <c r="AE23" s="17"/>
      <c r="AF23" s="486"/>
      <c r="AG23" s="115"/>
      <c r="AH23" s="238" t="str">
        <f>IF(Таблица5[[#This Row],[30]]=0,"НД",Таблица5[[#This Row],[20]]-Таблица5[[#This Row],[30]])</f>
        <v>НД</v>
      </c>
      <c r="AI23" s="239" t="e">
        <f>IF(((1-Таблица5[[#This Row],[30]]/Таблица5[[#This Row],[20]])=1),"НД",(1-Таблица5[[#This Row],[30]]/Таблица5[[#This Row],[20]]))</f>
        <v>#DIV/0!</v>
      </c>
      <c r="AJ23" s="115"/>
      <c r="AK23" s="115"/>
      <c r="AL23" s="116"/>
      <c r="AM23" s="474"/>
      <c r="AN23" s="476"/>
      <c r="AO23" s="479">
        <f>РПЗ!AD23</f>
        <v>0</v>
      </c>
      <c r="AP23" s="483">
        <f>РПЗ!V23</f>
        <v>0</v>
      </c>
      <c r="AQ23" s="481">
        <f>IF(Таблица5[[#This Row],[11]]=0,,MONTH(Таблица5[[#This Row],[11]]))</f>
        <v>0</v>
      </c>
    </row>
    <row r="24" spans="1:43" ht="15.75" thickBot="1" x14ac:dyDescent="0.3">
      <c r="A24" s="237">
        <f t="shared" si="0"/>
        <v>0</v>
      </c>
      <c r="B24" s="15">
        <f>РПЗ!$D24</f>
        <v>0</v>
      </c>
      <c r="C24" s="15">
        <f>РПЗ!$AA24</f>
        <v>0</v>
      </c>
      <c r="D24" s="473">
        <f>РПЗ!$AB24</f>
        <v>0</v>
      </c>
      <c r="E24" s="100"/>
      <c r="F24" s="15">
        <f>РПЗ!Q24</f>
        <v>0</v>
      </c>
      <c r="G24" s="16"/>
      <c r="H24" s="15">
        <f>РПЗ!R24</f>
        <v>0</v>
      </c>
      <c r="I24" s="15">
        <f>РПЗ!W24</f>
        <v>0</v>
      </c>
      <c r="J24" s="15">
        <f>РПЗ!X24</f>
        <v>0</v>
      </c>
      <c r="K24" s="288">
        <f>РПЗ!Z24</f>
        <v>0</v>
      </c>
      <c r="L24" s="17"/>
      <c r="M24" s="18">
        <f>РПЗ!O24</f>
        <v>0</v>
      </c>
      <c r="N24" s="243"/>
      <c r="O24" s="17"/>
      <c r="P24" s="17"/>
      <c r="Q24" s="17"/>
      <c r="R24" s="17"/>
      <c r="S24" s="17"/>
      <c r="T24" s="17"/>
      <c r="U24" s="18">
        <f>РПЗ!P24</f>
        <v>0</v>
      </c>
      <c r="V24" s="17"/>
      <c r="W24" s="240">
        <f>РПЗ!L24</f>
        <v>0</v>
      </c>
      <c r="X24" s="241"/>
      <c r="Y24" s="241"/>
      <c r="Z24" s="486"/>
      <c r="AA24" s="242"/>
      <c r="AB24" s="115"/>
      <c r="AC24" s="17"/>
      <c r="AD24" s="486"/>
      <c r="AE24" s="17"/>
      <c r="AF24" s="486"/>
      <c r="AG24" s="115"/>
      <c r="AH24" s="238" t="str">
        <f>IF(Таблица5[[#This Row],[30]]=0,"НД",Таблица5[[#This Row],[20]]-Таблица5[[#This Row],[30]])</f>
        <v>НД</v>
      </c>
      <c r="AI24" s="239" t="e">
        <f>IF(((1-Таблица5[[#This Row],[30]]/Таблица5[[#This Row],[20]])=1),"НД",(1-Таблица5[[#This Row],[30]]/Таблица5[[#This Row],[20]]))</f>
        <v>#DIV/0!</v>
      </c>
      <c r="AJ24" s="115"/>
      <c r="AK24" s="115"/>
      <c r="AL24" s="116"/>
      <c r="AM24" s="474"/>
      <c r="AN24" s="476"/>
      <c r="AO24" s="479">
        <f>РПЗ!AD24</f>
        <v>0</v>
      </c>
      <c r="AP24" s="483">
        <f>РПЗ!V24</f>
        <v>0</v>
      </c>
      <c r="AQ24" s="481">
        <f>IF(Таблица5[[#This Row],[11]]=0,,MONTH(Таблица5[[#This Row],[11]]))</f>
        <v>0</v>
      </c>
    </row>
    <row r="25" spans="1:43" ht="15.75" thickBot="1" x14ac:dyDescent="0.3">
      <c r="A25" s="237">
        <f t="shared" si="0"/>
        <v>0</v>
      </c>
      <c r="B25" s="15">
        <f>РПЗ!$D25</f>
        <v>0</v>
      </c>
      <c r="C25" s="15">
        <f>РПЗ!$AA25</f>
        <v>0</v>
      </c>
      <c r="D25" s="473">
        <f>РПЗ!$AB25</f>
        <v>0</v>
      </c>
      <c r="E25" s="100"/>
      <c r="F25" s="15">
        <f>РПЗ!Q25</f>
        <v>0</v>
      </c>
      <c r="G25" s="16"/>
      <c r="H25" s="15">
        <f>РПЗ!R25</f>
        <v>0</v>
      </c>
      <c r="I25" s="15">
        <f>РПЗ!W25</f>
        <v>0</v>
      </c>
      <c r="J25" s="15">
        <f>РПЗ!X25</f>
        <v>0</v>
      </c>
      <c r="K25" s="288">
        <f>РПЗ!Z25</f>
        <v>0</v>
      </c>
      <c r="L25" s="17"/>
      <c r="M25" s="18">
        <f>РПЗ!O25</f>
        <v>0</v>
      </c>
      <c r="N25" s="243"/>
      <c r="O25" s="17"/>
      <c r="P25" s="17"/>
      <c r="Q25" s="17"/>
      <c r="R25" s="17"/>
      <c r="S25" s="17"/>
      <c r="T25" s="17"/>
      <c r="U25" s="18">
        <f>РПЗ!P25</f>
        <v>0</v>
      </c>
      <c r="V25" s="17"/>
      <c r="W25" s="240">
        <f>РПЗ!L25</f>
        <v>0</v>
      </c>
      <c r="X25" s="241"/>
      <c r="Y25" s="241"/>
      <c r="Z25" s="486"/>
      <c r="AA25" s="242"/>
      <c r="AB25" s="115"/>
      <c r="AC25" s="17"/>
      <c r="AD25" s="486"/>
      <c r="AE25" s="17"/>
      <c r="AF25" s="486"/>
      <c r="AG25" s="115"/>
      <c r="AH25" s="238" t="str">
        <f>IF(Таблица5[[#This Row],[30]]=0,"НД",Таблица5[[#This Row],[20]]-Таблица5[[#This Row],[30]])</f>
        <v>НД</v>
      </c>
      <c r="AI25" s="239" t="e">
        <f>IF(((1-Таблица5[[#This Row],[30]]/Таблица5[[#This Row],[20]])=1),"НД",(1-Таблица5[[#This Row],[30]]/Таблица5[[#This Row],[20]]))</f>
        <v>#DIV/0!</v>
      </c>
      <c r="AJ25" s="115"/>
      <c r="AK25" s="115"/>
      <c r="AL25" s="116"/>
      <c r="AM25" s="474"/>
      <c r="AN25" s="476"/>
      <c r="AO25" s="479">
        <f>РПЗ!AD25</f>
        <v>0</v>
      </c>
      <c r="AP25" s="483">
        <f>РПЗ!V25</f>
        <v>0</v>
      </c>
      <c r="AQ25" s="481">
        <f>IF(Таблица5[[#This Row],[11]]=0,,MONTH(Таблица5[[#This Row],[11]]))</f>
        <v>0</v>
      </c>
    </row>
    <row r="26" spans="1:43" ht="15.75" thickBot="1" x14ac:dyDescent="0.3">
      <c r="A26" s="237">
        <f t="shared" si="0"/>
        <v>0</v>
      </c>
      <c r="B26" s="15">
        <f>РПЗ!$D26</f>
        <v>0</v>
      </c>
      <c r="C26" s="15">
        <f>РПЗ!$AA26</f>
        <v>0</v>
      </c>
      <c r="D26" s="473">
        <f>РПЗ!$AB26</f>
        <v>0</v>
      </c>
      <c r="E26" s="100"/>
      <c r="F26" s="15">
        <f>РПЗ!Q26</f>
        <v>0</v>
      </c>
      <c r="G26" s="16"/>
      <c r="H26" s="15">
        <f>РПЗ!R26</f>
        <v>0</v>
      </c>
      <c r="I26" s="15">
        <f>РПЗ!W26</f>
        <v>0</v>
      </c>
      <c r="J26" s="15">
        <f>РПЗ!X26</f>
        <v>0</v>
      </c>
      <c r="K26" s="288">
        <f>РПЗ!Z26</f>
        <v>0</v>
      </c>
      <c r="L26" s="17"/>
      <c r="M26" s="18">
        <f>РПЗ!O26</f>
        <v>0</v>
      </c>
      <c r="N26" s="243"/>
      <c r="O26" s="17"/>
      <c r="P26" s="17"/>
      <c r="Q26" s="17"/>
      <c r="R26" s="17"/>
      <c r="S26" s="17"/>
      <c r="T26" s="17"/>
      <c r="U26" s="18">
        <f>РПЗ!P26</f>
        <v>0</v>
      </c>
      <c r="V26" s="17"/>
      <c r="W26" s="240">
        <f>РПЗ!L26</f>
        <v>0</v>
      </c>
      <c r="X26" s="241"/>
      <c r="Y26" s="241"/>
      <c r="Z26" s="486"/>
      <c r="AA26" s="242"/>
      <c r="AB26" s="115"/>
      <c r="AC26" s="17"/>
      <c r="AD26" s="486"/>
      <c r="AE26" s="17"/>
      <c r="AF26" s="486"/>
      <c r="AG26" s="115"/>
      <c r="AH26" s="238" t="str">
        <f>IF(Таблица5[[#This Row],[30]]=0,"НД",Таблица5[[#This Row],[20]]-Таблица5[[#This Row],[30]])</f>
        <v>НД</v>
      </c>
      <c r="AI26" s="239" t="e">
        <f>IF(((1-Таблица5[[#This Row],[30]]/Таблица5[[#This Row],[20]])=1),"НД",(1-Таблица5[[#This Row],[30]]/Таблица5[[#This Row],[20]]))</f>
        <v>#DIV/0!</v>
      </c>
      <c r="AJ26" s="115"/>
      <c r="AK26" s="115"/>
      <c r="AL26" s="116"/>
      <c r="AM26" s="474"/>
      <c r="AN26" s="476"/>
      <c r="AO26" s="479">
        <f>РПЗ!AD26</f>
        <v>0</v>
      </c>
      <c r="AP26" s="483">
        <f>РПЗ!V26</f>
        <v>0</v>
      </c>
      <c r="AQ26" s="481">
        <f>IF(Таблица5[[#This Row],[11]]=0,,MONTH(Таблица5[[#This Row],[11]]))</f>
        <v>0</v>
      </c>
    </row>
    <row r="27" spans="1:43" ht="15.75" thickBot="1" x14ac:dyDescent="0.3">
      <c r="A27" s="237">
        <f t="shared" si="0"/>
        <v>0</v>
      </c>
      <c r="B27" s="15">
        <f>РПЗ!$D27</f>
        <v>0</v>
      </c>
      <c r="C27" s="15">
        <f>РПЗ!$AA27</f>
        <v>0</v>
      </c>
      <c r="D27" s="473">
        <f>РПЗ!$AB27</f>
        <v>0</v>
      </c>
      <c r="E27" s="100"/>
      <c r="F27" s="15">
        <f>РПЗ!Q27</f>
        <v>0</v>
      </c>
      <c r="G27" s="16"/>
      <c r="H27" s="15">
        <f>РПЗ!R27</f>
        <v>0</v>
      </c>
      <c r="I27" s="15">
        <f>РПЗ!W27</f>
        <v>0</v>
      </c>
      <c r="J27" s="15">
        <f>РПЗ!X27</f>
        <v>0</v>
      </c>
      <c r="K27" s="288">
        <f>РПЗ!Z27</f>
        <v>0</v>
      </c>
      <c r="L27" s="17"/>
      <c r="M27" s="18">
        <f>РПЗ!O27</f>
        <v>0</v>
      </c>
      <c r="N27" s="243"/>
      <c r="O27" s="17"/>
      <c r="P27" s="17"/>
      <c r="Q27" s="17"/>
      <c r="R27" s="17"/>
      <c r="S27" s="17"/>
      <c r="T27" s="17"/>
      <c r="U27" s="18">
        <f>РПЗ!P27</f>
        <v>0</v>
      </c>
      <c r="V27" s="17"/>
      <c r="W27" s="240">
        <f>РПЗ!L27</f>
        <v>0</v>
      </c>
      <c r="X27" s="241"/>
      <c r="Y27" s="241"/>
      <c r="Z27" s="486"/>
      <c r="AA27" s="242"/>
      <c r="AB27" s="115"/>
      <c r="AC27" s="17"/>
      <c r="AD27" s="486"/>
      <c r="AE27" s="17"/>
      <c r="AF27" s="486"/>
      <c r="AG27" s="115"/>
      <c r="AH27" s="238" t="str">
        <f>IF(Таблица5[[#This Row],[30]]=0,"НД",Таблица5[[#This Row],[20]]-Таблица5[[#This Row],[30]])</f>
        <v>НД</v>
      </c>
      <c r="AI27" s="239" t="e">
        <f>IF(((1-Таблица5[[#This Row],[30]]/Таблица5[[#This Row],[20]])=1),"НД",(1-Таблица5[[#This Row],[30]]/Таблица5[[#This Row],[20]]))</f>
        <v>#DIV/0!</v>
      </c>
      <c r="AJ27" s="115"/>
      <c r="AK27" s="115"/>
      <c r="AL27" s="116"/>
      <c r="AM27" s="474"/>
      <c r="AN27" s="476"/>
      <c r="AO27" s="479">
        <f>РПЗ!AD27</f>
        <v>0</v>
      </c>
      <c r="AP27" s="483">
        <f>РПЗ!V27</f>
        <v>0</v>
      </c>
      <c r="AQ27" s="481">
        <f>IF(Таблица5[[#This Row],[11]]=0,,MONTH(Таблица5[[#This Row],[11]]))</f>
        <v>0</v>
      </c>
    </row>
    <row r="28" spans="1:43" ht="15.75" thickBot="1" x14ac:dyDescent="0.3">
      <c r="A28" s="237">
        <f t="shared" si="0"/>
        <v>0</v>
      </c>
      <c r="B28" s="15">
        <f>РПЗ!$D28</f>
        <v>0</v>
      </c>
      <c r="C28" s="15">
        <f>РПЗ!$AA28</f>
        <v>0</v>
      </c>
      <c r="D28" s="473">
        <f>РПЗ!$AB28</f>
        <v>0</v>
      </c>
      <c r="E28" s="100"/>
      <c r="F28" s="15">
        <f>РПЗ!Q28</f>
        <v>0</v>
      </c>
      <c r="G28" s="16"/>
      <c r="H28" s="15">
        <f>РПЗ!R28</f>
        <v>0</v>
      </c>
      <c r="I28" s="15">
        <f>РПЗ!W28</f>
        <v>0</v>
      </c>
      <c r="J28" s="15">
        <f>РПЗ!X28</f>
        <v>0</v>
      </c>
      <c r="K28" s="288">
        <f>РПЗ!Z28</f>
        <v>0</v>
      </c>
      <c r="L28" s="17"/>
      <c r="M28" s="18">
        <f>РПЗ!O28</f>
        <v>0</v>
      </c>
      <c r="N28" s="243"/>
      <c r="O28" s="17"/>
      <c r="P28" s="17"/>
      <c r="Q28" s="17"/>
      <c r="R28" s="17"/>
      <c r="S28" s="17"/>
      <c r="T28" s="17"/>
      <c r="U28" s="18">
        <f>РПЗ!P28</f>
        <v>0</v>
      </c>
      <c r="V28" s="17"/>
      <c r="W28" s="240">
        <f>РПЗ!L28</f>
        <v>0</v>
      </c>
      <c r="X28" s="241"/>
      <c r="Y28" s="241"/>
      <c r="Z28" s="486"/>
      <c r="AA28" s="242"/>
      <c r="AB28" s="115"/>
      <c r="AC28" s="17"/>
      <c r="AD28" s="486"/>
      <c r="AE28" s="17"/>
      <c r="AF28" s="486"/>
      <c r="AG28" s="115"/>
      <c r="AH28" s="238" t="str">
        <f>IF(Таблица5[[#This Row],[30]]=0,"НД",Таблица5[[#This Row],[20]]-Таблица5[[#This Row],[30]])</f>
        <v>НД</v>
      </c>
      <c r="AI28" s="239" t="e">
        <f>IF(((1-Таблица5[[#This Row],[30]]/Таблица5[[#This Row],[20]])=1),"НД",(1-Таблица5[[#This Row],[30]]/Таблица5[[#This Row],[20]]))</f>
        <v>#DIV/0!</v>
      </c>
      <c r="AJ28" s="115"/>
      <c r="AK28" s="115"/>
      <c r="AL28" s="116"/>
      <c r="AM28" s="474"/>
      <c r="AN28" s="476"/>
      <c r="AO28" s="479">
        <f>РПЗ!AD28</f>
        <v>0</v>
      </c>
      <c r="AP28" s="483">
        <f>РПЗ!V28</f>
        <v>0</v>
      </c>
      <c r="AQ28" s="481">
        <f>IF(Таблица5[[#This Row],[11]]=0,,MONTH(Таблица5[[#This Row],[11]]))</f>
        <v>0</v>
      </c>
    </row>
    <row r="29" spans="1:43" ht="15.75" thickBot="1" x14ac:dyDescent="0.3">
      <c r="A29" s="237">
        <f t="shared" si="0"/>
        <v>0</v>
      </c>
      <c r="B29" s="15">
        <f>РПЗ!$D29</f>
        <v>0</v>
      </c>
      <c r="C29" s="15">
        <f>РПЗ!$AA29</f>
        <v>0</v>
      </c>
      <c r="D29" s="473">
        <f>РПЗ!$AB29</f>
        <v>0</v>
      </c>
      <c r="E29" s="100"/>
      <c r="F29" s="15">
        <f>РПЗ!Q29</f>
        <v>0</v>
      </c>
      <c r="G29" s="16"/>
      <c r="H29" s="15">
        <f>РПЗ!R29</f>
        <v>0</v>
      </c>
      <c r="I29" s="15">
        <f>РПЗ!W29</f>
        <v>0</v>
      </c>
      <c r="J29" s="15">
        <f>РПЗ!X29</f>
        <v>0</v>
      </c>
      <c r="K29" s="288">
        <f>РПЗ!Z29</f>
        <v>0</v>
      </c>
      <c r="L29" s="17"/>
      <c r="M29" s="18">
        <f>РПЗ!O29</f>
        <v>0</v>
      </c>
      <c r="N29" s="243"/>
      <c r="O29" s="17"/>
      <c r="P29" s="17"/>
      <c r="Q29" s="17"/>
      <c r="R29" s="17"/>
      <c r="S29" s="17"/>
      <c r="T29" s="17"/>
      <c r="U29" s="18">
        <f>РПЗ!P29</f>
        <v>0</v>
      </c>
      <c r="V29" s="17"/>
      <c r="W29" s="240">
        <f>РПЗ!L29</f>
        <v>0</v>
      </c>
      <c r="X29" s="241"/>
      <c r="Y29" s="241"/>
      <c r="Z29" s="486"/>
      <c r="AA29" s="242"/>
      <c r="AB29" s="115"/>
      <c r="AC29" s="17"/>
      <c r="AD29" s="486"/>
      <c r="AE29" s="17"/>
      <c r="AF29" s="486"/>
      <c r="AG29" s="115"/>
      <c r="AH29" s="238" t="str">
        <f>IF(Таблица5[[#This Row],[30]]=0,"НД",Таблица5[[#This Row],[20]]-Таблица5[[#This Row],[30]])</f>
        <v>НД</v>
      </c>
      <c r="AI29" s="239" t="e">
        <f>IF(((1-Таблица5[[#This Row],[30]]/Таблица5[[#This Row],[20]])=1),"НД",(1-Таблица5[[#This Row],[30]]/Таблица5[[#This Row],[20]]))</f>
        <v>#DIV/0!</v>
      </c>
      <c r="AJ29" s="115"/>
      <c r="AK29" s="115"/>
      <c r="AL29" s="116"/>
      <c r="AM29" s="474"/>
      <c r="AN29" s="476"/>
      <c r="AO29" s="479">
        <f>РПЗ!AD29</f>
        <v>0</v>
      </c>
      <c r="AP29" s="483">
        <f>РПЗ!V29</f>
        <v>0</v>
      </c>
      <c r="AQ29" s="481">
        <f>IF(Таблица5[[#This Row],[11]]=0,,MONTH(Таблица5[[#This Row],[11]]))</f>
        <v>0</v>
      </c>
    </row>
    <row r="30" spans="1:43" ht="15.75" thickBot="1" x14ac:dyDescent="0.3">
      <c r="A30" s="237">
        <f t="shared" si="0"/>
        <v>0</v>
      </c>
      <c r="B30" s="15">
        <f>РПЗ!$D30</f>
        <v>0</v>
      </c>
      <c r="C30" s="15">
        <f>РПЗ!$AA30</f>
        <v>0</v>
      </c>
      <c r="D30" s="473">
        <f>РПЗ!$AB30</f>
        <v>0</v>
      </c>
      <c r="E30" s="100"/>
      <c r="F30" s="15">
        <f>РПЗ!Q30</f>
        <v>0</v>
      </c>
      <c r="G30" s="16"/>
      <c r="H30" s="15">
        <f>РПЗ!R30</f>
        <v>0</v>
      </c>
      <c r="I30" s="15">
        <f>РПЗ!W30</f>
        <v>0</v>
      </c>
      <c r="J30" s="15">
        <f>РПЗ!X30</f>
        <v>0</v>
      </c>
      <c r="K30" s="288">
        <f>РПЗ!Z30</f>
        <v>0</v>
      </c>
      <c r="L30" s="17"/>
      <c r="M30" s="18">
        <f>РПЗ!O30</f>
        <v>0</v>
      </c>
      <c r="N30" s="243"/>
      <c r="O30" s="17"/>
      <c r="P30" s="17"/>
      <c r="Q30" s="17"/>
      <c r="R30" s="17"/>
      <c r="S30" s="17"/>
      <c r="T30" s="17"/>
      <c r="U30" s="18">
        <f>РПЗ!P30</f>
        <v>0</v>
      </c>
      <c r="V30" s="17"/>
      <c r="W30" s="240">
        <f>РПЗ!L30</f>
        <v>0</v>
      </c>
      <c r="X30" s="241"/>
      <c r="Y30" s="241"/>
      <c r="Z30" s="486"/>
      <c r="AA30" s="242"/>
      <c r="AB30" s="115"/>
      <c r="AC30" s="17"/>
      <c r="AD30" s="486"/>
      <c r="AE30" s="17"/>
      <c r="AF30" s="486"/>
      <c r="AG30" s="115"/>
      <c r="AH30" s="238" t="str">
        <f>IF(Таблица5[[#This Row],[30]]=0,"НД",Таблица5[[#This Row],[20]]-Таблица5[[#This Row],[30]])</f>
        <v>НД</v>
      </c>
      <c r="AI30" s="239" t="e">
        <f>IF(((1-Таблица5[[#This Row],[30]]/Таблица5[[#This Row],[20]])=1),"НД",(1-Таблица5[[#This Row],[30]]/Таблица5[[#This Row],[20]]))</f>
        <v>#DIV/0!</v>
      </c>
      <c r="AJ30" s="115"/>
      <c r="AK30" s="115"/>
      <c r="AL30" s="116"/>
      <c r="AM30" s="474"/>
      <c r="AN30" s="476"/>
      <c r="AO30" s="479">
        <f>РПЗ!AD30</f>
        <v>0</v>
      </c>
      <c r="AP30" s="483">
        <f>РПЗ!V30</f>
        <v>0</v>
      </c>
      <c r="AQ30" s="481">
        <f>IF(Таблица5[[#This Row],[11]]=0,,MONTH(Таблица5[[#This Row],[11]]))</f>
        <v>0</v>
      </c>
    </row>
    <row r="31" spans="1:43" ht="15.75" thickBot="1" x14ac:dyDescent="0.3">
      <c r="A31" s="237">
        <f t="shared" si="0"/>
        <v>0</v>
      </c>
      <c r="B31" s="15">
        <f>РПЗ!$D31</f>
        <v>0</v>
      </c>
      <c r="C31" s="15">
        <f>РПЗ!$AA31</f>
        <v>0</v>
      </c>
      <c r="D31" s="473">
        <f>РПЗ!$AB31</f>
        <v>0</v>
      </c>
      <c r="E31" s="100"/>
      <c r="F31" s="15">
        <f>РПЗ!Q31</f>
        <v>0</v>
      </c>
      <c r="G31" s="16"/>
      <c r="H31" s="15">
        <f>РПЗ!R31</f>
        <v>0</v>
      </c>
      <c r="I31" s="15">
        <f>РПЗ!W31</f>
        <v>0</v>
      </c>
      <c r="J31" s="15">
        <f>РПЗ!X31</f>
        <v>0</v>
      </c>
      <c r="K31" s="288">
        <f>РПЗ!Z31</f>
        <v>0</v>
      </c>
      <c r="L31" s="17"/>
      <c r="M31" s="18">
        <f>РПЗ!O31</f>
        <v>0</v>
      </c>
      <c r="N31" s="243"/>
      <c r="O31" s="17"/>
      <c r="P31" s="17"/>
      <c r="Q31" s="17"/>
      <c r="R31" s="17"/>
      <c r="S31" s="17"/>
      <c r="T31" s="17"/>
      <c r="U31" s="18">
        <f>РПЗ!P31</f>
        <v>0</v>
      </c>
      <c r="V31" s="17"/>
      <c r="W31" s="240">
        <f>РПЗ!L31</f>
        <v>0</v>
      </c>
      <c r="X31" s="241"/>
      <c r="Y31" s="241"/>
      <c r="Z31" s="486"/>
      <c r="AA31" s="242"/>
      <c r="AB31" s="115"/>
      <c r="AC31" s="17"/>
      <c r="AD31" s="486"/>
      <c r="AE31" s="17"/>
      <c r="AF31" s="486"/>
      <c r="AG31" s="115"/>
      <c r="AH31" s="238" t="str">
        <f>IF(Таблица5[[#This Row],[30]]=0,"НД",Таблица5[[#This Row],[20]]-Таблица5[[#This Row],[30]])</f>
        <v>НД</v>
      </c>
      <c r="AI31" s="239" t="e">
        <f>IF(((1-Таблица5[[#This Row],[30]]/Таблица5[[#This Row],[20]])=1),"НД",(1-Таблица5[[#This Row],[30]]/Таблица5[[#This Row],[20]]))</f>
        <v>#DIV/0!</v>
      </c>
      <c r="AJ31" s="115"/>
      <c r="AK31" s="115"/>
      <c r="AL31" s="116"/>
      <c r="AM31" s="474"/>
      <c r="AN31" s="476"/>
      <c r="AO31" s="479">
        <f>РПЗ!AD31</f>
        <v>0</v>
      </c>
      <c r="AP31" s="483">
        <f>РПЗ!V31</f>
        <v>0</v>
      </c>
      <c r="AQ31" s="481">
        <f>IF(Таблица5[[#This Row],[11]]=0,,MONTH(Таблица5[[#This Row],[11]]))</f>
        <v>0</v>
      </c>
    </row>
    <row r="32" spans="1:43" ht="15.75" thickBot="1" x14ac:dyDescent="0.3">
      <c r="A32" s="237">
        <f t="shared" si="0"/>
        <v>0</v>
      </c>
      <c r="B32" s="15">
        <f>РПЗ!$D32</f>
        <v>0</v>
      </c>
      <c r="C32" s="15">
        <f>РПЗ!$AA32</f>
        <v>0</v>
      </c>
      <c r="D32" s="473">
        <f>РПЗ!$AB32</f>
        <v>0</v>
      </c>
      <c r="E32" s="100"/>
      <c r="F32" s="15">
        <f>РПЗ!Q32</f>
        <v>0</v>
      </c>
      <c r="G32" s="16"/>
      <c r="H32" s="15">
        <f>РПЗ!R32</f>
        <v>0</v>
      </c>
      <c r="I32" s="15">
        <f>РПЗ!W32</f>
        <v>0</v>
      </c>
      <c r="J32" s="15">
        <f>РПЗ!X32</f>
        <v>0</v>
      </c>
      <c r="K32" s="288">
        <f>РПЗ!Z32</f>
        <v>0</v>
      </c>
      <c r="L32" s="17"/>
      <c r="M32" s="18">
        <f>РПЗ!O32</f>
        <v>0</v>
      </c>
      <c r="N32" s="243"/>
      <c r="O32" s="17"/>
      <c r="P32" s="17"/>
      <c r="Q32" s="17"/>
      <c r="R32" s="17"/>
      <c r="S32" s="17"/>
      <c r="T32" s="17"/>
      <c r="U32" s="18">
        <f>РПЗ!P32</f>
        <v>0</v>
      </c>
      <c r="V32" s="17"/>
      <c r="W32" s="240">
        <f>РПЗ!L32</f>
        <v>0</v>
      </c>
      <c r="X32" s="241"/>
      <c r="Y32" s="241"/>
      <c r="Z32" s="486"/>
      <c r="AA32" s="242"/>
      <c r="AB32" s="115"/>
      <c r="AC32" s="17"/>
      <c r="AD32" s="486"/>
      <c r="AE32" s="17"/>
      <c r="AF32" s="486"/>
      <c r="AG32" s="115"/>
      <c r="AH32" s="238" t="str">
        <f>IF(Таблица5[[#This Row],[30]]=0,"НД",Таблица5[[#This Row],[20]]-Таблица5[[#This Row],[30]])</f>
        <v>НД</v>
      </c>
      <c r="AI32" s="239" t="e">
        <f>IF(((1-Таблица5[[#This Row],[30]]/Таблица5[[#This Row],[20]])=1),"НД",(1-Таблица5[[#This Row],[30]]/Таблица5[[#This Row],[20]]))</f>
        <v>#DIV/0!</v>
      </c>
      <c r="AJ32" s="115"/>
      <c r="AK32" s="115"/>
      <c r="AL32" s="116"/>
      <c r="AM32" s="474"/>
      <c r="AN32" s="476"/>
      <c r="AO32" s="479">
        <f>РПЗ!AD32</f>
        <v>0</v>
      </c>
      <c r="AP32" s="483">
        <f>РПЗ!V32</f>
        <v>0</v>
      </c>
      <c r="AQ32" s="481">
        <f>IF(Таблица5[[#This Row],[11]]=0,,MONTH(Таблица5[[#This Row],[11]]))</f>
        <v>0</v>
      </c>
    </row>
    <row r="33" spans="1:43" ht="15.75" thickBot="1" x14ac:dyDescent="0.3">
      <c r="A33" s="237">
        <f t="shared" si="0"/>
        <v>0</v>
      </c>
      <c r="B33" s="15">
        <f>РПЗ!$D33</f>
        <v>0</v>
      </c>
      <c r="C33" s="15">
        <f>РПЗ!$AA33</f>
        <v>0</v>
      </c>
      <c r="D33" s="473">
        <f>РПЗ!$AB33</f>
        <v>0</v>
      </c>
      <c r="E33" s="100"/>
      <c r="F33" s="15">
        <f>РПЗ!Q33</f>
        <v>0</v>
      </c>
      <c r="G33" s="16"/>
      <c r="H33" s="15">
        <f>РПЗ!R33</f>
        <v>0</v>
      </c>
      <c r="I33" s="15">
        <f>РПЗ!W33</f>
        <v>0</v>
      </c>
      <c r="J33" s="15">
        <f>РПЗ!X33</f>
        <v>0</v>
      </c>
      <c r="K33" s="288">
        <f>РПЗ!Z33</f>
        <v>0</v>
      </c>
      <c r="L33" s="17"/>
      <c r="M33" s="18">
        <f>РПЗ!O33</f>
        <v>0</v>
      </c>
      <c r="N33" s="243"/>
      <c r="O33" s="17"/>
      <c r="P33" s="17"/>
      <c r="Q33" s="17"/>
      <c r="R33" s="17"/>
      <c r="S33" s="17"/>
      <c r="T33" s="17"/>
      <c r="U33" s="18">
        <f>РПЗ!P33</f>
        <v>0</v>
      </c>
      <c r="V33" s="17"/>
      <c r="W33" s="240">
        <f>РПЗ!L33</f>
        <v>0</v>
      </c>
      <c r="X33" s="241"/>
      <c r="Y33" s="241"/>
      <c r="Z33" s="486"/>
      <c r="AA33" s="242"/>
      <c r="AB33" s="115"/>
      <c r="AC33" s="17"/>
      <c r="AD33" s="486"/>
      <c r="AE33" s="17"/>
      <c r="AF33" s="486"/>
      <c r="AG33" s="115"/>
      <c r="AH33" s="238" t="str">
        <f>IF(Таблица5[[#This Row],[30]]=0,"НД",Таблица5[[#This Row],[20]]-Таблица5[[#This Row],[30]])</f>
        <v>НД</v>
      </c>
      <c r="AI33" s="239" t="e">
        <f>IF(((1-Таблица5[[#This Row],[30]]/Таблица5[[#This Row],[20]])=1),"НД",(1-Таблица5[[#This Row],[30]]/Таблица5[[#This Row],[20]]))</f>
        <v>#DIV/0!</v>
      </c>
      <c r="AJ33" s="115"/>
      <c r="AK33" s="115"/>
      <c r="AL33" s="116"/>
      <c r="AM33" s="474"/>
      <c r="AN33" s="476"/>
      <c r="AO33" s="479">
        <f>РПЗ!AD33</f>
        <v>0</v>
      </c>
      <c r="AP33" s="483">
        <f>РПЗ!V33</f>
        <v>0</v>
      </c>
      <c r="AQ33" s="481">
        <f>IF(Таблица5[[#This Row],[11]]=0,,MONTH(Таблица5[[#This Row],[11]]))</f>
        <v>0</v>
      </c>
    </row>
    <row r="34" spans="1:43" ht="15.75" thickBot="1" x14ac:dyDescent="0.3">
      <c r="A34" s="237">
        <f t="shared" si="0"/>
        <v>0</v>
      </c>
      <c r="B34" s="15">
        <f>РПЗ!$D34</f>
        <v>0</v>
      </c>
      <c r="C34" s="15">
        <f>РПЗ!$AA34</f>
        <v>0</v>
      </c>
      <c r="D34" s="473">
        <f>РПЗ!$AB34</f>
        <v>0</v>
      </c>
      <c r="E34" s="100"/>
      <c r="F34" s="15">
        <f>РПЗ!Q34</f>
        <v>0</v>
      </c>
      <c r="G34" s="16"/>
      <c r="H34" s="15">
        <f>РПЗ!R34</f>
        <v>0</v>
      </c>
      <c r="I34" s="15">
        <f>РПЗ!W34</f>
        <v>0</v>
      </c>
      <c r="J34" s="15">
        <f>РПЗ!X34</f>
        <v>0</v>
      </c>
      <c r="K34" s="288">
        <f>РПЗ!Z34</f>
        <v>0</v>
      </c>
      <c r="L34" s="17"/>
      <c r="M34" s="18">
        <f>РПЗ!O34</f>
        <v>0</v>
      </c>
      <c r="N34" s="243"/>
      <c r="O34" s="17"/>
      <c r="P34" s="17"/>
      <c r="Q34" s="17"/>
      <c r="R34" s="17"/>
      <c r="S34" s="17"/>
      <c r="T34" s="17"/>
      <c r="U34" s="18">
        <f>РПЗ!P34</f>
        <v>0</v>
      </c>
      <c r="V34" s="17"/>
      <c r="W34" s="240">
        <f>РПЗ!L34</f>
        <v>0</v>
      </c>
      <c r="X34" s="241"/>
      <c r="Y34" s="241"/>
      <c r="Z34" s="486"/>
      <c r="AA34" s="242"/>
      <c r="AB34" s="115"/>
      <c r="AC34" s="17"/>
      <c r="AD34" s="486"/>
      <c r="AE34" s="17"/>
      <c r="AF34" s="486"/>
      <c r="AG34" s="115"/>
      <c r="AH34" s="238" t="str">
        <f>IF(Таблица5[[#This Row],[30]]=0,"НД",Таблица5[[#This Row],[20]]-Таблица5[[#This Row],[30]])</f>
        <v>НД</v>
      </c>
      <c r="AI34" s="239" t="e">
        <f>IF(((1-Таблица5[[#This Row],[30]]/Таблица5[[#This Row],[20]])=1),"НД",(1-Таблица5[[#This Row],[30]]/Таблица5[[#This Row],[20]]))</f>
        <v>#DIV/0!</v>
      </c>
      <c r="AJ34" s="115"/>
      <c r="AK34" s="115"/>
      <c r="AL34" s="116"/>
      <c r="AM34" s="474"/>
      <c r="AN34" s="476"/>
      <c r="AO34" s="479">
        <f>РПЗ!AD34</f>
        <v>0</v>
      </c>
      <c r="AP34" s="483">
        <f>РПЗ!V34</f>
        <v>0</v>
      </c>
      <c r="AQ34" s="481">
        <f>IF(Таблица5[[#This Row],[11]]=0,,MONTH(Таблица5[[#This Row],[11]]))</f>
        <v>0</v>
      </c>
    </row>
    <row r="35" spans="1:43" ht="15.75" thickBot="1" x14ac:dyDescent="0.3">
      <c r="A35" s="237">
        <f t="shared" si="0"/>
        <v>0</v>
      </c>
      <c r="B35" s="15">
        <f>РПЗ!$D35</f>
        <v>0</v>
      </c>
      <c r="C35" s="15">
        <f>РПЗ!$AA35</f>
        <v>0</v>
      </c>
      <c r="D35" s="473">
        <f>РПЗ!$AB35</f>
        <v>0</v>
      </c>
      <c r="E35" s="100"/>
      <c r="F35" s="15">
        <f>РПЗ!Q35</f>
        <v>0</v>
      </c>
      <c r="G35" s="16"/>
      <c r="H35" s="15">
        <f>РПЗ!R35</f>
        <v>0</v>
      </c>
      <c r="I35" s="15">
        <f>РПЗ!W35</f>
        <v>0</v>
      </c>
      <c r="J35" s="15">
        <f>РПЗ!X35</f>
        <v>0</v>
      </c>
      <c r="K35" s="288">
        <f>РПЗ!Z35</f>
        <v>0</v>
      </c>
      <c r="L35" s="17"/>
      <c r="M35" s="18">
        <f>РПЗ!O35</f>
        <v>0</v>
      </c>
      <c r="N35" s="243"/>
      <c r="O35" s="17"/>
      <c r="P35" s="17"/>
      <c r="Q35" s="17"/>
      <c r="R35" s="17"/>
      <c r="S35" s="17"/>
      <c r="T35" s="17"/>
      <c r="U35" s="18">
        <f>РПЗ!P35</f>
        <v>0</v>
      </c>
      <c r="V35" s="17"/>
      <c r="W35" s="240">
        <f>РПЗ!L35</f>
        <v>0</v>
      </c>
      <c r="X35" s="241"/>
      <c r="Y35" s="241"/>
      <c r="Z35" s="486"/>
      <c r="AA35" s="242"/>
      <c r="AB35" s="115"/>
      <c r="AC35" s="17"/>
      <c r="AD35" s="486"/>
      <c r="AE35" s="17"/>
      <c r="AF35" s="486"/>
      <c r="AG35" s="115"/>
      <c r="AH35" s="238" t="str">
        <f>IF(Таблица5[[#This Row],[30]]=0,"НД",Таблица5[[#This Row],[20]]-Таблица5[[#This Row],[30]])</f>
        <v>НД</v>
      </c>
      <c r="AI35" s="239" t="e">
        <f>IF(((1-Таблица5[[#This Row],[30]]/Таблица5[[#This Row],[20]])=1),"НД",(1-Таблица5[[#This Row],[30]]/Таблица5[[#This Row],[20]]))</f>
        <v>#DIV/0!</v>
      </c>
      <c r="AJ35" s="115"/>
      <c r="AK35" s="115"/>
      <c r="AL35" s="116"/>
      <c r="AM35" s="474"/>
      <c r="AN35" s="476"/>
      <c r="AO35" s="479">
        <f>РПЗ!AD35</f>
        <v>0</v>
      </c>
      <c r="AP35" s="483">
        <f>РПЗ!V35</f>
        <v>0</v>
      </c>
      <c r="AQ35" s="481">
        <f>IF(Таблица5[[#This Row],[11]]=0,,MONTH(Таблица5[[#This Row],[11]]))</f>
        <v>0</v>
      </c>
    </row>
    <row r="36" spans="1:43" ht="15.75" thickBot="1" x14ac:dyDescent="0.3">
      <c r="A36" s="237">
        <f t="shared" si="0"/>
        <v>0</v>
      </c>
      <c r="B36" s="15">
        <f>РПЗ!$D36</f>
        <v>0</v>
      </c>
      <c r="C36" s="15">
        <f>РПЗ!$AA36</f>
        <v>0</v>
      </c>
      <c r="D36" s="473">
        <f>РПЗ!$AB36</f>
        <v>0</v>
      </c>
      <c r="E36" s="100"/>
      <c r="F36" s="15">
        <f>РПЗ!Q36</f>
        <v>0</v>
      </c>
      <c r="G36" s="16"/>
      <c r="H36" s="15">
        <f>РПЗ!R36</f>
        <v>0</v>
      </c>
      <c r="I36" s="15">
        <f>РПЗ!W36</f>
        <v>0</v>
      </c>
      <c r="J36" s="15">
        <f>РПЗ!X36</f>
        <v>0</v>
      </c>
      <c r="K36" s="288">
        <f>РПЗ!Z36</f>
        <v>0</v>
      </c>
      <c r="L36" s="17"/>
      <c r="M36" s="18">
        <f>РПЗ!O36</f>
        <v>0</v>
      </c>
      <c r="N36" s="243"/>
      <c r="O36" s="17"/>
      <c r="P36" s="17"/>
      <c r="Q36" s="17"/>
      <c r="R36" s="17"/>
      <c r="S36" s="17"/>
      <c r="T36" s="17"/>
      <c r="U36" s="18">
        <f>РПЗ!P36</f>
        <v>0</v>
      </c>
      <c r="V36" s="17"/>
      <c r="W36" s="240">
        <f>РПЗ!L36</f>
        <v>0</v>
      </c>
      <c r="X36" s="241"/>
      <c r="Y36" s="241"/>
      <c r="Z36" s="486"/>
      <c r="AA36" s="242"/>
      <c r="AB36" s="115"/>
      <c r="AC36" s="17"/>
      <c r="AD36" s="486"/>
      <c r="AE36" s="17"/>
      <c r="AF36" s="486"/>
      <c r="AG36" s="115"/>
      <c r="AH36" s="238" t="str">
        <f>IF(Таблица5[[#This Row],[30]]=0,"НД",Таблица5[[#This Row],[20]]-Таблица5[[#This Row],[30]])</f>
        <v>НД</v>
      </c>
      <c r="AI36" s="239" t="e">
        <f>IF(((1-Таблица5[[#This Row],[30]]/Таблица5[[#This Row],[20]])=1),"НД",(1-Таблица5[[#This Row],[30]]/Таблица5[[#This Row],[20]]))</f>
        <v>#DIV/0!</v>
      </c>
      <c r="AJ36" s="115"/>
      <c r="AK36" s="115"/>
      <c r="AL36" s="116"/>
      <c r="AM36" s="474"/>
      <c r="AN36" s="476"/>
      <c r="AO36" s="479">
        <f>РПЗ!AD36</f>
        <v>0</v>
      </c>
      <c r="AP36" s="483">
        <f>РПЗ!V36</f>
        <v>0</v>
      </c>
      <c r="AQ36" s="481">
        <f>IF(Таблица5[[#This Row],[11]]=0,,MONTH(Таблица5[[#This Row],[11]]))</f>
        <v>0</v>
      </c>
    </row>
    <row r="37" spans="1:43" ht="15.75" thickBot="1" x14ac:dyDescent="0.3">
      <c r="A37" s="237">
        <f t="shared" si="0"/>
        <v>0</v>
      </c>
      <c r="B37" s="15">
        <f>РПЗ!$D37</f>
        <v>0</v>
      </c>
      <c r="C37" s="15">
        <f>РПЗ!$AA37</f>
        <v>0</v>
      </c>
      <c r="D37" s="473">
        <f>РПЗ!$AB37</f>
        <v>0</v>
      </c>
      <c r="E37" s="100"/>
      <c r="F37" s="15">
        <f>РПЗ!Q37</f>
        <v>0</v>
      </c>
      <c r="G37" s="16"/>
      <c r="H37" s="15">
        <f>РПЗ!R37</f>
        <v>0</v>
      </c>
      <c r="I37" s="15">
        <f>РПЗ!W37</f>
        <v>0</v>
      </c>
      <c r="J37" s="15">
        <f>РПЗ!X37</f>
        <v>0</v>
      </c>
      <c r="K37" s="288">
        <f>РПЗ!Z37</f>
        <v>0</v>
      </c>
      <c r="L37" s="17"/>
      <c r="M37" s="18">
        <f>РПЗ!O37</f>
        <v>0</v>
      </c>
      <c r="N37" s="243"/>
      <c r="O37" s="17"/>
      <c r="P37" s="17"/>
      <c r="Q37" s="17"/>
      <c r="R37" s="17"/>
      <c r="S37" s="17"/>
      <c r="T37" s="17"/>
      <c r="U37" s="18">
        <f>РПЗ!P37</f>
        <v>0</v>
      </c>
      <c r="V37" s="17"/>
      <c r="W37" s="240">
        <f>РПЗ!L37</f>
        <v>0</v>
      </c>
      <c r="X37" s="241"/>
      <c r="Y37" s="241"/>
      <c r="Z37" s="486"/>
      <c r="AA37" s="242"/>
      <c r="AB37" s="115"/>
      <c r="AC37" s="17"/>
      <c r="AD37" s="486"/>
      <c r="AE37" s="17"/>
      <c r="AF37" s="486"/>
      <c r="AG37" s="115"/>
      <c r="AH37" s="238" t="str">
        <f>IF(Таблица5[[#This Row],[30]]=0,"НД",Таблица5[[#This Row],[20]]-Таблица5[[#This Row],[30]])</f>
        <v>НД</v>
      </c>
      <c r="AI37" s="239" t="e">
        <f>IF(((1-Таблица5[[#This Row],[30]]/Таблица5[[#This Row],[20]])=1),"НД",(1-Таблица5[[#This Row],[30]]/Таблица5[[#This Row],[20]]))</f>
        <v>#DIV/0!</v>
      </c>
      <c r="AJ37" s="115"/>
      <c r="AK37" s="115"/>
      <c r="AL37" s="116"/>
      <c r="AM37" s="474"/>
      <c r="AN37" s="476"/>
      <c r="AO37" s="479">
        <f>РПЗ!AD37</f>
        <v>0</v>
      </c>
      <c r="AP37" s="483">
        <f>РПЗ!V37</f>
        <v>0</v>
      </c>
      <c r="AQ37" s="481">
        <f>IF(Таблица5[[#This Row],[11]]=0,,MONTH(Таблица5[[#This Row],[11]]))</f>
        <v>0</v>
      </c>
    </row>
    <row r="38" spans="1:43" ht="15.75" thickBot="1" x14ac:dyDescent="0.3">
      <c r="A38" s="237">
        <f t="shared" si="0"/>
        <v>0</v>
      </c>
      <c r="B38" s="15">
        <f>РПЗ!$D38</f>
        <v>0</v>
      </c>
      <c r="C38" s="15">
        <f>РПЗ!$AA38</f>
        <v>0</v>
      </c>
      <c r="D38" s="473">
        <f>РПЗ!$AB38</f>
        <v>0</v>
      </c>
      <c r="E38" s="100"/>
      <c r="F38" s="15">
        <f>РПЗ!Q38</f>
        <v>0</v>
      </c>
      <c r="G38" s="16"/>
      <c r="H38" s="15">
        <f>РПЗ!R38</f>
        <v>0</v>
      </c>
      <c r="I38" s="15">
        <f>РПЗ!W38</f>
        <v>0</v>
      </c>
      <c r="J38" s="15">
        <f>РПЗ!X38</f>
        <v>0</v>
      </c>
      <c r="K38" s="288">
        <f>РПЗ!Z38</f>
        <v>0</v>
      </c>
      <c r="L38" s="17"/>
      <c r="M38" s="18">
        <f>РПЗ!O38</f>
        <v>0</v>
      </c>
      <c r="N38" s="243"/>
      <c r="O38" s="17"/>
      <c r="P38" s="17"/>
      <c r="Q38" s="17"/>
      <c r="R38" s="17"/>
      <c r="S38" s="17"/>
      <c r="T38" s="17"/>
      <c r="U38" s="18">
        <f>РПЗ!P38</f>
        <v>0</v>
      </c>
      <c r="V38" s="17"/>
      <c r="W38" s="240">
        <f>РПЗ!L38</f>
        <v>0</v>
      </c>
      <c r="X38" s="241"/>
      <c r="Y38" s="241"/>
      <c r="Z38" s="486"/>
      <c r="AA38" s="242"/>
      <c r="AB38" s="115"/>
      <c r="AC38" s="17"/>
      <c r="AD38" s="486"/>
      <c r="AE38" s="17"/>
      <c r="AF38" s="486"/>
      <c r="AG38" s="115"/>
      <c r="AH38" s="238" t="str">
        <f>IF(Таблица5[[#This Row],[30]]=0,"НД",Таблица5[[#This Row],[20]]-Таблица5[[#This Row],[30]])</f>
        <v>НД</v>
      </c>
      <c r="AI38" s="239" t="e">
        <f>IF(((1-Таблица5[[#This Row],[30]]/Таблица5[[#This Row],[20]])=1),"НД",(1-Таблица5[[#This Row],[30]]/Таблица5[[#This Row],[20]]))</f>
        <v>#DIV/0!</v>
      </c>
      <c r="AJ38" s="115"/>
      <c r="AK38" s="115"/>
      <c r="AL38" s="116"/>
      <c r="AM38" s="474"/>
      <c r="AN38" s="476"/>
      <c r="AO38" s="479">
        <f>РПЗ!AD38</f>
        <v>0</v>
      </c>
      <c r="AP38" s="483">
        <f>РПЗ!V38</f>
        <v>0</v>
      </c>
      <c r="AQ38" s="481">
        <f>IF(Таблица5[[#This Row],[11]]=0,,MONTH(Таблица5[[#This Row],[11]]))</f>
        <v>0</v>
      </c>
    </row>
    <row r="39" spans="1:43" ht="15.75" thickBot="1" x14ac:dyDescent="0.3">
      <c r="A39" s="237">
        <f t="shared" si="0"/>
        <v>0</v>
      </c>
      <c r="B39" s="15">
        <f>РПЗ!$D39</f>
        <v>0</v>
      </c>
      <c r="C39" s="15">
        <f>РПЗ!$AA39</f>
        <v>0</v>
      </c>
      <c r="D39" s="473">
        <f>РПЗ!$AB39</f>
        <v>0</v>
      </c>
      <c r="E39" s="100"/>
      <c r="F39" s="15">
        <f>РПЗ!Q39</f>
        <v>0</v>
      </c>
      <c r="G39" s="16"/>
      <c r="H39" s="15">
        <f>РПЗ!R39</f>
        <v>0</v>
      </c>
      <c r="I39" s="15">
        <f>РПЗ!W39</f>
        <v>0</v>
      </c>
      <c r="J39" s="15">
        <f>РПЗ!X39</f>
        <v>0</v>
      </c>
      <c r="K39" s="288">
        <f>РПЗ!Z39</f>
        <v>0</v>
      </c>
      <c r="L39" s="17"/>
      <c r="M39" s="18">
        <f>РПЗ!O39</f>
        <v>0</v>
      </c>
      <c r="N39" s="243"/>
      <c r="O39" s="17"/>
      <c r="P39" s="17"/>
      <c r="Q39" s="17"/>
      <c r="R39" s="17"/>
      <c r="S39" s="17"/>
      <c r="T39" s="17"/>
      <c r="U39" s="18">
        <f>РПЗ!P39</f>
        <v>0</v>
      </c>
      <c r="V39" s="17"/>
      <c r="W39" s="240">
        <f>РПЗ!L39</f>
        <v>0</v>
      </c>
      <c r="X39" s="241"/>
      <c r="Y39" s="241"/>
      <c r="Z39" s="486"/>
      <c r="AA39" s="242"/>
      <c r="AB39" s="115"/>
      <c r="AC39" s="17"/>
      <c r="AD39" s="486"/>
      <c r="AE39" s="17"/>
      <c r="AF39" s="486"/>
      <c r="AG39" s="115"/>
      <c r="AH39" s="238" t="str">
        <f>IF(Таблица5[[#This Row],[30]]=0,"НД",Таблица5[[#This Row],[20]]-Таблица5[[#This Row],[30]])</f>
        <v>НД</v>
      </c>
      <c r="AI39" s="239" t="e">
        <f>IF(((1-Таблица5[[#This Row],[30]]/Таблица5[[#This Row],[20]])=1),"НД",(1-Таблица5[[#This Row],[30]]/Таблица5[[#This Row],[20]]))</f>
        <v>#DIV/0!</v>
      </c>
      <c r="AJ39" s="115"/>
      <c r="AK39" s="115"/>
      <c r="AL39" s="116"/>
      <c r="AM39" s="474"/>
      <c r="AN39" s="476"/>
      <c r="AO39" s="479">
        <f>РПЗ!AD39</f>
        <v>0</v>
      </c>
      <c r="AP39" s="483">
        <f>РПЗ!V39</f>
        <v>0</v>
      </c>
      <c r="AQ39" s="481">
        <f>IF(Таблица5[[#This Row],[11]]=0,,MONTH(Таблица5[[#This Row],[11]]))</f>
        <v>0</v>
      </c>
    </row>
    <row r="40" spans="1:43" ht="15.75" thickBot="1" x14ac:dyDescent="0.3">
      <c r="A40" s="237">
        <f t="shared" si="0"/>
        <v>0</v>
      </c>
      <c r="B40" s="15">
        <f>РПЗ!$D40</f>
        <v>0</v>
      </c>
      <c r="C40" s="15">
        <f>РПЗ!$AA40</f>
        <v>0</v>
      </c>
      <c r="D40" s="473">
        <f>РПЗ!$AB40</f>
        <v>0</v>
      </c>
      <c r="E40" s="100"/>
      <c r="F40" s="15">
        <f>РПЗ!Q40</f>
        <v>0</v>
      </c>
      <c r="G40" s="16"/>
      <c r="H40" s="15">
        <f>РПЗ!R40</f>
        <v>0</v>
      </c>
      <c r="I40" s="15">
        <f>РПЗ!W40</f>
        <v>0</v>
      </c>
      <c r="J40" s="15">
        <f>РПЗ!X40</f>
        <v>0</v>
      </c>
      <c r="K40" s="288">
        <f>РПЗ!Z40</f>
        <v>0</v>
      </c>
      <c r="L40" s="17"/>
      <c r="M40" s="18">
        <f>РПЗ!O40</f>
        <v>0</v>
      </c>
      <c r="N40" s="243"/>
      <c r="O40" s="17"/>
      <c r="P40" s="17"/>
      <c r="Q40" s="17"/>
      <c r="R40" s="17"/>
      <c r="S40" s="17"/>
      <c r="T40" s="17"/>
      <c r="U40" s="18">
        <f>РПЗ!P40</f>
        <v>0</v>
      </c>
      <c r="V40" s="17"/>
      <c r="W40" s="240">
        <f>РПЗ!L40</f>
        <v>0</v>
      </c>
      <c r="X40" s="241"/>
      <c r="Y40" s="241"/>
      <c r="Z40" s="486"/>
      <c r="AA40" s="242"/>
      <c r="AB40" s="115"/>
      <c r="AC40" s="17"/>
      <c r="AD40" s="486"/>
      <c r="AE40" s="17"/>
      <c r="AF40" s="486"/>
      <c r="AG40" s="115"/>
      <c r="AH40" s="238" t="str">
        <f>IF(Таблица5[[#This Row],[30]]=0,"НД",Таблица5[[#This Row],[20]]-Таблица5[[#This Row],[30]])</f>
        <v>НД</v>
      </c>
      <c r="AI40" s="239" t="e">
        <f>IF(((1-Таблица5[[#This Row],[30]]/Таблица5[[#This Row],[20]])=1),"НД",(1-Таблица5[[#This Row],[30]]/Таблица5[[#This Row],[20]]))</f>
        <v>#DIV/0!</v>
      </c>
      <c r="AJ40" s="115"/>
      <c r="AK40" s="115"/>
      <c r="AL40" s="116"/>
      <c r="AM40" s="474"/>
      <c r="AN40" s="476"/>
      <c r="AO40" s="479">
        <f>РПЗ!AD40</f>
        <v>0</v>
      </c>
      <c r="AP40" s="483">
        <f>РПЗ!V40</f>
        <v>0</v>
      </c>
      <c r="AQ40" s="481">
        <f>IF(Таблица5[[#This Row],[11]]=0,,MONTH(Таблица5[[#This Row],[11]]))</f>
        <v>0</v>
      </c>
    </row>
    <row r="41" spans="1:43" ht="15.75" thickBot="1" x14ac:dyDescent="0.3">
      <c r="A41" s="237">
        <f t="shared" si="0"/>
        <v>0</v>
      </c>
      <c r="B41" s="15">
        <f>РПЗ!$D41</f>
        <v>0</v>
      </c>
      <c r="C41" s="15">
        <f>РПЗ!$AA41</f>
        <v>0</v>
      </c>
      <c r="D41" s="473">
        <f>РПЗ!$AB41</f>
        <v>0</v>
      </c>
      <c r="E41" s="100"/>
      <c r="F41" s="15">
        <f>РПЗ!Q41</f>
        <v>0</v>
      </c>
      <c r="G41" s="16"/>
      <c r="H41" s="15">
        <f>РПЗ!R41</f>
        <v>0</v>
      </c>
      <c r="I41" s="15">
        <f>РПЗ!W41</f>
        <v>0</v>
      </c>
      <c r="J41" s="15">
        <f>РПЗ!X41</f>
        <v>0</v>
      </c>
      <c r="K41" s="288">
        <f>РПЗ!Z41</f>
        <v>0</v>
      </c>
      <c r="L41" s="17"/>
      <c r="M41" s="18">
        <f>РПЗ!O41</f>
        <v>0</v>
      </c>
      <c r="N41" s="243"/>
      <c r="O41" s="17"/>
      <c r="P41" s="17"/>
      <c r="Q41" s="17"/>
      <c r="R41" s="17"/>
      <c r="S41" s="17"/>
      <c r="T41" s="17"/>
      <c r="U41" s="18">
        <f>РПЗ!P41</f>
        <v>0</v>
      </c>
      <c r="V41" s="17"/>
      <c r="W41" s="240">
        <f>РПЗ!L41</f>
        <v>0</v>
      </c>
      <c r="X41" s="241"/>
      <c r="Y41" s="241"/>
      <c r="Z41" s="486"/>
      <c r="AA41" s="242"/>
      <c r="AB41" s="115"/>
      <c r="AC41" s="17"/>
      <c r="AD41" s="486"/>
      <c r="AE41" s="17"/>
      <c r="AF41" s="486"/>
      <c r="AG41" s="115"/>
      <c r="AH41" s="238" t="str">
        <f>IF(Таблица5[[#This Row],[30]]=0,"НД",Таблица5[[#This Row],[20]]-Таблица5[[#This Row],[30]])</f>
        <v>НД</v>
      </c>
      <c r="AI41" s="239" t="e">
        <f>IF(((1-Таблица5[[#This Row],[30]]/Таблица5[[#This Row],[20]])=1),"НД",(1-Таблица5[[#This Row],[30]]/Таблица5[[#This Row],[20]]))</f>
        <v>#DIV/0!</v>
      </c>
      <c r="AJ41" s="115"/>
      <c r="AK41" s="115"/>
      <c r="AL41" s="116"/>
      <c r="AM41" s="474"/>
      <c r="AN41" s="476"/>
      <c r="AO41" s="479">
        <f>РПЗ!AD41</f>
        <v>0</v>
      </c>
      <c r="AP41" s="483">
        <f>РПЗ!V41</f>
        <v>0</v>
      </c>
      <c r="AQ41" s="481">
        <f>IF(Таблица5[[#This Row],[11]]=0,,MONTH(Таблица5[[#This Row],[11]]))</f>
        <v>0</v>
      </c>
    </row>
    <row r="42" spans="1:43" ht="15.75" thickBot="1" x14ac:dyDescent="0.3">
      <c r="A42" s="237">
        <f t="shared" si="0"/>
        <v>0</v>
      </c>
      <c r="B42" s="15">
        <f>РПЗ!$D42</f>
        <v>0</v>
      </c>
      <c r="C42" s="15">
        <f>РПЗ!$AA42</f>
        <v>0</v>
      </c>
      <c r="D42" s="473">
        <f>РПЗ!$AB42</f>
        <v>0</v>
      </c>
      <c r="E42" s="100"/>
      <c r="F42" s="15">
        <f>РПЗ!Q42</f>
        <v>0</v>
      </c>
      <c r="G42" s="16"/>
      <c r="H42" s="15">
        <f>РПЗ!R42</f>
        <v>0</v>
      </c>
      <c r="I42" s="15">
        <f>РПЗ!W42</f>
        <v>0</v>
      </c>
      <c r="J42" s="15">
        <f>РПЗ!X42</f>
        <v>0</v>
      </c>
      <c r="K42" s="288">
        <f>РПЗ!Z42</f>
        <v>0</v>
      </c>
      <c r="L42" s="17"/>
      <c r="M42" s="18">
        <f>РПЗ!O42</f>
        <v>0</v>
      </c>
      <c r="N42" s="243"/>
      <c r="O42" s="17"/>
      <c r="P42" s="17"/>
      <c r="Q42" s="17"/>
      <c r="R42" s="17"/>
      <c r="S42" s="17"/>
      <c r="T42" s="17"/>
      <c r="U42" s="18">
        <f>РПЗ!P42</f>
        <v>0</v>
      </c>
      <c r="V42" s="17"/>
      <c r="W42" s="240">
        <f>РПЗ!L42</f>
        <v>0</v>
      </c>
      <c r="X42" s="241"/>
      <c r="Y42" s="241"/>
      <c r="Z42" s="486"/>
      <c r="AA42" s="242"/>
      <c r="AB42" s="115"/>
      <c r="AC42" s="17"/>
      <c r="AD42" s="486"/>
      <c r="AE42" s="17"/>
      <c r="AF42" s="486"/>
      <c r="AG42" s="115"/>
      <c r="AH42" s="238" t="str">
        <f>IF(Таблица5[[#This Row],[30]]=0,"НД",Таблица5[[#This Row],[20]]-Таблица5[[#This Row],[30]])</f>
        <v>НД</v>
      </c>
      <c r="AI42" s="239" t="e">
        <f>IF(((1-Таблица5[[#This Row],[30]]/Таблица5[[#This Row],[20]])=1),"НД",(1-Таблица5[[#This Row],[30]]/Таблица5[[#This Row],[20]]))</f>
        <v>#DIV/0!</v>
      </c>
      <c r="AJ42" s="115"/>
      <c r="AK42" s="115"/>
      <c r="AL42" s="116"/>
      <c r="AM42" s="474"/>
      <c r="AN42" s="476"/>
      <c r="AO42" s="479">
        <f>РПЗ!AD42</f>
        <v>0</v>
      </c>
      <c r="AP42" s="483">
        <f>РПЗ!V42</f>
        <v>0</v>
      </c>
      <c r="AQ42" s="481">
        <f>IF(Таблица5[[#This Row],[11]]=0,,MONTH(Таблица5[[#This Row],[11]]))</f>
        <v>0</v>
      </c>
    </row>
    <row r="43" spans="1:43" ht="15.75" thickBot="1" x14ac:dyDescent="0.3">
      <c r="A43" s="237">
        <f t="shared" si="0"/>
        <v>0</v>
      </c>
      <c r="B43" s="15">
        <f>РПЗ!$D43</f>
        <v>0</v>
      </c>
      <c r="C43" s="15">
        <f>РПЗ!$AA43</f>
        <v>0</v>
      </c>
      <c r="D43" s="473">
        <f>РПЗ!$AB43</f>
        <v>0</v>
      </c>
      <c r="E43" s="100"/>
      <c r="F43" s="15">
        <f>РПЗ!Q43</f>
        <v>0</v>
      </c>
      <c r="G43" s="16"/>
      <c r="H43" s="15">
        <f>РПЗ!R43</f>
        <v>0</v>
      </c>
      <c r="I43" s="15">
        <f>РПЗ!W43</f>
        <v>0</v>
      </c>
      <c r="J43" s="15">
        <f>РПЗ!X43</f>
        <v>0</v>
      </c>
      <c r="K43" s="288">
        <f>РПЗ!Z43</f>
        <v>0</v>
      </c>
      <c r="L43" s="17"/>
      <c r="M43" s="18">
        <f>РПЗ!O43</f>
        <v>0</v>
      </c>
      <c r="N43" s="243"/>
      <c r="O43" s="17"/>
      <c r="P43" s="17"/>
      <c r="Q43" s="17"/>
      <c r="R43" s="17"/>
      <c r="S43" s="17"/>
      <c r="T43" s="17"/>
      <c r="U43" s="18">
        <f>РПЗ!P43</f>
        <v>0</v>
      </c>
      <c r="V43" s="17"/>
      <c r="W43" s="240">
        <f>РПЗ!L43</f>
        <v>0</v>
      </c>
      <c r="X43" s="241"/>
      <c r="Y43" s="241"/>
      <c r="Z43" s="486"/>
      <c r="AA43" s="242"/>
      <c r="AB43" s="115"/>
      <c r="AC43" s="17"/>
      <c r="AD43" s="486"/>
      <c r="AE43" s="17"/>
      <c r="AF43" s="486"/>
      <c r="AG43" s="115"/>
      <c r="AH43" s="238" t="str">
        <f>IF(Таблица5[[#This Row],[30]]=0,"НД",Таблица5[[#This Row],[20]]-Таблица5[[#This Row],[30]])</f>
        <v>НД</v>
      </c>
      <c r="AI43" s="239" t="e">
        <f>IF(((1-Таблица5[[#This Row],[30]]/Таблица5[[#This Row],[20]])=1),"НД",(1-Таблица5[[#This Row],[30]]/Таблица5[[#This Row],[20]]))</f>
        <v>#DIV/0!</v>
      </c>
      <c r="AJ43" s="115"/>
      <c r="AK43" s="115"/>
      <c r="AL43" s="116"/>
      <c r="AM43" s="474"/>
      <c r="AN43" s="476"/>
      <c r="AO43" s="479">
        <f>РПЗ!AD43</f>
        <v>0</v>
      </c>
      <c r="AP43" s="483">
        <f>РПЗ!V43</f>
        <v>0</v>
      </c>
      <c r="AQ43" s="481">
        <f>IF(Таблица5[[#This Row],[11]]=0,,MONTH(Таблица5[[#This Row],[11]]))</f>
        <v>0</v>
      </c>
    </row>
    <row r="44" spans="1:43" ht="15.75" thickBot="1" x14ac:dyDescent="0.3">
      <c r="A44" s="237">
        <f t="shared" si="0"/>
        <v>0</v>
      </c>
      <c r="B44" s="15">
        <f>РПЗ!$D44</f>
        <v>0</v>
      </c>
      <c r="C44" s="15">
        <f>РПЗ!$AA44</f>
        <v>0</v>
      </c>
      <c r="D44" s="473">
        <f>РПЗ!$AB44</f>
        <v>0</v>
      </c>
      <c r="E44" s="100"/>
      <c r="F44" s="15">
        <f>РПЗ!Q44</f>
        <v>0</v>
      </c>
      <c r="G44" s="16"/>
      <c r="H44" s="15">
        <f>РПЗ!R44</f>
        <v>0</v>
      </c>
      <c r="I44" s="15">
        <f>РПЗ!W44</f>
        <v>0</v>
      </c>
      <c r="J44" s="15">
        <f>РПЗ!X44</f>
        <v>0</v>
      </c>
      <c r="K44" s="288">
        <f>РПЗ!Z44</f>
        <v>0</v>
      </c>
      <c r="L44" s="17"/>
      <c r="M44" s="18">
        <f>РПЗ!O44</f>
        <v>0</v>
      </c>
      <c r="N44" s="243"/>
      <c r="O44" s="17"/>
      <c r="P44" s="17"/>
      <c r="Q44" s="17"/>
      <c r="R44" s="17"/>
      <c r="S44" s="17"/>
      <c r="T44" s="17"/>
      <c r="U44" s="18">
        <f>РПЗ!P44</f>
        <v>0</v>
      </c>
      <c r="V44" s="17"/>
      <c r="W44" s="240">
        <f>РПЗ!L44</f>
        <v>0</v>
      </c>
      <c r="X44" s="241"/>
      <c r="Y44" s="241"/>
      <c r="Z44" s="486"/>
      <c r="AA44" s="242"/>
      <c r="AB44" s="115"/>
      <c r="AC44" s="17"/>
      <c r="AD44" s="486"/>
      <c r="AE44" s="17"/>
      <c r="AF44" s="486"/>
      <c r="AG44" s="115"/>
      <c r="AH44" s="238" t="str">
        <f>IF(Таблица5[[#This Row],[30]]=0,"НД",Таблица5[[#This Row],[20]]-Таблица5[[#This Row],[30]])</f>
        <v>НД</v>
      </c>
      <c r="AI44" s="239" t="e">
        <f>IF(((1-Таблица5[[#This Row],[30]]/Таблица5[[#This Row],[20]])=1),"НД",(1-Таблица5[[#This Row],[30]]/Таблица5[[#This Row],[20]]))</f>
        <v>#DIV/0!</v>
      </c>
      <c r="AJ44" s="115"/>
      <c r="AK44" s="115"/>
      <c r="AL44" s="116"/>
      <c r="AM44" s="474"/>
      <c r="AN44" s="476"/>
      <c r="AO44" s="479">
        <f>РПЗ!AD44</f>
        <v>0</v>
      </c>
      <c r="AP44" s="483">
        <f>РПЗ!V44</f>
        <v>0</v>
      </c>
      <c r="AQ44" s="481">
        <f>IF(Таблица5[[#This Row],[11]]=0,,MONTH(Таблица5[[#This Row],[11]]))</f>
        <v>0</v>
      </c>
    </row>
    <row r="45" spans="1:43" ht="15.75" thickBot="1" x14ac:dyDescent="0.3">
      <c r="A45" s="237">
        <f t="shared" si="0"/>
        <v>0</v>
      </c>
      <c r="B45" s="15">
        <f>РПЗ!$D45</f>
        <v>0</v>
      </c>
      <c r="C45" s="15">
        <f>РПЗ!$AA45</f>
        <v>0</v>
      </c>
      <c r="D45" s="473">
        <f>РПЗ!$AB45</f>
        <v>0</v>
      </c>
      <c r="E45" s="100"/>
      <c r="F45" s="15">
        <f>РПЗ!Q45</f>
        <v>0</v>
      </c>
      <c r="G45" s="16"/>
      <c r="H45" s="15">
        <f>РПЗ!R45</f>
        <v>0</v>
      </c>
      <c r="I45" s="15">
        <f>РПЗ!W45</f>
        <v>0</v>
      </c>
      <c r="J45" s="15">
        <f>РПЗ!X45</f>
        <v>0</v>
      </c>
      <c r="K45" s="288">
        <f>РПЗ!Z45</f>
        <v>0</v>
      </c>
      <c r="L45" s="17"/>
      <c r="M45" s="18">
        <f>РПЗ!O45</f>
        <v>0</v>
      </c>
      <c r="N45" s="243"/>
      <c r="O45" s="17"/>
      <c r="P45" s="17"/>
      <c r="Q45" s="17"/>
      <c r="R45" s="17"/>
      <c r="S45" s="17"/>
      <c r="T45" s="17"/>
      <c r="U45" s="18">
        <f>РПЗ!P45</f>
        <v>0</v>
      </c>
      <c r="V45" s="17"/>
      <c r="W45" s="240">
        <f>РПЗ!L45</f>
        <v>0</v>
      </c>
      <c r="X45" s="241"/>
      <c r="Y45" s="241"/>
      <c r="Z45" s="486"/>
      <c r="AA45" s="242"/>
      <c r="AB45" s="115"/>
      <c r="AC45" s="17"/>
      <c r="AD45" s="486"/>
      <c r="AE45" s="17"/>
      <c r="AF45" s="486"/>
      <c r="AG45" s="115"/>
      <c r="AH45" s="238" t="str">
        <f>IF(Таблица5[[#This Row],[30]]=0,"НД",Таблица5[[#This Row],[20]]-Таблица5[[#This Row],[30]])</f>
        <v>НД</v>
      </c>
      <c r="AI45" s="239" t="e">
        <f>IF(((1-Таблица5[[#This Row],[30]]/Таблица5[[#This Row],[20]])=1),"НД",(1-Таблица5[[#This Row],[30]]/Таблица5[[#This Row],[20]]))</f>
        <v>#DIV/0!</v>
      </c>
      <c r="AJ45" s="115"/>
      <c r="AK45" s="115"/>
      <c r="AL45" s="116"/>
      <c r="AM45" s="474"/>
      <c r="AN45" s="476"/>
      <c r="AO45" s="479">
        <f>РПЗ!AD45</f>
        <v>0</v>
      </c>
      <c r="AP45" s="483">
        <f>РПЗ!V45</f>
        <v>0</v>
      </c>
      <c r="AQ45" s="481">
        <f>IF(Таблица5[[#This Row],[11]]=0,,MONTH(Таблица5[[#This Row],[11]]))</f>
        <v>0</v>
      </c>
    </row>
    <row r="46" spans="1:43" ht="15.75" thickBot="1" x14ac:dyDescent="0.3">
      <c r="A46" s="237">
        <f t="shared" si="0"/>
        <v>0</v>
      </c>
      <c r="B46" s="15">
        <f>РПЗ!$D46</f>
        <v>0</v>
      </c>
      <c r="C46" s="15">
        <f>РПЗ!$AA46</f>
        <v>0</v>
      </c>
      <c r="D46" s="473">
        <f>РПЗ!$AB46</f>
        <v>0</v>
      </c>
      <c r="E46" s="100"/>
      <c r="F46" s="15">
        <f>РПЗ!Q46</f>
        <v>0</v>
      </c>
      <c r="G46" s="16"/>
      <c r="H46" s="15">
        <f>РПЗ!R46</f>
        <v>0</v>
      </c>
      <c r="I46" s="15">
        <f>РПЗ!W46</f>
        <v>0</v>
      </c>
      <c r="J46" s="15">
        <f>РПЗ!X46</f>
        <v>0</v>
      </c>
      <c r="K46" s="288">
        <f>РПЗ!Z46</f>
        <v>0</v>
      </c>
      <c r="L46" s="17"/>
      <c r="M46" s="18">
        <f>РПЗ!O46</f>
        <v>0</v>
      </c>
      <c r="N46" s="243"/>
      <c r="O46" s="17"/>
      <c r="P46" s="17"/>
      <c r="Q46" s="17"/>
      <c r="R46" s="17"/>
      <c r="S46" s="17"/>
      <c r="T46" s="17"/>
      <c r="U46" s="18">
        <f>РПЗ!P46</f>
        <v>0</v>
      </c>
      <c r="V46" s="17"/>
      <c r="W46" s="240">
        <f>РПЗ!L46</f>
        <v>0</v>
      </c>
      <c r="X46" s="241"/>
      <c r="Y46" s="241"/>
      <c r="Z46" s="486"/>
      <c r="AA46" s="242"/>
      <c r="AB46" s="115"/>
      <c r="AC46" s="17"/>
      <c r="AD46" s="486"/>
      <c r="AE46" s="17"/>
      <c r="AF46" s="486"/>
      <c r="AG46" s="115"/>
      <c r="AH46" s="238" t="str">
        <f>IF(Таблица5[[#This Row],[30]]=0,"НД",Таблица5[[#This Row],[20]]-Таблица5[[#This Row],[30]])</f>
        <v>НД</v>
      </c>
      <c r="AI46" s="239" t="e">
        <f>IF(((1-Таблица5[[#This Row],[30]]/Таблица5[[#This Row],[20]])=1),"НД",(1-Таблица5[[#This Row],[30]]/Таблица5[[#This Row],[20]]))</f>
        <v>#DIV/0!</v>
      </c>
      <c r="AJ46" s="115"/>
      <c r="AK46" s="115"/>
      <c r="AL46" s="116"/>
      <c r="AM46" s="474"/>
      <c r="AN46" s="476"/>
      <c r="AO46" s="479">
        <f>РПЗ!AD46</f>
        <v>0</v>
      </c>
      <c r="AP46" s="483">
        <f>РПЗ!V46</f>
        <v>0</v>
      </c>
      <c r="AQ46" s="481">
        <f>IF(Таблица5[[#This Row],[11]]=0,,MONTH(Таблица5[[#This Row],[11]]))</f>
        <v>0</v>
      </c>
    </row>
    <row r="47" spans="1:43" ht="15.75" thickBot="1" x14ac:dyDescent="0.3">
      <c r="A47" s="237">
        <f t="shared" si="0"/>
        <v>0</v>
      </c>
      <c r="B47" s="15">
        <f>РПЗ!$D47</f>
        <v>0</v>
      </c>
      <c r="C47" s="15">
        <f>РПЗ!$AA47</f>
        <v>0</v>
      </c>
      <c r="D47" s="473">
        <f>РПЗ!$AB47</f>
        <v>0</v>
      </c>
      <c r="E47" s="100"/>
      <c r="F47" s="15">
        <f>РПЗ!Q47</f>
        <v>0</v>
      </c>
      <c r="G47" s="16"/>
      <c r="H47" s="15">
        <f>РПЗ!R47</f>
        <v>0</v>
      </c>
      <c r="I47" s="15">
        <f>РПЗ!W47</f>
        <v>0</v>
      </c>
      <c r="J47" s="15">
        <f>РПЗ!X47</f>
        <v>0</v>
      </c>
      <c r="K47" s="288">
        <f>РПЗ!Z47</f>
        <v>0</v>
      </c>
      <c r="L47" s="17"/>
      <c r="M47" s="18">
        <f>РПЗ!O47</f>
        <v>0</v>
      </c>
      <c r="N47" s="243"/>
      <c r="O47" s="17"/>
      <c r="P47" s="17"/>
      <c r="Q47" s="17"/>
      <c r="R47" s="17"/>
      <c r="S47" s="17"/>
      <c r="T47" s="17"/>
      <c r="U47" s="18">
        <f>РПЗ!P47</f>
        <v>0</v>
      </c>
      <c r="V47" s="17"/>
      <c r="W47" s="240">
        <f>РПЗ!L47</f>
        <v>0</v>
      </c>
      <c r="X47" s="241"/>
      <c r="Y47" s="241"/>
      <c r="Z47" s="486"/>
      <c r="AA47" s="242"/>
      <c r="AB47" s="115"/>
      <c r="AC47" s="17"/>
      <c r="AD47" s="486"/>
      <c r="AE47" s="17"/>
      <c r="AF47" s="486"/>
      <c r="AG47" s="115"/>
      <c r="AH47" s="238" t="str">
        <f>IF(Таблица5[[#This Row],[30]]=0,"НД",Таблица5[[#This Row],[20]]-Таблица5[[#This Row],[30]])</f>
        <v>НД</v>
      </c>
      <c r="AI47" s="239" t="e">
        <f>IF(((1-Таблица5[[#This Row],[30]]/Таблица5[[#This Row],[20]])=1),"НД",(1-Таблица5[[#This Row],[30]]/Таблица5[[#This Row],[20]]))</f>
        <v>#DIV/0!</v>
      </c>
      <c r="AJ47" s="115"/>
      <c r="AK47" s="115"/>
      <c r="AL47" s="116"/>
      <c r="AM47" s="474"/>
      <c r="AN47" s="476"/>
      <c r="AO47" s="479">
        <f>РПЗ!AD47</f>
        <v>0</v>
      </c>
      <c r="AP47" s="483">
        <f>РПЗ!V47</f>
        <v>0</v>
      </c>
      <c r="AQ47" s="481">
        <f>IF(Таблица5[[#This Row],[11]]=0,,MONTH(Таблица5[[#This Row],[11]]))</f>
        <v>0</v>
      </c>
    </row>
    <row r="48" spans="1:43" ht="15.75" thickBot="1" x14ac:dyDescent="0.3">
      <c r="A48" s="237">
        <f t="shared" si="0"/>
        <v>0</v>
      </c>
      <c r="B48" s="15">
        <f>РПЗ!$D48</f>
        <v>0</v>
      </c>
      <c r="C48" s="15">
        <f>РПЗ!$AA48</f>
        <v>0</v>
      </c>
      <c r="D48" s="473">
        <f>РПЗ!$AB48</f>
        <v>0</v>
      </c>
      <c r="E48" s="100"/>
      <c r="F48" s="15">
        <f>РПЗ!Q48</f>
        <v>0</v>
      </c>
      <c r="G48" s="16"/>
      <c r="H48" s="15">
        <f>РПЗ!R48</f>
        <v>0</v>
      </c>
      <c r="I48" s="15">
        <f>РПЗ!W48</f>
        <v>0</v>
      </c>
      <c r="J48" s="15">
        <f>РПЗ!X48</f>
        <v>0</v>
      </c>
      <c r="K48" s="288">
        <f>РПЗ!Z48</f>
        <v>0</v>
      </c>
      <c r="L48" s="17"/>
      <c r="M48" s="18">
        <f>РПЗ!O48</f>
        <v>0</v>
      </c>
      <c r="N48" s="243"/>
      <c r="O48" s="17"/>
      <c r="P48" s="17"/>
      <c r="Q48" s="17"/>
      <c r="R48" s="17"/>
      <c r="S48" s="17"/>
      <c r="T48" s="17"/>
      <c r="U48" s="18">
        <f>РПЗ!P48</f>
        <v>0</v>
      </c>
      <c r="V48" s="17"/>
      <c r="W48" s="240">
        <f>РПЗ!L48</f>
        <v>0</v>
      </c>
      <c r="X48" s="241"/>
      <c r="Y48" s="241"/>
      <c r="Z48" s="486"/>
      <c r="AA48" s="242"/>
      <c r="AB48" s="115"/>
      <c r="AC48" s="17"/>
      <c r="AD48" s="486"/>
      <c r="AE48" s="17"/>
      <c r="AF48" s="486"/>
      <c r="AG48" s="115"/>
      <c r="AH48" s="238" t="str">
        <f>IF(Таблица5[[#This Row],[30]]=0,"НД",Таблица5[[#This Row],[20]]-Таблица5[[#This Row],[30]])</f>
        <v>НД</v>
      </c>
      <c r="AI48" s="239" t="e">
        <f>IF(((1-Таблица5[[#This Row],[30]]/Таблица5[[#This Row],[20]])=1),"НД",(1-Таблица5[[#This Row],[30]]/Таблица5[[#This Row],[20]]))</f>
        <v>#DIV/0!</v>
      </c>
      <c r="AJ48" s="115"/>
      <c r="AK48" s="115"/>
      <c r="AL48" s="116"/>
      <c r="AM48" s="474"/>
      <c r="AN48" s="476"/>
      <c r="AO48" s="479">
        <f>РПЗ!AD48</f>
        <v>0</v>
      </c>
      <c r="AP48" s="483">
        <f>РПЗ!V48</f>
        <v>0</v>
      </c>
      <c r="AQ48" s="481">
        <f>IF(Таблица5[[#This Row],[11]]=0,,MONTH(Таблица5[[#This Row],[11]]))</f>
        <v>0</v>
      </c>
    </row>
    <row r="49" spans="1:43" ht="15.75" thickBot="1" x14ac:dyDescent="0.3">
      <c r="A49" s="237">
        <f t="shared" si="0"/>
        <v>0</v>
      </c>
      <c r="B49" s="15">
        <f>РПЗ!$D49</f>
        <v>0</v>
      </c>
      <c r="C49" s="15">
        <f>РПЗ!$AA49</f>
        <v>0</v>
      </c>
      <c r="D49" s="473">
        <f>РПЗ!$AB49</f>
        <v>0</v>
      </c>
      <c r="E49" s="100"/>
      <c r="F49" s="15">
        <f>РПЗ!Q49</f>
        <v>0</v>
      </c>
      <c r="G49" s="16"/>
      <c r="H49" s="15">
        <f>РПЗ!R49</f>
        <v>0</v>
      </c>
      <c r="I49" s="15">
        <f>РПЗ!W49</f>
        <v>0</v>
      </c>
      <c r="J49" s="15">
        <f>РПЗ!X49</f>
        <v>0</v>
      </c>
      <c r="K49" s="288">
        <f>РПЗ!Z49</f>
        <v>0</v>
      </c>
      <c r="L49" s="17"/>
      <c r="M49" s="18">
        <f>РПЗ!O49</f>
        <v>0</v>
      </c>
      <c r="N49" s="243"/>
      <c r="O49" s="17"/>
      <c r="P49" s="17"/>
      <c r="Q49" s="17"/>
      <c r="R49" s="17"/>
      <c r="S49" s="17"/>
      <c r="T49" s="17"/>
      <c r="U49" s="18">
        <f>РПЗ!P49</f>
        <v>0</v>
      </c>
      <c r="V49" s="17"/>
      <c r="W49" s="240">
        <f>РПЗ!L49</f>
        <v>0</v>
      </c>
      <c r="X49" s="241"/>
      <c r="Y49" s="241"/>
      <c r="Z49" s="486"/>
      <c r="AA49" s="242"/>
      <c r="AB49" s="115"/>
      <c r="AC49" s="17"/>
      <c r="AD49" s="486"/>
      <c r="AE49" s="17"/>
      <c r="AF49" s="486"/>
      <c r="AG49" s="115"/>
      <c r="AH49" s="238" t="str">
        <f>IF(Таблица5[[#This Row],[30]]=0,"НД",Таблица5[[#This Row],[20]]-Таблица5[[#This Row],[30]])</f>
        <v>НД</v>
      </c>
      <c r="AI49" s="239" t="e">
        <f>IF(((1-Таблица5[[#This Row],[30]]/Таблица5[[#This Row],[20]])=1),"НД",(1-Таблица5[[#This Row],[30]]/Таблица5[[#This Row],[20]]))</f>
        <v>#DIV/0!</v>
      </c>
      <c r="AJ49" s="115"/>
      <c r="AK49" s="115"/>
      <c r="AL49" s="116"/>
      <c r="AM49" s="474"/>
      <c r="AN49" s="476"/>
      <c r="AO49" s="479">
        <f>РПЗ!AD49</f>
        <v>0</v>
      </c>
      <c r="AP49" s="483">
        <f>РПЗ!V49</f>
        <v>0</v>
      </c>
      <c r="AQ49" s="481">
        <f>IF(Таблица5[[#This Row],[11]]=0,,MONTH(Таблица5[[#This Row],[11]]))</f>
        <v>0</v>
      </c>
    </row>
    <row r="50" spans="1:43" ht="15.75" thickBot="1" x14ac:dyDescent="0.3">
      <c r="A50" s="237">
        <f t="shared" si="0"/>
        <v>0</v>
      </c>
      <c r="B50" s="15">
        <f>РПЗ!$D50</f>
        <v>0</v>
      </c>
      <c r="C50" s="15">
        <f>РПЗ!$AA50</f>
        <v>0</v>
      </c>
      <c r="D50" s="473">
        <f>РПЗ!$AB50</f>
        <v>0</v>
      </c>
      <c r="E50" s="100"/>
      <c r="F50" s="15">
        <f>РПЗ!Q50</f>
        <v>0</v>
      </c>
      <c r="G50" s="16"/>
      <c r="H50" s="15">
        <f>РПЗ!R50</f>
        <v>0</v>
      </c>
      <c r="I50" s="15">
        <f>РПЗ!W50</f>
        <v>0</v>
      </c>
      <c r="J50" s="15">
        <f>РПЗ!X50</f>
        <v>0</v>
      </c>
      <c r="K50" s="288">
        <f>РПЗ!Z50</f>
        <v>0</v>
      </c>
      <c r="L50" s="17"/>
      <c r="M50" s="18">
        <f>РПЗ!O50</f>
        <v>0</v>
      </c>
      <c r="N50" s="243"/>
      <c r="O50" s="17"/>
      <c r="P50" s="17"/>
      <c r="Q50" s="17"/>
      <c r="R50" s="17"/>
      <c r="S50" s="17"/>
      <c r="T50" s="17"/>
      <c r="U50" s="18">
        <f>РПЗ!P50</f>
        <v>0</v>
      </c>
      <c r="V50" s="17"/>
      <c r="W50" s="240">
        <f>РПЗ!L50</f>
        <v>0</v>
      </c>
      <c r="X50" s="241"/>
      <c r="Y50" s="241"/>
      <c r="Z50" s="486"/>
      <c r="AA50" s="242"/>
      <c r="AB50" s="115"/>
      <c r="AC50" s="17"/>
      <c r="AD50" s="486"/>
      <c r="AE50" s="17"/>
      <c r="AF50" s="486"/>
      <c r="AG50" s="115"/>
      <c r="AH50" s="238" t="str">
        <f>IF(Таблица5[[#This Row],[30]]=0,"НД",Таблица5[[#This Row],[20]]-Таблица5[[#This Row],[30]])</f>
        <v>НД</v>
      </c>
      <c r="AI50" s="239" t="e">
        <f>IF(((1-Таблица5[[#This Row],[30]]/Таблица5[[#This Row],[20]])=1),"НД",(1-Таблица5[[#This Row],[30]]/Таблица5[[#This Row],[20]]))</f>
        <v>#DIV/0!</v>
      </c>
      <c r="AJ50" s="115"/>
      <c r="AK50" s="115"/>
      <c r="AL50" s="116"/>
      <c r="AM50" s="474"/>
      <c r="AN50" s="477"/>
      <c r="AO50" s="480">
        <f>РПЗ!AD50</f>
        <v>0</v>
      </c>
      <c r="AP50" s="484">
        <f>РПЗ!V50</f>
        <v>0</v>
      </c>
      <c r="AQ50" s="481">
        <f>IF(Таблица5[[#This Row],[11]]=0,,MONTH(Таблица5[[#This Row],[11]]))</f>
        <v>0</v>
      </c>
    </row>
    <row r="51" spans="1:43" x14ac:dyDescent="0.25">
      <c r="A51" s="237">
        <f>INDEX(Диапазон1,ROW(), COLUMN())</f>
        <v>0</v>
      </c>
      <c r="B51" s="237">
        <f>РПЗ!$D51</f>
        <v>0</v>
      </c>
      <c r="C51" s="237">
        <f>РПЗ!$AA51</f>
        <v>0</v>
      </c>
      <c r="D51" s="473">
        <f>РПЗ!$AB51</f>
        <v>0</v>
      </c>
      <c r="E51" s="522"/>
      <c r="F51" s="237">
        <f>РПЗ!Q51</f>
        <v>0</v>
      </c>
      <c r="G51" s="242"/>
      <c r="H51" s="242">
        <f>РПЗ!R51</f>
        <v>0</v>
      </c>
      <c r="I51" s="15">
        <f>РПЗ!W51</f>
        <v>0</v>
      </c>
      <c r="J51" s="237">
        <f>РПЗ!X51</f>
        <v>0</v>
      </c>
      <c r="K51" s="288">
        <f>РПЗ!Z51</f>
        <v>0</v>
      </c>
      <c r="L51" s="17"/>
      <c r="M51" s="18">
        <f>РПЗ!O51</f>
        <v>0</v>
      </c>
      <c r="N51" s="243"/>
      <c r="O51" s="17"/>
      <c r="P51" s="17"/>
      <c r="Q51" s="17"/>
      <c r="R51" s="17"/>
      <c r="S51" s="17"/>
      <c r="T51" s="17"/>
      <c r="U51" s="18">
        <f>РПЗ!P51</f>
        <v>0</v>
      </c>
      <c r="V51" s="17"/>
      <c r="W51" s="240">
        <f>РПЗ!L51</f>
        <v>0</v>
      </c>
      <c r="X51" s="241"/>
      <c r="Y51" s="241"/>
      <c r="Z51" s="486"/>
      <c r="AA51" s="242"/>
      <c r="AB51" s="115"/>
      <c r="AC51" s="17"/>
      <c r="AD51" s="486"/>
      <c r="AE51" s="17"/>
      <c r="AF51" s="486"/>
      <c r="AG51" s="115"/>
      <c r="AH51" s="240" t="str">
        <f>IF(Таблица5[[#This Row],[30]]=0,"НД",Таблица5[[#This Row],[20]]-Таблица5[[#This Row],[30]])</f>
        <v>НД</v>
      </c>
      <c r="AI51" s="523" t="e">
        <f>IF(((1-Таблица5[[#This Row],[30]]/Таблица5[[#This Row],[20]])=1),"НД",(1-Таблица5[[#This Row],[30]]/Таблица5[[#This Row],[20]]))</f>
        <v>#DIV/0!</v>
      </c>
      <c r="AJ51" s="115"/>
      <c r="AK51" s="115"/>
      <c r="AL51" s="524"/>
      <c r="AM51" s="525"/>
      <c r="AN51" s="476"/>
      <c r="AO51" s="479">
        <f>РПЗ!AD51</f>
        <v>0</v>
      </c>
      <c r="AP51" s="483">
        <f>РПЗ!V51</f>
        <v>0</v>
      </c>
      <c r="AQ51" s="481">
        <f>IF(Таблица5[[#This Row],[11]]=0,,MONTH(Таблица5[[#This Row],[11]]))</f>
        <v>0</v>
      </c>
    </row>
  </sheetData>
  <sheetProtection insertRows="0" autoFilter="0"/>
  <dataConsolidate/>
  <mergeCells count="39">
    <mergeCell ref="AO12:AO14"/>
    <mergeCell ref="AP12:AP14"/>
    <mergeCell ref="W1:AC1"/>
    <mergeCell ref="W2:AC2"/>
    <mergeCell ref="G1:N1"/>
    <mergeCell ref="G12:G14"/>
    <mergeCell ref="X12:X14"/>
    <mergeCell ref="Y12:Y14"/>
    <mergeCell ref="H12:H14"/>
    <mergeCell ref="M12:V12"/>
    <mergeCell ref="M13:N13"/>
    <mergeCell ref="AB12:AC12"/>
    <mergeCell ref="AB13:AB14"/>
    <mergeCell ref="AN12:AN14"/>
    <mergeCell ref="A12:A14"/>
    <mergeCell ref="AQ12:AQ14"/>
    <mergeCell ref="P13:Q13"/>
    <mergeCell ref="R13:S13"/>
    <mergeCell ref="U13:V13"/>
    <mergeCell ref="W12:W13"/>
    <mergeCell ref="Z12:Z14"/>
    <mergeCell ref="AJ12:AL12"/>
    <mergeCell ref="AM12:AM13"/>
    <mergeCell ref="AJ14:AL14"/>
    <mergeCell ref="AA12:AA14"/>
    <mergeCell ref="AH12:AI12"/>
    <mergeCell ref="AG12:AG14"/>
    <mergeCell ref="B12:B14"/>
    <mergeCell ref="AF12:AF13"/>
    <mergeCell ref="AD12:AE13"/>
    <mergeCell ref="C12:C14"/>
    <mergeCell ref="D12:D14"/>
    <mergeCell ref="E12:E14"/>
    <mergeCell ref="L12:L13"/>
    <mergeCell ref="F12:F14"/>
    <mergeCell ref="I13:I14"/>
    <mergeCell ref="J13:J14"/>
    <mergeCell ref="K13:K14"/>
    <mergeCell ref="I12:K12"/>
  </mergeCells>
  <conditionalFormatting sqref="M16:M51">
    <cfRule type="cellIs" dxfId="58" priority="3" operator="equal">
      <formula>0</formula>
    </cfRule>
  </conditionalFormatting>
  <conditionalFormatting sqref="U16:U51">
    <cfRule type="cellIs" dxfId="57" priority="2" operator="equal">
      <formula>0</formula>
    </cfRule>
  </conditionalFormatting>
  <conditionalFormatting sqref="B3:B9">
    <cfRule type="cellIs" dxfId="56" priority="1" operator="equal">
      <formula>0</formula>
    </cfRule>
  </conditionalFormatting>
  <dataValidations xWindow="804" yWindow="714" count="31">
    <dataValidation allowBlank="1" showInputMessage="1" showErrorMessage="1" promptTitle="Не требует заполнения." prompt="Заполнение происходит автоматически на основании сведений вкладки «РПЗ»." sqref="M14 W14 B12:D14 A12"/>
    <dataValidation allowBlank="1" showInputMessage="1" showErrorMessage="1" promptTitle="Пример:" prompt=" 01.01.2015" sqref="L14 O14:S14"/>
    <dataValidation allowBlank="1" showErrorMessage="1" promptTitle="Подсказка:" prompt="Способ закупки выбирается из всплывающего списка._x000a__x000a_В том числе, способ закупки «ЕП» в случае признания закупки несостоявшийся и принятия решения о заключении договора с единственным поставщиком." sqref="E12:E14 G12:G14 H12"/>
    <dataValidation allowBlank="1" showErrorMessage="1" promptTitle="Не требует заполнения." prompt="Заполнение происходит автоматически на основании сведений вкладки «РПЗ»._x000a__x000a_В случае проведения закупки у ЕП по результатам несостоявшейся конкурентной процедуры из выпадающего списка выбирается значение «6.6.1(32)»" sqref="F12:F14 I12 I13:K13"/>
    <dataValidation allowBlank="1" showInputMessage="1" showErrorMessage="1" promptTitle="Пример:" prompt=" 01.2015_x000a__x000a_01.2015-12.2016" sqref="T14"/>
    <dataValidation allowBlank="1" showInputMessage="1" showErrorMessage="1" promptTitle="Не требует заполнения." prompt="Заполнение происходит автоматически на основании сведений вкладки «РПЗ»._x000a__x000a_За исключением случаев, когда фактически объявленная НМЦ отличается от запланированной НМЦ не более чем на 10 %._x000a_В этом случае НМЦ меняется на фактическую." sqref="U14"/>
    <dataValidation allowBlank="1" showInputMessage="1" showErrorMessage="1" promptTitle="Подсказка:" prompt="Указывается количество участников, подавших предложения в соответствии с протоколом открытия доступа/вскрытия конвертов к поданным заявкам по соответствующему лоту._x000a__x000a_В случае если не подано ни одной заявки, поле заполняется с нулевым значением (пример: 0)" sqref="X12:X14"/>
    <dataValidation allowBlank="1" showInputMessage="1" showErrorMessage="1" promptTitle="Подсказка:" prompt="Указывается количество участников, предложения которых были отклонены в соответствии с протоколом рассмотрения заявок по соответствующему лоту._x000a__x000a_Если не отклонено ни одного предложения, поле заполняется с нулевым значением (пример: 0)" sqref="Y12:Y14"/>
    <dataValidation allowBlank="1" showInputMessage="1" showErrorMessage="1" promptTitle="Подсказка:" prompt="Указывается в строгом соответствии с выпиской из: ЕГРЮЛ – для юридических лиц; ЕГРИП – для индивидуальных предпринимателей; свидетельства для постановки на учет – для физических лиц._x000a__x000a_Пример:7654321098" sqref="Z12:Z14"/>
    <dataValidation allowBlank="1" showInputMessage="1" showErrorMessage="1" promptTitle="Пример:" prompt="ООО &quot;Наименование Плюс&quot;" sqref="AA12:AA14"/>
    <dataValidation allowBlank="1" showInputMessage="1" showErrorMessage="1" promptTitle="Подсказка:" prompt="Не допускается использование пробелов, знаков препинания (за исключением запятых для разделения целой и дробной частей числа) и текстовой части._x000a__x000a_Пример: 1000000_x000a_Это значение будет автоматически преобразовано в вид: _x000a_1 000 000,00" sqref="AG12:AG14"/>
    <dataValidation allowBlank="1" showInputMessage="1" showErrorMessage="1" promptTitle="Пример:" prompt="01.2015_x000a_или_x000a_01.2015-12.2016" sqref="AC14"/>
    <dataValidation allowBlank="1" showInputMessage="1" showErrorMessage="1" promptTitle="Пример:" prompt="01.2015_x000a_или_x000a_01.2015-12.2016_x000a__x000a_Поле желательно для заполнения" sqref="V14"/>
    <dataValidation allowBlank="1" showInputMessage="1" showErrorMessage="1" promptTitle="Подсказка:" prompt="Указывается дата договора по соответствующему лоту_x000a__x000a_Пример: 01.01.2015" sqref="AE14"/>
    <dataValidation allowBlank="1" showInputMessage="1" showErrorMessage="1" promptTitle="Не требует заполнения." prompt="Заполнение происходит автоматически на основании сведений Отчета." sqref="AH12:AI14"/>
    <dataValidation allowBlank="1" showInputMessage="1" showErrorMessage="1" promptTitle="Подсказка:" prompt="Обязательно для заполнения по каждому лоту, по результатам проведения которого заключен договор с субъектом МСП при условии, что проведенный лот был конкурентной процедурой и в нем принимали участие как субъекты МСП, так и субъекты, не относящиеся к МСП" sqref="AJ13"/>
    <dataValidation allowBlank="1" showInputMessage="1" showErrorMessage="1" promptTitle="Подсказка:" prompt="Обязательно для заполнения по каждому лоту, по результатам проведения которого заключен договор с субъектом МСП при условии, что в нем принимали участие только субъекты МСП или проведена закупка у единственного поставщика (субъекта МСП)." sqref="AK13"/>
    <dataValidation allowBlank="1" showInputMessage="1" showErrorMessage="1" promptTitle="Подсказка:" prompt="Для каждого лота, по результатам проведения которого заключен договор с субъектом, не относящимся к субъектам МСП, заключившим договор с субъектом/субъектами МСП при условии, что было установлено требование о привлечении на субподряд субъектов МСП" sqref="AL13"/>
    <dataValidation allowBlank="1" showInputMessage="1" showErrorMessage="1" promptTitle="Подсказка:" prompt="В случае наличия жалоб по соответствующему лоту указывается «Да». В случае отсутствия жалоб указывает «Нет»." sqref="AM12:AM13"/>
    <dataValidation allowBlank="1" showInputMessage="1" showErrorMessage="1" promptTitle="Подсказка:" prompt="Поле не обязательно для заполнения и служит для указания справочной информации, не вошедшей в прочие поля (например, указание официального курса ЦБ РФ для пересчета из валюты в рубли)" sqref="AN12:AN14"/>
    <dataValidation allowBlank="1" showInputMessage="1" showErrorMessage="1" promptTitle="Подсказка:" prompt="Заполняется в случае, если договор заключен в целях реализации обязательств по заключенному контракту (договору)" sqref="AF12:AF14"/>
    <dataValidation allowBlank="1" showInputMessage="1" showErrorMessage="1" promptTitle="Подсказка:" prompt="Указывается номер договора по соответствующему лоту, присвоенного в соответствии с правилами внутреннего документооборота, принятыми в Корпорации_x000a__x000a_Пример: 123" sqref="AD14"/>
    <dataValidation allowBlank="1" showInputMessage="1" showErrorMessage="1" promptTitle="Подсказка:" prompt="В случае наличия жалоб по соответствующему лоту указывается «Да». В случае отсутствия жалоб указывается «Нет»." sqref="AM14"/>
    <dataValidation type="date" allowBlank="1" showInputMessage="1" showErrorMessage="1" errorTitle="Ошибка ввода" error="Дата должна быть в формате: &quot;дд.мм.гггг&quot;_x000a__x000a_Пример: 01.01.2015" sqref="N16:N51">
      <formula1>1</formula1>
      <formula2>2958465</formula2>
    </dataValidation>
    <dataValidation allowBlank="1" showInputMessage="1" showErrorMessage="1" errorTitle="Ошибка ввода" error="Дата должна быть в формате: &quot;дд.мм.гггг&quot;_x000a__x000a_Пример: 01.01.2015" sqref="L16:L51 O16:V51"/>
    <dataValidation allowBlank="1" showInputMessage="1" showErrorMessage="1" errorTitle="Ошибка ввода" error="Необходимо выбрать из выпадающего списка" sqref="AJ16:AL51"/>
    <dataValidation allowBlank="1" showErrorMessage="1" errorTitle="Ошибка ввода" error="Дата должна быть в формате: &quot;дд.мм.гггг&quot;_x000a__x000a_Пример: 01.01.2015" sqref="AQ16:AQ51"/>
    <dataValidation allowBlank="1" showInputMessage="1" showErrorMessage="1" promptTitle="Пример:" prompt="Январь 2015" sqref="N14"/>
    <dataValidation allowBlank="1" showErrorMessage="1" promptTitle="Пример:" prompt="Январь 2015" sqref="AQ12:AQ14"/>
    <dataValidation allowBlank="1" showInputMessage="1" showErrorMessage="1" promptTitle="Подсказка:" prompt="Поле заполняется автоматически" sqref="AO12:AO14"/>
    <dataValidation allowBlank="1" showInputMessage="1" showErrorMessage="1" promptTitle="Подсказка:" prompt="Поле заполняется автоматически " sqref="AP12:AP14"/>
  </dataValidations>
  <pageMargins left="0.31496062992125984" right="0.31496062992125984" top="0.35433070866141736" bottom="0.35433070866141736" header="0" footer="0.31496062992125984"/>
  <pageSetup paperSize="8" scale="27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804" yWindow="714" count="4">
        <x14:dataValidation type="list" allowBlank="1" showInputMessage="1" showErrorMessage="1">
          <x14:formula1>
            <xm:f>Справочно!$C$12:$C$34</xm:f>
          </x14:formula1>
          <xm:sqref>G16:G51</xm:sqref>
        </x14:dataValidation>
        <x14:dataValidation type="list" allowBlank="1" showInputMessage="1" showErrorMessage="1" errorTitle="Ошибка ввода" error="Необходимо выбрать из выпадающего списка">
          <x14:formula1>
            <xm:f>Справочно!$E$16:$E$18</xm:f>
          </x14:formula1>
          <xm:sqref>AM16:AM51</xm:sqref>
        </x14:dataValidation>
        <x14:dataValidation type="list" allowBlank="1" showInputMessage="1" showErrorMessage="1">
          <x14:formula1>
            <xm:f>Справочно!$G$3:$G$54</xm:f>
          </x14:formula1>
          <xm:sqref>I16:I51</xm:sqref>
        </x14:dataValidation>
        <x14:dataValidation type="list" allowBlank="1" showInputMessage="1" showErrorMessage="1">
          <x14:formula1>
            <xm:f>Справочно!$E$3:$E$10</xm:f>
          </x14:formula1>
          <xm:sqref>E16:E51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10"/>
  <sheetViews>
    <sheetView zoomScale="85" zoomScaleNormal="85" workbookViewId="0">
      <selection activeCell="E12" sqref="E12"/>
    </sheetView>
  </sheetViews>
  <sheetFormatPr defaultRowHeight="12.75" x14ac:dyDescent="0.2"/>
  <cols>
    <col min="1" max="1" width="3.28515625" style="60" customWidth="1"/>
    <col min="2" max="2" width="54.140625" style="60" customWidth="1"/>
    <col min="3" max="3" width="21.85546875" style="60" customWidth="1"/>
    <col min="4" max="4" width="22.7109375" style="60" customWidth="1"/>
    <col min="5" max="5" width="20" style="60" customWidth="1"/>
    <col min="6" max="6" width="20.28515625" style="60" customWidth="1"/>
    <col min="7" max="7" width="18.7109375" style="60" customWidth="1"/>
    <col min="8" max="9" width="20.85546875" style="60" customWidth="1"/>
    <col min="10" max="10" width="13" style="60" customWidth="1"/>
    <col min="11" max="11" width="6" style="60" customWidth="1"/>
    <col min="12" max="12" width="17.140625" style="60" customWidth="1"/>
    <col min="13" max="13" width="16" style="60" customWidth="1"/>
    <col min="14" max="14" width="23" style="60" customWidth="1"/>
    <col min="15" max="15" width="18.140625" style="60" customWidth="1"/>
    <col min="16" max="16" width="18.5703125" style="60" customWidth="1"/>
    <col min="17" max="17" width="16" style="60" customWidth="1"/>
    <col min="18" max="18" width="18.85546875" style="60" customWidth="1"/>
    <col min="19" max="19" width="19.28515625" style="60" customWidth="1"/>
    <col min="20" max="20" width="20.140625" style="60" customWidth="1"/>
    <col min="21" max="21" width="16" style="60" customWidth="1"/>
    <col min="22" max="22" width="19.42578125" style="60" customWidth="1"/>
    <col min="23" max="23" width="18.7109375" style="60" customWidth="1"/>
    <col min="24" max="24" width="18.140625" style="60" customWidth="1"/>
    <col min="25" max="25" width="16" style="60" customWidth="1"/>
    <col min="26" max="26" width="21.5703125" style="60" customWidth="1"/>
    <col min="27" max="27" width="18.28515625" style="60" customWidth="1"/>
    <col min="28" max="29" width="16" style="60" customWidth="1"/>
    <col min="30" max="30" width="26.7109375" style="60" customWidth="1"/>
    <col min="31" max="33" width="16" style="60" customWidth="1"/>
    <col min="34" max="34" width="17.5703125" style="60" customWidth="1"/>
    <col min="35" max="37" width="16" style="60" customWidth="1"/>
    <col min="38" max="38" width="18.5703125" style="60" customWidth="1"/>
    <col min="39" max="41" width="16" style="60" customWidth="1"/>
    <col min="42" max="42" width="21.7109375" style="60" customWidth="1"/>
    <col min="43" max="43" width="16" style="60" customWidth="1"/>
    <col min="44" max="44" width="16" style="60" customWidth="1" collapsed="1"/>
    <col min="45" max="57" width="16" style="60" customWidth="1"/>
    <col min="58" max="58" width="18.85546875" style="60" customWidth="1"/>
    <col min="59" max="59" width="16" style="60" customWidth="1"/>
    <col min="60" max="60" width="16" style="60" customWidth="1" collapsed="1"/>
    <col min="61" max="75" width="16" style="60" customWidth="1"/>
    <col min="76" max="16384" width="9.140625" style="60"/>
  </cols>
  <sheetData>
    <row r="1" spans="1:31" ht="2.25" customHeight="1" x14ac:dyDescent="0.2"/>
    <row r="2" spans="1:31" ht="25.5" customHeight="1" x14ac:dyDescent="0.2">
      <c r="B2" s="642" t="s">
        <v>273</v>
      </c>
      <c r="C2" s="642"/>
      <c r="D2" s="642"/>
      <c r="E2" s="642"/>
      <c r="F2" s="642"/>
      <c r="G2" s="642"/>
      <c r="H2" s="642"/>
      <c r="I2" s="642"/>
      <c r="J2" s="642"/>
    </row>
    <row r="3" spans="1:31" ht="13.5" customHeight="1" thickBot="1" x14ac:dyDescent="0.25">
      <c r="A3" s="14"/>
      <c r="B3" s="14"/>
      <c r="C3" s="206"/>
      <c r="D3" s="208"/>
      <c r="E3" s="144" t="s">
        <v>318</v>
      </c>
      <c r="F3" s="208"/>
      <c r="G3" s="14" t="s">
        <v>319</v>
      </c>
      <c r="H3" s="14"/>
      <c r="I3" s="14"/>
      <c r="J3" s="14"/>
    </row>
    <row r="4" spans="1:31" ht="18" customHeight="1" thickBot="1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</row>
    <row r="5" spans="1:31" x14ac:dyDescent="0.2">
      <c r="B5" s="123" t="s">
        <v>1</v>
      </c>
      <c r="C5" s="771">
        <f>РПЗ!$B4</f>
        <v>0</v>
      </c>
      <c r="D5" s="772"/>
      <c r="E5" s="128"/>
      <c r="F5" s="128"/>
      <c r="G5" s="128"/>
      <c r="H5" s="128"/>
      <c r="I5" s="128"/>
      <c r="J5" s="128"/>
    </row>
    <row r="6" spans="1:31" x14ac:dyDescent="0.2">
      <c r="B6" s="124" t="s">
        <v>2</v>
      </c>
      <c r="C6" s="773">
        <f>РПЗ!$B5</f>
        <v>0</v>
      </c>
      <c r="D6" s="774"/>
      <c r="E6" s="128"/>
      <c r="F6" s="128"/>
      <c r="G6" s="128"/>
      <c r="H6" s="128"/>
      <c r="I6" s="128"/>
      <c r="J6" s="128"/>
    </row>
    <row r="7" spans="1:31" x14ac:dyDescent="0.2">
      <c r="B7" s="124" t="s">
        <v>3</v>
      </c>
      <c r="C7" s="775">
        <f>РПЗ!$B6</f>
        <v>0</v>
      </c>
      <c r="D7" s="774"/>
      <c r="E7" s="128"/>
      <c r="F7" s="128"/>
      <c r="G7" s="128"/>
      <c r="H7" s="128"/>
      <c r="I7" s="128"/>
      <c r="J7" s="128"/>
    </row>
    <row r="8" spans="1:31" x14ac:dyDescent="0.2">
      <c r="B8" s="124" t="s">
        <v>4</v>
      </c>
      <c r="C8" s="773">
        <f>РПЗ!$B7</f>
        <v>0</v>
      </c>
      <c r="D8" s="774"/>
      <c r="E8" s="128"/>
      <c r="F8" s="128"/>
      <c r="G8" s="128"/>
      <c r="H8" s="128"/>
      <c r="I8" s="128"/>
      <c r="J8" s="128"/>
    </row>
    <row r="9" spans="1:31" x14ac:dyDescent="0.2">
      <c r="B9" s="124" t="s">
        <v>5</v>
      </c>
      <c r="C9" s="773">
        <f>РПЗ!$B8</f>
        <v>0</v>
      </c>
      <c r="D9" s="774"/>
      <c r="E9" s="128"/>
      <c r="F9" s="128"/>
      <c r="G9" s="128"/>
      <c r="H9" s="128"/>
      <c r="I9" s="128"/>
      <c r="J9" s="128"/>
    </row>
    <row r="10" spans="1:31" x14ac:dyDescent="0.2">
      <c r="B10" s="124" t="s">
        <v>6</v>
      </c>
      <c r="C10" s="773">
        <f>РПЗ!$B9</f>
        <v>0</v>
      </c>
      <c r="D10" s="774"/>
    </row>
    <row r="11" spans="1:31" ht="13.5" thickBot="1" x14ac:dyDescent="0.25">
      <c r="B11" s="125" t="s">
        <v>7</v>
      </c>
      <c r="C11" s="776">
        <f>РПЗ!$B10</f>
        <v>0</v>
      </c>
      <c r="D11" s="777"/>
    </row>
    <row r="12" spans="1:31" ht="31.5" customHeight="1" thickBot="1" x14ac:dyDescent="0.25">
      <c r="B12" s="126" t="s">
        <v>321</v>
      </c>
      <c r="C12" s="709"/>
      <c r="D12" s="710"/>
    </row>
    <row r="13" spans="1:31" ht="6" hidden="1" customHeight="1" x14ac:dyDescent="0.2">
      <c r="B13" s="20"/>
      <c r="C13" s="137"/>
      <c r="D13" s="137"/>
    </row>
    <row r="14" spans="1:31" ht="15.75" customHeight="1" thickBot="1" x14ac:dyDescent="0.25">
      <c r="B14" s="20"/>
      <c r="K14" s="683" t="s">
        <v>320</v>
      </c>
      <c r="L14" s="683"/>
      <c r="M14" s="683"/>
      <c r="N14" s="683"/>
      <c r="O14" s="683"/>
      <c r="P14" s="683"/>
      <c r="Q14" s="683"/>
      <c r="R14" s="683"/>
      <c r="S14" s="683"/>
      <c r="T14" s="683"/>
      <c r="U14" s="683"/>
      <c r="V14" s="683"/>
      <c r="W14" s="683"/>
      <c r="X14" s="683"/>
      <c r="Y14" s="683"/>
      <c r="Z14" s="683"/>
      <c r="AA14" s="683"/>
    </row>
    <row r="15" spans="1:31" ht="51.75" thickBot="1" x14ac:dyDescent="0.25">
      <c r="B15" s="759" t="s">
        <v>933</v>
      </c>
      <c r="C15" s="759" t="s">
        <v>934</v>
      </c>
      <c r="D15" s="759" t="s">
        <v>932</v>
      </c>
      <c r="E15" s="780" t="s">
        <v>983</v>
      </c>
      <c r="F15" s="66" t="s">
        <v>988</v>
      </c>
      <c r="G15" s="66" t="s">
        <v>988</v>
      </c>
      <c r="H15" s="778" t="s">
        <v>219</v>
      </c>
      <c r="I15" s="779"/>
      <c r="K15" s="756" t="s">
        <v>275</v>
      </c>
      <c r="L15" s="746" t="s">
        <v>281</v>
      </c>
      <c r="M15" s="746"/>
      <c r="N15" s="746"/>
      <c r="O15" s="746"/>
      <c r="P15" s="746" t="s">
        <v>282</v>
      </c>
      <c r="Q15" s="746"/>
      <c r="R15" s="746"/>
      <c r="S15" s="746"/>
      <c r="T15" s="746" t="s">
        <v>283</v>
      </c>
      <c r="U15" s="746"/>
      <c r="V15" s="746"/>
      <c r="W15" s="746"/>
      <c r="X15" s="746" t="s">
        <v>284</v>
      </c>
      <c r="Y15" s="746"/>
      <c r="Z15" s="746"/>
      <c r="AA15" s="747"/>
      <c r="AB15" s="209"/>
      <c r="AC15" s="750">
        <f>ПП!$G$3</f>
        <v>2017</v>
      </c>
      <c r="AD15" s="750"/>
      <c r="AE15" s="210"/>
    </row>
    <row r="16" spans="1:31" ht="15" customHeight="1" thickBot="1" x14ac:dyDescent="0.25">
      <c r="B16" s="760"/>
      <c r="C16" s="760"/>
      <c r="D16" s="760"/>
      <c r="E16" s="781"/>
      <c r="F16" s="268" t="s">
        <v>40</v>
      </c>
      <c r="G16" s="268" t="s">
        <v>247</v>
      </c>
      <c r="H16" s="95" t="s">
        <v>222</v>
      </c>
      <c r="I16" s="76" t="s">
        <v>116</v>
      </c>
      <c r="K16" s="757"/>
      <c r="L16" s="748" t="s">
        <v>291</v>
      </c>
      <c r="M16" s="748"/>
      <c r="N16" s="748" t="s">
        <v>292</v>
      </c>
      <c r="O16" s="748"/>
      <c r="P16" s="748" t="s">
        <v>291</v>
      </c>
      <c r="Q16" s="748"/>
      <c r="R16" s="748" t="s">
        <v>292</v>
      </c>
      <c r="S16" s="748"/>
      <c r="T16" s="748" t="s">
        <v>291</v>
      </c>
      <c r="U16" s="748"/>
      <c r="V16" s="748" t="s">
        <v>292</v>
      </c>
      <c r="W16" s="748"/>
      <c r="X16" s="748" t="s">
        <v>291</v>
      </c>
      <c r="Y16" s="748"/>
      <c r="Z16" s="748" t="s">
        <v>292</v>
      </c>
      <c r="AA16" s="749"/>
      <c r="AB16" s="744" t="s">
        <v>291</v>
      </c>
      <c r="AC16" s="744"/>
      <c r="AD16" s="744" t="s">
        <v>292</v>
      </c>
      <c r="AE16" s="744"/>
    </row>
    <row r="17" spans="2:75" ht="12.75" customHeight="1" thickBot="1" x14ac:dyDescent="0.25">
      <c r="B17" s="274">
        <f>COUNTIF('Отчет РПЗ(ПЗ)_ПЗИП'!A16:A999875,"*-*")</f>
        <v>0</v>
      </c>
      <c r="C17" s="274">
        <f>COUNTA('Отчет РПЗ(ПЗ)_ПЗИП'!G16:G999875)</f>
        <v>0</v>
      </c>
      <c r="D17" s="263">
        <f>COUNTIF('Отчет РПЗ(ПЗ)_ПЗИП'!AG:AG, "&gt;0")</f>
        <v>0</v>
      </c>
      <c r="E17" s="330" t="e">
        <f>$C$17/(IF($D$3=1,$X$52,0)+IF($D$3=2,$X$52+$AN$52,0)+IF($D$3=3,$X$52+$AN$52+$BD$52,0)+IF($D$3=4,$X$52+$AN$52+$BD$52+$BT$52,0))</f>
        <v>#DIV/0!</v>
      </c>
      <c r="F17" s="331">
        <f>SUMIF('Отчет РПЗ(ПЗ)_ПЗИП'!AG:AG,"&gt;0",'Отчет РПЗ(ПЗ)_ПЗИП'!W:W)</f>
        <v>0</v>
      </c>
      <c r="G17" s="331">
        <f>SUM('Отчет РПЗ(ПЗ)_ПЗИП'!$AG:$AG)</f>
        <v>0</v>
      </c>
      <c r="H17" s="332">
        <f>F17-G17</f>
        <v>0</v>
      </c>
      <c r="I17" s="333" t="e">
        <f>H17/F17</f>
        <v>#DIV/0!</v>
      </c>
      <c r="K17" s="757"/>
      <c r="L17" s="751" t="s">
        <v>279</v>
      </c>
      <c r="M17" s="751" t="s">
        <v>280</v>
      </c>
      <c r="N17" s="751" t="s">
        <v>279</v>
      </c>
      <c r="O17" s="751" t="s">
        <v>280</v>
      </c>
      <c r="P17" s="751" t="s">
        <v>279</v>
      </c>
      <c r="Q17" s="751" t="s">
        <v>280</v>
      </c>
      <c r="R17" s="751" t="s">
        <v>279</v>
      </c>
      <c r="S17" s="751" t="s">
        <v>280</v>
      </c>
      <c r="T17" s="751" t="s">
        <v>279</v>
      </c>
      <c r="U17" s="751" t="s">
        <v>280</v>
      </c>
      <c r="V17" s="751" t="s">
        <v>279</v>
      </c>
      <c r="W17" s="751" t="s">
        <v>280</v>
      </c>
      <c r="X17" s="751" t="s">
        <v>279</v>
      </c>
      <c r="Y17" s="751" t="s">
        <v>280</v>
      </c>
      <c r="Z17" s="751" t="s">
        <v>279</v>
      </c>
      <c r="AA17" s="764" t="s">
        <v>280</v>
      </c>
      <c r="AB17" s="745" t="s">
        <v>279</v>
      </c>
      <c r="AC17" s="745" t="s">
        <v>280</v>
      </c>
      <c r="AD17" s="745" t="s">
        <v>279</v>
      </c>
      <c r="AE17" s="745" t="s">
        <v>280</v>
      </c>
    </row>
    <row r="18" spans="2:75" ht="31.5" customHeight="1" thickBot="1" x14ac:dyDescent="0.25">
      <c r="B18" s="20"/>
      <c r="C18" s="65"/>
      <c r="D18" s="65"/>
      <c r="E18" s="65"/>
      <c r="F18" s="65"/>
      <c r="G18" s="65"/>
      <c r="H18" s="65"/>
      <c r="K18" s="757"/>
      <c r="L18" s="751"/>
      <c r="M18" s="751"/>
      <c r="N18" s="751"/>
      <c r="O18" s="751"/>
      <c r="P18" s="751"/>
      <c r="Q18" s="751"/>
      <c r="R18" s="751"/>
      <c r="S18" s="751"/>
      <c r="T18" s="751"/>
      <c r="U18" s="751"/>
      <c r="V18" s="751"/>
      <c r="W18" s="751"/>
      <c r="X18" s="751"/>
      <c r="Y18" s="751"/>
      <c r="Z18" s="751"/>
      <c r="AA18" s="764"/>
      <c r="AB18" s="745"/>
      <c r="AC18" s="745"/>
      <c r="AD18" s="745"/>
      <c r="AE18" s="745"/>
    </row>
    <row r="19" spans="2:75" ht="22.5" customHeight="1" thickBot="1" x14ac:dyDescent="0.25">
      <c r="B19" s="20"/>
      <c r="C19" s="766" t="s">
        <v>984</v>
      </c>
      <c r="D19" s="767"/>
      <c r="E19" s="767"/>
      <c r="F19" s="414" t="e">
        <f>(COUNTA('Отчет РПЗ(ПЗ)_ПЗИП'!G16:G991423)/$B$17)*100</f>
        <v>#DIV/0!</v>
      </c>
      <c r="G19" s="65"/>
      <c r="H19" s="65"/>
      <c r="K19" s="758"/>
      <c r="L19" s="752"/>
      <c r="M19" s="752"/>
      <c r="N19" s="752"/>
      <c r="O19" s="752"/>
      <c r="P19" s="752"/>
      <c r="Q19" s="752"/>
      <c r="R19" s="752"/>
      <c r="S19" s="752"/>
      <c r="T19" s="752"/>
      <c r="U19" s="752"/>
      <c r="V19" s="752"/>
      <c r="W19" s="752"/>
      <c r="X19" s="752"/>
      <c r="Y19" s="752"/>
      <c r="Z19" s="752"/>
      <c r="AA19" s="765"/>
      <c r="AB19" s="745"/>
      <c r="AC19" s="745"/>
      <c r="AD19" s="745"/>
      <c r="AE19" s="745"/>
    </row>
    <row r="20" spans="2:75" ht="13.5" thickBot="1" x14ac:dyDescent="0.25">
      <c r="B20" s="20"/>
      <c r="K20" s="164" t="s">
        <v>276</v>
      </c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5"/>
      <c r="AB20" s="171">
        <f>SUM(L20,P20,T20,X20)</f>
        <v>0</v>
      </c>
      <c r="AC20" s="171">
        <f t="shared" ref="AC20:AE22" si="0">SUM(M20,Q20,U20,Y20)</f>
        <v>0</v>
      </c>
      <c r="AD20" s="171">
        <f t="shared" si="0"/>
        <v>0</v>
      </c>
      <c r="AE20" s="171">
        <f t="shared" si="0"/>
        <v>0</v>
      </c>
    </row>
    <row r="21" spans="2:75" ht="13.5" thickBot="1" x14ac:dyDescent="0.25">
      <c r="B21" s="20"/>
      <c r="K21" s="133" t="s">
        <v>277</v>
      </c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7"/>
      <c r="AB21" s="171">
        <f>SUM(L21,P21,T21,X21)</f>
        <v>0</v>
      </c>
      <c r="AC21" s="171">
        <f t="shared" si="0"/>
        <v>0</v>
      </c>
      <c r="AD21" s="171">
        <f t="shared" si="0"/>
        <v>0</v>
      </c>
      <c r="AE21" s="171">
        <f t="shared" si="0"/>
        <v>0</v>
      </c>
    </row>
    <row r="22" spans="2:75" ht="15.75" customHeight="1" thickBot="1" x14ac:dyDescent="0.25">
      <c r="B22" s="20"/>
      <c r="K22" s="134" t="s">
        <v>278</v>
      </c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9"/>
      <c r="AB22" s="171">
        <f>SUM(L22,P22,T22,X22)</f>
        <v>0</v>
      </c>
      <c r="AC22" s="171">
        <f t="shared" si="0"/>
        <v>0</v>
      </c>
      <c r="AD22" s="171">
        <f t="shared" si="0"/>
        <v>0</v>
      </c>
      <c r="AE22" s="171">
        <f t="shared" si="0"/>
        <v>0</v>
      </c>
    </row>
    <row r="23" spans="2:75" ht="13.5" thickBot="1" x14ac:dyDescent="0.25">
      <c r="B23" s="20"/>
      <c r="C23" s="161"/>
      <c r="D23" s="161"/>
      <c r="E23" s="162"/>
      <c r="F23" s="162"/>
      <c r="G23" s="162"/>
      <c r="H23" s="162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29"/>
    </row>
    <row r="24" spans="2:75" ht="15.75" customHeight="1" thickBot="1" x14ac:dyDescent="0.25">
      <c r="B24" s="730" t="s">
        <v>9</v>
      </c>
      <c r="C24" s="722" t="s">
        <v>290</v>
      </c>
      <c r="D24" s="722" t="s">
        <v>241</v>
      </c>
      <c r="E24" s="722" t="s">
        <v>290</v>
      </c>
      <c r="F24" s="722" t="s">
        <v>241</v>
      </c>
      <c r="G24" s="722" t="s">
        <v>289</v>
      </c>
      <c r="H24" s="722" t="s">
        <v>243</v>
      </c>
      <c r="I24" s="722" t="s">
        <v>26</v>
      </c>
      <c r="J24" s="729" t="s">
        <v>931</v>
      </c>
      <c r="K24" s="65"/>
      <c r="L24" s="761" t="s">
        <v>281</v>
      </c>
      <c r="M24" s="762"/>
      <c r="N24" s="762"/>
      <c r="O24" s="762"/>
      <c r="P24" s="762"/>
      <c r="Q24" s="762"/>
      <c r="R24" s="762"/>
      <c r="S24" s="762"/>
      <c r="T24" s="762"/>
      <c r="U24" s="762"/>
      <c r="V24" s="762"/>
      <c r="W24" s="762"/>
      <c r="X24" s="762"/>
      <c r="Y24" s="762"/>
      <c r="Z24" s="762"/>
      <c r="AA24" s="763"/>
      <c r="AB24" s="735" t="s">
        <v>282</v>
      </c>
      <c r="AC24" s="736"/>
      <c r="AD24" s="736"/>
      <c r="AE24" s="736"/>
      <c r="AF24" s="736"/>
      <c r="AG24" s="736"/>
      <c r="AH24" s="736"/>
      <c r="AI24" s="736"/>
      <c r="AJ24" s="736"/>
      <c r="AK24" s="736"/>
      <c r="AL24" s="736"/>
      <c r="AM24" s="736"/>
      <c r="AN24" s="736"/>
      <c r="AO24" s="736"/>
      <c r="AP24" s="736"/>
      <c r="AQ24" s="737"/>
      <c r="AR24" s="741" t="s">
        <v>283</v>
      </c>
      <c r="AS24" s="742"/>
      <c r="AT24" s="742"/>
      <c r="AU24" s="742"/>
      <c r="AV24" s="742"/>
      <c r="AW24" s="742"/>
      <c r="AX24" s="742"/>
      <c r="AY24" s="742"/>
      <c r="AZ24" s="742"/>
      <c r="BA24" s="742"/>
      <c r="BB24" s="742"/>
      <c r="BC24" s="742"/>
      <c r="BD24" s="742"/>
      <c r="BE24" s="742"/>
      <c r="BF24" s="742"/>
      <c r="BG24" s="743"/>
      <c r="BH24" s="738" t="s">
        <v>284</v>
      </c>
      <c r="BI24" s="739"/>
      <c r="BJ24" s="739"/>
      <c r="BK24" s="739"/>
      <c r="BL24" s="739"/>
      <c r="BM24" s="739"/>
      <c r="BN24" s="739"/>
      <c r="BO24" s="739"/>
      <c r="BP24" s="739"/>
      <c r="BQ24" s="739"/>
      <c r="BR24" s="739"/>
      <c r="BS24" s="739"/>
      <c r="BT24" s="739"/>
      <c r="BU24" s="739"/>
      <c r="BV24" s="739"/>
      <c r="BW24" s="740"/>
    </row>
    <row r="25" spans="2:75" ht="15" customHeight="1" thickBot="1" x14ac:dyDescent="0.25">
      <c r="B25" s="733"/>
      <c r="C25" s="732"/>
      <c r="D25" s="732"/>
      <c r="E25" s="732"/>
      <c r="F25" s="732"/>
      <c r="G25" s="732"/>
      <c r="H25" s="732"/>
      <c r="I25" s="732"/>
      <c r="J25" s="734"/>
      <c r="K25" s="65"/>
      <c r="L25" s="665" t="str">
        <f>ПП!G14</f>
        <v>Январь 2017</v>
      </c>
      <c r="M25" s="669"/>
      <c r="N25" s="669"/>
      <c r="O25" s="669"/>
      <c r="P25" s="669" t="str">
        <f>ПП!I14</f>
        <v>Февраль 2017</v>
      </c>
      <c r="Q25" s="669"/>
      <c r="R25" s="669"/>
      <c r="S25" s="669"/>
      <c r="T25" s="669" t="str">
        <f>ПП!K14</f>
        <v>Март 2017</v>
      </c>
      <c r="U25" s="669"/>
      <c r="V25" s="669"/>
      <c r="W25" s="667"/>
      <c r="X25" s="670" t="s">
        <v>285</v>
      </c>
      <c r="Y25" s="670"/>
      <c r="Z25" s="670"/>
      <c r="AA25" s="670"/>
      <c r="AB25" s="665" t="str">
        <f>ПП!O14</f>
        <v>Апрель 2017</v>
      </c>
      <c r="AC25" s="669"/>
      <c r="AD25" s="669"/>
      <c r="AE25" s="669"/>
      <c r="AF25" s="669" t="str">
        <f>ПП!Q14</f>
        <v>Май 2017</v>
      </c>
      <c r="AG25" s="669"/>
      <c r="AH25" s="669"/>
      <c r="AI25" s="669"/>
      <c r="AJ25" s="669" t="str">
        <f>ПП!S14</f>
        <v>Июнь 2017</v>
      </c>
      <c r="AK25" s="669"/>
      <c r="AL25" s="669"/>
      <c r="AM25" s="667"/>
      <c r="AN25" s="670" t="s">
        <v>286</v>
      </c>
      <c r="AO25" s="670"/>
      <c r="AP25" s="670"/>
      <c r="AQ25" s="670"/>
      <c r="AR25" s="665" t="str">
        <f>ПП!W14</f>
        <v>Июль 2017</v>
      </c>
      <c r="AS25" s="669"/>
      <c r="AT25" s="669"/>
      <c r="AU25" s="669"/>
      <c r="AV25" s="669" t="str">
        <f>ПП!Y14</f>
        <v>Август 2017</v>
      </c>
      <c r="AW25" s="669"/>
      <c r="AX25" s="669"/>
      <c r="AY25" s="669"/>
      <c r="AZ25" s="669" t="str">
        <f>ПП!AA14</f>
        <v>Сентябрь 2017</v>
      </c>
      <c r="BA25" s="669"/>
      <c r="BB25" s="669"/>
      <c r="BC25" s="667"/>
      <c r="BD25" s="670" t="s">
        <v>287</v>
      </c>
      <c r="BE25" s="670"/>
      <c r="BF25" s="670"/>
      <c r="BG25" s="670"/>
      <c r="BH25" s="665" t="str">
        <f>ПП!AE14</f>
        <v>Октябрь 2017</v>
      </c>
      <c r="BI25" s="669"/>
      <c r="BJ25" s="669"/>
      <c r="BK25" s="669"/>
      <c r="BL25" s="669" t="str">
        <f>ПП!AG14</f>
        <v>Ноябрь 2017</v>
      </c>
      <c r="BM25" s="669"/>
      <c r="BN25" s="669"/>
      <c r="BO25" s="669"/>
      <c r="BP25" s="669" t="str">
        <f>ПП!AI14</f>
        <v>Декабрь 2017</v>
      </c>
      <c r="BQ25" s="669"/>
      <c r="BR25" s="669"/>
      <c r="BS25" s="667"/>
      <c r="BT25" s="670" t="s">
        <v>288</v>
      </c>
      <c r="BU25" s="670"/>
      <c r="BV25" s="670"/>
      <c r="BW25" s="670"/>
    </row>
    <row r="26" spans="2:75" ht="12.75" customHeight="1" thickBot="1" x14ac:dyDescent="0.25">
      <c r="B26" s="733"/>
      <c r="C26" s="732"/>
      <c r="D26" s="732"/>
      <c r="E26" s="732"/>
      <c r="F26" s="732"/>
      <c r="G26" s="732"/>
      <c r="H26" s="732"/>
      <c r="I26" s="732"/>
      <c r="J26" s="734"/>
      <c r="K26" s="65"/>
      <c r="L26" s="733" t="s">
        <v>290</v>
      </c>
      <c r="M26" s="732"/>
      <c r="N26" s="732" t="s">
        <v>289</v>
      </c>
      <c r="O26" s="732"/>
      <c r="P26" s="732" t="s">
        <v>290</v>
      </c>
      <c r="Q26" s="732"/>
      <c r="R26" s="732" t="s">
        <v>289</v>
      </c>
      <c r="S26" s="732"/>
      <c r="T26" s="732" t="s">
        <v>290</v>
      </c>
      <c r="U26" s="732"/>
      <c r="V26" s="732" t="s">
        <v>289</v>
      </c>
      <c r="W26" s="734"/>
      <c r="X26" s="721" t="s">
        <v>290</v>
      </c>
      <c r="Y26" s="721"/>
      <c r="Z26" s="721" t="s">
        <v>289</v>
      </c>
      <c r="AA26" s="721"/>
      <c r="AB26" s="733" t="s">
        <v>290</v>
      </c>
      <c r="AC26" s="732"/>
      <c r="AD26" s="732" t="s">
        <v>289</v>
      </c>
      <c r="AE26" s="732"/>
      <c r="AF26" s="732" t="s">
        <v>290</v>
      </c>
      <c r="AG26" s="732"/>
      <c r="AH26" s="732" t="s">
        <v>289</v>
      </c>
      <c r="AI26" s="732"/>
      <c r="AJ26" s="732" t="s">
        <v>290</v>
      </c>
      <c r="AK26" s="732"/>
      <c r="AL26" s="732" t="s">
        <v>289</v>
      </c>
      <c r="AM26" s="734"/>
      <c r="AN26" s="721" t="s">
        <v>290</v>
      </c>
      <c r="AO26" s="721"/>
      <c r="AP26" s="721" t="s">
        <v>289</v>
      </c>
      <c r="AQ26" s="721"/>
      <c r="AR26" s="733" t="s">
        <v>290</v>
      </c>
      <c r="AS26" s="732"/>
      <c r="AT26" s="732" t="s">
        <v>289</v>
      </c>
      <c r="AU26" s="732"/>
      <c r="AV26" s="732" t="s">
        <v>290</v>
      </c>
      <c r="AW26" s="732"/>
      <c r="AX26" s="732" t="s">
        <v>289</v>
      </c>
      <c r="AY26" s="732"/>
      <c r="AZ26" s="732" t="s">
        <v>290</v>
      </c>
      <c r="BA26" s="732"/>
      <c r="BB26" s="732" t="s">
        <v>289</v>
      </c>
      <c r="BC26" s="734"/>
      <c r="BD26" s="721" t="s">
        <v>290</v>
      </c>
      <c r="BE26" s="721"/>
      <c r="BF26" s="721" t="s">
        <v>289</v>
      </c>
      <c r="BG26" s="721"/>
      <c r="BH26" s="733" t="s">
        <v>290</v>
      </c>
      <c r="BI26" s="732"/>
      <c r="BJ26" s="732" t="s">
        <v>289</v>
      </c>
      <c r="BK26" s="732"/>
      <c r="BL26" s="732" t="s">
        <v>290</v>
      </c>
      <c r="BM26" s="732"/>
      <c r="BN26" s="732" t="s">
        <v>289</v>
      </c>
      <c r="BO26" s="732"/>
      <c r="BP26" s="732" t="s">
        <v>290</v>
      </c>
      <c r="BQ26" s="732"/>
      <c r="BR26" s="732" t="s">
        <v>289</v>
      </c>
      <c r="BS26" s="734"/>
      <c r="BT26" s="721" t="s">
        <v>290</v>
      </c>
      <c r="BU26" s="721"/>
      <c r="BV26" s="721" t="s">
        <v>289</v>
      </c>
      <c r="BW26" s="721"/>
    </row>
    <row r="27" spans="2:75" ht="15.75" customHeight="1" thickBot="1" x14ac:dyDescent="0.25">
      <c r="B27" s="770"/>
      <c r="C27" s="768" t="s">
        <v>40</v>
      </c>
      <c r="D27" s="768"/>
      <c r="E27" s="768" t="s">
        <v>247</v>
      </c>
      <c r="F27" s="768"/>
      <c r="G27" s="768" t="s">
        <v>40</v>
      </c>
      <c r="H27" s="768"/>
      <c r="I27" s="768" t="s">
        <v>247</v>
      </c>
      <c r="J27" s="769"/>
      <c r="K27" s="65"/>
      <c r="L27" s="140" t="s">
        <v>40</v>
      </c>
      <c r="M27" s="141" t="s">
        <v>247</v>
      </c>
      <c r="N27" s="141" t="s">
        <v>40</v>
      </c>
      <c r="O27" s="141" t="s">
        <v>247</v>
      </c>
      <c r="P27" s="141" t="s">
        <v>40</v>
      </c>
      <c r="Q27" s="141" t="s">
        <v>247</v>
      </c>
      <c r="R27" s="141" t="s">
        <v>40</v>
      </c>
      <c r="S27" s="141" t="s">
        <v>247</v>
      </c>
      <c r="T27" s="141" t="s">
        <v>40</v>
      </c>
      <c r="U27" s="141" t="s">
        <v>247</v>
      </c>
      <c r="V27" s="141" t="s">
        <v>40</v>
      </c>
      <c r="W27" s="142" t="s">
        <v>247</v>
      </c>
      <c r="X27" s="101" t="s">
        <v>40</v>
      </c>
      <c r="Y27" s="101" t="s">
        <v>247</v>
      </c>
      <c r="Z27" s="101" t="s">
        <v>40</v>
      </c>
      <c r="AA27" s="101" t="s">
        <v>247</v>
      </c>
      <c r="AB27" s="140" t="s">
        <v>40</v>
      </c>
      <c r="AC27" s="141" t="s">
        <v>247</v>
      </c>
      <c r="AD27" s="141" t="s">
        <v>40</v>
      </c>
      <c r="AE27" s="141" t="s">
        <v>247</v>
      </c>
      <c r="AF27" s="141" t="s">
        <v>40</v>
      </c>
      <c r="AG27" s="141" t="s">
        <v>247</v>
      </c>
      <c r="AH27" s="141" t="s">
        <v>40</v>
      </c>
      <c r="AI27" s="141" t="s">
        <v>247</v>
      </c>
      <c r="AJ27" s="141" t="s">
        <v>40</v>
      </c>
      <c r="AK27" s="141" t="s">
        <v>247</v>
      </c>
      <c r="AL27" s="141" t="s">
        <v>40</v>
      </c>
      <c r="AM27" s="142" t="s">
        <v>247</v>
      </c>
      <c r="AN27" s="101" t="s">
        <v>40</v>
      </c>
      <c r="AO27" s="101" t="s">
        <v>247</v>
      </c>
      <c r="AP27" s="101" t="s">
        <v>40</v>
      </c>
      <c r="AQ27" s="101" t="s">
        <v>247</v>
      </c>
      <c r="AR27" s="140" t="s">
        <v>40</v>
      </c>
      <c r="AS27" s="141" t="s">
        <v>247</v>
      </c>
      <c r="AT27" s="141" t="s">
        <v>40</v>
      </c>
      <c r="AU27" s="141" t="s">
        <v>247</v>
      </c>
      <c r="AV27" s="141" t="s">
        <v>40</v>
      </c>
      <c r="AW27" s="141" t="s">
        <v>247</v>
      </c>
      <c r="AX27" s="141" t="s">
        <v>40</v>
      </c>
      <c r="AY27" s="141" t="s">
        <v>247</v>
      </c>
      <c r="AZ27" s="141" t="s">
        <v>40</v>
      </c>
      <c r="BA27" s="141" t="s">
        <v>247</v>
      </c>
      <c r="BB27" s="141" t="s">
        <v>40</v>
      </c>
      <c r="BC27" s="142" t="s">
        <v>247</v>
      </c>
      <c r="BD27" s="101" t="s">
        <v>40</v>
      </c>
      <c r="BE27" s="101" t="s">
        <v>247</v>
      </c>
      <c r="BF27" s="101" t="s">
        <v>40</v>
      </c>
      <c r="BG27" s="101" t="s">
        <v>247</v>
      </c>
      <c r="BH27" s="140" t="s">
        <v>40</v>
      </c>
      <c r="BI27" s="141" t="s">
        <v>247</v>
      </c>
      <c r="BJ27" s="141" t="s">
        <v>40</v>
      </c>
      <c r="BK27" s="141" t="s">
        <v>247</v>
      </c>
      <c r="BL27" s="141" t="s">
        <v>40</v>
      </c>
      <c r="BM27" s="141" t="s">
        <v>247</v>
      </c>
      <c r="BN27" s="141" t="s">
        <v>40</v>
      </c>
      <c r="BO27" s="141" t="s">
        <v>247</v>
      </c>
      <c r="BP27" s="141" t="s">
        <v>40</v>
      </c>
      <c r="BQ27" s="141" t="s">
        <v>247</v>
      </c>
      <c r="BR27" s="141" t="s">
        <v>40</v>
      </c>
      <c r="BS27" s="142" t="s">
        <v>247</v>
      </c>
      <c r="BT27" s="101" t="s">
        <v>40</v>
      </c>
      <c r="BU27" s="101" t="s">
        <v>247</v>
      </c>
      <c r="BV27" s="101" t="s">
        <v>40</v>
      </c>
      <c r="BW27" s="101" t="s">
        <v>247</v>
      </c>
    </row>
    <row r="28" spans="2:75" ht="13.5" thickBot="1" x14ac:dyDescent="0.25">
      <c r="B28" s="86" t="s">
        <v>99</v>
      </c>
      <c r="C28" s="96">
        <f>ПП!B16</f>
        <v>0</v>
      </c>
      <c r="D28" s="418" t="e">
        <f>ПП!C16</f>
        <v>#DIV/0!</v>
      </c>
      <c r="E28" s="67">
        <f>COUNTIFS('Отчет РПЗ(ПЗ)_ПЗИП'!$G:$G,Справочно!$C12,'Отчет РПЗ(ПЗ)_ПЗИП'!AG:AG, "&gt;0")</f>
        <v>0</v>
      </c>
      <c r="F28" s="419" t="e">
        <f>E28/$E$52</f>
        <v>#DIV/0!</v>
      </c>
      <c r="G28" s="420">
        <f>ПП!D16</f>
        <v>0</v>
      </c>
      <c r="H28" s="421" t="e">
        <f>ПП!E16</f>
        <v>#DIV/0!</v>
      </c>
      <c r="I28" s="422">
        <f>SUMIF('Отчет РПЗ(ПЗ)_ПЗИП'!$G:$G,Справочно!$C12,'Отчет РПЗ(ПЗ)_ПЗИП'!$AG:$AG)</f>
        <v>0</v>
      </c>
      <c r="J28" s="419" t="e">
        <f>I28/$I$52</f>
        <v>#DIV/0!</v>
      </c>
      <c r="K28" s="65"/>
      <c r="L28" s="165">
        <f>ПП!G16</f>
        <v>0</v>
      </c>
      <c r="M28" s="151">
        <f>COUNTIFS('Отчет РПЗ(ПЗ)_ПЗИП'!$G:$G,Справочно!$C12,'Отчет РПЗ(ПЗ)_ПЗИП'!$AQ:$AQ,1,'Отчет РПЗ(ПЗ)_ПЗИП'!$AG:$AG,"&gt;0")</f>
        <v>0</v>
      </c>
      <c r="N28" s="429">
        <f>ПП!H16</f>
        <v>0</v>
      </c>
      <c r="O28" s="367">
        <f>SUMIFS('Отчет РПЗ(ПЗ)_ПЗИП'!$AG:$AG,'Отчет РПЗ(ПЗ)_ПЗИП'!$G:$G,Справочно!$C12,'Отчет РПЗ(ПЗ)_ПЗИП'!$AQ:$AQ,1,'Отчет РПЗ(ПЗ)_ПЗИП'!$AG:$AG,"&gt;0")</f>
        <v>0</v>
      </c>
      <c r="P28" s="167">
        <f>ПП!I16</f>
        <v>0</v>
      </c>
      <c r="Q28" s="166">
        <f>COUNTIFS('Отчет РПЗ(ПЗ)_ПЗИП'!$G:$G,Справочно!$C12,'Отчет РПЗ(ПЗ)_ПЗИП'!$AQ:$AQ,2,'Отчет РПЗ(ПЗ)_ПЗИП'!$AG:$AG,"&gt;0")</f>
        <v>0</v>
      </c>
      <c r="R28" s="429">
        <f>ПП!J16</f>
        <v>0</v>
      </c>
      <c r="S28" s="367">
        <f>SUMIFS('Отчет РПЗ(ПЗ)_ПЗИП'!$AG:$AG,'Отчет РПЗ(ПЗ)_ПЗИП'!$G:$G,Справочно!$C12,'Отчет РПЗ(ПЗ)_ПЗИП'!$AQ:$AQ,2,'Отчет РПЗ(ПЗ)_ПЗИП'!$AG:$AG,"&gt;0")</f>
        <v>0</v>
      </c>
      <c r="T28" s="167">
        <f>ПП!K16</f>
        <v>0</v>
      </c>
      <c r="U28" s="166">
        <f>COUNTIFS('Отчет РПЗ(ПЗ)_ПЗИП'!$G:$G,Справочно!$C12,'Отчет РПЗ(ПЗ)_ПЗИП'!$AQ:$AQ,3,'Отчет РПЗ(ПЗ)_ПЗИП'!$AG:$AG,"&gt;0")</f>
        <v>0</v>
      </c>
      <c r="V28" s="429">
        <f>ПП!L16</f>
        <v>0</v>
      </c>
      <c r="W28" s="368">
        <f>SUMIFS('Отчет РПЗ(ПЗ)_ПЗИП'!$AG:$AG,'Отчет РПЗ(ПЗ)_ПЗИП'!$G:$G,Справочно!$C12,'Отчет РПЗ(ПЗ)_ПЗИП'!$AQ:$AQ,3,'Отчет РПЗ(ПЗ)_ПЗИП'!$AG:$AG,"&gt;0")</f>
        <v>0</v>
      </c>
      <c r="X28" s="175">
        <f>ПП!M16</f>
        <v>0</v>
      </c>
      <c r="Y28" s="176">
        <f>SUM(M28,Q28,U28)</f>
        <v>0</v>
      </c>
      <c r="Z28" s="430">
        <f>SUM(N28,R28,V28)</f>
        <v>0</v>
      </c>
      <c r="AA28" s="335">
        <f>SUM(O28,S28,W28)</f>
        <v>0</v>
      </c>
      <c r="AB28" s="165">
        <f>ПП!O16</f>
        <v>0</v>
      </c>
      <c r="AC28" s="154">
        <f>COUNTIFS('Отчет РПЗ(ПЗ)_ПЗИП'!$G:$G,Справочно!$C12,'Отчет РПЗ(ПЗ)_ПЗИП'!$AQ:$AQ,4,'Отчет РПЗ(ПЗ)_ПЗИП'!$AG:$AG,"&gt;0")</f>
        <v>0</v>
      </c>
      <c r="AD28" s="429">
        <f>ПП!P16</f>
        <v>0</v>
      </c>
      <c r="AE28" s="369">
        <f>SUMIFS('Отчет РПЗ(ПЗ)_ПЗИП'!$AG:$AG,'Отчет РПЗ(ПЗ)_ПЗИП'!$G:$G,Справочно!$C12,'Отчет РПЗ(ПЗ)_ПЗИП'!$AQ:$AQ,4,'Отчет РПЗ(ПЗ)_ПЗИП'!$AG:$AG,"&gt;0")</f>
        <v>0</v>
      </c>
      <c r="AF28" s="167">
        <f>ПП!Q16</f>
        <v>0</v>
      </c>
      <c r="AG28" s="154">
        <f>COUNTIFS('Отчет РПЗ(ПЗ)_ПЗИП'!$G:$G,Справочно!$C12,'Отчет РПЗ(ПЗ)_ПЗИП'!$AQ:$AQ,5,'Отчет РПЗ(ПЗ)_ПЗИП'!$AG:$AG,"&gt;0")</f>
        <v>0</v>
      </c>
      <c r="AH28" s="429">
        <f>ПП!R16</f>
        <v>0</v>
      </c>
      <c r="AI28" s="369">
        <f>SUMIFS('Отчет РПЗ(ПЗ)_ПЗИП'!$AG:$AG,'Отчет РПЗ(ПЗ)_ПЗИП'!$G:$G,Справочно!$C12,'Отчет РПЗ(ПЗ)_ПЗИП'!$AQ:$AQ,5,'Отчет РПЗ(ПЗ)_ПЗИП'!$AG:$AG,"&gt;0")</f>
        <v>0</v>
      </c>
      <c r="AJ28" s="167">
        <f>ПП!S16</f>
        <v>0</v>
      </c>
      <c r="AK28" s="154">
        <f>COUNTIFS('Отчет РПЗ(ПЗ)_ПЗИП'!$G:$G,Справочно!$C12,'Отчет РПЗ(ПЗ)_ПЗИП'!$AQ:$AQ,6,'Отчет РПЗ(ПЗ)_ПЗИП'!$AG:$AG,"&gt;0")</f>
        <v>0</v>
      </c>
      <c r="AL28" s="429">
        <f>ПП!T16</f>
        <v>0</v>
      </c>
      <c r="AM28" s="370">
        <f>SUMIFS('Отчет РПЗ(ПЗ)_ПЗИП'!$AG:$AG,'Отчет РПЗ(ПЗ)_ПЗИП'!$G:$G,Справочно!$C12,'Отчет РПЗ(ПЗ)_ПЗИП'!$AQ:$AQ,6,'Отчет РПЗ(ПЗ)_ПЗИП'!$AG:$AG,"&gt;0")</f>
        <v>0</v>
      </c>
      <c r="AN28" s="175">
        <f>ПП!U16</f>
        <v>0</v>
      </c>
      <c r="AO28" s="189">
        <f>SUM(AC28,AG28,AK28)</f>
        <v>0</v>
      </c>
      <c r="AP28" s="430">
        <f>SUM(AD28,AH28,AL28)</f>
        <v>0</v>
      </c>
      <c r="AQ28" s="337">
        <f>SUM(AE28,AI28,AM28)</f>
        <v>0</v>
      </c>
      <c r="AR28" s="165">
        <f>ПП!W16</f>
        <v>0</v>
      </c>
      <c r="AS28" s="185">
        <f>COUNTIFS('Отчет РПЗ(ПЗ)_ПЗИП'!$G:$G,Справочно!$C12,'Отчет РПЗ(ПЗ)_ПЗИП'!$AQ:$AQ,7,'Отчет РПЗ(ПЗ)_ПЗИП'!$AG:$AG,"&gt;0")</f>
        <v>0</v>
      </c>
      <c r="AT28" s="429">
        <f>ПП!X16</f>
        <v>0</v>
      </c>
      <c r="AU28" s="371">
        <f>SUMIFS('Отчет РПЗ(ПЗ)_ПЗИП'!$AG:$AG,'Отчет РПЗ(ПЗ)_ПЗИП'!$G:$G,Справочно!$C12,'Отчет РПЗ(ПЗ)_ПЗИП'!$AQ:$AQ,7,'Отчет РПЗ(ПЗ)_ПЗИП'!$AG:$AG,"&gt;0")</f>
        <v>0</v>
      </c>
      <c r="AV28" s="167">
        <f>ПП!Y16</f>
        <v>0</v>
      </c>
      <c r="AW28" s="185">
        <f>COUNTIFS('Отчет РПЗ(ПЗ)_ПЗИП'!$G:$G,Справочно!$C12,'Отчет РПЗ(ПЗ)_ПЗИП'!$AQ:$AQ,8,'Отчет РПЗ(ПЗ)_ПЗИП'!$AG:$AG,"&gt;0")</f>
        <v>0</v>
      </c>
      <c r="AX28" s="429">
        <f>ПП!Z16</f>
        <v>0</v>
      </c>
      <c r="AY28" s="371">
        <f>SUMIFS('Отчет РПЗ(ПЗ)_ПЗИП'!$AG:$AG,'Отчет РПЗ(ПЗ)_ПЗИП'!$G:$G,Справочно!$C12,'Отчет РПЗ(ПЗ)_ПЗИП'!$AQ:$AQ,8,'Отчет РПЗ(ПЗ)_ПЗИП'!$AG:$AG,"&gt;0")</f>
        <v>0</v>
      </c>
      <c r="AZ28" s="167">
        <f>ПП!AA16</f>
        <v>0</v>
      </c>
      <c r="BA28" s="185">
        <f>COUNTIFS('Отчет РПЗ(ПЗ)_ПЗИП'!$G:$G,Справочно!$C12,'Отчет РПЗ(ПЗ)_ПЗИП'!$AQ:$AQ,9,'Отчет РПЗ(ПЗ)_ПЗИП'!$AG:$AG,"&gt;0")</f>
        <v>0</v>
      </c>
      <c r="BB28" s="429">
        <f>ПП!AB16</f>
        <v>0</v>
      </c>
      <c r="BC28" s="372">
        <f>SUMIFS('Отчет РПЗ(ПЗ)_ПЗИП'!$AG:$AG,'Отчет РПЗ(ПЗ)_ПЗИП'!$G:$G,Справочно!$C12,'Отчет РПЗ(ПЗ)_ПЗИП'!$AQ:$AQ,9,'Отчет РПЗ(ПЗ)_ПЗИП'!$AG:$AG,"&gt;0")</f>
        <v>0</v>
      </c>
      <c r="BD28" s="175">
        <f>ПП!AC16</f>
        <v>0</v>
      </c>
      <c r="BE28" s="184">
        <f>SUM(AS28,AW28,BA28)</f>
        <v>0</v>
      </c>
      <c r="BF28" s="430">
        <f>SUM(AT28,AX28,BB28)</f>
        <v>0</v>
      </c>
      <c r="BG28" s="339">
        <f>SUM(AU28,AY28,BC28)</f>
        <v>0</v>
      </c>
      <c r="BH28" s="165">
        <f>ПП!AE16</f>
        <v>0</v>
      </c>
      <c r="BI28" s="180">
        <f>COUNTIFS('Отчет РПЗ(ПЗ)_ПЗИП'!$G:$G,Справочно!$C12,'Отчет РПЗ(ПЗ)_ПЗИП'!$AQ:$AQ,10,'Отчет РПЗ(ПЗ)_ПЗИП'!$AG:$AG,"&gt;0")</f>
        <v>0</v>
      </c>
      <c r="BJ28" s="429">
        <f>ПП!AF16</f>
        <v>0</v>
      </c>
      <c r="BK28" s="373">
        <f>SUMIFS('Отчет РПЗ(ПЗ)_ПЗИП'!$AG:$AG,'Отчет РПЗ(ПЗ)_ПЗИП'!$G:$G,Справочно!$C12,'Отчет РПЗ(ПЗ)_ПЗИП'!$AQ:$AQ,10,'Отчет РПЗ(ПЗ)_ПЗИП'!$AG:$AG,"&gt;0")</f>
        <v>0</v>
      </c>
      <c r="BL28" s="167">
        <f>ПП!AG16</f>
        <v>0</v>
      </c>
      <c r="BM28" s="180">
        <f>COUNTIFS('Отчет РПЗ(ПЗ)_ПЗИП'!$G:$G,Справочно!$C12,'Отчет РПЗ(ПЗ)_ПЗИП'!$AQ:$AQ,11,'Отчет РПЗ(ПЗ)_ПЗИП'!$AG:$AG,"&gt;0")</f>
        <v>0</v>
      </c>
      <c r="BN28" s="429">
        <f>ПП!AH16</f>
        <v>0</v>
      </c>
      <c r="BO28" s="373">
        <f>SUMIFS('Отчет РПЗ(ПЗ)_ПЗИП'!$AG:$AG,'Отчет РПЗ(ПЗ)_ПЗИП'!$G:$G,Справочно!$C12,'Отчет РПЗ(ПЗ)_ПЗИП'!$AQ:$AQ,11,'Отчет РПЗ(ПЗ)_ПЗИП'!$AG:$AG,"&gt;0")</f>
        <v>0</v>
      </c>
      <c r="BP28" s="167">
        <f>ПП!AI16</f>
        <v>0</v>
      </c>
      <c r="BQ28" s="180">
        <f>COUNTIFS('Отчет РПЗ(ПЗ)_ПЗИП'!$G:$G,Справочно!$C12,'Отчет РПЗ(ПЗ)_ПЗИП'!$AQ:$AQ,12,'Отчет РПЗ(ПЗ)_ПЗИП'!$AG:$AG,"&gt;0")</f>
        <v>0</v>
      </c>
      <c r="BR28" s="429">
        <f>ПП!AJ16</f>
        <v>0</v>
      </c>
      <c r="BS28" s="374">
        <f>SUMIFS('Отчет РПЗ(ПЗ)_ПЗИП'!$AG:$AG,'Отчет РПЗ(ПЗ)_ПЗИП'!$G:$G,Справочно!$C12,'Отчет РПЗ(ПЗ)_ПЗИП'!$AQ:$AQ,12,'Отчет РПЗ(ПЗ)_ПЗИП'!$AG:$AG,"&gt;0")</f>
        <v>0</v>
      </c>
      <c r="BT28" s="175">
        <f>ПП!AK16</f>
        <v>0</v>
      </c>
      <c r="BU28" s="183">
        <f>SUM(BI28,BM28,BQ28)</f>
        <v>0</v>
      </c>
      <c r="BV28" s="430">
        <f>SUM(BJ28,BN28,BR28)</f>
        <v>0</v>
      </c>
      <c r="BW28" s="341">
        <f>SUM(BK28,BO28,BS28)</f>
        <v>0</v>
      </c>
    </row>
    <row r="29" spans="2:75" ht="15" customHeight="1" thickBot="1" x14ac:dyDescent="0.25">
      <c r="B29" s="87" t="s">
        <v>248</v>
      </c>
      <c r="C29" s="96">
        <f>ПП!B17</f>
        <v>0</v>
      </c>
      <c r="D29" s="418" t="e">
        <f>ПП!C17</f>
        <v>#DIV/0!</v>
      </c>
      <c r="E29" s="67">
        <f>COUNTIFS('Отчет РПЗ(ПЗ)_ПЗИП'!$G:$G,Справочно!$C13,'Отчет РПЗ(ПЗ)_ПЗИП'!AG:AG, "&gt;0")</f>
        <v>0</v>
      </c>
      <c r="F29" s="419" t="e">
        <f t="shared" ref="F29:F47" si="1">E29/$E$52</f>
        <v>#DIV/0!</v>
      </c>
      <c r="G29" s="420">
        <f>ПП!D17</f>
        <v>0</v>
      </c>
      <c r="H29" s="421" t="e">
        <f>ПП!E17</f>
        <v>#DIV/0!</v>
      </c>
      <c r="I29" s="422">
        <f>SUMIF('Отчет РПЗ(ПЗ)_ПЗИП'!$G:$G,Справочно!$C13,'Отчет РПЗ(ПЗ)_ПЗИП'!$AG:$AG)</f>
        <v>0</v>
      </c>
      <c r="J29" s="419" t="e">
        <f t="shared" ref="J29:J47" si="2">I29/$I$52</f>
        <v>#DIV/0!</v>
      </c>
      <c r="K29" s="65"/>
      <c r="L29" s="163">
        <f>ПП!G17</f>
        <v>0</v>
      </c>
      <c r="M29" s="151">
        <f>COUNTIFS('Отчет РПЗ(ПЗ)_ПЗИП'!$G:$G,Справочно!$C13,'Отчет РПЗ(ПЗ)_ПЗИП'!$AQ:$AQ,1,'Отчет РПЗ(ПЗ)_ПЗИП'!$AG:$AG,"&gt;0")</f>
        <v>0</v>
      </c>
      <c r="N29" s="431">
        <f>ПП!H17</f>
        <v>0</v>
      </c>
      <c r="O29" s="342">
        <f>SUMIFS('Отчет РПЗ(ПЗ)_ПЗИП'!$AG:$AG,'Отчет РПЗ(ПЗ)_ПЗИП'!$G:$G,Справочно!$C13,'Отчет РПЗ(ПЗ)_ПЗИП'!$AQ:$AQ,1,'Отчет РПЗ(ПЗ)_ПЗИП'!$AG:$AG,"&gt;0")</f>
        <v>0</v>
      </c>
      <c r="P29" s="46">
        <f>ПП!I17</f>
        <v>0</v>
      </c>
      <c r="Q29" s="151">
        <f>COUNTIFS('Отчет РПЗ(ПЗ)_ПЗИП'!$G:$G,Справочно!$C13,'Отчет РПЗ(ПЗ)_ПЗИП'!$AQ:$AQ,2,'Отчет РПЗ(ПЗ)_ПЗИП'!$AG:$AG,"&gt;0")</f>
        <v>0</v>
      </c>
      <c r="R29" s="431">
        <f>ПП!J17</f>
        <v>0</v>
      </c>
      <c r="S29" s="342">
        <f>SUMIFS('Отчет РПЗ(ПЗ)_ПЗИП'!$AG:$AG,'Отчет РПЗ(ПЗ)_ПЗИП'!$G:$G,Справочно!$C13,'Отчет РПЗ(ПЗ)_ПЗИП'!$AQ:$AQ,2,'Отчет РПЗ(ПЗ)_ПЗИП'!$AG:$AG,"&gt;0")</f>
        <v>0</v>
      </c>
      <c r="T29" s="46">
        <f>ПП!K17</f>
        <v>0</v>
      </c>
      <c r="U29" s="151">
        <f>COUNTIFS('Отчет РПЗ(ПЗ)_ПЗИП'!$G:$G,Справочно!$C13,'Отчет РПЗ(ПЗ)_ПЗИП'!$AQ:$AQ,3,'Отчет РПЗ(ПЗ)_ПЗИП'!$AG:$AG,"&gt;0")</f>
        <v>0</v>
      </c>
      <c r="V29" s="431">
        <f>ПП!L17</f>
        <v>0</v>
      </c>
      <c r="W29" s="375">
        <f>SUMIFS('Отчет РПЗ(ПЗ)_ПЗИП'!$AG:$AG,'Отчет РПЗ(ПЗ)_ПЗИП'!$G:$G,Справочно!$C13,'Отчет РПЗ(ПЗ)_ПЗИП'!$AQ:$AQ,3,'Отчет РПЗ(ПЗ)_ПЗИП'!$AG:$AG,"&gt;0")</f>
        <v>0</v>
      </c>
      <c r="X29" s="175">
        <f>ПП!M17</f>
        <v>0</v>
      </c>
      <c r="Y29" s="176">
        <f t="shared" ref="Y29:Y47" si="3">SUM(M29,Q29,U29)</f>
        <v>0</v>
      </c>
      <c r="Z29" s="430">
        <f t="shared" ref="Z29:Z47" si="4">SUM(N29,R29,V29)</f>
        <v>0</v>
      </c>
      <c r="AA29" s="335">
        <f t="shared" ref="AA29:AA47" si="5">SUM(O29,S29,W29)</f>
        <v>0</v>
      </c>
      <c r="AB29" s="163">
        <f>ПП!O17</f>
        <v>0</v>
      </c>
      <c r="AC29" s="187">
        <f>COUNTIFS('Отчет РПЗ(ПЗ)_ПЗИП'!$G:$G,Справочно!$C13,'Отчет РПЗ(ПЗ)_ПЗИП'!$AQ:$AQ,4,'Отчет РПЗ(ПЗ)_ПЗИП'!$AG:$AG,"&gt;0")</f>
        <v>0</v>
      </c>
      <c r="AD29" s="431">
        <f>ПП!P17</f>
        <v>0</v>
      </c>
      <c r="AE29" s="376">
        <f>SUMIFS('Отчет РПЗ(ПЗ)_ПЗИП'!$AG:$AG,'Отчет РПЗ(ПЗ)_ПЗИП'!$G:$G,Справочно!$C13,'Отчет РПЗ(ПЗ)_ПЗИП'!$AQ:$AQ,4,'Отчет РПЗ(ПЗ)_ПЗИП'!$AG:$AG,"&gt;0")</f>
        <v>0</v>
      </c>
      <c r="AF29" s="46">
        <f>ПП!Q17</f>
        <v>0</v>
      </c>
      <c r="AG29" s="187">
        <f>COUNTIFS('Отчет РПЗ(ПЗ)_ПЗИП'!$G:$G,Справочно!$C13,'Отчет РПЗ(ПЗ)_ПЗИП'!$AQ:$AQ,5,'Отчет РПЗ(ПЗ)_ПЗИП'!$AG:$AG,"&gt;0")</f>
        <v>0</v>
      </c>
      <c r="AH29" s="431">
        <f>ПП!R17</f>
        <v>0</v>
      </c>
      <c r="AI29" s="376">
        <f>SUMIFS('Отчет РПЗ(ПЗ)_ПЗИП'!$AG:$AG,'Отчет РПЗ(ПЗ)_ПЗИП'!$G:$G,Справочно!$C13,'Отчет РПЗ(ПЗ)_ПЗИП'!$AQ:$AQ,5,'Отчет РПЗ(ПЗ)_ПЗИП'!$AG:$AG,"&gt;0")</f>
        <v>0</v>
      </c>
      <c r="AJ29" s="46">
        <f>ПП!S17</f>
        <v>0</v>
      </c>
      <c r="AK29" s="187">
        <f>COUNTIFS('Отчет РПЗ(ПЗ)_ПЗИП'!$G:$G,Справочно!$C13,'Отчет РПЗ(ПЗ)_ПЗИП'!$AQ:$AQ,6,'Отчет РПЗ(ПЗ)_ПЗИП'!$AG:$AG,"&gt;0")</f>
        <v>0</v>
      </c>
      <c r="AL29" s="431">
        <f>ПП!T17</f>
        <v>0</v>
      </c>
      <c r="AM29" s="377">
        <f>SUMIFS('Отчет РПЗ(ПЗ)_ПЗИП'!$AG:$AG,'Отчет РПЗ(ПЗ)_ПЗИП'!$G:$G,Справочно!$C13,'Отчет РПЗ(ПЗ)_ПЗИП'!$AQ:$AQ,6,'Отчет РПЗ(ПЗ)_ПЗИП'!$AG:$AG,"&gt;0")</f>
        <v>0</v>
      </c>
      <c r="AN29" s="175">
        <f>ПП!U17</f>
        <v>0</v>
      </c>
      <c r="AO29" s="189">
        <f t="shared" ref="AO29:AO47" si="6">SUM(AC29,AG29,AK29)</f>
        <v>0</v>
      </c>
      <c r="AP29" s="430">
        <f t="shared" ref="AP29:AP47" si="7">SUM(AD29,AH29,AL29)</f>
        <v>0</v>
      </c>
      <c r="AQ29" s="337">
        <f t="shared" ref="AQ29:AQ47" si="8">SUM(AE29,AI29,AM29)</f>
        <v>0</v>
      </c>
      <c r="AR29" s="163">
        <f>ПП!W17</f>
        <v>0</v>
      </c>
      <c r="AS29" s="148">
        <f>COUNTIFS('Отчет РПЗ(ПЗ)_ПЗИП'!$G:$G,Справочно!$C13,'Отчет РПЗ(ПЗ)_ПЗИП'!$AQ:$AQ,7,'Отчет РПЗ(ПЗ)_ПЗИП'!$AG:$AG,"&gt;0")</f>
        <v>0</v>
      </c>
      <c r="AT29" s="431">
        <f>ПП!X17</f>
        <v>0</v>
      </c>
      <c r="AU29" s="378">
        <f>SUMIFS('Отчет РПЗ(ПЗ)_ПЗИП'!$AG:$AG,'Отчет РПЗ(ПЗ)_ПЗИП'!$G:$G,Справочно!$C13,'Отчет РПЗ(ПЗ)_ПЗИП'!$AQ:$AQ,7,'Отчет РПЗ(ПЗ)_ПЗИП'!$AG:$AG,"&gt;0")</f>
        <v>0</v>
      </c>
      <c r="AV29" s="46">
        <f>ПП!Y17</f>
        <v>0</v>
      </c>
      <c r="AW29" s="148">
        <f>COUNTIFS('Отчет РПЗ(ПЗ)_ПЗИП'!$G:$G,Справочно!$C13,'Отчет РПЗ(ПЗ)_ПЗИП'!$AQ:$AQ,8,'Отчет РПЗ(ПЗ)_ПЗИП'!$AG:$AG,"&gt;0")</f>
        <v>0</v>
      </c>
      <c r="AX29" s="431">
        <f>ПП!Z17</f>
        <v>0</v>
      </c>
      <c r="AY29" s="378">
        <f>SUMIFS('Отчет РПЗ(ПЗ)_ПЗИП'!$AG:$AG,'Отчет РПЗ(ПЗ)_ПЗИП'!$G:$G,Справочно!$C13,'Отчет РПЗ(ПЗ)_ПЗИП'!$AQ:$AQ,8,'Отчет РПЗ(ПЗ)_ПЗИП'!$AG:$AG,"&gt;0")</f>
        <v>0</v>
      </c>
      <c r="AZ29" s="46">
        <f>ПП!AA17</f>
        <v>0</v>
      </c>
      <c r="BA29" s="148">
        <f>COUNTIFS('Отчет РПЗ(ПЗ)_ПЗИП'!$G:$G,Справочно!$C13,'Отчет РПЗ(ПЗ)_ПЗИП'!$AQ:$AQ,9,'Отчет РПЗ(ПЗ)_ПЗИП'!$AG:$AG,"&gt;0")</f>
        <v>0</v>
      </c>
      <c r="BB29" s="431">
        <f>ПП!AB17</f>
        <v>0</v>
      </c>
      <c r="BC29" s="379">
        <f>SUMIFS('Отчет РПЗ(ПЗ)_ПЗИП'!$AG:$AG,'Отчет РПЗ(ПЗ)_ПЗИП'!$G:$G,Справочно!$C13,'Отчет РПЗ(ПЗ)_ПЗИП'!$AQ:$AQ,9,'Отчет РПЗ(ПЗ)_ПЗИП'!$AG:$AG,"&gt;0")</f>
        <v>0</v>
      </c>
      <c r="BD29" s="175">
        <f>ПП!AC17</f>
        <v>0</v>
      </c>
      <c r="BE29" s="184">
        <f t="shared" ref="BE29:BE47" si="9">SUM(AS29,AW29,BA29)</f>
        <v>0</v>
      </c>
      <c r="BF29" s="430">
        <f t="shared" ref="BF29:BF47" si="10">SUM(AT29,AX29,BB29)</f>
        <v>0</v>
      </c>
      <c r="BG29" s="339">
        <f t="shared" ref="BG29:BG47" si="11">SUM(AU29,AY29,BC29)</f>
        <v>0</v>
      </c>
      <c r="BH29" s="163">
        <f>ПП!AE17</f>
        <v>0</v>
      </c>
      <c r="BI29" s="181">
        <f>COUNTIFS('Отчет РПЗ(ПЗ)_ПЗИП'!$G:$G,Справочно!$C13,'Отчет РПЗ(ПЗ)_ПЗИП'!$AQ:$AQ,10,'Отчет РПЗ(ПЗ)_ПЗИП'!$AG:$AG,"&gt;0")</f>
        <v>0</v>
      </c>
      <c r="BJ29" s="431">
        <f>ПП!AF17</f>
        <v>0</v>
      </c>
      <c r="BK29" s="380">
        <f>SUMIFS('Отчет РПЗ(ПЗ)_ПЗИП'!$AG:$AG,'Отчет РПЗ(ПЗ)_ПЗИП'!$G:$G,Справочно!$C13,'Отчет РПЗ(ПЗ)_ПЗИП'!$AQ:$AQ,10,'Отчет РПЗ(ПЗ)_ПЗИП'!$AG:$AG,"&gt;0")</f>
        <v>0</v>
      </c>
      <c r="BL29" s="46">
        <f>ПП!AG17</f>
        <v>0</v>
      </c>
      <c r="BM29" s="181">
        <f>COUNTIFS('Отчет РПЗ(ПЗ)_ПЗИП'!$G:$G,Справочно!$C13,'Отчет РПЗ(ПЗ)_ПЗИП'!$AQ:$AQ,11,'Отчет РПЗ(ПЗ)_ПЗИП'!$AG:$AG,"&gt;0")</f>
        <v>0</v>
      </c>
      <c r="BN29" s="431">
        <f>ПП!AH17</f>
        <v>0</v>
      </c>
      <c r="BO29" s="380">
        <f>SUMIFS('Отчет РПЗ(ПЗ)_ПЗИП'!$AG:$AG,'Отчет РПЗ(ПЗ)_ПЗИП'!$G:$G,Справочно!$C13,'Отчет РПЗ(ПЗ)_ПЗИП'!$AQ:$AQ,11,'Отчет РПЗ(ПЗ)_ПЗИП'!$AG:$AG,"&gt;0")</f>
        <v>0</v>
      </c>
      <c r="BP29" s="46">
        <f>ПП!AI17</f>
        <v>0</v>
      </c>
      <c r="BQ29" s="181">
        <f>COUNTIFS('Отчет РПЗ(ПЗ)_ПЗИП'!$G:$G,Справочно!$C13,'Отчет РПЗ(ПЗ)_ПЗИП'!$AQ:$AQ,12,'Отчет РПЗ(ПЗ)_ПЗИП'!$AG:$AG,"&gt;0")</f>
        <v>0</v>
      </c>
      <c r="BR29" s="431">
        <f>ПП!AJ17</f>
        <v>0</v>
      </c>
      <c r="BS29" s="381">
        <f>SUMIFS('Отчет РПЗ(ПЗ)_ПЗИП'!$AG:$AG,'Отчет РПЗ(ПЗ)_ПЗИП'!$G:$G,Справочно!$C13,'Отчет РПЗ(ПЗ)_ПЗИП'!$AQ:$AQ,12,'Отчет РПЗ(ПЗ)_ПЗИП'!$AG:$AG,"&gt;0")</f>
        <v>0</v>
      </c>
      <c r="BT29" s="175">
        <f>ПП!AK17</f>
        <v>0</v>
      </c>
      <c r="BU29" s="183">
        <f t="shared" ref="BU29:BU47" si="12">SUM(BI29,BM29,BQ29)</f>
        <v>0</v>
      </c>
      <c r="BV29" s="430">
        <f t="shared" ref="BV29:BV47" si="13">SUM(BJ29,BN29,BR29)</f>
        <v>0</v>
      </c>
      <c r="BW29" s="341">
        <f t="shared" ref="BW29:BW47" si="14">SUM(BK29,BO29,BS29)</f>
        <v>0</v>
      </c>
    </row>
    <row r="30" spans="2:75" ht="13.5" customHeight="1" thickBot="1" x14ac:dyDescent="0.25">
      <c r="B30" s="87" t="s">
        <v>101</v>
      </c>
      <c r="C30" s="96">
        <f>ПП!B18</f>
        <v>0</v>
      </c>
      <c r="D30" s="418" t="e">
        <f>ПП!C18</f>
        <v>#DIV/0!</v>
      </c>
      <c r="E30" s="67">
        <f>COUNTIFS('Отчет РПЗ(ПЗ)_ПЗИП'!$G:$G,Справочно!$C14,'Отчет РПЗ(ПЗ)_ПЗИП'!AG:AG, "&gt;0")</f>
        <v>0</v>
      </c>
      <c r="F30" s="419" t="e">
        <f t="shared" si="1"/>
        <v>#DIV/0!</v>
      </c>
      <c r="G30" s="420">
        <f>ПП!D18</f>
        <v>0</v>
      </c>
      <c r="H30" s="421" t="e">
        <f>ПП!E18</f>
        <v>#DIV/0!</v>
      </c>
      <c r="I30" s="422">
        <f>SUMIF('Отчет РПЗ(ПЗ)_ПЗИП'!$G:$G,Справочно!$C14,'Отчет РПЗ(ПЗ)_ПЗИП'!$AG:$AG)</f>
        <v>0</v>
      </c>
      <c r="J30" s="419" t="e">
        <f t="shared" si="2"/>
        <v>#DIV/0!</v>
      </c>
      <c r="K30" s="65"/>
      <c r="L30" s="163">
        <f>ПП!G18</f>
        <v>0</v>
      </c>
      <c r="M30" s="151">
        <f>COUNTIFS('Отчет РПЗ(ПЗ)_ПЗИП'!$G:$G,Справочно!$C14,'Отчет РПЗ(ПЗ)_ПЗИП'!$AQ:$AQ,1,'Отчет РПЗ(ПЗ)_ПЗИП'!$AG:$AG,"&gt;0")</f>
        <v>0</v>
      </c>
      <c r="N30" s="431">
        <f>ПП!H18</f>
        <v>0</v>
      </c>
      <c r="O30" s="342">
        <f>SUMIFS('Отчет РПЗ(ПЗ)_ПЗИП'!$AG:$AG,'Отчет РПЗ(ПЗ)_ПЗИП'!$G:$G,Справочно!$C14,'Отчет РПЗ(ПЗ)_ПЗИП'!$AQ:$AQ,1,'Отчет РПЗ(ПЗ)_ПЗИП'!$AG:$AG,"&gt;0")</f>
        <v>0</v>
      </c>
      <c r="P30" s="46">
        <f>ПП!I18</f>
        <v>0</v>
      </c>
      <c r="Q30" s="151">
        <f>COUNTIFS('Отчет РПЗ(ПЗ)_ПЗИП'!$G:$G,Справочно!$C14,'Отчет РПЗ(ПЗ)_ПЗИП'!$AQ:$AQ,2,'Отчет РПЗ(ПЗ)_ПЗИП'!$AG:$AG,"&gt;0")</f>
        <v>0</v>
      </c>
      <c r="R30" s="431">
        <f>ПП!J18</f>
        <v>0</v>
      </c>
      <c r="S30" s="342">
        <f>SUMIFS('Отчет РПЗ(ПЗ)_ПЗИП'!$AG:$AG,'Отчет РПЗ(ПЗ)_ПЗИП'!$G:$G,Справочно!$C14,'Отчет РПЗ(ПЗ)_ПЗИП'!$AQ:$AQ,2,'Отчет РПЗ(ПЗ)_ПЗИП'!$AG:$AG,"&gt;0")</f>
        <v>0</v>
      </c>
      <c r="T30" s="46">
        <f>ПП!K18</f>
        <v>0</v>
      </c>
      <c r="U30" s="151">
        <f>COUNTIFS('Отчет РПЗ(ПЗ)_ПЗИП'!$G:$G,Справочно!$C14,'Отчет РПЗ(ПЗ)_ПЗИП'!$AQ:$AQ,3,'Отчет РПЗ(ПЗ)_ПЗИП'!$AG:$AG,"&gt;0")</f>
        <v>0</v>
      </c>
      <c r="V30" s="431">
        <f>ПП!L18</f>
        <v>0</v>
      </c>
      <c r="W30" s="375">
        <f>SUMIFS('Отчет РПЗ(ПЗ)_ПЗИП'!$AG:$AG,'Отчет РПЗ(ПЗ)_ПЗИП'!$G:$G,Справочно!$C14,'Отчет РПЗ(ПЗ)_ПЗИП'!$AQ:$AQ,3,'Отчет РПЗ(ПЗ)_ПЗИП'!$AG:$AG,"&gt;0")</f>
        <v>0</v>
      </c>
      <c r="X30" s="175">
        <f>ПП!M18</f>
        <v>0</v>
      </c>
      <c r="Y30" s="176">
        <f t="shared" si="3"/>
        <v>0</v>
      </c>
      <c r="Z30" s="430">
        <f t="shared" si="4"/>
        <v>0</v>
      </c>
      <c r="AA30" s="335">
        <f t="shared" si="5"/>
        <v>0</v>
      </c>
      <c r="AB30" s="163">
        <f>ПП!O18</f>
        <v>0</v>
      </c>
      <c r="AC30" s="187">
        <f>COUNTIFS('Отчет РПЗ(ПЗ)_ПЗИП'!$G:$G,Справочно!$C14,'Отчет РПЗ(ПЗ)_ПЗИП'!$AQ:$AQ,4,'Отчет РПЗ(ПЗ)_ПЗИП'!$AG:$AG,"&gt;0")</f>
        <v>0</v>
      </c>
      <c r="AD30" s="431">
        <f>ПП!P18</f>
        <v>0</v>
      </c>
      <c r="AE30" s="376">
        <f>SUMIFS('Отчет РПЗ(ПЗ)_ПЗИП'!$AG:$AG,'Отчет РПЗ(ПЗ)_ПЗИП'!$G:$G,Справочно!$C14,'Отчет РПЗ(ПЗ)_ПЗИП'!$AQ:$AQ,4,'Отчет РПЗ(ПЗ)_ПЗИП'!$AG:$AG,"&gt;0")</f>
        <v>0</v>
      </c>
      <c r="AF30" s="46">
        <f>ПП!Q18</f>
        <v>0</v>
      </c>
      <c r="AG30" s="187">
        <f>COUNTIFS('Отчет РПЗ(ПЗ)_ПЗИП'!$G:$G,Справочно!$C14,'Отчет РПЗ(ПЗ)_ПЗИП'!$AQ:$AQ,5,'Отчет РПЗ(ПЗ)_ПЗИП'!$AG:$AG,"&gt;0")</f>
        <v>0</v>
      </c>
      <c r="AH30" s="431">
        <f>ПП!R18</f>
        <v>0</v>
      </c>
      <c r="AI30" s="376">
        <f>SUMIFS('Отчет РПЗ(ПЗ)_ПЗИП'!$AG:$AG,'Отчет РПЗ(ПЗ)_ПЗИП'!$G:$G,Справочно!$C14,'Отчет РПЗ(ПЗ)_ПЗИП'!$AQ:$AQ,5,'Отчет РПЗ(ПЗ)_ПЗИП'!$AG:$AG,"&gt;0")</f>
        <v>0</v>
      </c>
      <c r="AJ30" s="46">
        <f>ПП!S18</f>
        <v>0</v>
      </c>
      <c r="AK30" s="187">
        <f>COUNTIFS('Отчет РПЗ(ПЗ)_ПЗИП'!$G:$G,Справочно!$C14,'Отчет РПЗ(ПЗ)_ПЗИП'!$AQ:$AQ,6,'Отчет РПЗ(ПЗ)_ПЗИП'!$AG:$AG,"&gt;0")</f>
        <v>0</v>
      </c>
      <c r="AL30" s="431">
        <f>ПП!T18</f>
        <v>0</v>
      </c>
      <c r="AM30" s="377">
        <f>SUMIFS('Отчет РПЗ(ПЗ)_ПЗИП'!$AG:$AG,'Отчет РПЗ(ПЗ)_ПЗИП'!$G:$G,Справочно!$C14,'Отчет РПЗ(ПЗ)_ПЗИП'!$AQ:$AQ,6,'Отчет РПЗ(ПЗ)_ПЗИП'!$AG:$AG,"&gt;0")</f>
        <v>0</v>
      </c>
      <c r="AN30" s="175">
        <f>ПП!U18</f>
        <v>0</v>
      </c>
      <c r="AO30" s="189">
        <f t="shared" si="6"/>
        <v>0</v>
      </c>
      <c r="AP30" s="430">
        <f t="shared" si="7"/>
        <v>0</v>
      </c>
      <c r="AQ30" s="337">
        <f t="shared" si="8"/>
        <v>0</v>
      </c>
      <c r="AR30" s="163">
        <f>ПП!W18</f>
        <v>0</v>
      </c>
      <c r="AS30" s="148">
        <f>COUNTIFS('Отчет РПЗ(ПЗ)_ПЗИП'!$G:$G,Справочно!$C14,'Отчет РПЗ(ПЗ)_ПЗИП'!$AQ:$AQ,7,'Отчет РПЗ(ПЗ)_ПЗИП'!$AG:$AG,"&gt;0")</f>
        <v>0</v>
      </c>
      <c r="AT30" s="431">
        <f>ПП!X18</f>
        <v>0</v>
      </c>
      <c r="AU30" s="378">
        <f>SUMIFS('Отчет РПЗ(ПЗ)_ПЗИП'!$AG:$AG,'Отчет РПЗ(ПЗ)_ПЗИП'!$G:$G,Справочно!$C14,'Отчет РПЗ(ПЗ)_ПЗИП'!$AQ:$AQ,7,'Отчет РПЗ(ПЗ)_ПЗИП'!$AG:$AG,"&gt;0")</f>
        <v>0</v>
      </c>
      <c r="AV30" s="46">
        <f>ПП!Y18</f>
        <v>0</v>
      </c>
      <c r="AW30" s="148">
        <f>COUNTIFS('Отчет РПЗ(ПЗ)_ПЗИП'!$G:$G,Справочно!$C14,'Отчет РПЗ(ПЗ)_ПЗИП'!$AQ:$AQ,8,'Отчет РПЗ(ПЗ)_ПЗИП'!$AG:$AG,"&gt;0")</f>
        <v>0</v>
      </c>
      <c r="AX30" s="431">
        <f>ПП!Z18</f>
        <v>0</v>
      </c>
      <c r="AY30" s="378">
        <f>SUMIFS('Отчет РПЗ(ПЗ)_ПЗИП'!$AG:$AG,'Отчет РПЗ(ПЗ)_ПЗИП'!$G:$G,Справочно!$C14,'Отчет РПЗ(ПЗ)_ПЗИП'!$AQ:$AQ,8,'Отчет РПЗ(ПЗ)_ПЗИП'!$AG:$AG,"&gt;0")</f>
        <v>0</v>
      </c>
      <c r="AZ30" s="46">
        <f>ПП!AA18</f>
        <v>0</v>
      </c>
      <c r="BA30" s="148">
        <f>COUNTIFS('Отчет РПЗ(ПЗ)_ПЗИП'!$G:$G,Справочно!$C14,'Отчет РПЗ(ПЗ)_ПЗИП'!$AQ:$AQ,9,'Отчет РПЗ(ПЗ)_ПЗИП'!$AG:$AG,"&gt;0")</f>
        <v>0</v>
      </c>
      <c r="BB30" s="431">
        <f>ПП!AB18</f>
        <v>0</v>
      </c>
      <c r="BC30" s="379">
        <f>SUMIFS('Отчет РПЗ(ПЗ)_ПЗИП'!$AG:$AG,'Отчет РПЗ(ПЗ)_ПЗИП'!$G:$G,Справочно!$C14,'Отчет РПЗ(ПЗ)_ПЗИП'!$AQ:$AQ,9,'Отчет РПЗ(ПЗ)_ПЗИП'!$AG:$AG,"&gt;0")</f>
        <v>0</v>
      </c>
      <c r="BD30" s="175">
        <f>ПП!AC18</f>
        <v>0</v>
      </c>
      <c r="BE30" s="184">
        <f t="shared" si="9"/>
        <v>0</v>
      </c>
      <c r="BF30" s="430">
        <f t="shared" si="10"/>
        <v>0</v>
      </c>
      <c r="BG30" s="339">
        <f t="shared" si="11"/>
        <v>0</v>
      </c>
      <c r="BH30" s="163">
        <f>ПП!AE18</f>
        <v>0</v>
      </c>
      <c r="BI30" s="181">
        <f>COUNTIFS('Отчет РПЗ(ПЗ)_ПЗИП'!$G:$G,Справочно!$C14,'Отчет РПЗ(ПЗ)_ПЗИП'!$AQ:$AQ,10,'Отчет РПЗ(ПЗ)_ПЗИП'!$AG:$AG,"&gt;0")</f>
        <v>0</v>
      </c>
      <c r="BJ30" s="431">
        <f>ПП!AF18</f>
        <v>0</v>
      </c>
      <c r="BK30" s="380">
        <f>SUMIFS('Отчет РПЗ(ПЗ)_ПЗИП'!$AG:$AG,'Отчет РПЗ(ПЗ)_ПЗИП'!$G:$G,Справочно!$C14,'Отчет РПЗ(ПЗ)_ПЗИП'!$AQ:$AQ,10,'Отчет РПЗ(ПЗ)_ПЗИП'!$AG:$AG,"&gt;0")</f>
        <v>0</v>
      </c>
      <c r="BL30" s="46">
        <f>ПП!AG18</f>
        <v>0</v>
      </c>
      <c r="BM30" s="181">
        <f>COUNTIFS('Отчет РПЗ(ПЗ)_ПЗИП'!$G:$G,Справочно!$C14,'Отчет РПЗ(ПЗ)_ПЗИП'!$AQ:$AQ,11,'Отчет РПЗ(ПЗ)_ПЗИП'!$AG:$AG,"&gt;0")</f>
        <v>0</v>
      </c>
      <c r="BN30" s="431">
        <f>ПП!AH18</f>
        <v>0</v>
      </c>
      <c r="BO30" s="380">
        <f>SUMIFS('Отчет РПЗ(ПЗ)_ПЗИП'!$AG:$AG,'Отчет РПЗ(ПЗ)_ПЗИП'!$G:$G,Справочно!$C14,'Отчет РПЗ(ПЗ)_ПЗИП'!$AQ:$AQ,11,'Отчет РПЗ(ПЗ)_ПЗИП'!$AG:$AG,"&gt;0")</f>
        <v>0</v>
      </c>
      <c r="BP30" s="46">
        <f>ПП!AI18</f>
        <v>0</v>
      </c>
      <c r="BQ30" s="181">
        <f>COUNTIFS('Отчет РПЗ(ПЗ)_ПЗИП'!$G:$G,Справочно!$C14,'Отчет РПЗ(ПЗ)_ПЗИП'!$AQ:$AQ,12,'Отчет РПЗ(ПЗ)_ПЗИП'!$AG:$AG,"&gt;0")</f>
        <v>0</v>
      </c>
      <c r="BR30" s="431">
        <f>ПП!AJ18</f>
        <v>0</v>
      </c>
      <c r="BS30" s="381">
        <f>SUMIFS('Отчет РПЗ(ПЗ)_ПЗИП'!$AG:$AG,'Отчет РПЗ(ПЗ)_ПЗИП'!$G:$G,Справочно!$C14,'Отчет РПЗ(ПЗ)_ПЗИП'!$AQ:$AQ,12,'Отчет РПЗ(ПЗ)_ПЗИП'!$AG:$AG,"&gt;0")</f>
        <v>0</v>
      </c>
      <c r="BT30" s="175">
        <f>ПП!AK18</f>
        <v>0</v>
      </c>
      <c r="BU30" s="183">
        <f t="shared" si="12"/>
        <v>0</v>
      </c>
      <c r="BV30" s="430">
        <f t="shared" si="13"/>
        <v>0</v>
      </c>
      <c r="BW30" s="341">
        <f t="shared" si="14"/>
        <v>0</v>
      </c>
    </row>
    <row r="31" spans="2:75" ht="15" customHeight="1" thickBot="1" x14ac:dyDescent="0.25">
      <c r="B31" s="87" t="s">
        <v>249</v>
      </c>
      <c r="C31" s="96">
        <f>ПП!B19</f>
        <v>0</v>
      </c>
      <c r="D31" s="418" t="e">
        <f>ПП!C19</f>
        <v>#DIV/0!</v>
      </c>
      <c r="E31" s="67">
        <f>COUNTIFS('Отчет РПЗ(ПЗ)_ПЗИП'!$G:$G,Справочно!$C15,'Отчет РПЗ(ПЗ)_ПЗИП'!AG:AG, "&gt;0")</f>
        <v>0</v>
      </c>
      <c r="F31" s="419" t="e">
        <f t="shared" si="1"/>
        <v>#DIV/0!</v>
      </c>
      <c r="G31" s="420">
        <f>ПП!D19</f>
        <v>0</v>
      </c>
      <c r="H31" s="421" t="e">
        <f>ПП!E19</f>
        <v>#DIV/0!</v>
      </c>
      <c r="I31" s="422">
        <f>SUMIF('Отчет РПЗ(ПЗ)_ПЗИП'!$G:$G,Справочно!$C15,'Отчет РПЗ(ПЗ)_ПЗИП'!$AG:$AG)</f>
        <v>0</v>
      </c>
      <c r="J31" s="419" t="e">
        <f t="shared" si="2"/>
        <v>#DIV/0!</v>
      </c>
      <c r="K31" s="65"/>
      <c r="L31" s="163">
        <f>ПП!G19</f>
        <v>0</v>
      </c>
      <c r="M31" s="151">
        <f>COUNTIFS('Отчет РПЗ(ПЗ)_ПЗИП'!$G:$G,Справочно!$C15,'Отчет РПЗ(ПЗ)_ПЗИП'!$AQ:$AQ,1,'Отчет РПЗ(ПЗ)_ПЗИП'!$AG:$AG,"&gt;0")</f>
        <v>0</v>
      </c>
      <c r="N31" s="431">
        <f>ПП!H19</f>
        <v>0</v>
      </c>
      <c r="O31" s="342">
        <f>SUMIFS('Отчет РПЗ(ПЗ)_ПЗИП'!$AG:$AG,'Отчет РПЗ(ПЗ)_ПЗИП'!$G:$G,Справочно!$C15,'Отчет РПЗ(ПЗ)_ПЗИП'!$AQ:$AQ,1,'Отчет РПЗ(ПЗ)_ПЗИП'!$AG:$AG,"&gt;0")</f>
        <v>0</v>
      </c>
      <c r="P31" s="46">
        <f>ПП!I19</f>
        <v>0</v>
      </c>
      <c r="Q31" s="151">
        <f>COUNTIFS('Отчет РПЗ(ПЗ)_ПЗИП'!$G:$G,Справочно!$C15,'Отчет РПЗ(ПЗ)_ПЗИП'!$AQ:$AQ,2,'Отчет РПЗ(ПЗ)_ПЗИП'!$AG:$AG,"&gt;0")</f>
        <v>0</v>
      </c>
      <c r="R31" s="431">
        <f>ПП!J19</f>
        <v>0</v>
      </c>
      <c r="S31" s="342">
        <f>SUMIFS('Отчет РПЗ(ПЗ)_ПЗИП'!$AG:$AG,'Отчет РПЗ(ПЗ)_ПЗИП'!$G:$G,Справочно!$C15,'Отчет РПЗ(ПЗ)_ПЗИП'!$AQ:$AQ,2,'Отчет РПЗ(ПЗ)_ПЗИП'!$AG:$AG,"&gt;0")</f>
        <v>0</v>
      </c>
      <c r="T31" s="46">
        <f>ПП!K19</f>
        <v>0</v>
      </c>
      <c r="U31" s="151">
        <f>COUNTIFS('Отчет РПЗ(ПЗ)_ПЗИП'!$G:$G,Справочно!$C15,'Отчет РПЗ(ПЗ)_ПЗИП'!$AQ:$AQ,3,'Отчет РПЗ(ПЗ)_ПЗИП'!$AG:$AG,"&gt;0")</f>
        <v>0</v>
      </c>
      <c r="V31" s="431">
        <f>ПП!L19</f>
        <v>0</v>
      </c>
      <c r="W31" s="375">
        <f>SUMIFS('Отчет РПЗ(ПЗ)_ПЗИП'!$AG:$AG,'Отчет РПЗ(ПЗ)_ПЗИП'!$G:$G,Справочно!$C15,'Отчет РПЗ(ПЗ)_ПЗИП'!$AQ:$AQ,3,'Отчет РПЗ(ПЗ)_ПЗИП'!$AG:$AG,"&gt;0")</f>
        <v>0</v>
      </c>
      <c r="X31" s="175">
        <f>ПП!M19</f>
        <v>0</v>
      </c>
      <c r="Y31" s="176">
        <f t="shared" si="3"/>
        <v>0</v>
      </c>
      <c r="Z31" s="430">
        <f t="shared" si="4"/>
        <v>0</v>
      </c>
      <c r="AA31" s="335">
        <f t="shared" si="5"/>
        <v>0</v>
      </c>
      <c r="AB31" s="163">
        <f>ПП!O19</f>
        <v>0</v>
      </c>
      <c r="AC31" s="187">
        <f>COUNTIFS('Отчет РПЗ(ПЗ)_ПЗИП'!$G:$G,Справочно!$C15,'Отчет РПЗ(ПЗ)_ПЗИП'!$AQ:$AQ,4,'Отчет РПЗ(ПЗ)_ПЗИП'!$AG:$AG,"&gt;0")</f>
        <v>0</v>
      </c>
      <c r="AD31" s="431">
        <f>ПП!P19</f>
        <v>0</v>
      </c>
      <c r="AE31" s="376">
        <f>SUMIFS('Отчет РПЗ(ПЗ)_ПЗИП'!$AG:$AG,'Отчет РПЗ(ПЗ)_ПЗИП'!$G:$G,Справочно!$C15,'Отчет РПЗ(ПЗ)_ПЗИП'!$AQ:$AQ,4,'Отчет РПЗ(ПЗ)_ПЗИП'!$AG:$AG,"&gt;0")</f>
        <v>0</v>
      </c>
      <c r="AF31" s="46">
        <f>ПП!Q19</f>
        <v>0</v>
      </c>
      <c r="AG31" s="187">
        <f>COUNTIFS('Отчет РПЗ(ПЗ)_ПЗИП'!$G:$G,Справочно!$C15,'Отчет РПЗ(ПЗ)_ПЗИП'!$AQ:$AQ,5,'Отчет РПЗ(ПЗ)_ПЗИП'!$AG:$AG,"&gt;0")</f>
        <v>0</v>
      </c>
      <c r="AH31" s="431">
        <f>ПП!R19</f>
        <v>0</v>
      </c>
      <c r="AI31" s="376">
        <f>SUMIFS('Отчет РПЗ(ПЗ)_ПЗИП'!$AG:$AG,'Отчет РПЗ(ПЗ)_ПЗИП'!$G:$G,Справочно!$C15,'Отчет РПЗ(ПЗ)_ПЗИП'!$AQ:$AQ,5,'Отчет РПЗ(ПЗ)_ПЗИП'!$AG:$AG,"&gt;0")</f>
        <v>0</v>
      </c>
      <c r="AJ31" s="46">
        <f>ПП!S19</f>
        <v>0</v>
      </c>
      <c r="AK31" s="187">
        <f>COUNTIFS('Отчет РПЗ(ПЗ)_ПЗИП'!$G:$G,Справочно!$C15,'Отчет РПЗ(ПЗ)_ПЗИП'!$AQ:$AQ,6,'Отчет РПЗ(ПЗ)_ПЗИП'!$AG:$AG,"&gt;0")</f>
        <v>0</v>
      </c>
      <c r="AL31" s="431">
        <f>ПП!T19</f>
        <v>0</v>
      </c>
      <c r="AM31" s="377">
        <f>SUMIFS('Отчет РПЗ(ПЗ)_ПЗИП'!$AG:$AG,'Отчет РПЗ(ПЗ)_ПЗИП'!$G:$G,Справочно!$C15,'Отчет РПЗ(ПЗ)_ПЗИП'!$AQ:$AQ,6,'Отчет РПЗ(ПЗ)_ПЗИП'!$AG:$AG,"&gt;0")</f>
        <v>0</v>
      </c>
      <c r="AN31" s="175">
        <f>ПП!U19</f>
        <v>0</v>
      </c>
      <c r="AO31" s="189">
        <f t="shared" si="6"/>
        <v>0</v>
      </c>
      <c r="AP31" s="430">
        <f t="shared" si="7"/>
        <v>0</v>
      </c>
      <c r="AQ31" s="337">
        <f t="shared" si="8"/>
        <v>0</v>
      </c>
      <c r="AR31" s="163">
        <f>ПП!W19</f>
        <v>0</v>
      </c>
      <c r="AS31" s="148">
        <f>COUNTIFS('Отчет РПЗ(ПЗ)_ПЗИП'!$G:$G,Справочно!$C15,'Отчет РПЗ(ПЗ)_ПЗИП'!$AQ:$AQ,7,'Отчет РПЗ(ПЗ)_ПЗИП'!$AG:$AG,"&gt;0")</f>
        <v>0</v>
      </c>
      <c r="AT31" s="431">
        <f>ПП!X19</f>
        <v>0</v>
      </c>
      <c r="AU31" s="378">
        <f>SUMIFS('Отчет РПЗ(ПЗ)_ПЗИП'!$AG:$AG,'Отчет РПЗ(ПЗ)_ПЗИП'!$G:$G,Справочно!$C15,'Отчет РПЗ(ПЗ)_ПЗИП'!$AQ:$AQ,7,'Отчет РПЗ(ПЗ)_ПЗИП'!$AG:$AG,"&gt;0")</f>
        <v>0</v>
      </c>
      <c r="AV31" s="46">
        <f>ПП!Y19</f>
        <v>0</v>
      </c>
      <c r="AW31" s="148">
        <f>COUNTIFS('Отчет РПЗ(ПЗ)_ПЗИП'!$G:$G,Справочно!$C15,'Отчет РПЗ(ПЗ)_ПЗИП'!$AQ:$AQ,8,'Отчет РПЗ(ПЗ)_ПЗИП'!$AG:$AG,"&gt;0")</f>
        <v>0</v>
      </c>
      <c r="AX31" s="431">
        <f>ПП!Z19</f>
        <v>0</v>
      </c>
      <c r="AY31" s="378">
        <f>SUMIFS('Отчет РПЗ(ПЗ)_ПЗИП'!$AG:$AG,'Отчет РПЗ(ПЗ)_ПЗИП'!$G:$G,Справочно!$C15,'Отчет РПЗ(ПЗ)_ПЗИП'!$AQ:$AQ,8,'Отчет РПЗ(ПЗ)_ПЗИП'!$AG:$AG,"&gt;0")</f>
        <v>0</v>
      </c>
      <c r="AZ31" s="46">
        <f>ПП!AA19</f>
        <v>0</v>
      </c>
      <c r="BA31" s="148">
        <f>COUNTIFS('Отчет РПЗ(ПЗ)_ПЗИП'!$G:$G,Справочно!$C15,'Отчет РПЗ(ПЗ)_ПЗИП'!$AQ:$AQ,9,'Отчет РПЗ(ПЗ)_ПЗИП'!$AG:$AG,"&gt;0")</f>
        <v>0</v>
      </c>
      <c r="BB31" s="431">
        <f>ПП!AB19</f>
        <v>0</v>
      </c>
      <c r="BC31" s="379">
        <f>SUMIFS('Отчет РПЗ(ПЗ)_ПЗИП'!$AG:$AG,'Отчет РПЗ(ПЗ)_ПЗИП'!$G:$G,Справочно!$C15,'Отчет РПЗ(ПЗ)_ПЗИП'!$AQ:$AQ,9,'Отчет РПЗ(ПЗ)_ПЗИП'!$AG:$AG,"&gt;0")</f>
        <v>0</v>
      </c>
      <c r="BD31" s="175">
        <f>ПП!AC19</f>
        <v>0</v>
      </c>
      <c r="BE31" s="184">
        <f t="shared" si="9"/>
        <v>0</v>
      </c>
      <c r="BF31" s="430">
        <f t="shared" si="10"/>
        <v>0</v>
      </c>
      <c r="BG31" s="339">
        <f t="shared" si="11"/>
        <v>0</v>
      </c>
      <c r="BH31" s="163">
        <f>ПП!AE19</f>
        <v>0</v>
      </c>
      <c r="BI31" s="181">
        <f>COUNTIFS('Отчет РПЗ(ПЗ)_ПЗИП'!$G:$G,Справочно!$C15,'Отчет РПЗ(ПЗ)_ПЗИП'!$AQ:$AQ,10,'Отчет РПЗ(ПЗ)_ПЗИП'!$AG:$AG,"&gt;0")</f>
        <v>0</v>
      </c>
      <c r="BJ31" s="431">
        <f>ПП!AF19</f>
        <v>0</v>
      </c>
      <c r="BK31" s="380">
        <f>SUMIFS('Отчет РПЗ(ПЗ)_ПЗИП'!$AG:$AG,'Отчет РПЗ(ПЗ)_ПЗИП'!$G:$G,Справочно!$C15,'Отчет РПЗ(ПЗ)_ПЗИП'!$AQ:$AQ,10,'Отчет РПЗ(ПЗ)_ПЗИП'!$AG:$AG,"&gt;0")</f>
        <v>0</v>
      </c>
      <c r="BL31" s="46">
        <f>ПП!AG19</f>
        <v>0</v>
      </c>
      <c r="BM31" s="181">
        <f>COUNTIFS('Отчет РПЗ(ПЗ)_ПЗИП'!$G:$G,Справочно!$C15,'Отчет РПЗ(ПЗ)_ПЗИП'!$AQ:$AQ,11,'Отчет РПЗ(ПЗ)_ПЗИП'!$AG:$AG,"&gt;0")</f>
        <v>0</v>
      </c>
      <c r="BN31" s="431">
        <f>ПП!AH19</f>
        <v>0</v>
      </c>
      <c r="BO31" s="380">
        <f>SUMIFS('Отчет РПЗ(ПЗ)_ПЗИП'!$AG:$AG,'Отчет РПЗ(ПЗ)_ПЗИП'!$G:$G,Справочно!$C15,'Отчет РПЗ(ПЗ)_ПЗИП'!$AQ:$AQ,11,'Отчет РПЗ(ПЗ)_ПЗИП'!$AG:$AG,"&gt;0")</f>
        <v>0</v>
      </c>
      <c r="BP31" s="46">
        <f>ПП!AI19</f>
        <v>0</v>
      </c>
      <c r="BQ31" s="181">
        <f>COUNTIFS('Отчет РПЗ(ПЗ)_ПЗИП'!$G:$G,Справочно!$C15,'Отчет РПЗ(ПЗ)_ПЗИП'!$AQ:$AQ,12,'Отчет РПЗ(ПЗ)_ПЗИП'!$AG:$AG,"&gt;0")</f>
        <v>0</v>
      </c>
      <c r="BR31" s="431">
        <f>ПП!AJ19</f>
        <v>0</v>
      </c>
      <c r="BS31" s="381">
        <f>SUMIFS('Отчет РПЗ(ПЗ)_ПЗИП'!$AG:$AG,'Отчет РПЗ(ПЗ)_ПЗИП'!$G:$G,Справочно!$C15,'Отчет РПЗ(ПЗ)_ПЗИП'!$AQ:$AQ,12,'Отчет РПЗ(ПЗ)_ПЗИП'!$AG:$AG,"&gt;0")</f>
        <v>0</v>
      </c>
      <c r="BT31" s="175">
        <f>ПП!AK19</f>
        <v>0</v>
      </c>
      <c r="BU31" s="183">
        <f t="shared" si="12"/>
        <v>0</v>
      </c>
      <c r="BV31" s="430">
        <f t="shared" si="13"/>
        <v>0</v>
      </c>
      <c r="BW31" s="341">
        <f t="shared" si="14"/>
        <v>0</v>
      </c>
    </row>
    <row r="32" spans="2:75" ht="13.5" customHeight="1" thickBot="1" x14ac:dyDescent="0.25">
      <c r="B32" s="87" t="s">
        <v>103</v>
      </c>
      <c r="C32" s="96">
        <f>ПП!B20</f>
        <v>0</v>
      </c>
      <c r="D32" s="418" t="e">
        <f>ПП!C20</f>
        <v>#DIV/0!</v>
      </c>
      <c r="E32" s="67">
        <f>COUNTIFS('Отчет РПЗ(ПЗ)_ПЗИП'!$G:$G,Справочно!$C16,'Отчет РПЗ(ПЗ)_ПЗИП'!AG:AG, "&gt;0")</f>
        <v>0</v>
      </c>
      <c r="F32" s="419" t="e">
        <f t="shared" si="1"/>
        <v>#DIV/0!</v>
      </c>
      <c r="G32" s="420">
        <f>ПП!D20</f>
        <v>0</v>
      </c>
      <c r="H32" s="421" t="e">
        <f>ПП!E20</f>
        <v>#DIV/0!</v>
      </c>
      <c r="I32" s="422">
        <f>SUMIF('Отчет РПЗ(ПЗ)_ПЗИП'!$G:$G,Справочно!$C16,'Отчет РПЗ(ПЗ)_ПЗИП'!$AG:$AG)</f>
        <v>0</v>
      </c>
      <c r="J32" s="419" t="e">
        <f t="shared" si="2"/>
        <v>#DIV/0!</v>
      </c>
      <c r="K32" s="65"/>
      <c r="L32" s="163">
        <f>ПП!G20</f>
        <v>0</v>
      </c>
      <c r="M32" s="151">
        <f>COUNTIFS('Отчет РПЗ(ПЗ)_ПЗИП'!$G:$G,Справочно!$C16,'Отчет РПЗ(ПЗ)_ПЗИП'!$AQ:$AQ,1,'Отчет РПЗ(ПЗ)_ПЗИП'!$AG:$AG,"&gt;0")</f>
        <v>0</v>
      </c>
      <c r="N32" s="431">
        <f>ПП!H20</f>
        <v>0</v>
      </c>
      <c r="O32" s="342">
        <f>SUMIFS('Отчет РПЗ(ПЗ)_ПЗИП'!$AG:$AG,'Отчет РПЗ(ПЗ)_ПЗИП'!$G:$G,Справочно!$C16,'Отчет РПЗ(ПЗ)_ПЗИП'!$AQ:$AQ,1,'Отчет РПЗ(ПЗ)_ПЗИП'!$AG:$AG,"&gt;0")</f>
        <v>0</v>
      </c>
      <c r="P32" s="46">
        <f>ПП!I20</f>
        <v>0</v>
      </c>
      <c r="Q32" s="151">
        <f>COUNTIFS('Отчет РПЗ(ПЗ)_ПЗИП'!$G:$G,Справочно!$C16,'Отчет РПЗ(ПЗ)_ПЗИП'!$AQ:$AQ,2,'Отчет РПЗ(ПЗ)_ПЗИП'!$AG:$AG,"&gt;0")</f>
        <v>0</v>
      </c>
      <c r="R32" s="431">
        <f>ПП!J20</f>
        <v>0</v>
      </c>
      <c r="S32" s="342">
        <f>SUMIFS('Отчет РПЗ(ПЗ)_ПЗИП'!$AG:$AG,'Отчет РПЗ(ПЗ)_ПЗИП'!$G:$G,Справочно!$C16,'Отчет РПЗ(ПЗ)_ПЗИП'!$AQ:$AQ,2,'Отчет РПЗ(ПЗ)_ПЗИП'!$AG:$AG,"&gt;0")</f>
        <v>0</v>
      </c>
      <c r="T32" s="46">
        <f>ПП!K20</f>
        <v>0</v>
      </c>
      <c r="U32" s="151">
        <f>COUNTIFS('Отчет РПЗ(ПЗ)_ПЗИП'!$G:$G,Справочно!$C16,'Отчет РПЗ(ПЗ)_ПЗИП'!$AQ:$AQ,3,'Отчет РПЗ(ПЗ)_ПЗИП'!$AG:$AG,"&gt;0")</f>
        <v>0</v>
      </c>
      <c r="V32" s="431">
        <f>ПП!L20</f>
        <v>0</v>
      </c>
      <c r="W32" s="375">
        <f>SUMIFS('Отчет РПЗ(ПЗ)_ПЗИП'!$AG:$AG,'Отчет РПЗ(ПЗ)_ПЗИП'!$G:$G,Справочно!$C16,'Отчет РПЗ(ПЗ)_ПЗИП'!$AQ:$AQ,3,'Отчет РПЗ(ПЗ)_ПЗИП'!$AG:$AG,"&gt;0")</f>
        <v>0</v>
      </c>
      <c r="X32" s="175">
        <f>ПП!M20</f>
        <v>0</v>
      </c>
      <c r="Y32" s="176">
        <f t="shared" si="3"/>
        <v>0</v>
      </c>
      <c r="Z32" s="430">
        <f t="shared" si="4"/>
        <v>0</v>
      </c>
      <c r="AA32" s="335">
        <f t="shared" si="5"/>
        <v>0</v>
      </c>
      <c r="AB32" s="163">
        <f>ПП!O20</f>
        <v>0</v>
      </c>
      <c r="AC32" s="187">
        <f>COUNTIFS('Отчет РПЗ(ПЗ)_ПЗИП'!$G:$G,Справочно!$C16,'Отчет РПЗ(ПЗ)_ПЗИП'!$AQ:$AQ,4,'Отчет РПЗ(ПЗ)_ПЗИП'!$AG:$AG,"&gt;0")</f>
        <v>0</v>
      </c>
      <c r="AD32" s="431">
        <f>ПП!P20</f>
        <v>0</v>
      </c>
      <c r="AE32" s="376">
        <f>SUMIFS('Отчет РПЗ(ПЗ)_ПЗИП'!$AG:$AG,'Отчет РПЗ(ПЗ)_ПЗИП'!$G:$G,Справочно!$C16,'Отчет РПЗ(ПЗ)_ПЗИП'!$AQ:$AQ,4,'Отчет РПЗ(ПЗ)_ПЗИП'!$AG:$AG,"&gt;0")</f>
        <v>0</v>
      </c>
      <c r="AF32" s="46">
        <f>ПП!Q20</f>
        <v>0</v>
      </c>
      <c r="AG32" s="187">
        <f>COUNTIFS('Отчет РПЗ(ПЗ)_ПЗИП'!$G:$G,Справочно!$C16,'Отчет РПЗ(ПЗ)_ПЗИП'!$AQ:$AQ,5,'Отчет РПЗ(ПЗ)_ПЗИП'!$AG:$AG,"&gt;0")</f>
        <v>0</v>
      </c>
      <c r="AH32" s="431">
        <f>ПП!R20</f>
        <v>0</v>
      </c>
      <c r="AI32" s="376">
        <f>SUMIFS('Отчет РПЗ(ПЗ)_ПЗИП'!$AG:$AG,'Отчет РПЗ(ПЗ)_ПЗИП'!$G:$G,Справочно!$C16,'Отчет РПЗ(ПЗ)_ПЗИП'!$AQ:$AQ,5,'Отчет РПЗ(ПЗ)_ПЗИП'!$AG:$AG,"&gt;0")</f>
        <v>0</v>
      </c>
      <c r="AJ32" s="46">
        <f>ПП!S20</f>
        <v>0</v>
      </c>
      <c r="AK32" s="187">
        <f>COUNTIFS('Отчет РПЗ(ПЗ)_ПЗИП'!$G:$G,Справочно!$C16,'Отчет РПЗ(ПЗ)_ПЗИП'!$AQ:$AQ,6,'Отчет РПЗ(ПЗ)_ПЗИП'!$AG:$AG,"&gt;0")</f>
        <v>0</v>
      </c>
      <c r="AL32" s="431">
        <f>ПП!T20</f>
        <v>0</v>
      </c>
      <c r="AM32" s="377">
        <f>SUMIFS('Отчет РПЗ(ПЗ)_ПЗИП'!$AG:$AG,'Отчет РПЗ(ПЗ)_ПЗИП'!$G:$G,Справочно!$C16,'Отчет РПЗ(ПЗ)_ПЗИП'!$AQ:$AQ,6,'Отчет РПЗ(ПЗ)_ПЗИП'!$AG:$AG,"&gt;0")</f>
        <v>0</v>
      </c>
      <c r="AN32" s="175">
        <f>ПП!U20</f>
        <v>0</v>
      </c>
      <c r="AO32" s="189">
        <f t="shared" si="6"/>
        <v>0</v>
      </c>
      <c r="AP32" s="430">
        <f t="shared" si="7"/>
        <v>0</v>
      </c>
      <c r="AQ32" s="337">
        <f t="shared" si="8"/>
        <v>0</v>
      </c>
      <c r="AR32" s="163">
        <f>ПП!W20</f>
        <v>0</v>
      </c>
      <c r="AS32" s="148">
        <f>COUNTIFS('Отчет РПЗ(ПЗ)_ПЗИП'!$G:$G,Справочно!$C16,'Отчет РПЗ(ПЗ)_ПЗИП'!$AQ:$AQ,7,'Отчет РПЗ(ПЗ)_ПЗИП'!$AG:$AG,"&gt;0")</f>
        <v>0</v>
      </c>
      <c r="AT32" s="431">
        <f>ПП!X20</f>
        <v>0</v>
      </c>
      <c r="AU32" s="378">
        <f>SUMIFS('Отчет РПЗ(ПЗ)_ПЗИП'!$AG:$AG,'Отчет РПЗ(ПЗ)_ПЗИП'!$G:$G,Справочно!$C16,'Отчет РПЗ(ПЗ)_ПЗИП'!$AQ:$AQ,7,'Отчет РПЗ(ПЗ)_ПЗИП'!$AG:$AG,"&gt;0")</f>
        <v>0</v>
      </c>
      <c r="AV32" s="46">
        <f>ПП!Y20</f>
        <v>0</v>
      </c>
      <c r="AW32" s="148">
        <f>COUNTIFS('Отчет РПЗ(ПЗ)_ПЗИП'!$G:$G,Справочно!$C16,'Отчет РПЗ(ПЗ)_ПЗИП'!$AQ:$AQ,8,'Отчет РПЗ(ПЗ)_ПЗИП'!$AG:$AG,"&gt;0")</f>
        <v>0</v>
      </c>
      <c r="AX32" s="431">
        <f>ПП!Z20</f>
        <v>0</v>
      </c>
      <c r="AY32" s="378">
        <f>SUMIFS('Отчет РПЗ(ПЗ)_ПЗИП'!$AG:$AG,'Отчет РПЗ(ПЗ)_ПЗИП'!$G:$G,Справочно!$C16,'Отчет РПЗ(ПЗ)_ПЗИП'!$AQ:$AQ,8,'Отчет РПЗ(ПЗ)_ПЗИП'!$AG:$AG,"&gt;0")</f>
        <v>0</v>
      </c>
      <c r="AZ32" s="46">
        <f>ПП!AA20</f>
        <v>0</v>
      </c>
      <c r="BA32" s="148">
        <f>COUNTIFS('Отчет РПЗ(ПЗ)_ПЗИП'!$G:$G,Справочно!$C16,'Отчет РПЗ(ПЗ)_ПЗИП'!$AQ:$AQ,9,'Отчет РПЗ(ПЗ)_ПЗИП'!$AG:$AG,"&gt;0")</f>
        <v>0</v>
      </c>
      <c r="BB32" s="431">
        <f>ПП!AB20</f>
        <v>0</v>
      </c>
      <c r="BC32" s="379">
        <f>SUMIFS('Отчет РПЗ(ПЗ)_ПЗИП'!$AG:$AG,'Отчет РПЗ(ПЗ)_ПЗИП'!$G:$G,Справочно!$C16,'Отчет РПЗ(ПЗ)_ПЗИП'!$AQ:$AQ,9,'Отчет РПЗ(ПЗ)_ПЗИП'!$AG:$AG,"&gt;0")</f>
        <v>0</v>
      </c>
      <c r="BD32" s="175">
        <f>ПП!AC20</f>
        <v>0</v>
      </c>
      <c r="BE32" s="184">
        <f t="shared" si="9"/>
        <v>0</v>
      </c>
      <c r="BF32" s="430">
        <f t="shared" si="10"/>
        <v>0</v>
      </c>
      <c r="BG32" s="339">
        <f t="shared" si="11"/>
        <v>0</v>
      </c>
      <c r="BH32" s="163">
        <f>ПП!AE20</f>
        <v>0</v>
      </c>
      <c r="BI32" s="181">
        <f>COUNTIFS('Отчет РПЗ(ПЗ)_ПЗИП'!$G:$G,Справочно!$C16,'Отчет РПЗ(ПЗ)_ПЗИП'!$AQ:$AQ,10,'Отчет РПЗ(ПЗ)_ПЗИП'!$AG:$AG,"&gt;0")</f>
        <v>0</v>
      </c>
      <c r="BJ32" s="431">
        <f>ПП!AF20</f>
        <v>0</v>
      </c>
      <c r="BK32" s="380">
        <f>SUMIFS('Отчет РПЗ(ПЗ)_ПЗИП'!$AG:$AG,'Отчет РПЗ(ПЗ)_ПЗИП'!$G:$G,Справочно!$C16,'Отчет РПЗ(ПЗ)_ПЗИП'!$AQ:$AQ,10,'Отчет РПЗ(ПЗ)_ПЗИП'!$AG:$AG,"&gt;0")</f>
        <v>0</v>
      </c>
      <c r="BL32" s="46">
        <f>ПП!AG20</f>
        <v>0</v>
      </c>
      <c r="BM32" s="181">
        <f>COUNTIFS('Отчет РПЗ(ПЗ)_ПЗИП'!$G:$G,Справочно!$C16,'Отчет РПЗ(ПЗ)_ПЗИП'!$AQ:$AQ,11,'Отчет РПЗ(ПЗ)_ПЗИП'!$AG:$AG,"&gt;0")</f>
        <v>0</v>
      </c>
      <c r="BN32" s="431">
        <f>ПП!AH20</f>
        <v>0</v>
      </c>
      <c r="BO32" s="380">
        <f>SUMIFS('Отчет РПЗ(ПЗ)_ПЗИП'!$AG:$AG,'Отчет РПЗ(ПЗ)_ПЗИП'!$G:$G,Справочно!$C16,'Отчет РПЗ(ПЗ)_ПЗИП'!$AQ:$AQ,11,'Отчет РПЗ(ПЗ)_ПЗИП'!$AG:$AG,"&gt;0")</f>
        <v>0</v>
      </c>
      <c r="BP32" s="46">
        <f>ПП!AI20</f>
        <v>0</v>
      </c>
      <c r="BQ32" s="181">
        <f>COUNTIFS('Отчет РПЗ(ПЗ)_ПЗИП'!$G:$G,Справочно!$C16,'Отчет РПЗ(ПЗ)_ПЗИП'!$AQ:$AQ,12,'Отчет РПЗ(ПЗ)_ПЗИП'!$AG:$AG,"&gt;0")</f>
        <v>0</v>
      </c>
      <c r="BR32" s="431">
        <f>ПП!AJ20</f>
        <v>0</v>
      </c>
      <c r="BS32" s="381">
        <f>SUMIFS('Отчет РПЗ(ПЗ)_ПЗИП'!$AG:$AG,'Отчет РПЗ(ПЗ)_ПЗИП'!$G:$G,Справочно!$C16,'Отчет РПЗ(ПЗ)_ПЗИП'!$AQ:$AQ,12,'Отчет РПЗ(ПЗ)_ПЗИП'!$AG:$AG,"&gt;0")</f>
        <v>0</v>
      </c>
      <c r="BT32" s="175">
        <f>ПП!AK20</f>
        <v>0</v>
      </c>
      <c r="BU32" s="183">
        <f t="shared" si="12"/>
        <v>0</v>
      </c>
      <c r="BV32" s="430">
        <f t="shared" si="13"/>
        <v>0</v>
      </c>
      <c r="BW32" s="341">
        <f t="shared" si="14"/>
        <v>0</v>
      </c>
    </row>
    <row r="33" spans="2:75" ht="12.75" customHeight="1" thickBot="1" x14ac:dyDescent="0.25">
      <c r="B33" s="87" t="s">
        <v>250</v>
      </c>
      <c r="C33" s="96">
        <f>ПП!B21</f>
        <v>0</v>
      </c>
      <c r="D33" s="418" t="e">
        <f>ПП!C21</f>
        <v>#DIV/0!</v>
      </c>
      <c r="E33" s="67">
        <f>COUNTIFS('Отчет РПЗ(ПЗ)_ПЗИП'!$G:$G,Справочно!$C17,'Отчет РПЗ(ПЗ)_ПЗИП'!AG:AG, "&gt;0")</f>
        <v>0</v>
      </c>
      <c r="F33" s="419" t="e">
        <f t="shared" si="1"/>
        <v>#DIV/0!</v>
      </c>
      <c r="G33" s="420">
        <f>ПП!D21</f>
        <v>0</v>
      </c>
      <c r="H33" s="421" t="e">
        <f>ПП!E21</f>
        <v>#DIV/0!</v>
      </c>
      <c r="I33" s="422">
        <f>SUMIF('Отчет РПЗ(ПЗ)_ПЗИП'!$G:$G,Справочно!$C17,'Отчет РПЗ(ПЗ)_ПЗИП'!$AG:$AG)</f>
        <v>0</v>
      </c>
      <c r="J33" s="419" t="e">
        <f t="shared" si="2"/>
        <v>#DIV/0!</v>
      </c>
      <c r="K33" s="65"/>
      <c r="L33" s="163">
        <f>ПП!G21</f>
        <v>0</v>
      </c>
      <c r="M33" s="151">
        <f>COUNTIFS('Отчет РПЗ(ПЗ)_ПЗИП'!$G:$G,Справочно!$C17,'Отчет РПЗ(ПЗ)_ПЗИП'!$AQ:$AQ,1,'Отчет РПЗ(ПЗ)_ПЗИП'!$AG:$AG,"&gt;0")</f>
        <v>0</v>
      </c>
      <c r="N33" s="431">
        <f>ПП!H21</f>
        <v>0</v>
      </c>
      <c r="O33" s="342">
        <f>SUMIFS('Отчет РПЗ(ПЗ)_ПЗИП'!$AG:$AG,'Отчет РПЗ(ПЗ)_ПЗИП'!$G:$G,Справочно!$C17,'Отчет РПЗ(ПЗ)_ПЗИП'!$AQ:$AQ,1,'Отчет РПЗ(ПЗ)_ПЗИП'!$AG:$AG,"&gt;0")</f>
        <v>0</v>
      </c>
      <c r="P33" s="46">
        <f>ПП!I21</f>
        <v>0</v>
      </c>
      <c r="Q33" s="151">
        <f>COUNTIFS('Отчет РПЗ(ПЗ)_ПЗИП'!$G:$G,Справочно!$C17,'Отчет РПЗ(ПЗ)_ПЗИП'!$AQ:$AQ,2,'Отчет РПЗ(ПЗ)_ПЗИП'!$AG:$AG,"&gt;0")</f>
        <v>0</v>
      </c>
      <c r="R33" s="431">
        <f>ПП!J21</f>
        <v>0</v>
      </c>
      <c r="S33" s="342">
        <f>SUMIFS('Отчет РПЗ(ПЗ)_ПЗИП'!$AG:$AG,'Отчет РПЗ(ПЗ)_ПЗИП'!$G:$G,Справочно!$C17,'Отчет РПЗ(ПЗ)_ПЗИП'!$AQ:$AQ,2,'Отчет РПЗ(ПЗ)_ПЗИП'!$AG:$AG,"&gt;0")</f>
        <v>0</v>
      </c>
      <c r="T33" s="46">
        <f>ПП!K21</f>
        <v>0</v>
      </c>
      <c r="U33" s="151">
        <f>COUNTIFS('Отчет РПЗ(ПЗ)_ПЗИП'!$G:$G,Справочно!$C17,'Отчет РПЗ(ПЗ)_ПЗИП'!$AQ:$AQ,3,'Отчет РПЗ(ПЗ)_ПЗИП'!$AG:$AG,"&gt;0")</f>
        <v>0</v>
      </c>
      <c r="V33" s="431">
        <f>ПП!L21</f>
        <v>0</v>
      </c>
      <c r="W33" s="375">
        <f>SUMIFS('Отчет РПЗ(ПЗ)_ПЗИП'!$AG:$AG,'Отчет РПЗ(ПЗ)_ПЗИП'!$G:$G,Справочно!$C17,'Отчет РПЗ(ПЗ)_ПЗИП'!$AQ:$AQ,3,'Отчет РПЗ(ПЗ)_ПЗИП'!$AG:$AG,"&gt;0")</f>
        <v>0</v>
      </c>
      <c r="X33" s="175">
        <f>ПП!M21</f>
        <v>0</v>
      </c>
      <c r="Y33" s="176">
        <f t="shared" si="3"/>
        <v>0</v>
      </c>
      <c r="Z33" s="430">
        <f t="shared" si="4"/>
        <v>0</v>
      </c>
      <c r="AA33" s="335">
        <f t="shared" si="5"/>
        <v>0</v>
      </c>
      <c r="AB33" s="163">
        <f>ПП!O21</f>
        <v>0</v>
      </c>
      <c r="AC33" s="187">
        <f>COUNTIFS('Отчет РПЗ(ПЗ)_ПЗИП'!$G:$G,Справочно!$C17,'Отчет РПЗ(ПЗ)_ПЗИП'!$AQ:$AQ,4,'Отчет РПЗ(ПЗ)_ПЗИП'!$AG:$AG,"&gt;0")</f>
        <v>0</v>
      </c>
      <c r="AD33" s="431">
        <f>ПП!P21</f>
        <v>0</v>
      </c>
      <c r="AE33" s="376">
        <f>SUMIFS('Отчет РПЗ(ПЗ)_ПЗИП'!$AG:$AG,'Отчет РПЗ(ПЗ)_ПЗИП'!$G:$G,Справочно!$C17,'Отчет РПЗ(ПЗ)_ПЗИП'!$AQ:$AQ,4,'Отчет РПЗ(ПЗ)_ПЗИП'!$AG:$AG,"&gt;0")</f>
        <v>0</v>
      </c>
      <c r="AF33" s="46">
        <f>ПП!Q21</f>
        <v>0</v>
      </c>
      <c r="AG33" s="187">
        <f>COUNTIFS('Отчет РПЗ(ПЗ)_ПЗИП'!$G:$G,Справочно!$C17,'Отчет РПЗ(ПЗ)_ПЗИП'!$AQ:$AQ,5,'Отчет РПЗ(ПЗ)_ПЗИП'!$AG:$AG,"&gt;0")</f>
        <v>0</v>
      </c>
      <c r="AH33" s="431">
        <f>ПП!R21</f>
        <v>0</v>
      </c>
      <c r="AI33" s="376">
        <f>SUMIFS('Отчет РПЗ(ПЗ)_ПЗИП'!$AG:$AG,'Отчет РПЗ(ПЗ)_ПЗИП'!$G:$G,Справочно!$C17,'Отчет РПЗ(ПЗ)_ПЗИП'!$AQ:$AQ,5,'Отчет РПЗ(ПЗ)_ПЗИП'!$AG:$AG,"&gt;0")</f>
        <v>0</v>
      </c>
      <c r="AJ33" s="46">
        <f>ПП!S21</f>
        <v>0</v>
      </c>
      <c r="AK33" s="187">
        <f>COUNTIFS('Отчет РПЗ(ПЗ)_ПЗИП'!$G:$G,Справочно!$C17,'Отчет РПЗ(ПЗ)_ПЗИП'!$AQ:$AQ,6,'Отчет РПЗ(ПЗ)_ПЗИП'!$AG:$AG,"&gt;0")</f>
        <v>0</v>
      </c>
      <c r="AL33" s="431">
        <f>ПП!T21</f>
        <v>0</v>
      </c>
      <c r="AM33" s="377">
        <f>SUMIFS('Отчет РПЗ(ПЗ)_ПЗИП'!$AG:$AG,'Отчет РПЗ(ПЗ)_ПЗИП'!$G:$G,Справочно!$C17,'Отчет РПЗ(ПЗ)_ПЗИП'!$AQ:$AQ,6,'Отчет РПЗ(ПЗ)_ПЗИП'!$AG:$AG,"&gt;0")</f>
        <v>0</v>
      </c>
      <c r="AN33" s="175">
        <f>ПП!U21</f>
        <v>0</v>
      </c>
      <c r="AO33" s="189">
        <f t="shared" si="6"/>
        <v>0</v>
      </c>
      <c r="AP33" s="430">
        <f t="shared" si="7"/>
        <v>0</v>
      </c>
      <c r="AQ33" s="337">
        <f t="shared" si="8"/>
        <v>0</v>
      </c>
      <c r="AR33" s="163">
        <f>ПП!W21</f>
        <v>0</v>
      </c>
      <c r="AS33" s="148">
        <f>COUNTIFS('Отчет РПЗ(ПЗ)_ПЗИП'!$G:$G,Справочно!$C17,'Отчет РПЗ(ПЗ)_ПЗИП'!$AQ:$AQ,7,'Отчет РПЗ(ПЗ)_ПЗИП'!$AG:$AG,"&gt;0")</f>
        <v>0</v>
      </c>
      <c r="AT33" s="431">
        <f>ПП!X21</f>
        <v>0</v>
      </c>
      <c r="AU33" s="378">
        <f>SUMIFS('Отчет РПЗ(ПЗ)_ПЗИП'!$AG:$AG,'Отчет РПЗ(ПЗ)_ПЗИП'!$G:$G,Справочно!$C17,'Отчет РПЗ(ПЗ)_ПЗИП'!$AQ:$AQ,7,'Отчет РПЗ(ПЗ)_ПЗИП'!$AG:$AG,"&gt;0")</f>
        <v>0</v>
      </c>
      <c r="AV33" s="46">
        <f>ПП!Y21</f>
        <v>0</v>
      </c>
      <c r="AW33" s="148">
        <f>COUNTIFS('Отчет РПЗ(ПЗ)_ПЗИП'!$G:$G,Справочно!$C17,'Отчет РПЗ(ПЗ)_ПЗИП'!$AQ:$AQ,8,'Отчет РПЗ(ПЗ)_ПЗИП'!$AG:$AG,"&gt;0")</f>
        <v>0</v>
      </c>
      <c r="AX33" s="431">
        <f>ПП!Z21</f>
        <v>0</v>
      </c>
      <c r="AY33" s="378">
        <f>SUMIFS('Отчет РПЗ(ПЗ)_ПЗИП'!$AG:$AG,'Отчет РПЗ(ПЗ)_ПЗИП'!$G:$G,Справочно!$C17,'Отчет РПЗ(ПЗ)_ПЗИП'!$AQ:$AQ,8,'Отчет РПЗ(ПЗ)_ПЗИП'!$AG:$AG,"&gt;0")</f>
        <v>0</v>
      </c>
      <c r="AZ33" s="46">
        <f>ПП!AA21</f>
        <v>0</v>
      </c>
      <c r="BA33" s="148">
        <f>COUNTIFS('Отчет РПЗ(ПЗ)_ПЗИП'!$G:$G,Справочно!$C17,'Отчет РПЗ(ПЗ)_ПЗИП'!$AQ:$AQ,9,'Отчет РПЗ(ПЗ)_ПЗИП'!$AG:$AG,"&gt;0")</f>
        <v>0</v>
      </c>
      <c r="BB33" s="431">
        <f>ПП!AB21</f>
        <v>0</v>
      </c>
      <c r="BC33" s="379">
        <f>SUMIFS('Отчет РПЗ(ПЗ)_ПЗИП'!$AG:$AG,'Отчет РПЗ(ПЗ)_ПЗИП'!$G:$G,Справочно!$C17,'Отчет РПЗ(ПЗ)_ПЗИП'!$AQ:$AQ,9,'Отчет РПЗ(ПЗ)_ПЗИП'!$AG:$AG,"&gt;0")</f>
        <v>0</v>
      </c>
      <c r="BD33" s="175">
        <f>ПП!AC21</f>
        <v>0</v>
      </c>
      <c r="BE33" s="184">
        <f t="shared" si="9"/>
        <v>0</v>
      </c>
      <c r="BF33" s="430">
        <f t="shared" si="10"/>
        <v>0</v>
      </c>
      <c r="BG33" s="339">
        <f t="shared" si="11"/>
        <v>0</v>
      </c>
      <c r="BH33" s="163">
        <f>ПП!AE21</f>
        <v>0</v>
      </c>
      <c r="BI33" s="181">
        <f>COUNTIFS('Отчет РПЗ(ПЗ)_ПЗИП'!$G:$G,Справочно!$C17,'Отчет РПЗ(ПЗ)_ПЗИП'!$AQ:$AQ,10,'Отчет РПЗ(ПЗ)_ПЗИП'!$AG:$AG,"&gt;0")</f>
        <v>0</v>
      </c>
      <c r="BJ33" s="431">
        <f>ПП!AF21</f>
        <v>0</v>
      </c>
      <c r="BK33" s="380">
        <f>SUMIFS('Отчет РПЗ(ПЗ)_ПЗИП'!$AG:$AG,'Отчет РПЗ(ПЗ)_ПЗИП'!$G:$G,Справочно!$C17,'Отчет РПЗ(ПЗ)_ПЗИП'!$AQ:$AQ,10,'Отчет РПЗ(ПЗ)_ПЗИП'!$AG:$AG,"&gt;0")</f>
        <v>0</v>
      </c>
      <c r="BL33" s="46">
        <f>ПП!AG21</f>
        <v>0</v>
      </c>
      <c r="BM33" s="181">
        <f>COUNTIFS('Отчет РПЗ(ПЗ)_ПЗИП'!$G:$G,Справочно!$C17,'Отчет РПЗ(ПЗ)_ПЗИП'!$AQ:$AQ,11,'Отчет РПЗ(ПЗ)_ПЗИП'!$AG:$AG,"&gt;0")</f>
        <v>0</v>
      </c>
      <c r="BN33" s="431">
        <f>ПП!AH21</f>
        <v>0</v>
      </c>
      <c r="BO33" s="380">
        <f>SUMIFS('Отчет РПЗ(ПЗ)_ПЗИП'!$AG:$AG,'Отчет РПЗ(ПЗ)_ПЗИП'!$G:$G,Справочно!$C17,'Отчет РПЗ(ПЗ)_ПЗИП'!$AQ:$AQ,11,'Отчет РПЗ(ПЗ)_ПЗИП'!$AG:$AG,"&gt;0")</f>
        <v>0</v>
      </c>
      <c r="BP33" s="46">
        <f>ПП!AI21</f>
        <v>0</v>
      </c>
      <c r="BQ33" s="181">
        <f>COUNTIFS('Отчет РПЗ(ПЗ)_ПЗИП'!$G:$G,Справочно!$C17,'Отчет РПЗ(ПЗ)_ПЗИП'!$AQ:$AQ,12,'Отчет РПЗ(ПЗ)_ПЗИП'!$AG:$AG,"&gt;0")</f>
        <v>0</v>
      </c>
      <c r="BR33" s="431">
        <f>ПП!AJ21</f>
        <v>0</v>
      </c>
      <c r="BS33" s="381">
        <f>SUMIFS('Отчет РПЗ(ПЗ)_ПЗИП'!$AG:$AG,'Отчет РПЗ(ПЗ)_ПЗИП'!$G:$G,Справочно!$C17,'Отчет РПЗ(ПЗ)_ПЗИП'!$AQ:$AQ,12,'Отчет РПЗ(ПЗ)_ПЗИП'!$AG:$AG,"&gt;0")</f>
        <v>0</v>
      </c>
      <c r="BT33" s="175">
        <f>ПП!AK21</f>
        <v>0</v>
      </c>
      <c r="BU33" s="183">
        <f t="shared" si="12"/>
        <v>0</v>
      </c>
      <c r="BV33" s="430">
        <f t="shared" si="13"/>
        <v>0</v>
      </c>
      <c r="BW33" s="341">
        <f t="shared" si="14"/>
        <v>0</v>
      </c>
    </row>
    <row r="34" spans="2:75" ht="13.5" thickBot="1" x14ac:dyDescent="0.25">
      <c r="B34" s="87" t="s">
        <v>105</v>
      </c>
      <c r="C34" s="96">
        <f>ПП!B22</f>
        <v>0</v>
      </c>
      <c r="D34" s="418" t="e">
        <f>ПП!C22</f>
        <v>#DIV/0!</v>
      </c>
      <c r="E34" s="67">
        <f>COUNTIFS('Отчет РПЗ(ПЗ)_ПЗИП'!$G:$G,Справочно!$C18,'Отчет РПЗ(ПЗ)_ПЗИП'!AG:AG, "&gt;0")</f>
        <v>0</v>
      </c>
      <c r="F34" s="419" t="e">
        <f t="shared" si="1"/>
        <v>#DIV/0!</v>
      </c>
      <c r="G34" s="420">
        <f>ПП!D22</f>
        <v>0</v>
      </c>
      <c r="H34" s="421" t="e">
        <f>ПП!E22</f>
        <v>#DIV/0!</v>
      </c>
      <c r="I34" s="422">
        <f>SUMIF('Отчет РПЗ(ПЗ)_ПЗИП'!$G:$G,Справочно!$C18,'Отчет РПЗ(ПЗ)_ПЗИП'!$AG:$AG)</f>
        <v>0</v>
      </c>
      <c r="J34" s="419" t="e">
        <f t="shared" si="2"/>
        <v>#DIV/0!</v>
      </c>
      <c r="K34" s="65"/>
      <c r="L34" s="163">
        <f>ПП!G22</f>
        <v>0</v>
      </c>
      <c r="M34" s="151">
        <f>COUNTIFS('Отчет РПЗ(ПЗ)_ПЗИП'!$G:$G,Справочно!$C18,'Отчет РПЗ(ПЗ)_ПЗИП'!$AQ:$AQ,1,'Отчет РПЗ(ПЗ)_ПЗИП'!$AG:$AG,"&gt;0")</f>
        <v>0</v>
      </c>
      <c r="N34" s="431">
        <f>ПП!H22</f>
        <v>0</v>
      </c>
      <c r="O34" s="342">
        <f>SUMIFS('Отчет РПЗ(ПЗ)_ПЗИП'!$AG:$AG,'Отчет РПЗ(ПЗ)_ПЗИП'!$G:$G,Справочно!$C18,'Отчет РПЗ(ПЗ)_ПЗИП'!$AQ:$AQ,1,'Отчет РПЗ(ПЗ)_ПЗИП'!$AG:$AG,"&gt;0")</f>
        <v>0</v>
      </c>
      <c r="P34" s="46">
        <f>ПП!I22</f>
        <v>0</v>
      </c>
      <c r="Q34" s="151">
        <f>COUNTIFS('Отчет РПЗ(ПЗ)_ПЗИП'!$G:$G,Справочно!$C18,'Отчет РПЗ(ПЗ)_ПЗИП'!$AQ:$AQ,2,'Отчет РПЗ(ПЗ)_ПЗИП'!$AG:$AG,"&gt;0")</f>
        <v>0</v>
      </c>
      <c r="R34" s="431">
        <f>ПП!J22</f>
        <v>0</v>
      </c>
      <c r="S34" s="342">
        <f>SUMIFS('Отчет РПЗ(ПЗ)_ПЗИП'!$AG:$AG,'Отчет РПЗ(ПЗ)_ПЗИП'!$G:$G,Справочно!$C18,'Отчет РПЗ(ПЗ)_ПЗИП'!$AQ:$AQ,2,'Отчет РПЗ(ПЗ)_ПЗИП'!$AG:$AG,"&gt;0")</f>
        <v>0</v>
      </c>
      <c r="T34" s="46">
        <f>ПП!K22</f>
        <v>0</v>
      </c>
      <c r="U34" s="151">
        <f>COUNTIFS('Отчет РПЗ(ПЗ)_ПЗИП'!$G:$G,Справочно!$C18,'Отчет РПЗ(ПЗ)_ПЗИП'!$AQ:$AQ,3,'Отчет РПЗ(ПЗ)_ПЗИП'!$AG:$AG,"&gt;0")</f>
        <v>0</v>
      </c>
      <c r="V34" s="431">
        <f>ПП!L22</f>
        <v>0</v>
      </c>
      <c r="W34" s="375">
        <f>SUMIFS('Отчет РПЗ(ПЗ)_ПЗИП'!$AG:$AG,'Отчет РПЗ(ПЗ)_ПЗИП'!$G:$G,Справочно!$C18,'Отчет РПЗ(ПЗ)_ПЗИП'!$AQ:$AQ,3,'Отчет РПЗ(ПЗ)_ПЗИП'!$AG:$AG,"&gt;0")</f>
        <v>0</v>
      </c>
      <c r="X34" s="175">
        <f>ПП!M22</f>
        <v>0</v>
      </c>
      <c r="Y34" s="176">
        <f t="shared" si="3"/>
        <v>0</v>
      </c>
      <c r="Z34" s="430">
        <f t="shared" si="4"/>
        <v>0</v>
      </c>
      <c r="AA34" s="335">
        <f t="shared" si="5"/>
        <v>0</v>
      </c>
      <c r="AB34" s="163">
        <f>ПП!O22</f>
        <v>0</v>
      </c>
      <c r="AC34" s="187">
        <f>COUNTIFS('Отчет РПЗ(ПЗ)_ПЗИП'!$G:$G,Справочно!$C18,'Отчет РПЗ(ПЗ)_ПЗИП'!$AQ:$AQ,4,'Отчет РПЗ(ПЗ)_ПЗИП'!$AG:$AG,"&gt;0")</f>
        <v>0</v>
      </c>
      <c r="AD34" s="431">
        <f>ПП!P22</f>
        <v>0</v>
      </c>
      <c r="AE34" s="376">
        <f>SUMIFS('Отчет РПЗ(ПЗ)_ПЗИП'!$AG:$AG,'Отчет РПЗ(ПЗ)_ПЗИП'!$G:$G,Справочно!$C18,'Отчет РПЗ(ПЗ)_ПЗИП'!$AQ:$AQ,4,'Отчет РПЗ(ПЗ)_ПЗИП'!$AG:$AG,"&gt;0")</f>
        <v>0</v>
      </c>
      <c r="AF34" s="46">
        <f>ПП!Q22</f>
        <v>0</v>
      </c>
      <c r="AG34" s="187">
        <f>COUNTIFS('Отчет РПЗ(ПЗ)_ПЗИП'!$G:$G,Справочно!$C18,'Отчет РПЗ(ПЗ)_ПЗИП'!$AQ:$AQ,5,'Отчет РПЗ(ПЗ)_ПЗИП'!$AG:$AG,"&gt;0")</f>
        <v>0</v>
      </c>
      <c r="AH34" s="431">
        <f>ПП!R22</f>
        <v>0</v>
      </c>
      <c r="AI34" s="376">
        <f>SUMIFS('Отчет РПЗ(ПЗ)_ПЗИП'!$AG:$AG,'Отчет РПЗ(ПЗ)_ПЗИП'!$G:$G,Справочно!$C18,'Отчет РПЗ(ПЗ)_ПЗИП'!$AQ:$AQ,5,'Отчет РПЗ(ПЗ)_ПЗИП'!$AG:$AG,"&gt;0")</f>
        <v>0</v>
      </c>
      <c r="AJ34" s="46">
        <f>ПП!S22</f>
        <v>0</v>
      </c>
      <c r="AK34" s="187">
        <f>COUNTIFS('Отчет РПЗ(ПЗ)_ПЗИП'!$G:$G,Справочно!$C18,'Отчет РПЗ(ПЗ)_ПЗИП'!$AQ:$AQ,6,'Отчет РПЗ(ПЗ)_ПЗИП'!$AG:$AG,"&gt;0")</f>
        <v>0</v>
      </c>
      <c r="AL34" s="431">
        <f>ПП!T22</f>
        <v>0</v>
      </c>
      <c r="AM34" s="377">
        <f>SUMIFS('Отчет РПЗ(ПЗ)_ПЗИП'!$AG:$AG,'Отчет РПЗ(ПЗ)_ПЗИП'!$G:$G,Справочно!$C18,'Отчет РПЗ(ПЗ)_ПЗИП'!$AQ:$AQ,6,'Отчет РПЗ(ПЗ)_ПЗИП'!$AG:$AG,"&gt;0")</f>
        <v>0</v>
      </c>
      <c r="AN34" s="175">
        <f>ПП!U22</f>
        <v>0</v>
      </c>
      <c r="AO34" s="189">
        <f t="shared" si="6"/>
        <v>0</v>
      </c>
      <c r="AP34" s="430">
        <f t="shared" si="7"/>
        <v>0</v>
      </c>
      <c r="AQ34" s="337">
        <f t="shared" si="8"/>
        <v>0</v>
      </c>
      <c r="AR34" s="163">
        <f>ПП!W22</f>
        <v>0</v>
      </c>
      <c r="AS34" s="148">
        <f>COUNTIFS('Отчет РПЗ(ПЗ)_ПЗИП'!$G:$G,Справочно!$C18,'Отчет РПЗ(ПЗ)_ПЗИП'!$AQ:$AQ,7,'Отчет РПЗ(ПЗ)_ПЗИП'!$AG:$AG,"&gt;0")</f>
        <v>0</v>
      </c>
      <c r="AT34" s="431">
        <f>ПП!X22</f>
        <v>0</v>
      </c>
      <c r="AU34" s="378">
        <f>SUMIFS('Отчет РПЗ(ПЗ)_ПЗИП'!$AG:$AG,'Отчет РПЗ(ПЗ)_ПЗИП'!$G:$G,Справочно!$C18,'Отчет РПЗ(ПЗ)_ПЗИП'!$AQ:$AQ,7,'Отчет РПЗ(ПЗ)_ПЗИП'!$AG:$AG,"&gt;0")</f>
        <v>0</v>
      </c>
      <c r="AV34" s="46">
        <f>ПП!Y22</f>
        <v>0</v>
      </c>
      <c r="AW34" s="148">
        <f>COUNTIFS('Отчет РПЗ(ПЗ)_ПЗИП'!$G:$G,Справочно!$C18,'Отчет РПЗ(ПЗ)_ПЗИП'!$AQ:$AQ,8,'Отчет РПЗ(ПЗ)_ПЗИП'!$AG:$AG,"&gt;0")</f>
        <v>0</v>
      </c>
      <c r="AX34" s="431">
        <f>ПП!Z22</f>
        <v>0</v>
      </c>
      <c r="AY34" s="378">
        <f>SUMIFS('Отчет РПЗ(ПЗ)_ПЗИП'!$AG:$AG,'Отчет РПЗ(ПЗ)_ПЗИП'!$G:$G,Справочно!$C18,'Отчет РПЗ(ПЗ)_ПЗИП'!$AQ:$AQ,8,'Отчет РПЗ(ПЗ)_ПЗИП'!$AG:$AG,"&gt;0")</f>
        <v>0</v>
      </c>
      <c r="AZ34" s="46">
        <f>ПП!AA22</f>
        <v>0</v>
      </c>
      <c r="BA34" s="148">
        <f>COUNTIFS('Отчет РПЗ(ПЗ)_ПЗИП'!$G:$G,Справочно!$C18,'Отчет РПЗ(ПЗ)_ПЗИП'!$AQ:$AQ,9,'Отчет РПЗ(ПЗ)_ПЗИП'!$AG:$AG,"&gt;0")</f>
        <v>0</v>
      </c>
      <c r="BB34" s="431">
        <f>ПП!AB22</f>
        <v>0</v>
      </c>
      <c r="BC34" s="379">
        <f>SUMIFS('Отчет РПЗ(ПЗ)_ПЗИП'!$AG:$AG,'Отчет РПЗ(ПЗ)_ПЗИП'!$G:$G,Справочно!$C18,'Отчет РПЗ(ПЗ)_ПЗИП'!$AQ:$AQ,9,'Отчет РПЗ(ПЗ)_ПЗИП'!$AG:$AG,"&gt;0")</f>
        <v>0</v>
      </c>
      <c r="BD34" s="175">
        <f>ПП!AC22</f>
        <v>0</v>
      </c>
      <c r="BE34" s="184">
        <f t="shared" si="9"/>
        <v>0</v>
      </c>
      <c r="BF34" s="430">
        <f t="shared" si="10"/>
        <v>0</v>
      </c>
      <c r="BG34" s="339">
        <f t="shared" si="11"/>
        <v>0</v>
      </c>
      <c r="BH34" s="163">
        <f>ПП!AE22</f>
        <v>0</v>
      </c>
      <c r="BI34" s="181">
        <f>COUNTIFS('Отчет РПЗ(ПЗ)_ПЗИП'!$G:$G,Справочно!$C18,'Отчет РПЗ(ПЗ)_ПЗИП'!$AQ:$AQ,10,'Отчет РПЗ(ПЗ)_ПЗИП'!$AG:$AG,"&gt;0")</f>
        <v>0</v>
      </c>
      <c r="BJ34" s="431">
        <f>ПП!AF22</f>
        <v>0</v>
      </c>
      <c r="BK34" s="380">
        <f>SUMIFS('Отчет РПЗ(ПЗ)_ПЗИП'!$AG:$AG,'Отчет РПЗ(ПЗ)_ПЗИП'!$G:$G,Справочно!$C18,'Отчет РПЗ(ПЗ)_ПЗИП'!$AQ:$AQ,10,'Отчет РПЗ(ПЗ)_ПЗИП'!$AG:$AG,"&gt;0")</f>
        <v>0</v>
      </c>
      <c r="BL34" s="46">
        <f>ПП!AG22</f>
        <v>0</v>
      </c>
      <c r="BM34" s="181">
        <f>COUNTIFS('Отчет РПЗ(ПЗ)_ПЗИП'!$G:$G,Справочно!$C18,'Отчет РПЗ(ПЗ)_ПЗИП'!$AQ:$AQ,11,'Отчет РПЗ(ПЗ)_ПЗИП'!$AG:$AG,"&gt;0")</f>
        <v>0</v>
      </c>
      <c r="BN34" s="431">
        <f>ПП!AH22</f>
        <v>0</v>
      </c>
      <c r="BO34" s="380">
        <f>SUMIFS('Отчет РПЗ(ПЗ)_ПЗИП'!$AG:$AG,'Отчет РПЗ(ПЗ)_ПЗИП'!$G:$G,Справочно!$C18,'Отчет РПЗ(ПЗ)_ПЗИП'!$AQ:$AQ,11,'Отчет РПЗ(ПЗ)_ПЗИП'!$AG:$AG,"&gt;0")</f>
        <v>0</v>
      </c>
      <c r="BP34" s="46">
        <f>ПП!AI22</f>
        <v>0</v>
      </c>
      <c r="BQ34" s="181">
        <f>COUNTIFS('Отчет РПЗ(ПЗ)_ПЗИП'!$G:$G,Справочно!$C18,'Отчет РПЗ(ПЗ)_ПЗИП'!$AQ:$AQ,12,'Отчет РПЗ(ПЗ)_ПЗИП'!$AG:$AG,"&gt;0")</f>
        <v>0</v>
      </c>
      <c r="BR34" s="431">
        <f>ПП!AJ22</f>
        <v>0</v>
      </c>
      <c r="BS34" s="381">
        <f>SUMIFS('Отчет РПЗ(ПЗ)_ПЗИП'!$AG:$AG,'Отчет РПЗ(ПЗ)_ПЗИП'!$G:$G,Справочно!$C18,'Отчет РПЗ(ПЗ)_ПЗИП'!$AQ:$AQ,12,'Отчет РПЗ(ПЗ)_ПЗИП'!$AG:$AG,"&gt;0")</f>
        <v>0</v>
      </c>
      <c r="BT34" s="175">
        <f>ПП!AK22</f>
        <v>0</v>
      </c>
      <c r="BU34" s="183">
        <f t="shared" si="12"/>
        <v>0</v>
      </c>
      <c r="BV34" s="430">
        <f t="shared" si="13"/>
        <v>0</v>
      </c>
      <c r="BW34" s="341">
        <f t="shared" si="14"/>
        <v>0</v>
      </c>
    </row>
    <row r="35" spans="2:75" ht="13.5" thickBot="1" x14ac:dyDescent="0.25">
      <c r="B35" s="87" t="s">
        <v>251</v>
      </c>
      <c r="C35" s="96">
        <f>ПП!B23</f>
        <v>0</v>
      </c>
      <c r="D35" s="418" t="e">
        <f>ПП!C23</f>
        <v>#DIV/0!</v>
      </c>
      <c r="E35" s="67">
        <f>COUNTIFS('Отчет РПЗ(ПЗ)_ПЗИП'!$G:$G,Справочно!$C19,'Отчет РПЗ(ПЗ)_ПЗИП'!AG:AG, "&gt;0")</f>
        <v>0</v>
      </c>
      <c r="F35" s="419" t="e">
        <f t="shared" si="1"/>
        <v>#DIV/0!</v>
      </c>
      <c r="G35" s="420">
        <f>ПП!D23</f>
        <v>0</v>
      </c>
      <c r="H35" s="421" t="e">
        <f>ПП!E23</f>
        <v>#DIV/0!</v>
      </c>
      <c r="I35" s="422">
        <f>SUMIF('Отчет РПЗ(ПЗ)_ПЗИП'!$G:$G,Справочно!$C19,'Отчет РПЗ(ПЗ)_ПЗИП'!$AG:$AG)</f>
        <v>0</v>
      </c>
      <c r="J35" s="419" t="e">
        <f t="shared" si="2"/>
        <v>#DIV/0!</v>
      </c>
      <c r="K35" s="65"/>
      <c r="L35" s="163">
        <f>ПП!G23</f>
        <v>0</v>
      </c>
      <c r="M35" s="151">
        <f>COUNTIFS('Отчет РПЗ(ПЗ)_ПЗИП'!$G:$G,Справочно!$C19,'Отчет РПЗ(ПЗ)_ПЗИП'!$AQ:$AQ,1,'Отчет РПЗ(ПЗ)_ПЗИП'!$AG:$AG,"&gt;0")</f>
        <v>0</v>
      </c>
      <c r="N35" s="431">
        <f>ПП!H23</f>
        <v>0</v>
      </c>
      <c r="O35" s="342">
        <f>SUMIFS('Отчет РПЗ(ПЗ)_ПЗИП'!$AG:$AG,'Отчет РПЗ(ПЗ)_ПЗИП'!$G:$G,Справочно!$C19,'Отчет РПЗ(ПЗ)_ПЗИП'!$AQ:$AQ,1,'Отчет РПЗ(ПЗ)_ПЗИП'!$AG:$AG,"&gt;0")</f>
        <v>0</v>
      </c>
      <c r="P35" s="46">
        <f>ПП!I23</f>
        <v>0</v>
      </c>
      <c r="Q35" s="151">
        <f>COUNTIFS('Отчет РПЗ(ПЗ)_ПЗИП'!$G:$G,Справочно!$C19,'Отчет РПЗ(ПЗ)_ПЗИП'!$AQ:$AQ,2,'Отчет РПЗ(ПЗ)_ПЗИП'!$AG:$AG,"&gt;0")</f>
        <v>0</v>
      </c>
      <c r="R35" s="431">
        <f>ПП!J23</f>
        <v>0</v>
      </c>
      <c r="S35" s="342">
        <f>SUMIFS('Отчет РПЗ(ПЗ)_ПЗИП'!$AG:$AG,'Отчет РПЗ(ПЗ)_ПЗИП'!$G:$G,Справочно!$C19,'Отчет РПЗ(ПЗ)_ПЗИП'!$AQ:$AQ,2,'Отчет РПЗ(ПЗ)_ПЗИП'!$AG:$AG,"&gt;0")</f>
        <v>0</v>
      </c>
      <c r="T35" s="46">
        <f>ПП!K23</f>
        <v>0</v>
      </c>
      <c r="U35" s="151">
        <f>COUNTIFS('Отчет РПЗ(ПЗ)_ПЗИП'!$G:$G,Справочно!$C19,'Отчет РПЗ(ПЗ)_ПЗИП'!$AQ:$AQ,3,'Отчет РПЗ(ПЗ)_ПЗИП'!$AG:$AG,"&gt;0")</f>
        <v>0</v>
      </c>
      <c r="V35" s="431">
        <f>ПП!L23</f>
        <v>0</v>
      </c>
      <c r="W35" s="375">
        <f>SUMIFS('Отчет РПЗ(ПЗ)_ПЗИП'!$AG:$AG,'Отчет РПЗ(ПЗ)_ПЗИП'!$G:$G,Справочно!$C19,'Отчет РПЗ(ПЗ)_ПЗИП'!$AQ:$AQ,3,'Отчет РПЗ(ПЗ)_ПЗИП'!$AG:$AG,"&gt;0")</f>
        <v>0</v>
      </c>
      <c r="X35" s="175">
        <f>ПП!M23</f>
        <v>0</v>
      </c>
      <c r="Y35" s="176">
        <f t="shared" si="3"/>
        <v>0</v>
      </c>
      <c r="Z35" s="430">
        <f t="shared" si="4"/>
        <v>0</v>
      </c>
      <c r="AA35" s="335">
        <f t="shared" si="5"/>
        <v>0</v>
      </c>
      <c r="AB35" s="163">
        <f>ПП!O23</f>
        <v>0</v>
      </c>
      <c r="AC35" s="187">
        <f>COUNTIFS('Отчет РПЗ(ПЗ)_ПЗИП'!$G:$G,Справочно!$C19,'Отчет РПЗ(ПЗ)_ПЗИП'!$AQ:$AQ,4,'Отчет РПЗ(ПЗ)_ПЗИП'!$AG:$AG,"&gt;0")</f>
        <v>0</v>
      </c>
      <c r="AD35" s="431">
        <f>ПП!P23</f>
        <v>0</v>
      </c>
      <c r="AE35" s="376">
        <f>SUMIFS('Отчет РПЗ(ПЗ)_ПЗИП'!$AG:$AG,'Отчет РПЗ(ПЗ)_ПЗИП'!$G:$G,Справочно!$C19,'Отчет РПЗ(ПЗ)_ПЗИП'!$AQ:$AQ,4,'Отчет РПЗ(ПЗ)_ПЗИП'!$AG:$AG,"&gt;0")</f>
        <v>0</v>
      </c>
      <c r="AF35" s="46">
        <f>ПП!Q23</f>
        <v>0</v>
      </c>
      <c r="AG35" s="187">
        <f>COUNTIFS('Отчет РПЗ(ПЗ)_ПЗИП'!$G:$G,Справочно!$C19,'Отчет РПЗ(ПЗ)_ПЗИП'!$AQ:$AQ,5,'Отчет РПЗ(ПЗ)_ПЗИП'!$AG:$AG,"&gt;0")</f>
        <v>0</v>
      </c>
      <c r="AH35" s="431">
        <f>ПП!R23</f>
        <v>0</v>
      </c>
      <c r="AI35" s="376">
        <f>SUMIFS('Отчет РПЗ(ПЗ)_ПЗИП'!$AG:$AG,'Отчет РПЗ(ПЗ)_ПЗИП'!$G:$G,Справочно!$C19,'Отчет РПЗ(ПЗ)_ПЗИП'!$AQ:$AQ,5,'Отчет РПЗ(ПЗ)_ПЗИП'!$AG:$AG,"&gt;0")</f>
        <v>0</v>
      </c>
      <c r="AJ35" s="46">
        <f>ПП!S23</f>
        <v>0</v>
      </c>
      <c r="AK35" s="187">
        <f>COUNTIFS('Отчет РПЗ(ПЗ)_ПЗИП'!$G:$G,Справочно!$C19,'Отчет РПЗ(ПЗ)_ПЗИП'!$AQ:$AQ,6,'Отчет РПЗ(ПЗ)_ПЗИП'!$AG:$AG,"&gt;0")</f>
        <v>0</v>
      </c>
      <c r="AL35" s="431">
        <f>ПП!T23</f>
        <v>0</v>
      </c>
      <c r="AM35" s="377">
        <f>SUMIFS('Отчет РПЗ(ПЗ)_ПЗИП'!$AG:$AG,'Отчет РПЗ(ПЗ)_ПЗИП'!$G:$G,Справочно!$C19,'Отчет РПЗ(ПЗ)_ПЗИП'!$AQ:$AQ,6,'Отчет РПЗ(ПЗ)_ПЗИП'!$AG:$AG,"&gt;0")</f>
        <v>0</v>
      </c>
      <c r="AN35" s="175">
        <f>ПП!U23</f>
        <v>0</v>
      </c>
      <c r="AO35" s="189">
        <f t="shared" si="6"/>
        <v>0</v>
      </c>
      <c r="AP35" s="430">
        <f t="shared" si="7"/>
        <v>0</v>
      </c>
      <c r="AQ35" s="337">
        <f t="shared" si="8"/>
        <v>0</v>
      </c>
      <c r="AR35" s="163">
        <f>ПП!W23</f>
        <v>0</v>
      </c>
      <c r="AS35" s="148">
        <f>COUNTIFS('Отчет РПЗ(ПЗ)_ПЗИП'!$G:$G,Справочно!$C19,'Отчет РПЗ(ПЗ)_ПЗИП'!$AQ:$AQ,7,'Отчет РПЗ(ПЗ)_ПЗИП'!$AG:$AG,"&gt;0")</f>
        <v>0</v>
      </c>
      <c r="AT35" s="431">
        <f>ПП!X23</f>
        <v>0</v>
      </c>
      <c r="AU35" s="378">
        <f>SUMIFS('Отчет РПЗ(ПЗ)_ПЗИП'!$AG:$AG,'Отчет РПЗ(ПЗ)_ПЗИП'!$G:$G,Справочно!$C19,'Отчет РПЗ(ПЗ)_ПЗИП'!$AQ:$AQ,7,'Отчет РПЗ(ПЗ)_ПЗИП'!$AG:$AG,"&gt;0")</f>
        <v>0</v>
      </c>
      <c r="AV35" s="46">
        <f>ПП!Y23</f>
        <v>0</v>
      </c>
      <c r="AW35" s="148">
        <f>COUNTIFS('Отчет РПЗ(ПЗ)_ПЗИП'!$G:$G,Справочно!$C19,'Отчет РПЗ(ПЗ)_ПЗИП'!$AQ:$AQ,8,'Отчет РПЗ(ПЗ)_ПЗИП'!$AG:$AG,"&gt;0")</f>
        <v>0</v>
      </c>
      <c r="AX35" s="431">
        <f>ПП!Z23</f>
        <v>0</v>
      </c>
      <c r="AY35" s="378">
        <f>SUMIFS('Отчет РПЗ(ПЗ)_ПЗИП'!$AG:$AG,'Отчет РПЗ(ПЗ)_ПЗИП'!$G:$G,Справочно!$C19,'Отчет РПЗ(ПЗ)_ПЗИП'!$AQ:$AQ,8,'Отчет РПЗ(ПЗ)_ПЗИП'!$AG:$AG,"&gt;0")</f>
        <v>0</v>
      </c>
      <c r="AZ35" s="46">
        <f>ПП!AA23</f>
        <v>0</v>
      </c>
      <c r="BA35" s="148">
        <f>COUNTIFS('Отчет РПЗ(ПЗ)_ПЗИП'!$G:$G,Справочно!$C19,'Отчет РПЗ(ПЗ)_ПЗИП'!$AQ:$AQ,9,'Отчет РПЗ(ПЗ)_ПЗИП'!$AG:$AG,"&gt;0")</f>
        <v>0</v>
      </c>
      <c r="BB35" s="431">
        <f>ПП!AB23</f>
        <v>0</v>
      </c>
      <c r="BC35" s="379">
        <f>SUMIFS('Отчет РПЗ(ПЗ)_ПЗИП'!$AG:$AG,'Отчет РПЗ(ПЗ)_ПЗИП'!$G:$G,Справочно!$C19,'Отчет РПЗ(ПЗ)_ПЗИП'!$AQ:$AQ,9,'Отчет РПЗ(ПЗ)_ПЗИП'!$AG:$AG,"&gt;0")</f>
        <v>0</v>
      </c>
      <c r="BD35" s="175">
        <f>ПП!AC23</f>
        <v>0</v>
      </c>
      <c r="BE35" s="184">
        <f t="shared" si="9"/>
        <v>0</v>
      </c>
      <c r="BF35" s="430">
        <f t="shared" si="10"/>
        <v>0</v>
      </c>
      <c r="BG35" s="339">
        <f t="shared" si="11"/>
        <v>0</v>
      </c>
      <c r="BH35" s="163">
        <f>ПП!AE23</f>
        <v>0</v>
      </c>
      <c r="BI35" s="181">
        <f>COUNTIFS('Отчет РПЗ(ПЗ)_ПЗИП'!$G:$G,Справочно!$C19,'Отчет РПЗ(ПЗ)_ПЗИП'!$AQ:$AQ,10,'Отчет РПЗ(ПЗ)_ПЗИП'!$AG:$AG,"&gt;0")</f>
        <v>0</v>
      </c>
      <c r="BJ35" s="431">
        <f>ПП!AF23</f>
        <v>0</v>
      </c>
      <c r="BK35" s="380">
        <f>SUMIFS('Отчет РПЗ(ПЗ)_ПЗИП'!$AG:$AG,'Отчет РПЗ(ПЗ)_ПЗИП'!$G:$G,Справочно!$C19,'Отчет РПЗ(ПЗ)_ПЗИП'!$AQ:$AQ,10,'Отчет РПЗ(ПЗ)_ПЗИП'!$AG:$AG,"&gt;0")</f>
        <v>0</v>
      </c>
      <c r="BL35" s="46">
        <f>ПП!AG23</f>
        <v>0</v>
      </c>
      <c r="BM35" s="181">
        <f>COUNTIFS('Отчет РПЗ(ПЗ)_ПЗИП'!$G:$G,Справочно!$C19,'Отчет РПЗ(ПЗ)_ПЗИП'!$AQ:$AQ,11,'Отчет РПЗ(ПЗ)_ПЗИП'!$AG:$AG,"&gt;0")</f>
        <v>0</v>
      </c>
      <c r="BN35" s="431">
        <f>ПП!AH23</f>
        <v>0</v>
      </c>
      <c r="BO35" s="380">
        <f>SUMIFS('Отчет РПЗ(ПЗ)_ПЗИП'!$AG:$AG,'Отчет РПЗ(ПЗ)_ПЗИП'!$G:$G,Справочно!$C19,'Отчет РПЗ(ПЗ)_ПЗИП'!$AQ:$AQ,11,'Отчет РПЗ(ПЗ)_ПЗИП'!$AG:$AG,"&gt;0")</f>
        <v>0</v>
      </c>
      <c r="BP35" s="46">
        <f>ПП!AI23</f>
        <v>0</v>
      </c>
      <c r="BQ35" s="181">
        <f>COUNTIFS('Отчет РПЗ(ПЗ)_ПЗИП'!$G:$G,Справочно!$C19,'Отчет РПЗ(ПЗ)_ПЗИП'!$AQ:$AQ,12,'Отчет РПЗ(ПЗ)_ПЗИП'!$AG:$AG,"&gt;0")</f>
        <v>0</v>
      </c>
      <c r="BR35" s="431">
        <f>ПП!AJ23</f>
        <v>0</v>
      </c>
      <c r="BS35" s="381">
        <f>SUMIFS('Отчет РПЗ(ПЗ)_ПЗИП'!$AG:$AG,'Отчет РПЗ(ПЗ)_ПЗИП'!$G:$G,Справочно!$C19,'Отчет РПЗ(ПЗ)_ПЗИП'!$AQ:$AQ,12,'Отчет РПЗ(ПЗ)_ПЗИП'!$AG:$AG,"&gt;0")</f>
        <v>0</v>
      </c>
      <c r="BT35" s="175">
        <f>ПП!AK23</f>
        <v>0</v>
      </c>
      <c r="BU35" s="183">
        <f t="shared" si="12"/>
        <v>0</v>
      </c>
      <c r="BV35" s="430">
        <f t="shared" si="13"/>
        <v>0</v>
      </c>
      <c r="BW35" s="341">
        <f t="shared" si="14"/>
        <v>0</v>
      </c>
    </row>
    <row r="36" spans="2:75" ht="13.5" thickBot="1" x14ac:dyDescent="0.25">
      <c r="B36" s="87" t="s">
        <v>107</v>
      </c>
      <c r="C36" s="96">
        <f>ПП!B24</f>
        <v>0</v>
      </c>
      <c r="D36" s="418" t="e">
        <f>ПП!C24</f>
        <v>#DIV/0!</v>
      </c>
      <c r="E36" s="67">
        <f>COUNTIFS('Отчет РПЗ(ПЗ)_ПЗИП'!$G:$G,Справочно!$C20,'Отчет РПЗ(ПЗ)_ПЗИП'!AG:AG, "&gt;0")</f>
        <v>0</v>
      </c>
      <c r="F36" s="419" t="e">
        <f t="shared" si="1"/>
        <v>#DIV/0!</v>
      </c>
      <c r="G36" s="420">
        <f>ПП!D24</f>
        <v>0</v>
      </c>
      <c r="H36" s="421" t="e">
        <f>ПП!E24</f>
        <v>#DIV/0!</v>
      </c>
      <c r="I36" s="422">
        <f>SUMIF('Отчет РПЗ(ПЗ)_ПЗИП'!$G:$G,Справочно!$C20,'Отчет РПЗ(ПЗ)_ПЗИП'!$AG:$AG)</f>
        <v>0</v>
      </c>
      <c r="J36" s="419" t="e">
        <f t="shared" si="2"/>
        <v>#DIV/0!</v>
      </c>
      <c r="K36" s="65"/>
      <c r="L36" s="163">
        <f>ПП!G24</f>
        <v>0</v>
      </c>
      <c r="M36" s="151">
        <f>COUNTIFS('Отчет РПЗ(ПЗ)_ПЗИП'!$G:$G,Справочно!$C20,'Отчет РПЗ(ПЗ)_ПЗИП'!$AQ:$AQ,1,'Отчет РПЗ(ПЗ)_ПЗИП'!$AG:$AG,"&gt;0")</f>
        <v>0</v>
      </c>
      <c r="N36" s="431">
        <f>ПП!H24</f>
        <v>0</v>
      </c>
      <c r="O36" s="342">
        <f>SUMIFS('Отчет РПЗ(ПЗ)_ПЗИП'!$AG:$AG,'Отчет РПЗ(ПЗ)_ПЗИП'!$G:$G,Справочно!$C20,'Отчет РПЗ(ПЗ)_ПЗИП'!$AQ:$AQ,1,'Отчет РПЗ(ПЗ)_ПЗИП'!$AG:$AG,"&gt;0")</f>
        <v>0</v>
      </c>
      <c r="P36" s="46">
        <f>ПП!I24</f>
        <v>0</v>
      </c>
      <c r="Q36" s="151">
        <f>COUNTIFS('Отчет РПЗ(ПЗ)_ПЗИП'!$G:$G,Справочно!$C20,'Отчет РПЗ(ПЗ)_ПЗИП'!$AQ:$AQ,2,'Отчет РПЗ(ПЗ)_ПЗИП'!$AG:$AG,"&gt;0")</f>
        <v>0</v>
      </c>
      <c r="R36" s="431">
        <f>ПП!J24</f>
        <v>0</v>
      </c>
      <c r="S36" s="342">
        <f>SUMIFS('Отчет РПЗ(ПЗ)_ПЗИП'!$AG:$AG,'Отчет РПЗ(ПЗ)_ПЗИП'!$G:$G,Справочно!$C20,'Отчет РПЗ(ПЗ)_ПЗИП'!$AQ:$AQ,2,'Отчет РПЗ(ПЗ)_ПЗИП'!$AG:$AG,"&gt;0")</f>
        <v>0</v>
      </c>
      <c r="T36" s="46">
        <f>ПП!K24</f>
        <v>0</v>
      </c>
      <c r="U36" s="151">
        <f>COUNTIFS('Отчет РПЗ(ПЗ)_ПЗИП'!$G:$G,Справочно!$C20,'Отчет РПЗ(ПЗ)_ПЗИП'!$AQ:$AQ,3,'Отчет РПЗ(ПЗ)_ПЗИП'!$AG:$AG,"&gt;0")</f>
        <v>0</v>
      </c>
      <c r="V36" s="431">
        <f>ПП!L24</f>
        <v>0</v>
      </c>
      <c r="W36" s="375">
        <f>SUMIFS('Отчет РПЗ(ПЗ)_ПЗИП'!$AG:$AG,'Отчет РПЗ(ПЗ)_ПЗИП'!$G:$G,Справочно!$C20,'Отчет РПЗ(ПЗ)_ПЗИП'!$AQ:$AQ,3,'Отчет РПЗ(ПЗ)_ПЗИП'!$AG:$AG,"&gt;0")</f>
        <v>0</v>
      </c>
      <c r="X36" s="175">
        <f>ПП!M24</f>
        <v>0</v>
      </c>
      <c r="Y36" s="176">
        <f t="shared" si="3"/>
        <v>0</v>
      </c>
      <c r="Z36" s="430">
        <f t="shared" si="4"/>
        <v>0</v>
      </c>
      <c r="AA36" s="335">
        <f t="shared" si="5"/>
        <v>0</v>
      </c>
      <c r="AB36" s="163">
        <f>ПП!O24</f>
        <v>0</v>
      </c>
      <c r="AC36" s="187">
        <f>COUNTIFS('Отчет РПЗ(ПЗ)_ПЗИП'!$G:$G,Справочно!$C20,'Отчет РПЗ(ПЗ)_ПЗИП'!$AQ:$AQ,4,'Отчет РПЗ(ПЗ)_ПЗИП'!$AG:$AG,"&gt;0")</f>
        <v>0</v>
      </c>
      <c r="AD36" s="431">
        <f>ПП!P24</f>
        <v>0</v>
      </c>
      <c r="AE36" s="376">
        <f>SUMIFS('Отчет РПЗ(ПЗ)_ПЗИП'!$AG:$AG,'Отчет РПЗ(ПЗ)_ПЗИП'!$G:$G,Справочно!$C20,'Отчет РПЗ(ПЗ)_ПЗИП'!$AQ:$AQ,4,'Отчет РПЗ(ПЗ)_ПЗИП'!$AG:$AG,"&gt;0")</f>
        <v>0</v>
      </c>
      <c r="AF36" s="46">
        <f>ПП!Q24</f>
        <v>0</v>
      </c>
      <c r="AG36" s="187">
        <f>COUNTIFS('Отчет РПЗ(ПЗ)_ПЗИП'!$G:$G,Справочно!$C20,'Отчет РПЗ(ПЗ)_ПЗИП'!$AQ:$AQ,5,'Отчет РПЗ(ПЗ)_ПЗИП'!$AG:$AG,"&gt;0")</f>
        <v>0</v>
      </c>
      <c r="AH36" s="431">
        <f>ПП!R24</f>
        <v>0</v>
      </c>
      <c r="AI36" s="376">
        <f>SUMIFS('Отчет РПЗ(ПЗ)_ПЗИП'!$AG:$AG,'Отчет РПЗ(ПЗ)_ПЗИП'!$G:$G,Справочно!$C20,'Отчет РПЗ(ПЗ)_ПЗИП'!$AQ:$AQ,5,'Отчет РПЗ(ПЗ)_ПЗИП'!$AG:$AG,"&gt;0")</f>
        <v>0</v>
      </c>
      <c r="AJ36" s="46">
        <f>ПП!S24</f>
        <v>0</v>
      </c>
      <c r="AK36" s="187">
        <f>COUNTIFS('Отчет РПЗ(ПЗ)_ПЗИП'!$G:$G,Справочно!$C20,'Отчет РПЗ(ПЗ)_ПЗИП'!$AQ:$AQ,6,'Отчет РПЗ(ПЗ)_ПЗИП'!$AG:$AG,"&gt;0")</f>
        <v>0</v>
      </c>
      <c r="AL36" s="431">
        <f>ПП!T24</f>
        <v>0</v>
      </c>
      <c r="AM36" s="377">
        <f>SUMIFS('Отчет РПЗ(ПЗ)_ПЗИП'!$AG:$AG,'Отчет РПЗ(ПЗ)_ПЗИП'!$G:$G,Справочно!$C20,'Отчет РПЗ(ПЗ)_ПЗИП'!$AQ:$AQ,6,'Отчет РПЗ(ПЗ)_ПЗИП'!$AG:$AG,"&gt;0")</f>
        <v>0</v>
      </c>
      <c r="AN36" s="175">
        <f>ПП!U24</f>
        <v>0</v>
      </c>
      <c r="AO36" s="189">
        <f t="shared" si="6"/>
        <v>0</v>
      </c>
      <c r="AP36" s="430">
        <f t="shared" si="7"/>
        <v>0</v>
      </c>
      <c r="AQ36" s="337">
        <f t="shared" si="8"/>
        <v>0</v>
      </c>
      <c r="AR36" s="163">
        <f>ПП!W24</f>
        <v>0</v>
      </c>
      <c r="AS36" s="148">
        <f>COUNTIFS('Отчет РПЗ(ПЗ)_ПЗИП'!$G:$G,Справочно!$C20,'Отчет РПЗ(ПЗ)_ПЗИП'!$AQ:$AQ,7,'Отчет РПЗ(ПЗ)_ПЗИП'!$AG:$AG,"&gt;0")</f>
        <v>0</v>
      </c>
      <c r="AT36" s="431">
        <f>ПП!X24</f>
        <v>0</v>
      </c>
      <c r="AU36" s="378">
        <f>SUMIFS('Отчет РПЗ(ПЗ)_ПЗИП'!$AG:$AG,'Отчет РПЗ(ПЗ)_ПЗИП'!$G:$G,Справочно!$C20,'Отчет РПЗ(ПЗ)_ПЗИП'!$AQ:$AQ,7,'Отчет РПЗ(ПЗ)_ПЗИП'!$AG:$AG,"&gt;0")</f>
        <v>0</v>
      </c>
      <c r="AV36" s="46">
        <f>ПП!Y24</f>
        <v>0</v>
      </c>
      <c r="AW36" s="148">
        <f>COUNTIFS('Отчет РПЗ(ПЗ)_ПЗИП'!$G:$G,Справочно!$C20,'Отчет РПЗ(ПЗ)_ПЗИП'!$AQ:$AQ,8,'Отчет РПЗ(ПЗ)_ПЗИП'!$AG:$AG,"&gt;0")</f>
        <v>0</v>
      </c>
      <c r="AX36" s="431">
        <f>ПП!Z24</f>
        <v>0</v>
      </c>
      <c r="AY36" s="378">
        <f>SUMIFS('Отчет РПЗ(ПЗ)_ПЗИП'!$AG:$AG,'Отчет РПЗ(ПЗ)_ПЗИП'!$G:$G,Справочно!$C20,'Отчет РПЗ(ПЗ)_ПЗИП'!$AQ:$AQ,8,'Отчет РПЗ(ПЗ)_ПЗИП'!$AG:$AG,"&gt;0")</f>
        <v>0</v>
      </c>
      <c r="AZ36" s="46">
        <f>ПП!AA24</f>
        <v>0</v>
      </c>
      <c r="BA36" s="148">
        <f>COUNTIFS('Отчет РПЗ(ПЗ)_ПЗИП'!$G:$G,Справочно!$C20,'Отчет РПЗ(ПЗ)_ПЗИП'!$AQ:$AQ,9,'Отчет РПЗ(ПЗ)_ПЗИП'!$AG:$AG,"&gt;0")</f>
        <v>0</v>
      </c>
      <c r="BB36" s="431">
        <f>ПП!AB24</f>
        <v>0</v>
      </c>
      <c r="BC36" s="379">
        <f>SUMIFS('Отчет РПЗ(ПЗ)_ПЗИП'!$AG:$AG,'Отчет РПЗ(ПЗ)_ПЗИП'!$G:$G,Справочно!$C20,'Отчет РПЗ(ПЗ)_ПЗИП'!$AQ:$AQ,9,'Отчет РПЗ(ПЗ)_ПЗИП'!$AG:$AG,"&gt;0")</f>
        <v>0</v>
      </c>
      <c r="BD36" s="175">
        <f>ПП!AC24</f>
        <v>0</v>
      </c>
      <c r="BE36" s="184">
        <f t="shared" si="9"/>
        <v>0</v>
      </c>
      <c r="BF36" s="430">
        <f t="shared" si="10"/>
        <v>0</v>
      </c>
      <c r="BG36" s="339">
        <f t="shared" si="11"/>
        <v>0</v>
      </c>
      <c r="BH36" s="163">
        <f>ПП!AE24</f>
        <v>0</v>
      </c>
      <c r="BI36" s="181">
        <f>COUNTIFS('Отчет РПЗ(ПЗ)_ПЗИП'!$G:$G,Справочно!$C20,'Отчет РПЗ(ПЗ)_ПЗИП'!$AQ:$AQ,10,'Отчет РПЗ(ПЗ)_ПЗИП'!$AG:$AG,"&gt;0")</f>
        <v>0</v>
      </c>
      <c r="BJ36" s="431">
        <f>ПП!AF24</f>
        <v>0</v>
      </c>
      <c r="BK36" s="380">
        <f>SUMIFS('Отчет РПЗ(ПЗ)_ПЗИП'!$AG:$AG,'Отчет РПЗ(ПЗ)_ПЗИП'!$G:$G,Справочно!$C20,'Отчет РПЗ(ПЗ)_ПЗИП'!$AQ:$AQ,10,'Отчет РПЗ(ПЗ)_ПЗИП'!$AG:$AG,"&gt;0")</f>
        <v>0</v>
      </c>
      <c r="BL36" s="46">
        <f>ПП!AG24</f>
        <v>0</v>
      </c>
      <c r="BM36" s="181">
        <f>COUNTIFS('Отчет РПЗ(ПЗ)_ПЗИП'!$G:$G,Справочно!$C20,'Отчет РПЗ(ПЗ)_ПЗИП'!$AQ:$AQ,11,'Отчет РПЗ(ПЗ)_ПЗИП'!$AG:$AG,"&gt;0")</f>
        <v>0</v>
      </c>
      <c r="BN36" s="431">
        <f>ПП!AH24</f>
        <v>0</v>
      </c>
      <c r="BO36" s="380">
        <f>SUMIFS('Отчет РПЗ(ПЗ)_ПЗИП'!$AG:$AG,'Отчет РПЗ(ПЗ)_ПЗИП'!$G:$G,Справочно!$C20,'Отчет РПЗ(ПЗ)_ПЗИП'!$AQ:$AQ,11,'Отчет РПЗ(ПЗ)_ПЗИП'!$AG:$AG,"&gt;0")</f>
        <v>0</v>
      </c>
      <c r="BP36" s="46">
        <f>ПП!AI24</f>
        <v>0</v>
      </c>
      <c r="BQ36" s="181">
        <f>COUNTIFS('Отчет РПЗ(ПЗ)_ПЗИП'!$G:$G,Справочно!$C20,'Отчет РПЗ(ПЗ)_ПЗИП'!$AQ:$AQ,12,'Отчет РПЗ(ПЗ)_ПЗИП'!$AG:$AG,"&gt;0")</f>
        <v>0</v>
      </c>
      <c r="BR36" s="431">
        <f>ПП!AJ24</f>
        <v>0</v>
      </c>
      <c r="BS36" s="381">
        <f>SUMIFS('Отчет РПЗ(ПЗ)_ПЗИП'!$AG:$AG,'Отчет РПЗ(ПЗ)_ПЗИП'!$G:$G,Справочно!$C20,'Отчет РПЗ(ПЗ)_ПЗИП'!$AQ:$AQ,12,'Отчет РПЗ(ПЗ)_ПЗИП'!$AG:$AG,"&gt;0")</f>
        <v>0</v>
      </c>
      <c r="BT36" s="175">
        <f>ПП!AK24</f>
        <v>0</v>
      </c>
      <c r="BU36" s="183">
        <f t="shared" si="12"/>
        <v>0</v>
      </c>
      <c r="BV36" s="430">
        <f t="shared" si="13"/>
        <v>0</v>
      </c>
      <c r="BW36" s="341">
        <f t="shared" si="14"/>
        <v>0</v>
      </c>
    </row>
    <row r="37" spans="2:75" ht="13.5" thickBot="1" x14ac:dyDescent="0.25">
      <c r="B37" s="87" t="s">
        <v>252</v>
      </c>
      <c r="C37" s="96">
        <f>ПП!B25</f>
        <v>0</v>
      </c>
      <c r="D37" s="418" t="e">
        <f>ПП!C25</f>
        <v>#DIV/0!</v>
      </c>
      <c r="E37" s="67">
        <f>COUNTIFS('Отчет РПЗ(ПЗ)_ПЗИП'!$G:$G,Справочно!$C21,'Отчет РПЗ(ПЗ)_ПЗИП'!AG:AG, "&gt;0")</f>
        <v>0</v>
      </c>
      <c r="F37" s="419" t="e">
        <f t="shared" si="1"/>
        <v>#DIV/0!</v>
      </c>
      <c r="G37" s="420">
        <f>ПП!D25</f>
        <v>0</v>
      </c>
      <c r="H37" s="421" t="e">
        <f>ПП!E25</f>
        <v>#DIV/0!</v>
      </c>
      <c r="I37" s="422">
        <f>SUMIF('Отчет РПЗ(ПЗ)_ПЗИП'!$G:$G,Справочно!$C21,'Отчет РПЗ(ПЗ)_ПЗИП'!$AG:$AG)</f>
        <v>0</v>
      </c>
      <c r="J37" s="419" t="e">
        <f t="shared" si="2"/>
        <v>#DIV/0!</v>
      </c>
      <c r="K37" s="65"/>
      <c r="L37" s="163">
        <f>ПП!G25</f>
        <v>0</v>
      </c>
      <c r="M37" s="151">
        <f>COUNTIFS('Отчет РПЗ(ПЗ)_ПЗИП'!$G:$G,Справочно!$C21,'Отчет РПЗ(ПЗ)_ПЗИП'!$AQ:$AQ,1,'Отчет РПЗ(ПЗ)_ПЗИП'!$AG:$AG,"&gt;0")</f>
        <v>0</v>
      </c>
      <c r="N37" s="431">
        <f>ПП!H25</f>
        <v>0</v>
      </c>
      <c r="O37" s="342">
        <f>SUMIFS('Отчет РПЗ(ПЗ)_ПЗИП'!$AG:$AG,'Отчет РПЗ(ПЗ)_ПЗИП'!$G:$G,Справочно!$C21,'Отчет РПЗ(ПЗ)_ПЗИП'!$AQ:$AQ,1,'Отчет РПЗ(ПЗ)_ПЗИП'!$AG:$AG,"&gt;0")</f>
        <v>0</v>
      </c>
      <c r="P37" s="46">
        <f>ПП!I25</f>
        <v>0</v>
      </c>
      <c r="Q37" s="151">
        <f>COUNTIFS('Отчет РПЗ(ПЗ)_ПЗИП'!$G:$G,Справочно!$C21,'Отчет РПЗ(ПЗ)_ПЗИП'!$AQ:$AQ,2,'Отчет РПЗ(ПЗ)_ПЗИП'!$AG:$AG,"&gt;0")</f>
        <v>0</v>
      </c>
      <c r="R37" s="431">
        <f>ПП!J25</f>
        <v>0</v>
      </c>
      <c r="S37" s="342">
        <f>SUMIFS('Отчет РПЗ(ПЗ)_ПЗИП'!$AG:$AG,'Отчет РПЗ(ПЗ)_ПЗИП'!$G:$G,Справочно!$C21,'Отчет РПЗ(ПЗ)_ПЗИП'!$AQ:$AQ,2,'Отчет РПЗ(ПЗ)_ПЗИП'!$AG:$AG,"&gt;0")</f>
        <v>0</v>
      </c>
      <c r="T37" s="46">
        <f>ПП!K25</f>
        <v>0</v>
      </c>
      <c r="U37" s="151">
        <f>COUNTIFS('Отчет РПЗ(ПЗ)_ПЗИП'!$G:$G,Справочно!$C21,'Отчет РПЗ(ПЗ)_ПЗИП'!$AQ:$AQ,3,'Отчет РПЗ(ПЗ)_ПЗИП'!$AG:$AG,"&gt;0")</f>
        <v>0</v>
      </c>
      <c r="V37" s="431">
        <f>ПП!L25</f>
        <v>0</v>
      </c>
      <c r="W37" s="375">
        <f>SUMIFS('Отчет РПЗ(ПЗ)_ПЗИП'!$AG:$AG,'Отчет РПЗ(ПЗ)_ПЗИП'!$G:$G,Справочно!$C21,'Отчет РПЗ(ПЗ)_ПЗИП'!$AQ:$AQ,3,'Отчет РПЗ(ПЗ)_ПЗИП'!$AG:$AG,"&gt;0")</f>
        <v>0</v>
      </c>
      <c r="X37" s="175">
        <f>ПП!M25</f>
        <v>0</v>
      </c>
      <c r="Y37" s="176">
        <f t="shared" si="3"/>
        <v>0</v>
      </c>
      <c r="Z37" s="430">
        <f t="shared" si="4"/>
        <v>0</v>
      </c>
      <c r="AA37" s="335">
        <f t="shared" si="5"/>
        <v>0</v>
      </c>
      <c r="AB37" s="163">
        <f>ПП!O25</f>
        <v>0</v>
      </c>
      <c r="AC37" s="187">
        <f>COUNTIFS('Отчет РПЗ(ПЗ)_ПЗИП'!$G:$G,Справочно!$C21,'Отчет РПЗ(ПЗ)_ПЗИП'!$AQ:$AQ,4,'Отчет РПЗ(ПЗ)_ПЗИП'!$AG:$AG,"&gt;0")</f>
        <v>0</v>
      </c>
      <c r="AD37" s="431">
        <f>ПП!P25</f>
        <v>0</v>
      </c>
      <c r="AE37" s="376">
        <f>SUMIFS('Отчет РПЗ(ПЗ)_ПЗИП'!$AG:$AG,'Отчет РПЗ(ПЗ)_ПЗИП'!$G:$G,Справочно!$C21,'Отчет РПЗ(ПЗ)_ПЗИП'!$AQ:$AQ,4,'Отчет РПЗ(ПЗ)_ПЗИП'!$AG:$AG,"&gt;0")</f>
        <v>0</v>
      </c>
      <c r="AF37" s="46">
        <f>ПП!Q25</f>
        <v>0</v>
      </c>
      <c r="AG37" s="187">
        <f>COUNTIFS('Отчет РПЗ(ПЗ)_ПЗИП'!$G:$G,Справочно!$C21,'Отчет РПЗ(ПЗ)_ПЗИП'!$AQ:$AQ,5,'Отчет РПЗ(ПЗ)_ПЗИП'!$AG:$AG,"&gt;0")</f>
        <v>0</v>
      </c>
      <c r="AH37" s="431">
        <f>ПП!R25</f>
        <v>0</v>
      </c>
      <c r="AI37" s="376">
        <f>SUMIFS('Отчет РПЗ(ПЗ)_ПЗИП'!$AG:$AG,'Отчет РПЗ(ПЗ)_ПЗИП'!$G:$G,Справочно!$C21,'Отчет РПЗ(ПЗ)_ПЗИП'!$AQ:$AQ,5,'Отчет РПЗ(ПЗ)_ПЗИП'!$AG:$AG,"&gt;0")</f>
        <v>0</v>
      </c>
      <c r="AJ37" s="46">
        <f>ПП!S25</f>
        <v>0</v>
      </c>
      <c r="AK37" s="187">
        <f>COUNTIFS('Отчет РПЗ(ПЗ)_ПЗИП'!$G:$G,Справочно!$C21,'Отчет РПЗ(ПЗ)_ПЗИП'!$AQ:$AQ,6,'Отчет РПЗ(ПЗ)_ПЗИП'!$AG:$AG,"&gt;0")</f>
        <v>0</v>
      </c>
      <c r="AL37" s="431">
        <f>ПП!T25</f>
        <v>0</v>
      </c>
      <c r="AM37" s="377">
        <f>SUMIFS('Отчет РПЗ(ПЗ)_ПЗИП'!$AG:$AG,'Отчет РПЗ(ПЗ)_ПЗИП'!$G:$G,Справочно!$C21,'Отчет РПЗ(ПЗ)_ПЗИП'!$AQ:$AQ,6,'Отчет РПЗ(ПЗ)_ПЗИП'!$AG:$AG,"&gt;0")</f>
        <v>0</v>
      </c>
      <c r="AN37" s="175">
        <f>ПП!U25</f>
        <v>0</v>
      </c>
      <c r="AO37" s="189">
        <f t="shared" si="6"/>
        <v>0</v>
      </c>
      <c r="AP37" s="430">
        <f t="shared" si="7"/>
        <v>0</v>
      </c>
      <c r="AQ37" s="337">
        <f t="shared" si="8"/>
        <v>0</v>
      </c>
      <c r="AR37" s="163">
        <f>ПП!W25</f>
        <v>0</v>
      </c>
      <c r="AS37" s="148">
        <f>COUNTIFS('Отчет РПЗ(ПЗ)_ПЗИП'!$G:$G,Справочно!$C21,'Отчет РПЗ(ПЗ)_ПЗИП'!$AQ:$AQ,7,'Отчет РПЗ(ПЗ)_ПЗИП'!$AG:$AG,"&gt;0")</f>
        <v>0</v>
      </c>
      <c r="AT37" s="431">
        <f>ПП!X25</f>
        <v>0</v>
      </c>
      <c r="AU37" s="378">
        <f>SUMIFS('Отчет РПЗ(ПЗ)_ПЗИП'!$AG:$AG,'Отчет РПЗ(ПЗ)_ПЗИП'!$G:$G,Справочно!$C21,'Отчет РПЗ(ПЗ)_ПЗИП'!$AQ:$AQ,7,'Отчет РПЗ(ПЗ)_ПЗИП'!$AG:$AG,"&gt;0")</f>
        <v>0</v>
      </c>
      <c r="AV37" s="46">
        <f>ПП!Y25</f>
        <v>0</v>
      </c>
      <c r="AW37" s="148">
        <f>COUNTIFS('Отчет РПЗ(ПЗ)_ПЗИП'!$G:$G,Справочно!$C21,'Отчет РПЗ(ПЗ)_ПЗИП'!$AQ:$AQ,8,'Отчет РПЗ(ПЗ)_ПЗИП'!$AG:$AG,"&gt;0")</f>
        <v>0</v>
      </c>
      <c r="AX37" s="431">
        <f>ПП!Z25</f>
        <v>0</v>
      </c>
      <c r="AY37" s="378">
        <f>SUMIFS('Отчет РПЗ(ПЗ)_ПЗИП'!$AG:$AG,'Отчет РПЗ(ПЗ)_ПЗИП'!$G:$G,Справочно!$C21,'Отчет РПЗ(ПЗ)_ПЗИП'!$AQ:$AQ,8,'Отчет РПЗ(ПЗ)_ПЗИП'!$AG:$AG,"&gt;0")</f>
        <v>0</v>
      </c>
      <c r="AZ37" s="46">
        <f>ПП!AA25</f>
        <v>0</v>
      </c>
      <c r="BA37" s="148">
        <f>COUNTIFS('Отчет РПЗ(ПЗ)_ПЗИП'!$G:$G,Справочно!$C21,'Отчет РПЗ(ПЗ)_ПЗИП'!$AQ:$AQ,9,'Отчет РПЗ(ПЗ)_ПЗИП'!$AG:$AG,"&gt;0")</f>
        <v>0</v>
      </c>
      <c r="BB37" s="431">
        <f>ПП!AB25</f>
        <v>0</v>
      </c>
      <c r="BC37" s="379">
        <f>SUMIFS('Отчет РПЗ(ПЗ)_ПЗИП'!$AG:$AG,'Отчет РПЗ(ПЗ)_ПЗИП'!$G:$G,Справочно!$C21,'Отчет РПЗ(ПЗ)_ПЗИП'!$AQ:$AQ,9,'Отчет РПЗ(ПЗ)_ПЗИП'!$AG:$AG,"&gt;0")</f>
        <v>0</v>
      </c>
      <c r="BD37" s="175">
        <f>ПП!AC25</f>
        <v>0</v>
      </c>
      <c r="BE37" s="184">
        <f t="shared" si="9"/>
        <v>0</v>
      </c>
      <c r="BF37" s="430">
        <f t="shared" si="10"/>
        <v>0</v>
      </c>
      <c r="BG37" s="339">
        <f t="shared" si="11"/>
        <v>0</v>
      </c>
      <c r="BH37" s="163">
        <f>ПП!AE25</f>
        <v>0</v>
      </c>
      <c r="BI37" s="181">
        <f>COUNTIFS('Отчет РПЗ(ПЗ)_ПЗИП'!$G:$G,Справочно!$C21,'Отчет РПЗ(ПЗ)_ПЗИП'!$AQ:$AQ,10,'Отчет РПЗ(ПЗ)_ПЗИП'!$AG:$AG,"&gt;0")</f>
        <v>0</v>
      </c>
      <c r="BJ37" s="431">
        <f>ПП!AF25</f>
        <v>0</v>
      </c>
      <c r="BK37" s="380">
        <f>SUMIFS('Отчет РПЗ(ПЗ)_ПЗИП'!$AG:$AG,'Отчет РПЗ(ПЗ)_ПЗИП'!$G:$G,Справочно!$C21,'Отчет РПЗ(ПЗ)_ПЗИП'!$AQ:$AQ,10,'Отчет РПЗ(ПЗ)_ПЗИП'!$AG:$AG,"&gt;0")</f>
        <v>0</v>
      </c>
      <c r="BL37" s="46">
        <f>ПП!AG25</f>
        <v>0</v>
      </c>
      <c r="BM37" s="181">
        <f>COUNTIFS('Отчет РПЗ(ПЗ)_ПЗИП'!$G:$G,Справочно!$C21,'Отчет РПЗ(ПЗ)_ПЗИП'!$AQ:$AQ,11,'Отчет РПЗ(ПЗ)_ПЗИП'!$AG:$AG,"&gt;0")</f>
        <v>0</v>
      </c>
      <c r="BN37" s="431">
        <f>ПП!AH25</f>
        <v>0</v>
      </c>
      <c r="BO37" s="380">
        <f>SUMIFS('Отчет РПЗ(ПЗ)_ПЗИП'!$AG:$AG,'Отчет РПЗ(ПЗ)_ПЗИП'!$G:$G,Справочно!$C21,'Отчет РПЗ(ПЗ)_ПЗИП'!$AQ:$AQ,11,'Отчет РПЗ(ПЗ)_ПЗИП'!$AG:$AG,"&gt;0")</f>
        <v>0</v>
      </c>
      <c r="BP37" s="46">
        <f>ПП!AI25</f>
        <v>0</v>
      </c>
      <c r="BQ37" s="181">
        <f>COUNTIFS('Отчет РПЗ(ПЗ)_ПЗИП'!$G:$G,Справочно!$C21,'Отчет РПЗ(ПЗ)_ПЗИП'!$AQ:$AQ,12,'Отчет РПЗ(ПЗ)_ПЗИП'!$AG:$AG,"&gt;0")</f>
        <v>0</v>
      </c>
      <c r="BR37" s="431">
        <f>ПП!AJ25</f>
        <v>0</v>
      </c>
      <c r="BS37" s="381">
        <f>SUMIFS('Отчет РПЗ(ПЗ)_ПЗИП'!$AG:$AG,'Отчет РПЗ(ПЗ)_ПЗИП'!$G:$G,Справочно!$C21,'Отчет РПЗ(ПЗ)_ПЗИП'!$AQ:$AQ,12,'Отчет РПЗ(ПЗ)_ПЗИП'!$AG:$AG,"&gt;0")</f>
        <v>0</v>
      </c>
      <c r="BT37" s="175">
        <f>ПП!AK25</f>
        <v>0</v>
      </c>
      <c r="BU37" s="183">
        <f t="shared" si="12"/>
        <v>0</v>
      </c>
      <c r="BV37" s="430">
        <f t="shared" si="13"/>
        <v>0</v>
      </c>
      <c r="BW37" s="341">
        <f t="shared" si="14"/>
        <v>0</v>
      </c>
    </row>
    <row r="38" spans="2:75" ht="13.5" thickBot="1" x14ac:dyDescent="0.25">
      <c r="B38" s="87" t="s">
        <v>166</v>
      </c>
      <c r="C38" s="96">
        <f>ПП!B26</f>
        <v>0</v>
      </c>
      <c r="D38" s="418" t="e">
        <f>ПП!C26</f>
        <v>#DIV/0!</v>
      </c>
      <c r="E38" s="67">
        <f>COUNTIFS('Отчет РПЗ(ПЗ)_ПЗИП'!$G:$G,Справочно!$C22,'Отчет РПЗ(ПЗ)_ПЗИП'!AG:AG, "&gt;0")</f>
        <v>0</v>
      </c>
      <c r="F38" s="419" t="e">
        <f t="shared" si="1"/>
        <v>#DIV/0!</v>
      </c>
      <c r="G38" s="420">
        <f>ПП!D26</f>
        <v>0</v>
      </c>
      <c r="H38" s="421" t="e">
        <f>ПП!E26</f>
        <v>#DIV/0!</v>
      </c>
      <c r="I38" s="422">
        <f>SUMIF('Отчет РПЗ(ПЗ)_ПЗИП'!$G:$G,Справочно!$C22,'Отчет РПЗ(ПЗ)_ПЗИП'!$AG:$AG)</f>
        <v>0</v>
      </c>
      <c r="J38" s="419" t="e">
        <f t="shared" si="2"/>
        <v>#DIV/0!</v>
      </c>
      <c r="K38" s="65"/>
      <c r="L38" s="163">
        <f>ПП!G26</f>
        <v>0</v>
      </c>
      <c r="M38" s="151">
        <f>COUNTIFS('Отчет РПЗ(ПЗ)_ПЗИП'!$G:$G,Справочно!$C22,'Отчет РПЗ(ПЗ)_ПЗИП'!$AQ:$AQ,1,'Отчет РПЗ(ПЗ)_ПЗИП'!$AG:$AG,"&gt;0")</f>
        <v>0</v>
      </c>
      <c r="N38" s="431">
        <f>ПП!H26</f>
        <v>0</v>
      </c>
      <c r="O38" s="342">
        <f>SUMIFS('Отчет РПЗ(ПЗ)_ПЗИП'!$AG:$AG,'Отчет РПЗ(ПЗ)_ПЗИП'!$G:$G,Справочно!$C22,'Отчет РПЗ(ПЗ)_ПЗИП'!$AQ:$AQ,1,'Отчет РПЗ(ПЗ)_ПЗИП'!$AG:$AG,"&gt;0")</f>
        <v>0</v>
      </c>
      <c r="P38" s="46">
        <f>ПП!I26</f>
        <v>0</v>
      </c>
      <c r="Q38" s="151">
        <f>COUNTIFS('Отчет РПЗ(ПЗ)_ПЗИП'!$G:$G,Справочно!$C22,'Отчет РПЗ(ПЗ)_ПЗИП'!$AQ:$AQ,2,'Отчет РПЗ(ПЗ)_ПЗИП'!$AG:$AG,"&gt;0")</f>
        <v>0</v>
      </c>
      <c r="R38" s="431">
        <f>ПП!J26</f>
        <v>0</v>
      </c>
      <c r="S38" s="342">
        <f>SUMIFS('Отчет РПЗ(ПЗ)_ПЗИП'!$AG:$AG,'Отчет РПЗ(ПЗ)_ПЗИП'!$G:$G,Справочно!$C22,'Отчет РПЗ(ПЗ)_ПЗИП'!$AQ:$AQ,2,'Отчет РПЗ(ПЗ)_ПЗИП'!$AG:$AG,"&gt;0")</f>
        <v>0</v>
      </c>
      <c r="T38" s="46">
        <f>ПП!K26</f>
        <v>0</v>
      </c>
      <c r="U38" s="151">
        <f>COUNTIFS('Отчет РПЗ(ПЗ)_ПЗИП'!$G:$G,Справочно!$C22,'Отчет РПЗ(ПЗ)_ПЗИП'!$AQ:$AQ,3,'Отчет РПЗ(ПЗ)_ПЗИП'!$AG:$AG,"&gt;0")</f>
        <v>0</v>
      </c>
      <c r="V38" s="431">
        <f>ПП!L26</f>
        <v>0</v>
      </c>
      <c r="W38" s="375">
        <f>SUMIFS('Отчет РПЗ(ПЗ)_ПЗИП'!$AG:$AG,'Отчет РПЗ(ПЗ)_ПЗИП'!$G:$G,Справочно!$C22,'Отчет РПЗ(ПЗ)_ПЗИП'!$AQ:$AQ,3,'Отчет РПЗ(ПЗ)_ПЗИП'!$AG:$AG,"&gt;0")</f>
        <v>0</v>
      </c>
      <c r="X38" s="175">
        <f>ПП!M26</f>
        <v>0</v>
      </c>
      <c r="Y38" s="176">
        <f t="shared" si="3"/>
        <v>0</v>
      </c>
      <c r="Z38" s="430">
        <f t="shared" si="4"/>
        <v>0</v>
      </c>
      <c r="AA38" s="335">
        <f t="shared" si="5"/>
        <v>0</v>
      </c>
      <c r="AB38" s="163">
        <f>ПП!O26</f>
        <v>0</v>
      </c>
      <c r="AC38" s="187">
        <f>COUNTIFS('Отчет РПЗ(ПЗ)_ПЗИП'!$G:$G,Справочно!$C22,'Отчет РПЗ(ПЗ)_ПЗИП'!$AQ:$AQ,4,'Отчет РПЗ(ПЗ)_ПЗИП'!$AG:$AG,"&gt;0")</f>
        <v>0</v>
      </c>
      <c r="AD38" s="431">
        <f>ПП!P26</f>
        <v>0</v>
      </c>
      <c r="AE38" s="376">
        <f>SUMIFS('Отчет РПЗ(ПЗ)_ПЗИП'!$AG:$AG,'Отчет РПЗ(ПЗ)_ПЗИП'!$G:$G,Справочно!$C22,'Отчет РПЗ(ПЗ)_ПЗИП'!$AQ:$AQ,4,'Отчет РПЗ(ПЗ)_ПЗИП'!$AG:$AG,"&gt;0")</f>
        <v>0</v>
      </c>
      <c r="AF38" s="46">
        <f>ПП!Q26</f>
        <v>0</v>
      </c>
      <c r="AG38" s="187">
        <f>COUNTIFS('Отчет РПЗ(ПЗ)_ПЗИП'!$G:$G,Справочно!$C22,'Отчет РПЗ(ПЗ)_ПЗИП'!$AQ:$AQ,5,'Отчет РПЗ(ПЗ)_ПЗИП'!$AG:$AG,"&gt;0")</f>
        <v>0</v>
      </c>
      <c r="AH38" s="431">
        <f>ПП!R26</f>
        <v>0</v>
      </c>
      <c r="AI38" s="376">
        <f>SUMIFS('Отчет РПЗ(ПЗ)_ПЗИП'!$AG:$AG,'Отчет РПЗ(ПЗ)_ПЗИП'!$G:$G,Справочно!$C22,'Отчет РПЗ(ПЗ)_ПЗИП'!$AQ:$AQ,5,'Отчет РПЗ(ПЗ)_ПЗИП'!$AG:$AG,"&gt;0")</f>
        <v>0</v>
      </c>
      <c r="AJ38" s="46">
        <f>ПП!S26</f>
        <v>0</v>
      </c>
      <c r="AK38" s="187">
        <f>COUNTIFS('Отчет РПЗ(ПЗ)_ПЗИП'!$G:$G,Справочно!$C22,'Отчет РПЗ(ПЗ)_ПЗИП'!$AQ:$AQ,6,'Отчет РПЗ(ПЗ)_ПЗИП'!$AG:$AG,"&gt;0")</f>
        <v>0</v>
      </c>
      <c r="AL38" s="431">
        <f>ПП!T26</f>
        <v>0</v>
      </c>
      <c r="AM38" s="377">
        <f>SUMIFS('Отчет РПЗ(ПЗ)_ПЗИП'!$AG:$AG,'Отчет РПЗ(ПЗ)_ПЗИП'!$G:$G,Справочно!$C22,'Отчет РПЗ(ПЗ)_ПЗИП'!$AQ:$AQ,6,'Отчет РПЗ(ПЗ)_ПЗИП'!$AG:$AG,"&gt;0")</f>
        <v>0</v>
      </c>
      <c r="AN38" s="175">
        <f>ПП!U26</f>
        <v>0</v>
      </c>
      <c r="AO38" s="189">
        <f t="shared" si="6"/>
        <v>0</v>
      </c>
      <c r="AP38" s="430">
        <f t="shared" si="7"/>
        <v>0</v>
      </c>
      <c r="AQ38" s="337">
        <f t="shared" si="8"/>
        <v>0</v>
      </c>
      <c r="AR38" s="163">
        <f>ПП!W26</f>
        <v>0</v>
      </c>
      <c r="AS38" s="148">
        <f>COUNTIFS('Отчет РПЗ(ПЗ)_ПЗИП'!$G:$G,Справочно!$C22,'Отчет РПЗ(ПЗ)_ПЗИП'!$AQ:$AQ,7,'Отчет РПЗ(ПЗ)_ПЗИП'!$AG:$AG,"&gt;0")</f>
        <v>0</v>
      </c>
      <c r="AT38" s="431">
        <f>ПП!X26</f>
        <v>0</v>
      </c>
      <c r="AU38" s="378">
        <f>SUMIFS('Отчет РПЗ(ПЗ)_ПЗИП'!$AG:$AG,'Отчет РПЗ(ПЗ)_ПЗИП'!$G:$G,Справочно!$C22,'Отчет РПЗ(ПЗ)_ПЗИП'!$AQ:$AQ,7,'Отчет РПЗ(ПЗ)_ПЗИП'!$AG:$AG,"&gt;0")</f>
        <v>0</v>
      </c>
      <c r="AV38" s="46">
        <f>ПП!Y26</f>
        <v>0</v>
      </c>
      <c r="AW38" s="148">
        <f>COUNTIFS('Отчет РПЗ(ПЗ)_ПЗИП'!$G:$G,Справочно!$C22,'Отчет РПЗ(ПЗ)_ПЗИП'!$AQ:$AQ,8,'Отчет РПЗ(ПЗ)_ПЗИП'!$AG:$AG,"&gt;0")</f>
        <v>0</v>
      </c>
      <c r="AX38" s="431">
        <f>ПП!Z26</f>
        <v>0</v>
      </c>
      <c r="AY38" s="378">
        <f>SUMIFS('Отчет РПЗ(ПЗ)_ПЗИП'!$AG:$AG,'Отчет РПЗ(ПЗ)_ПЗИП'!$G:$G,Справочно!$C22,'Отчет РПЗ(ПЗ)_ПЗИП'!$AQ:$AQ,8,'Отчет РПЗ(ПЗ)_ПЗИП'!$AG:$AG,"&gt;0")</f>
        <v>0</v>
      </c>
      <c r="AZ38" s="46">
        <f>ПП!AA26</f>
        <v>0</v>
      </c>
      <c r="BA38" s="148">
        <f>COUNTIFS('Отчет РПЗ(ПЗ)_ПЗИП'!$G:$G,Справочно!$C22,'Отчет РПЗ(ПЗ)_ПЗИП'!$AQ:$AQ,9,'Отчет РПЗ(ПЗ)_ПЗИП'!$AG:$AG,"&gt;0")</f>
        <v>0</v>
      </c>
      <c r="BB38" s="431">
        <f>ПП!AB26</f>
        <v>0</v>
      </c>
      <c r="BC38" s="379">
        <f>SUMIFS('Отчет РПЗ(ПЗ)_ПЗИП'!$AG:$AG,'Отчет РПЗ(ПЗ)_ПЗИП'!$G:$G,Справочно!$C22,'Отчет РПЗ(ПЗ)_ПЗИП'!$AQ:$AQ,9,'Отчет РПЗ(ПЗ)_ПЗИП'!$AG:$AG,"&gt;0")</f>
        <v>0</v>
      </c>
      <c r="BD38" s="175">
        <f>ПП!AC26</f>
        <v>0</v>
      </c>
      <c r="BE38" s="184">
        <f t="shared" si="9"/>
        <v>0</v>
      </c>
      <c r="BF38" s="430">
        <f t="shared" si="10"/>
        <v>0</v>
      </c>
      <c r="BG38" s="339">
        <f t="shared" si="11"/>
        <v>0</v>
      </c>
      <c r="BH38" s="163">
        <f>ПП!AE26</f>
        <v>0</v>
      </c>
      <c r="BI38" s="181">
        <f>COUNTIFS('Отчет РПЗ(ПЗ)_ПЗИП'!$G:$G,Справочно!$C22,'Отчет РПЗ(ПЗ)_ПЗИП'!$AQ:$AQ,10,'Отчет РПЗ(ПЗ)_ПЗИП'!$AG:$AG,"&gt;0")</f>
        <v>0</v>
      </c>
      <c r="BJ38" s="431">
        <f>ПП!AF26</f>
        <v>0</v>
      </c>
      <c r="BK38" s="380">
        <f>SUMIFS('Отчет РПЗ(ПЗ)_ПЗИП'!$AG:$AG,'Отчет РПЗ(ПЗ)_ПЗИП'!$G:$G,Справочно!$C22,'Отчет РПЗ(ПЗ)_ПЗИП'!$AQ:$AQ,10,'Отчет РПЗ(ПЗ)_ПЗИП'!$AG:$AG,"&gt;0")</f>
        <v>0</v>
      </c>
      <c r="BL38" s="46">
        <f>ПП!AG26</f>
        <v>0</v>
      </c>
      <c r="BM38" s="181">
        <f>COUNTIFS('Отчет РПЗ(ПЗ)_ПЗИП'!$G:$G,Справочно!$C22,'Отчет РПЗ(ПЗ)_ПЗИП'!$AQ:$AQ,11,'Отчет РПЗ(ПЗ)_ПЗИП'!$AG:$AG,"&gt;0")</f>
        <v>0</v>
      </c>
      <c r="BN38" s="431">
        <f>ПП!AH26</f>
        <v>0</v>
      </c>
      <c r="BO38" s="380">
        <f>SUMIFS('Отчет РПЗ(ПЗ)_ПЗИП'!$AG:$AG,'Отчет РПЗ(ПЗ)_ПЗИП'!$G:$G,Справочно!$C22,'Отчет РПЗ(ПЗ)_ПЗИП'!$AQ:$AQ,11,'Отчет РПЗ(ПЗ)_ПЗИП'!$AG:$AG,"&gt;0")</f>
        <v>0</v>
      </c>
      <c r="BP38" s="46">
        <f>ПП!AI26</f>
        <v>0</v>
      </c>
      <c r="BQ38" s="181">
        <f>COUNTIFS('Отчет РПЗ(ПЗ)_ПЗИП'!$G:$G,Справочно!$C22,'Отчет РПЗ(ПЗ)_ПЗИП'!$AQ:$AQ,12,'Отчет РПЗ(ПЗ)_ПЗИП'!$AG:$AG,"&gt;0")</f>
        <v>0</v>
      </c>
      <c r="BR38" s="431">
        <f>ПП!AJ26</f>
        <v>0</v>
      </c>
      <c r="BS38" s="381">
        <f>SUMIFS('Отчет РПЗ(ПЗ)_ПЗИП'!$AG:$AG,'Отчет РПЗ(ПЗ)_ПЗИП'!$G:$G,Справочно!$C22,'Отчет РПЗ(ПЗ)_ПЗИП'!$AQ:$AQ,12,'Отчет РПЗ(ПЗ)_ПЗИП'!$AG:$AG,"&gt;0")</f>
        <v>0</v>
      </c>
      <c r="BT38" s="175">
        <f>ПП!AK26</f>
        <v>0</v>
      </c>
      <c r="BU38" s="183">
        <f t="shared" si="12"/>
        <v>0</v>
      </c>
      <c r="BV38" s="430">
        <f t="shared" si="13"/>
        <v>0</v>
      </c>
      <c r="BW38" s="341">
        <f t="shared" si="14"/>
        <v>0</v>
      </c>
    </row>
    <row r="39" spans="2:75" ht="13.5" thickBot="1" x14ac:dyDescent="0.25">
      <c r="B39" s="87" t="s">
        <v>253</v>
      </c>
      <c r="C39" s="96">
        <f>ПП!B27</f>
        <v>0</v>
      </c>
      <c r="D39" s="418" t="e">
        <f>ПП!C27</f>
        <v>#DIV/0!</v>
      </c>
      <c r="E39" s="67">
        <f>COUNTIFS('Отчет РПЗ(ПЗ)_ПЗИП'!$G:$G,Справочно!$C23,'Отчет РПЗ(ПЗ)_ПЗИП'!AG:AG, "&gt;0")</f>
        <v>0</v>
      </c>
      <c r="F39" s="419" t="e">
        <f t="shared" si="1"/>
        <v>#DIV/0!</v>
      </c>
      <c r="G39" s="420">
        <f>ПП!D27</f>
        <v>0</v>
      </c>
      <c r="H39" s="421" t="e">
        <f>ПП!E27</f>
        <v>#DIV/0!</v>
      </c>
      <c r="I39" s="422">
        <f>SUMIF('Отчет РПЗ(ПЗ)_ПЗИП'!$G:$G,Справочно!$C23,'Отчет РПЗ(ПЗ)_ПЗИП'!$AG:$AG)</f>
        <v>0</v>
      </c>
      <c r="J39" s="419" t="e">
        <f t="shared" si="2"/>
        <v>#DIV/0!</v>
      </c>
      <c r="K39" s="65"/>
      <c r="L39" s="163">
        <f>ПП!G27</f>
        <v>0</v>
      </c>
      <c r="M39" s="151">
        <f>COUNTIFS('Отчет РПЗ(ПЗ)_ПЗИП'!$G:$G,Справочно!$C23,'Отчет РПЗ(ПЗ)_ПЗИП'!$AQ:$AQ,1,'Отчет РПЗ(ПЗ)_ПЗИП'!$AG:$AG,"&gt;0")</f>
        <v>0</v>
      </c>
      <c r="N39" s="431">
        <f>ПП!H27</f>
        <v>0</v>
      </c>
      <c r="O39" s="342">
        <f>SUMIFS('Отчет РПЗ(ПЗ)_ПЗИП'!$AG:$AG,'Отчет РПЗ(ПЗ)_ПЗИП'!$G:$G,Справочно!$C23,'Отчет РПЗ(ПЗ)_ПЗИП'!$AQ:$AQ,1,'Отчет РПЗ(ПЗ)_ПЗИП'!$AG:$AG,"&gt;0")</f>
        <v>0</v>
      </c>
      <c r="P39" s="46">
        <f>ПП!I27</f>
        <v>0</v>
      </c>
      <c r="Q39" s="151">
        <f>COUNTIFS('Отчет РПЗ(ПЗ)_ПЗИП'!$G:$G,Справочно!$C23,'Отчет РПЗ(ПЗ)_ПЗИП'!$AQ:$AQ,2,'Отчет РПЗ(ПЗ)_ПЗИП'!$AG:$AG,"&gt;0")</f>
        <v>0</v>
      </c>
      <c r="R39" s="431">
        <f>ПП!J27</f>
        <v>0</v>
      </c>
      <c r="S39" s="342">
        <f>SUMIFS('Отчет РПЗ(ПЗ)_ПЗИП'!$AG:$AG,'Отчет РПЗ(ПЗ)_ПЗИП'!$G:$G,Справочно!$C23,'Отчет РПЗ(ПЗ)_ПЗИП'!$AQ:$AQ,2,'Отчет РПЗ(ПЗ)_ПЗИП'!$AG:$AG,"&gt;0")</f>
        <v>0</v>
      </c>
      <c r="T39" s="46">
        <f>ПП!K27</f>
        <v>0</v>
      </c>
      <c r="U39" s="151">
        <f>COUNTIFS('Отчет РПЗ(ПЗ)_ПЗИП'!$G:$G,Справочно!$C23,'Отчет РПЗ(ПЗ)_ПЗИП'!$AQ:$AQ,3,'Отчет РПЗ(ПЗ)_ПЗИП'!$AG:$AG,"&gt;0")</f>
        <v>0</v>
      </c>
      <c r="V39" s="431">
        <f>ПП!L27</f>
        <v>0</v>
      </c>
      <c r="W39" s="375">
        <f>SUMIFS('Отчет РПЗ(ПЗ)_ПЗИП'!$AG:$AG,'Отчет РПЗ(ПЗ)_ПЗИП'!$G:$G,Справочно!$C23,'Отчет РПЗ(ПЗ)_ПЗИП'!$AQ:$AQ,3,'Отчет РПЗ(ПЗ)_ПЗИП'!$AG:$AG,"&gt;0")</f>
        <v>0</v>
      </c>
      <c r="X39" s="175">
        <f>ПП!M27</f>
        <v>0</v>
      </c>
      <c r="Y39" s="176">
        <f t="shared" si="3"/>
        <v>0</v>
      </c>
      <c r="Z39" s="430">
        <f t="shared" si="4"/>
        <v>0</v>
      </c>
      <c r="AA39" s="335">
        <f t="shared" si="5"/>
        <v>0</v>
      </c>
      <c r="AB39" s="163">
        <f>ПП!O27</f>
        <v>0</v>
      </c>
      <c r="AC39" s="187">
        <f>COUNTIFS('Отчет РПЗ(ПЗ)_ПЗИП'!$G:$G,Справочно!$C23,'Отчет РПЗ(ПЗ)_ПЗИП'!$AQ:$AQ,4,'Отчет РПЗ(ПЗ)_ПЗИП'!$AG:$AG,"&gt;0")</f>
        <v>0</v>
      </c>
      <c r="AD39" s="431">
        <f>ПП!P27</f>
        <v>0</v>
      </c>
      <c r="AE39" s="376">
        <f>SUMIFS('Отчет РПЗ(ПЗ)_ПЗИП'!$AG:$AG,'Отчет РПЗ(ПЗ)_ПЗИП'!$G:$G,Справочно!$C23,'Отчет РПЗ(ПЗ)_ПЗИП'!$AQ:$AQ,4,'Отчет РПЗ(ПЗ)_ПЗИП'!$AG:$AG,"&gt;0")</f>
        <v>0</v>
      </c>
      <c r="AF39" s="46">
        <f>ПП!Q27</f>
        <v>0</v>
      </c>
      <c r="AG39" s="187">
        <f>COUNTIFS('Отчет РПЗ(ПЗ)_ПЗИП'!$G:$G,Справочно!$C23,'Отчет РПЗ(ПЗ)_ПЗИП'!$AQ:$AQ,5,'Отчет РПЗ(ПЗ)_ПЗИП'!$AG:$AG,"&gt;0")</f>
        <v>0</v>
      </c>
      <c r="AH39" s="431">
        <f>ПП!R27</f>
        <v>0</v>
      </c>
      <c r="AI39" s="376">
        <f>SUMIFS('Отчет РПЗ(ПЗ)_ПЗИП'!$AG:$AG,'Отчет РПЗ(ПЗ)_ПЗИП'!$G:$G,Справочно!$C23,'Отчет РПЗ(ПЗ)_ПЗИП'!$AQ:$AQ,5,'Отчет РПЗ(ПЗ)_ПЗИП'!$AG:$AG,"&gt;0")</f>
        <v>0</v>
      </c>
      <c r="AJ39" s="46">
        <f>ПП!S27</f>
        <v>0</v>
      </c>
      <c r="AK39" s="187">
        <f>COUNTIFS('Отчет РПЗ(ПЗ)_ПЗИП'!$G:$G,Справочно!$C23,'Отчет РПЗ(ПЗ)_ПЗИП'!$AQ:$AQ,6,'Отчет РПЗ(ПЗ)_ПЗИП'!$AG:$AG,"&gt;0")</f>
        <v>0</v>
      </c>
      <c r="AL39" s="431">
        <f>ПП!T27</f>
        <v>0</v>
      </c>
      <c r="AM39" s="377">
        <f>SUMIFS('Отчет РПЗ(ПЗ)_ПЗИП'!$AG:$AG,'Отчет РПЗ(ПЗ)_ПЗИП'!$G:$G,Справочно!$C23,'Отчет РПЗ(ПЗ)_ПЗИП'!$AQ:$AQ,6,'Отчет РПЗ(ПЗ)_ПЗИП'!$AG:$AG,"&gt;0")</f>
        <v>0</v>
      </c>
      <c r="AN39" s="175">
        <f>ПП!U27</f>
        <v>0</v>
      </c>
      <c r="AO39" s="189">
        <f t="shared" si="6"/>
        <v>0</v>
      </c>
      <c r="AP39" s="430">
        <f t="shared" si="7"/>
        <v>0</v>
      </c>
      <c r="AQ39" s="337">
        <f t="shared" si="8"/>
        <v>0</v>
      </c>
      <c r="AR39" s="163">
        <f>ПП!W27</f>
        <v>0</v>
      </c>
      <c r="AS39" s="148">
        <f>COUNTIFS('Отчет РПЗ(ПЗ)_ПЗИП'!$G:$G,Справочно!$C23,'Отчет РПЗ(ПЗ)_ПЗИП'!$AQ:$AQ,7,'Отчет РПЗ(ПЗ)_ПЗИП'!$AG:$AG,"&gt;0")</f>
        <v>0</v>
      </c>
      <c r="AT39" s="431">
        <f>ПП!X27</f>
        <v>0</v>
      </c>
      <c r="AU39" s="378">
        <f>SUMIFS('Отчет РПЗ(ПЗ)_ПЗИП'!$AG:$AG,'Отчет РПЗ(ПЗ)_ПЗИП'!$G:$G,Справочно!$C23,'Отчет РПЗ(ПЗ)_ПЗИП'!$AQ:$AQ,7,'Отчет РПЗ(ПЗ)_ПЗИП'!$AG:$AG,"&gt;0")</f>
        <v>0</v>
      </c>
      <c r="AV39" s="46">
        <f>ПП!Y27</f>
        <v>0</v>
      </c>
      <c r="AW39" s="148">
        <f>COUNTIFS('Отчет РПЗ(ПЗ)_ПЗИП'!$G:$G,Справочно!$C23,'Отчет РПЗ(ПЗ)_ПЗИП'!$AQ:$AQ,8,'Отчет РПЗ(ПЗ)_ПЗИП'!$AG:$AG,"&gt;0")</f>
        <v>0</v>
      </c>
      <c r="AX39" s="431">
        <f>ПП!Z27</f>
        <v>0</v>
      </c>
      <c r="AY39" s="378">
        <f>SUMIFS('Отчет РПЗ(ПЗ)_ПЗИП'!$AG:$AG,'Отчет РПЗ(ПЗ)_ПЗИП'!$G:$G,Справочно!$C23,'Отчет РПЗ(ПЗ)_ПЗИП'!$AQ:$AQ,8,'Отчет РПЗ(ПЗ)_ПЗИП'!$AG:$AG,"&gt;0")</f>
        <v>0</v>
      </c>
      <c r="AZ39" s="46">
        <f>ПП!AA27</f>
        <v>0</v>
      </c>
      <c r="BA39" s="148">
        <f>COUNTIFS('Отчет РПЗ(ПЗ)_ПЗИП'!$G:$G,Справочно!$C23,'Отчет РПЗ(ПЗ)_ПЗИП'!$AQ:$AQ,9,'Отчет РПЗ(ПЗ)_ПЗИП'!$AG:$AG,"&gt;0")</f>
        <v>0</v>
      </c>
      <c r="BB39" s="431">
        <f>ПП!AB27</f>
        <v>0</v>
      </c>
      <c r="BC39" s="379">
        <f>SUMIFS('Отчет РПЗ(ПЗ)_ПЗИП'!$AG:$AG,'Отчет РПЗ(ПЗ)_ПЗИП'!$G:$G,Справочно!$C23,'Отчет РПЗ(ПЗ)_ПЗИП'!$AQ:$AQ,9,'Отчет РПЗ(ПЗ)_ПЗИП'!$AG:$AG,"&gt;0")</f>
        <v>0</v>
      </c>
      <c r="BD39" s="175">
        <f>ПП!AC27</f>
        <v>0</v>
      </c>
      <c r="BE39" s="184">
        <f t="shared" si="9"/>
        <v>0</v>
      </c>
      <c r="BF39" s="430">
        <f t="shared" si="10"/>
        <v>0</v>
      </c>
      <c r="BG39" s="339">
        <f t="shared" si="11"/>
        <v>0</v>
      </c>
      <c r="BH39" s="163">
        <f>ПП!AE27</f>
        <v>0</v>
      </c>
      <c r="BI39" s="181">
        <f>COUNTIFS('Отчет РПЗ(ПЗ)_ПЗИП'!$G:$G,Справочно!$C23,'Отчет РПЗ(ПЗ)_ПЗИП'!$AQ:$AQ,10,'Отчет РПЗ(ПЗ)_ПЗИП'!$AG:$AG,"&gt;0")</f>
        <v>0</v>
      </c>
      <c r="BJ39" s="431">
        <f>ПП!AF27</f>
        <v>0</v>
      </c>
      <c r="BK39" s="380">
        <f>SUMIFS('Отчет РПЗ(ПЗ)_ПЗИП'!$AG:$AG,'Отчет РПЗ(ПЗ)_ПЗИП'!$G:$G,Справочно!$C23,'Отчет РПЗ(ПЗ)_ПЗИП'!$AQ:$AQ,10,'Отчет РПЗ(ПЗ)_ПЗИП'!$AG:$AG,"&gt;0")</f>
        <v>0</v>
      </c>
      <c r="BL39" s="46">
        <f>ПП!AG27</f>
        <v>0</v>
      </c>
      <c r="BM39" s="181">
        <f>COUNTIFS('Отчет РПЗ(ПЗ)_ПЗИП'!$G:$G,Справочно!$C23,'Отчет РПЗ(ПЗ)_ПЗИП'!$AQ:$AQ,11,'Отчет РПЗ(ПЗ)_ПЗИП'!$AG:$AG,"&gt;0")</f>
        <v>0</v>
      </c>
      <c r="BN39" s="431">
        <f>ПП!AH27</f>
        <v>0</v>
      </c>
      <c r="BO39" s="380">
        <f>SUMIFS('Отчет РПЗ(ПЗ)_ПЗИП'!$AG:$AG,'Отчет РПЗ(ПЗ)_ПЗИП'!$G:$G,Справочно!$C23,'Отчет РПЗ(ПЗ)_ПЗИП'!$AQ:$AQ,11,'Отчет РПЗ(ПЗ)_ПЗИП'!$AG:$AG,"&gt;0")</f>
        <v>0</v>
      </c>
      <c r="BP39" s="46">
        <f>ПП!AI27</f>
        <v>0</v>
      </c>
      <c r="BQ39" s="181">
        <f>COUNTIFS('Отчет РПЗ(ПЗ)_ПЗИП'!$G:$G,Справочно!$C23,'Отчет РПЗ(ПЗ)_ПЗИП'!$AQ:$AQ,12,'Отчет РПЗ(ПЗ)_ПЗИП'!$AG:$AG,"&gt;0")</f>
        <v>0</v>
      </c>
      <c r="BR39" s="431">
        <f>ПП!AJ27</f>
        <v>0</v>
      </c>
      <c r="BS39" s="381">
        <f>SUMIFS('Отчет РПЗ(ПЗ)_ПЗИП'!$AG:$AG,'Отчет РПЗ(ПЗ)_ПЗИП'!$G:$G,Справочно!$C23,'Отчет РПЗ(ПЗ)_ПЗИП'!$AQ:$AQ,12,'Отчет РПЗ(ПЗ)_ПЗИП'!$AG:$AG,"&gt;0")</f>
        <v>0</v>
      </c>
      <c r="BT39" s="175">
        <f>ПП!AK27</f>
        <v>0</v>
      </c>
      <c r="BU39" s="183">
        <f t="shared" si="12"/>
        <v>0</v>
      </c>
      <c r="BV39" s="430">
        <f t="shared" si="13"/>
        <v>0</v>
      </c>
      <c r="BW39" s="341">
        <f t="shared" si="14"/>
        <v>0</v>
      </c>
    </row>
    <row r="40" spans="2:75" ht="13.5" thickBot="1" x14ac:dyDescent="0.25">
      <c r="B40" s="87" t="s">
        <v>167</v>
      </c>
      <c r="C40" s="96">
        <f>ПП!B28</f>
        <v>0</v>
      </c>
      <c r="D40" s="418" t="e">
        <f>ПП!C28</f>
        <v>#DIV/0!</v>
      </c>
      <c r="E40" s="67">
        <f>COUNTIFS('Отчет РПЗ(ПЗ)_ПЗИП'!$G:$G,Справочно!$C24,'Отчет РПЗ(ПЗ)_ПЗИП'!AG:AG, "&gt;0")</f>
        <v>0</v>
      </c>
      <c r="F40" s="419" t="e">
        <f t="shared" si="1"/>
        <v>#DIV/0!</v>
      </c>
      <c r="G40" s="420">
        <f>ПП!D28</f>
        <v>0</v>
      </c>
      <c r="H40" s="421" t="e">
        <f>ПП!E28</f>
        <v>#DIV/0!</v>
      </c>
      <c r="I40" s="422">
        <f>SUMIF('Отчет РПЗ(ПЗ)_ПЗИП'!$G:$G,Справочно!$C24,'Отчет РПЗ(ПЗ)_ПЗИП'!$AG:$AG)</f>
        <v>0</v>
      </c>
      <c r="J40" s="419" t="e">
        <f t="shared" si="2"/>
        <v>#DIV/0!</v>
      </c>
      <c r="K40" s="65"/>
      <c r="L40" s="163">
        <f>ПП!G28</f>
        <v>0</v>
      </c>
      <c r="M40" s="151">
        <f>COUNTIFS('Отчет РПЗ(ПЗ)_ПЗИП'!$G:$G,Справочно!$C24,'Отчет РПЗ(ПЗ)_ПЗИП'!$AQ:$AQ,1,'Отчет РПЗ(ПЗ)_ПЗИП'!$AG:$AG,"&gt;0")</f>
        <v>0</v>
      </c>
      <c r="N40" s="431">
        <f>ПП!H28</f>
        <v>0</v>
      </c>
      <c r="O40" s="342">
        <f>SUMIFS('Отчет РПЗ(ПЗ)_ПЗИП'!$AG:$AG,'Отчет РПЗ(ПЗ)_ПЗИП'!$G:$G,Справочно!$C24,'Отчет РПЗ(ПЗ)_ПЗИП'!$AQ:$AQ,1,'Отчет РПЗ(ПЗ)_ПЗИП'!$AG:$AG,"&gt;0")</f>
        <v>0</v>
      </c>
      <c r="P40" s="46">
        <f>ПП!I28</f>
        <v>0</v>
      </c>
      <c r="Q40" s="151">
        <f>COUNTIFS('Отчет РПЗ(ПЗ)_ПЗИП'!$G:$G,Справочно!$C24,'Отчет РПЗ(ПЗ)_ПЗИП'!$AQ:$AQ,2,'Отчет РПЗ(ПЗ)_ПЗИП'!$AG:$AG,"&gt;0")</f>
        <v>0</v>
      </c>
      <c r="R40" s="431">
        <f>ПП!J28</f>
        <v>0</v>
      </c>
      <c r="S40" s="342">
        <f>SUMIFS('Отчет РПЗ(ПЗ)_ПЗИП'!$AG:$AG,'Отчет РПЗ(ПЗ)_ПЗИП'!$G:$G,Справочно!$C24,'Отчет РПЗ(ПЗ)_ПЗИП'!$AQ:$AQ,2,'Отчет РПЗ(ПЗ)_ПЗИП'!$AG:$AG,"&gt;0")</f>
        <v>0</v>
      </c>
      <c r="T40" s="46">
        <f>ПП!K28</f>
        <v>0</v>
      </c>
      <c r="U40" s="151">
        <f>COUNTIFS('Отчет РПЗ(ПЗ)_ПЗИП'!$G:$G,Справочно!$C24,'Отчет РПЗ(ПЗ)_ПЗИП'!$AQ:$AQ,3,'Отчет РПЗ(ПЗ)_ПЗИП'!$AG:$AG,"&gt;0")</f>
        <v>0</v>
      </c>
      <c r="V40" s="431">
        <f>ПП!L28</f>
        <v>0</v>
      </c>
      <c r="W40" s="375">
        <f>SUMIFS('Отчет РПЗ(ПЗ)_ПЗИП'!$AG:$AG,'Отчет РПЗ(ПЗ)_ПЗИП'!$G:$G,Справочно!$C24,'Отчет РПЗ(ПЗ)_ПЗИП'!$AQ:$AQ,3,'Отчет РПЗ(ПЗ)_ПЗИП'!$AG:$AG,"&gt;0")</f>
        <v>0</v>
      </c>
      <c r="X40" s="175">
        <f>ПП!M28</f>
        <v>0</v>
      </c>
      <c r="Y40" s="176">
        <f t="shared" si="3"/>
        <v>0</v>
      </c>
      <c r="Z40" s="430">
        <f t="shared" si="4"/>
        <v>0</v>
      </c>
      <c r="AA40" s="335">
        <f t="shared" si="5"/>
        <v>0</v>
      </c>
      <c r="AB40" s="163">
        <f>ПП!O28</f>
        <v>0</v>
      </c>
      <c r="AC40" s="187">
        <f>COUNTIFS('Отчет РПЗ(ПЗ)_ПЗИП'!$G:$G,Справочно!$C24,'Отчет РПЗ(ПЗ)_ПЗИП'!$AQ:$AQ,4,'Отчет РПЗ(ПЗ)_ПЗИП'!$AG:$AG,"&gt;0")</f>
        <v>0</v>
      </c>
      <c r="AD40" s="431">
        <f>ПП!P28</f>
        <v>0</v>
      </c>
      <c r="AE40" s="376">
        <f>SUMIFS('Отчет РПЗ(ПЗ)_ПЗИП'!$AG:$AG,'Отчет РПЗ(ПЗ)_ПЗИП'!$G:$G,Справочно!$C24,'Отчет РПЗ(ПЗ)_ПЗИП'!$AQ:$AQ,4,'Отчет РПЗ(ПЗ)_ПЗИП'!$AG:$AG,"&gt;0")</f>
        <v>0</v>
      </c>
      <c r="AF40" s="46">
        <f>ПП!Q28</f>
        <v>0</v>
      </c>
      <c r="AG40" s="187">
        <f>COUNTIFS('Отчет РПЗ(ПЗ)_ПЗИП'!$G:$G,Справочно!$C24,'Отчет РПЗ(ПЗ)_ПЗИП'!$AQ:$AQ,5,'Отчет РПЗ(ПЗ)_ПЗИП'!$AG:$AG,"&gt;0")</f>
        <v>0</v>
      </c>
      <c r="AH40" s="431">
        <f>ПП!R28</f>
        <v>0</v>
      </c>
      <c r="AI40" s="376">
        <f>SUMIFS('Отчет РПЗ(ПЗ)_ПЗИП'!$AG:$AG,'Отчет РПЗ(ПЗ)_ПЗИП'!$G:$G,Справочно!$C24,'Отчет РПЗ(ПЗ)_ПЗИП'!$AQ:$AQ,5,'Отчет РПЗ(ПЗ)_ПЗИП'!$AG:$AG,"&gt;0")</f>
        <v>0</v>
      </c>
      <c r="AJ40" s="46">
        <f>ПП!S28</f>
        <v>0</v>
      </c>
      <c r="AK40" s="187">
        <f>COUNTIFS('Отчет РПЗ(ПЗ)_ПЗИП'!$G:$G,Справочно!$C24,'Отчет РПЗ(ПЗ)_ПЗИП'!$AQ:$AQ,6,'Отчет РПЗ(ПЗ)_ПЗИП'!$AG:$AG,"&gt;0")</f>
        <v>0</v>
      </c>
      <c r="AL40" s="431">
        <f>ПП!T28</f>
        <v>0</v>
      </c>
      <c r="AM40" s="377">
        <f>SUMIFS('Отчет РПЗ(ПЗ)_ПЗИП'!$AG:$AG,'Отчет РПЗ(ПЗ)_ПЗИП'!$G:$G,Справочно!$C24,'Отчет РПЗ(ПЗ)_ПЗИП'!$AQ:$AQ,6,'Отчет РПЗ(ПЗ)_ПЗИП'!$AG:$AG,"&gt;0")</f>
        <v>0</v>
      </c>
      <c r="AN40" s="175">
        <f>ПП!U28</f>
        <v>0</v>
      </c>
      <c r="AO40" s="189">
        <f t="shared" si="6"/>
        <v>0</v>
      </c>
      <c r="AP40" s="430">
        <f t="shared" si="7"/>
        <v>0</v>
      </c>
      <c r="AQ40" s="337">
        <f t="shared" si="8"/>
        <v>0</v>
      </c>
      <c r="AR40" s="163">
        <f>ПП!W28</f>
        <v>0</v>
      </c>
      <c r="AS40" s="148">
        <f>COUNTIFS('Отчет РПЗ(ПЗ)_ПЗИП'!$G:$G,Справочно!$C24,'Отчет РПЗ(ПЗ)_ПЗИП'!$AQ:$AQ,7,'Отчет РПЗ(ПЗ)_ПЗИП'!$AG:$AG,"&gt;0")</f>
        <v>0</v>
      </c>
      <c r="AT40" s="431">
        <f>ПП!X28</f>
        <v>0</v>
      </c>
      <c r="AU40" s="378">
        <f>SUMIFS('Отчет РПЗ(ПЗ)_ПЗИП'!$AG:$AG,'Отчет РПЗ(ПЗ)_ПЗИП'!$G:$G,Справочно!$C24,'Отчет РПЗ(ПЗ)_ПЗИП'!$AQ:$AQ,7,'Отчет РПЗ(ПЗ)_ПЗИП'!$AG:$AG,"&gt;0")</f>
        <v>0</v>
      </c>
      <c r="AV40" s="46">
        <f>ПП!Y28</f>
        <v>0</v>
      </c>
      <c r="AW40" s="148">
        <f>COUNTIFS('Отчет РПЗ(ПЗ)_ПЗИП'!$G:$G,Справочно!$C24,'Отчет РПЗ(ПЗ)_ПЗИП'!$AQ:$AQ,8,'Отчет РПЗ(ПЗ)_ПЗИП'!$AG:$AG,"&gt;0")</f>
        <v>0</v>
      </c>
      <c r="AX40" s="431">
        <f>ПП!Z28</f>
        <v>0</v>
      </c>
      <c r="AY40" s="378">
        <f>SUMIFS('Отчет РПЗ(ПЗ)_ПЗИП'!$AG:$AG,'Отчет РПЗ(ПЗ)_ПЗИП'!$G:$G,Справочно!$C24,'Отчет РПЗ(ПЗ)_ПЗИП'!$AQ:$AQ,8,'Отчет РПЗ(ПЗ)_ПЗИП'!$AG:$AG,"&gt;0")</f>
        <v>0</v>
      </c>
      <c r="AZ40" s="46">
        <f>ПП!AA28</f>
        <v>0</v>
      </c>
      <c r="BA40" s="148">
        <f>COUNTIFS('Отчет РПЗ(ПЗ)_ПЗИП'!$G:$G,Справочно!$C24,'Отчет РПЗ(ПЗ)_ПЗИП'!$AQ:$AQ,9,'Отчет РПЗ(ПЗ)_ПЗИП'!$AG:$AG,"&gt;0")</f>
        <v>0</v>
      </c>
      <c r="BB40" s="431">
        <f>ПП!AB28</f>
        <v>0</v>
      </c>
      <c r="BC40" s="379">
        <f>SUMIFS('Отчет РПЗ(ПЗ)_ПЗИП'!$AG:$AG,'Отчет РПЗ(ПЗ)_ПЗИП'!$G:$G,Справочно!$C24,'Отчет РПЗ(ПЗ)_ПЗИП'!$AQ:$AQ,9,'Отчет РПЗ(ПЗ)_ПЗИП'!$AG:$AG,"&gt;0")</f>
        <v>0</v>
      </c>
      <c r="BD40" s="175">
        <f>ПП!AC28</f>
        <v>0</v>
      </c>
      <c r="BE40" s="184">
        <f t="shared" si="9"/>
        <v>0</v>
      </c>
      <c r="BF40" s="430">
        <f t="shared" si="10"/>
        <v>0</v>
      </c>
      <c r="BG40" s="339">
        <f t="shared" si="11"/>
        <v>0</v>
      </c>
      <c r="BH40" s="163">
        <f>ПП!AE28</f>
        <v>0</v>
      </c>
      <c r="BI40" s="181">
        <f>COUNTIFS('Отчет РПЗ(ПЗ)_ПЗИП'!$G:$G,Справочно!$C24,'Отчет РПЗ(ПЗ)_ПЗИП'!$AQ:$AQ,10,'Отчет РПЗ(ПЗ)_ПЗИП'!$AG:$AG,"&gt;0")</f>
        <v>0</v>
      </c>
      <c r="BJ40" s="431">
        <f>ПП!AF28</f>
        <v>0</v>
      </c>
      <c r="BK40" s="380">
        <f>SUMIFS('Отчет РПЗ(ПЗ)_ПЗИП'!$AG:$AG,'Отчет РПЗ(ПЗ)_ПЗИП'!$G:$G,Справочно!$C24,'Отчет РПЗ(ПЗ)_ПЗИП'!$AQ:$AQ,10,'Отчет РПЗ(ПЗ)_ПЗИП'!$AG:$AG,"&gt;0")</f>
        <v>0</v>
      </c>
      <c r="BL40" s="46">
        <f>ПП!AG28</f>
        <v>0</v>
      </c>
      <c r="BM40" s="181">
        <f>COUNTIFS('Отчет РПЗ(ПЗ)_ПЗИП'!$G:$G,Справочно!$C24,'Отчет РПЗ(ПЗ)_ПЗИП'!$AQ:$AQ,11,'Отчет РПЗ(ПЗ)_ПЗИП'!$AG:$AG,"&gt;0")</f>
        <v>0</v>
      </c>
      <c r="BN40" s="431">
        <f>ПП!AH28</f>
        <v>0</v>
      </c>
      <c r="BO40" s="380">
        <f>SUMIFS('Отчет РПЗ(ПЗ)_ПЗИП'!$AG:$AG,'Отчет РПЗ(ПЗ)_ПЗИП'!$G:$G,Справочно!$C24,'Отчет РПЗ(ПЗ)_ПЗИП'!$AQ:$AQ,11,'Отчет РПЗ(ПЗ)_ПЗИП'!$AG:$AG,"&gt;0")</f>
        <v>0</v>
      </c>
      <c r="BP40" s="46">
        <f>ПП!AI28</f>
        <v>0</v>
      </c>
      <c r="BQ40" s="181">
        <f>COUNTIFS('Отчет РПЗ(ПЗ)_ПЗИП'!$G:$G,Справочно!$C24,'Отчет РПЗ(ПЗ)_ПЗИП'!$AQ:$AQ,12,'Отчет РПЗ(ПЗ)_ПЗИП'!$AG:$AG,"&gt;0")</f>
        <v>0</v>
      </c>
      <c r="BR40" s="431">
        <f>ПП!AJ28</f>
        <v>0</v>
      </c>
      <c r="BS40" s="381">
        <f>SUMIFS('Отчет РПЗ(ПЗ)_ПЗИП'!$AG:$AG,'Отчет РПЗ(ПЗ)_ПЗИП'!$G:$G,Справочно!$C24,'Отчет РПЗ(ПЗ)_ПЗИП'!$AQ:$AQ,12,'Отчет РПЗ(ПЗ)_ПЗИП'!$AG:$AG,"&gt;0")</f>
        <v>0</v>
      </c>
      <c r="BT40" s="175">
        <f>ПП!AK28</f>
        <v>0</v>
      </c>
      <c r="BU40" s="183">
        <f t="shared" si="12"/>
        <v>0</v>
      </c>
      <c r="BV40" s="430">
        <f t="shared" si="13"/>
        <v>0</v>
      </c>
      <c r="BW40" s="341">
        <f t="shared" si="14"/>
        <v>0</v>
      </c>
    </row>
    <row r="41" spans="2:75" ht="13.5" thickBot="1" x14ac:dyDescent="0.25">
      <c r="B41" s="87" t="s">
        <v>254</v>
      </c>
      <c r="C41" s="96">
        <f>ПП!B29</f>
        <v>0</v>
      </c>
      <c r="D41" s="418" t="e">
        <f>ПП!C29</f>
        <v>#DIV/0!</v>
      </c>
      <c r="E41" s="67">
        <f>COUNTIFS('Отчет РПЗ(ПЗ)_ПЗИП'!$G:$G,Справочно!$C25,'Отчет РПЗ(ПЗ)_ПЗИП'!AG:AG, "&gt;0")</f>
        <v>0</v>
      </c>
      <c r="F41" s="419" t="e">
        <f t="shared" si="1"/>
        <v>#DIV/0!</v>
      </c>
      <c r="G41" s="420">
        <f>ПП!D29</f>
        <v>0</v>
      </c>
      <c r="H41" s="421" t="e">
        <f>ПП!E29</f>
        <v>#DIV/0!</v>
      </c>
      <c r="I41" s="422">
        <f>SUMIF('Отчет РПЗ(ПЗ)_ПЗИП'!$G:$G,Справочно!$C25,'Отчет РПЗ(ПЗ)_ПЗИП'!$AG:$AG)</f>
        <v>0</v>
      </c>
      <c r="J41" s="419" t="e">
        <f t="shared" si="2"/>
        <v>#DIV/0!</v>
      </c>
      <c r="K41" s="65"/>
      <c r="L41" s="163">
        <f>ПП!G29</f>
        <v>0</v>
      </c>
      <c r="M41" s="151">
        <f>COUNTIFS('Отчет РПЗ(ПЗ)_ПЗИП'!$G:$G,Справочно!$C25,'Отчет РПЗ(ПЗ)_ПЗИП'!$AQ:$AQ,1,'Отчет РПЗ(ПЗ)_ПЗИП'!$AG:$AG,"&gt;0")</f>
        <v>0</v>
      </c>
      <c r="N41" s="431">
        <f>ПП!H29</f>
        <v>0</v>
      </c>
      <c r="O41" s="342">
        <f>SUMIFS('Отчет РПЗ(ПЗ)_ПЗИП'!$AG:$AG,'Отчет РПЗ(ПЗ)_ПЗИП'!$G:$G,Справочно!$C25,'Отчет РПЗ(ПЗ)_ПЗИП'!$AQ:$AQ,1,'Отчет РПЗ(ПЗ)_ПЗИП'!$AG:$AG,"&gt;0")</f>
        <v>0</v>
      </c>
      <c r="P41" s="46">
        <f>ПП!I29</f>
        <v>0</v>
      </c>
      <c r="Q41" s="151">
        <f>COUNTIFS('Отчет РПЗ(ПЗ)_ПЗИП'!$G:$G,Справочно!$C25,'Отчет РПЗ(ПЗ)_ПЗИП'!$AQ:$AQ,2,'Отчет РПЗ(ПЗ)_ПЗИП'!$AG:$AG,"&gt;0")</f>
        <v>0</v>
      </c>
      <c r="R41" s="431">
        <f>ПП!J29</f>
        <v>0</v>
      </c>
      <c r="S41" s="342">
        <f>SUMIFS('Отчет РПЗ(ПЗ)_ПЗИП'!$AG:$AG,'Отчет РПЗ(ПЗ)_ПЗИП'!$G:$G,Справочно!$C25,'Отчет РПЗ(ПЗ)_ПЗИП'!$AQ:$AQ,2,'Отчет РПЗ(ПЗ)_ПЗИП'!$AG:$AG,"&gt;0")</f>
        <v>0</v>
      </c>
      <c r="T41" s="46">
        <f>ПП!K29</f>
        <v>0</v>
      </c>
      <c r="U41" s="151">
        <f>COUNTIFS('Отчет РПЗ(ПЗ)_ПЗИП'!$G:$G,Справочно!$C25,'Отчет РПЗ(ПЗ)_ПЗИП'!$AQ:$AQ,3,'Отчет РПЗ(ПЗ)_ПЗИП'!$AG:$AG,"&gt;0")</f>
        <v>0</v>
      </c>
      <c r="V41" s="431">
        <f>ПП!L29</f>
        <v>0</v>
      </c>
      <c r="W41" s="375">
        <f>SUMIFS('Отчет РПЗ(ПЗ)_ПЗИП'!$AG:$AG,'Отчет РПЗ(ПЗ)_ПЗИП'!$G:$G,Справочно!$C25,'Отчет РПЗ(ПЗ)_ПЗИП'!$AQ:$AQ,3,'Отчет РПЗ(ПЗ)_ПЗИП'!$AG:$AG,"&gt;0")</f>
        <v>0</v>
      </c>
      <c r="X41" s="175">
        <f>ПП!M29</f>
        <v>0</v>
      </c>
      <c r="Y41" s="176">
        <f t="shared" si="3"/>
        <v>0</v>
      </c>
      <c r="Z41" s="430">
        <f t="shared" si="4"/>
        <v>0</v>
      </c>
      <c r="AA41" s="335">
        <f t="shared" si="5"/>
        <v>0</v>
      </c>
      <c r="AB41" s="163">
        <f>ПП!O29</f>
        <v>0</v>
      </c>
      <c r="AC41" s="187">
        <f>COUNTIFS('Отчет РПЗ(ПЗ)_ПЗИП'!$G:$G,Справочно!$C25,'Отчет РПЗ(ПЗ)_ПЗИП'!$AQ:$AQ,4,'Отчет РПЗ(ПЗ)_ПЗИП'!$AG:$AG,"&gt;0")</f>
        <v>0</v>
      </c>
      <c r="AD41" s="431">
        <f>ПП!P29</f>
        <v>0</v>
      </c>
      <c r="AE41" s="376">
        <f>SUMIFS('Отчет РПЗ(ПЗ)_ПЗИП'!$AG:$AG,'Отчет РПЗ(ПЗ)_ПЗИП'!$G:$G,Справочно!$C25,'Отчет РПЗ(ПЗ)_ПЗИП'!$AQ:$AQ,4,'Отчет РПЗ(ПЗ)_ПЗИП'!$AG:$AG,"&gt;0")</f>
        <v>0</v>
      </c>
      <c r="AF41" s="46">
        <f>ПП!Q29</f>
        <v>0</v>
      </c>
      <c r="AG41" s="187">
        <f>COUNTIFS('Отчет РПЗ(ПЗ)_ПЗИП'!$G:$G,Справочно!$C25,'Отчет РПЗ(ПЗ)_ПЗИП'!$AQ:$AQ,5,'Отчет РПЗ(ПЗ)_ПЗИП'!$AG:$AG,"&gt;0")</f>
        <v>0</v>
      </c>
      <c r="AH41" s="431">
        <f>ПП!R29</f>
        <v>0</v>
      </c>
      <c r="AI41" s="376">
        <f>SUMIFS('Отчет РПЗ(ПЗ)_ПЗИП'!$AG:$AG,'Отчет РПЗ(ПЗ)_ПЗИП'!$G:$G,Справочно!$C25,'Отчет РПЗ(ПЗ)_ПЗИП'!$AQ:$AQ,5,'Отчет РПЗ(ПЗ)_ПЗИП'!$AG:$AG,"&gt;0")</f>
        <v>0</v>
      </c>
      <c r="AJ41" s="46">
        <f>ПП!S29</f>
        <v>0</v>
      </c>
      <c r="AK41" s="187">
        <f>COUNTIFS('Отчет РПЗ(ПЗ)_ПЗИП'!$G:$G,Справочно!$C25,'Отчет РПЗ(ПЗ)_ПЗИП'!$AQ:$AQ,6,'Отчет РПЗ(ПЗ)_ПЗИП'!$AG:$AG,"&gt;0")</f>
        <v>0</v>
      </c>
      <c r="AL41" s="431">
        <f>ПП!T29</f>
        <v>0</v>
      </c>
      <c r="AM41" s="377">
        <f>SUMIFS('Отчет РПЗ(ПЗ)_ПЗИП'!$AG:$AG,'Отчет РПЗ(ПЗ)_ПЗИП'!$G:$G,Справочно!$C25,'Отчет РПЗ(ПЗ)_ПЗИП'!$AQ:$AQ,6,'Отчет РПЗ(ПЗ)_ПЗИП'!$AG:$AG,"&gt;0")</f>
        <v>0</v>
      </c>
      <c r="AN41" s="175">
        <f>ПП!U29</f>
        <v>0</v>
      </c>
      <c r="AO41" s="189">
        <f t="shared" si="6"/>
        <v>0</v>
      </c>
      <c r="AP41" s="430">
        <f t="shared" si="7"/>
        <v>0</v>
      </c>
      <c r="AQ41" s="337">
        <f t="shared" si="8"/>
        <v>0</v>
      </c>
      <c r="AR41" s="163">
        <f>ПП!W29</f>
        <v>0</v>
      </c>
      <c r="AS41" s="148">
        <f>COUNTIFS('Отчет РПЗ(ПЗ)_ПЗИП'!$G:$G,Справочно!$C25,'Отчет РПЗ(ПЗ)_ПЗИП'!$AQ:$AQ,7,'Отчет РПЗ(ПЗ)_ПЗИП'!$AG:$AG,"&gt;0")</f>
        <v>0</v>
      </c>
      <c r="AT41" s="431">
        <f>ПП!X29</f>
        <v>0</v>
      </c>
      <c r="AU41" s="378">
        <f>SUMIFS('Отчет РПЗ(ПЗ)_ПЗИП'!$AG:$AG,'Отчет РПЗ(ПЗ)_ПЗИП'!$G:$G,Справочно!$C25,'Отчет РПЗ(ПЗ)_ПЗИП'!$AQ:$AQ,7,'Отчет РПЗ(ПЗ)_ПЗИП'!$AG:$AG,"&gt;0")</f>
        <v>0</v>
      </c>
      <c r="AV41" s="46">
        <f>ПП!Y29</f>
        <v>0</v>
      </c>
      <c r="AW41" s="148">
        <f>COUNTIFS('Отчет РПЗ(ПЗ)_ПЗИП'!$G:$G,Справочно!$C25,'Отчет РПЗ(ПЗ)_ПЗИП'!$AQ:$AQ,8,'Отчет РПЗ(ПЗ)_ПЗИП'!$AG:$AG,"&gt;0")</f>
        <v>0</v>
      </c>
      <c r="AX41" s="431">
        <f>ПП!Z29</f>
        <v>0</v>
      </c>
      <c r="AY41" s="378">
        <f>SUMIFS('Отчет РПЗ(ПЗ)_ПЗИП'!$AG:$AG,'Отчет РПЗ(ПЗ)_ПЗИП'!$G:$G,Справочно!$C25,'Отчет РПЗ(ПЗ)_ПЗИП'!$AQ:$AQ,8,'Отчет РПЗ(ПЗ)_ПЗИП'!$AG:$AG,"&gt;0")</f>
        <v>0</v>
      </c>
      <c r="AZ41" s="46">
        <f>ПП!AA29</f>
        <v>0</v>
      </c>
      <c r="BA41" s="148">
        <f>COUNTIFS('Отчет РПЗ(ПЗ)_ПЗИП'!$G:$G,Справочно!$C25,'Отчет РПЗ(ПЗ)_ПЗИП'!$AQ:$AQ,9,'Отчет РПЗ(ПЗ)_ПЗИП'!$AG:$AG,"&gt;0")</f>
        <v>0</v>
      </c>
      <c r="BB41" s="431">
        <f>ПП!AB29</f>
        <v>0</v>
      </c>
      <c r="BC41" s="379">
        <f>SUMIFS('Отчет РПЗ(ПЗ)_ПЗИП'!$AG:$AG,'Отчет РПЗ(ПЗ)_ПЗИП'!$G:$G,Справочно!$C25,'Отчет РПЗ(ПЗ)_ПЗИП'!$AQ:$AQ,9,'Отчет РПЗ(ПЗ)_ПЗИП'!$AG:$AG,"&gt;0")</f>
        <v>0</v>
      </c>
      <c r="BD41" s="175">
        <f>ПП!AC29</f>
        <v>0</v>
      </c>
      <c r="BE41" s="184">
        <f t="shared" si="9"/>
        <v>0</v>
      </c>
      <c r="BF41" s="430">
        <f t="shared" si="10"/>
        <v>0</v>
      </c>
      <c r="BG41" s="339">
        <f t="shared" si="11"/>
        <v>0</v>
      </c>
      <c r="BH41" s="163">
        <f>ПП!AE29</f>
        <v>0</v>
      </c>
      <c r="BI41" s="181">
        <f>COUNTIFS('Отчет РПЗ(ПЗ)_ПЗИП'!$G:$G,Справочно!$C25,'Отчет РПЗ(ПЗ)_ПЗИП'!$AQ:$AQ,10,'Отчет РПЗ(ПЗ)_ПЗИП'!$AG:$AG,"&gt;0")</f>
        <v>0</v>
      </c>
      <c r="BJ41" s="431">
        <f>ПП!AF29</f>
        <v>0</v>
      </c>
      <c r="BK41" s="380">
        <f>SUMIFS('Отчет РПЗ(ПЗ)_ПЗИП'!$AG:$AG,'Отчет РПЗ(ПЗ)_ПЗИП'!$G:$G,Справочно!$C25,'Отчет РПЗ(ПЗ)_ПЗИП'!$AQ:$AQ,10,'Отчет РПЗ(ПЗ)_ПЗИП'!$AG:$AG,"&gt;0")</f>
        <v>0</v>
      </c>
      <c r="BL41" s="46">
        <f>ПП!AG29</f>
        <v>0</v>
      </c>
      <c r="BM41" s="181">
        <f>COUNTIFS('Отчет РПЗ(ПЗ)_ПЗИП'!$G:$G,Справочно!$C25,'Отчет РПЗ(ПЗ)_ПЗИП'!$AQ:$AQ,11,'Отчет РПЗ(ПЗ)_ПЗИП'!$AG:$AG,"&gt;0")</f>
        <v>0</v>
      </c>
      <c r="BN41" s="431">
        <f>ПП!AH29</f>
        <v>0</v>
      </c>
      <c r="BO41" s="380">
        <f>SUMIFS('Отчет РПЗ(ПЗ)_ПЗИП'!$AG:$AG,'Отчет РПЗ(ПЗ)_ПЗИП'!$G:$G,Справочно!$C25,'Отчет РПЗ(ПЗ)_ПЗИП'!$AQ:$AQ,11,'Отчет РПЗ(ПЗ)_ПЗИП'!$AG:$AG,"&gt;0")</f>
        <v>0</v>
      </c>
      <c r="BP41" s="46">
        <f>ПП!AI29</f>
        <v>0</v>
      </c>
      <c r="BQ41" s="181">
        <f>COUNTIFS('Отчет РПЗ(ПЗ)_ПЗИП'!$G:$G,Справочно!$C25,'Отчет РПЗ(ПЗ)_ПЗИП'!$AQ:$AQ,12,'Отчет РПЗ(ПЗ)_ПЗИП'!$AG:$AG,"&gt;0")</f>
        <v>0</v>
      </c>
      <c r="BR41" s="431">
        <f>ПП!AJ29</f>
        <v>0</v>
      </c>
      <c r="BS41" s="381">
        <f>SUMIFS('Отчет РПЗ(ПЗ)_ПЗИП'!$AG:$AG,'Отчет РПЗ(ПЗ)_ПЗИП'!$G:$G,Справочно!$C25,'Отчет РПЗ(ПЗ)_ПЗИП'!$AQ:$AQ,12,'Отчет РПЗ(ПЗ)_ПЗИП'!$AG:$AG,"&gt;0")</f>
        <v>0</v>
      </c>
      <c r="BT41" s="175">
        <f>ПП!AK29</f>
        <v>0</v>
      </c>
      <c r="BU41" s="183">
        <f t="shared" si="12"/>
        <v>0</v>
      </c>
      <c r="BV41" s="430">
        <f t="shared" si="13"/>
        <v>0</v>
      </c>
      <c r="BW41" s="341">
        <f t="shared" si="14"/>
        <v>0</v>
      </c>
    </row>
    <row r="42" spans="2:75" ht="13.5" thickBot="1" x14ac:dyDescent="0.25">
      <c r="B42" s="87" t="s">
        <v>168</v>
      </c>
      <c r="C42" s="96">
        <f>ПП!B30</f>
        <v>0</v>
      </c>
      <c r="D42" s="418" t="e">
        <f>ПП!C30</f>
        <v>#DIV/0!</v>
      </c>
      <c r="E42" s="67">
        <f>COUNTIFS('Отчет РПЗ(ПЗ)_ПЗИП'!$G:$G,Справочно!$C26,'Отчет РПЗ(ПЗ)_ПЗИП'!AG:AG, "&gt;0")</f>
        <v>0</v>
      </c>
      <c r="F42" s="419" t="e">
        <f t="shared" si="1"/>
        <v>#DIV/0!</v>
      </c>
      <c r="G42" s="420">
        <f>ПП!D30</f>
        <v>0</v>
      </c>
      <c r="H42" s="421" t="e">
        <f>ПП!E30</f>
        <v>#DIV/0!</v>
      </c>
      <c r="I42" s="422">
        <f>SUMIF('Отчет РПЗ(ПЗ)_ПЗИП'!$G:$G,Справочно!$C26,'Отчет РПЗ(ПЗ)_ПЗИП'!$AG:$AG)</f>
        <v>0</v>
      </c>
      <c r="J42" s="419" t="e">
        <f t="shared" si="2"/>
        <v>#DIV/0!</v>
      </c>
      <c r="K42" s="65"/>
      <c r="L42" s="163">
        <f>ПП!G30</f>
        <v>0</v>
      </c>
      <c r="M42" s="151">
        <f>COUNTIFS('Отчет РПЗ(ПЗ)_ПЗИП'!$G:$G,Справочно!$C26,'Отчет РПЗ(ПЗ)_ПЗИП'!$AQ:$AQ,1,'Отчет РПЗ(ПЗ)_ПЗИП'!$AG:$AG,"&gt;0")</f>
        <v>0</v>
      </c>
      <c r="N42" s="431">
        <f>ПП!H30</f>
        <v>0</v>
      </c>
      <c r="O42" s="342">
        <f>SUMIFS('Отчет РПЗ(ПЗ)_ПЗИП'!$AG:$AG,'Отчет РПЗ(ПЗ)_ПЗИП'!$G:$G,Справочно!$C26,'Отчет РПЗ(ПЗ)_ПЗИП'!$AQ:$AQ,1,'Отчет РПЗ(ПЗ)_ПЗИП'!$AG:$AG,"&gt;0")</f>
        <v>0</v>
      </c>
      <c r="P42" s="46">
        <f>ПП!I30</f>
        <v>0</v>
      </c>
      <c r="Q42" s="151">
        <f>COUNTIFS('Отчет РПЗ(ПЗ)_ПЗИП'!$G:$G,Справочно!$C26,'Отчет РПЗ(ПЗ)_ПЗИП'!$AQ:$AQ,2,'Отчет РПЗ(ПЗ)_ПЗИП'!$AG:$AG,"&gt;0")</f>
        <v>0</v>
      </c>
      <c r="R42" s="431">
        <f>ПП!J30</f>
        <v>0</v>
      </c>
      <c r="S42" s="342">
        <f>SUMIFS('Отчет РПЗ(ПЗ)_ПЗИП'!$AG:$AG,'Отчет РПЗ(ПЗ)_ПЗИП'!$G:$G,Справочно!$C26,'Отчет РПЗ(ПЗ)_ПЗИП'!$AQ:$AQ,2,'Отчет РПЗ(ПЗ)_ПЗИП'!$AG:$AG,"&gt;0")</f>
        <v>0</v>
      </c>
      <c r="T42" s="46">
        <f>ПП!K30</f>
        <v>0</v>
      </c>
      <c r="U42" s="151">
        <f>COUNTIFS('Отчет РПЗ(ПЗ)_ПЗИП'!$G:$G,Справочно!$C26,'Отчет РПЗ(ПЗ)_ПЗИП'!$AQ:$AQ,3,'Отчет РПЗ(ПЗ)_ПЗИП'!$AG:$AG,"&gt;0")</f>
        <v>0</v>
      </c>
      <c r="V42" s="431">
        <f>ПП!L30</f>
        <v>0</v>
      </c>
      <c r="W42" s="375">
        <f>SUMIFS('Отчет РПЗ(ПЗ)_ПЗИП'!$AG:$AG,'Отчет РПЗ(ПЗ)_ПЗИП'!$G:$G,Справочно!$C26,'Отчет РПЗ(ПЗ)_ПЗИП'!$AQ:$AQ,3,'Отчет РПЗ(ПЗ)_ПЗИП'!$AG:$AG,"&gt;0")</f>
        <v>0</v>
      </c>
      <c r="X42" s="175">
        <f>ПП!M30</f>
        <v>0</v>
      </c>
      <c r="Y42" s="176">
        <f t="shared" si="3"/>
        <v>0</v>
      </c>
      <c r="Z42" s="430">
        <f t="shared" si="4"/>
        <v>0</v>
      </c>
      <c r="AA42" s="335">
        <f t="shared" si="5"/>
        <v>0</v>
      </c>
      <c r="AB42" s="163">
        <f>ПП!O30</f>
        <v>0</v>
      </c>
      <c r="AC42" s="187">
        <f>COUNTIFS('Отчет РПЗ(ПЗ)_ПЗИП'!$G:$G,Справочно!$C26,'Отчет РПЗ(ПЗ)_ПЗИП'!$AQ:$AQ,4,'Отчет РПЗ(ПЗ)_ПЗИП'!$AG:$AG,"&gt;0")</f>
        <v>0</v>
      </c>
      <c r="AD42" s="431">
        <f>ПП!P30</f>
        <v>0</v>
      </c>
      <c r="AE42" s="376">
        <f>SUMIFS('Отчет РПЗ(ПЗ)_ПЗИП'!$AG:$AG,'Отчет РПЗ(ПЗ)_ПЗИП'!$G:$G,Справочно!$C26,'Отчет РПЗ(ПЗ)_ПЗИП'!$AQ:$AQ,4,'Отчет РПЗ(ПЗ)_ПЗИП'!$AG:$AG,"&gt;0")</f>
        <v>0</v>
      </c>
      <c r="AF42" s="46">
        <f>ПП!Q30</f>
        <v>0</v>
      </c>
      <c r="AG42" s="187">
        <f>COUNTIFS('Отчет РПЗ(ПЗ)_ПЗИП'!$G:$G,Справочно!$C26,'Отчет РПЗ(ПЗ)_ПЗИП'!$AQ:$AQ,5,'Отчет РПЗ(ПЗ)_ПЗИП'!$AG:$AG,"&gt;0")</f>
        <v>0</v>
      </c>
      <c r="AH42" s="431">
        <f>ПП!R30</f>
        <v>0</v>
      </c>
      <c r="AI42" s="376">
        <f>SUMIFS('Отчет РПЗ(ПЗ)_ПЗИП'!$AG:$AG,'Отчет РПЗ(ПЗ)_ПЗИП'!$G:$G,Справочно!$C26,'Отчет РПЗ(ПЗ)_ПЗИП'!$AQ:$AQ,5,'Отчет РПЗ(ПЗ)_ПЗИП'!$AG:$AG,"&gt;0")</f>
        <v>0</v>
      </c>
      <c r="AJ42" s="46">
        <f>ПП!S30</f>
        <v>0</v>
      </c>
      <c r="AK42" s="187">
        <f>COUNTIFS('Отчет РПЗ(ПЗ)_ПЗИП'!$G:$G,Справочно!$C26,'Отчет РПЗ(ПЗ)_ПЗИП'!$AQ:$AQ,6,'Отчет РПЗ(ПЗ)_ПЗИП'!$AG:$AG,"&gt;0")</f>
        <v>0</v>
      </c>
      <c r="AL42" s="431">
        <f>ПП!T30</f>
        <v>0</v>
      </c>
      <c r="AM42" s="377">
        <f>SUMIFS('Отчет РПЗ(ПЗ)_ПЗИП'!$AG:$AG,'Отчет РПЗ(ПЗ)_ПЗИП'!$G:$G,Справочно!$C26,'Отчет РПЗ(ПЗ)_ПЗИП'!$AQ:$AQ,6,'Отчет РПЗ(ПЗ)_ПЗИП'!$AG:$AG,"&gt;0")</f>
        <v>0</v>
      </c>
      <c r="AN42" s="175">
        <f>ПП!U30</f>
        <v>0</v>
      </c>
      <c r="AO42" s="189">
        <f t="shared" si="6"/>
        <v>0</v>
      </c>
      <c r="AP42" s="430">
        <f t="shared" si="7"/>
        <v>0</v>
      </c>
      <c r="AQ42" s="337">
        <f t="shared" si="8"/>
        <v>0</v>
      </c>
      <c r="AR42" s="163">
        <f>ПП!W30</f>
        <v>0</v>
      </c>
      <c r="AS42" s="148">
        <f>COUNTIFS('Отчет РПЗ(ПЗ)_ПЗИП'!$G:$G,Справочно!$C26,'Отчет РПЗ(ПЗ)_ПЗИП'!$AQ:$AQ,7,'Отчет РПЗ(ПЗ)_ПЗИП'!$AG:$AG,"&gt;0")</f>
        <v>0</v>
      </c>
      <c r="AT42" s="431">
        <f>ПП!X30</f>
        <v>0</v>
      </c>
      <c r="AU42" s="378">
        <f>SUMIFS('Отчет РПЗ(ПЗ)_ПЗИП'!$AG:$AG,'Отчет РПЗ(ПЗ)_ПЗИП'!$G:$G,Справочно!$C26,'Отчет РПЗ(ПЗ)_ПЗИП'!$AQ:$AQ,7,'Отчет РПЗ(ПЗ)_ПЗИП'!$AG:$AG,"&gt;0")</f>
        <v>0</v>
      </c>
      <c r="AV42" s="46">
        <f>ПП!Y30</f>
        <v>0</v>
      </c>
      <c r="AW42" s="148">
        <f>COUNTIFS('Отчет РПЗ(ПЗ)_ПЗИП'!$G:$G,Справочно!$C26,'Отчет РПЗ(ПЗ)_ПЗИП'!$AQ:$AQ,8,'Отчет РПЗ(ПЗ)_ПЗИП'!$AG:$AG,"&gt;0")</f>
        <v>0</v>
      </c>
      <c r="AX42" s="431">
        <f>ПП!Z30</f>
        <v>0</v>
      </c>
      <c r="AY42" s="378">
        <f>SUMIFS('Отчет РПЗ(ПЗ)_ПЗИП'!$AG:$AG,'Отчет РПЗ(ПЗ)_ПЗИП'!$G:$G,Справочно!$C26,'Отчет РПЗ(ПЗ)_ПЗИП'!$AQ:$AQ,8,'Отчет РПЗ(ПЗ)_ПЗИП'!$AG:$AG,"&gt;0")</f>
        <v>0</v>
      </c>
      <c r="AZ42" s="46">
        <f>ПП!AA30</f>
        <v>0</v>
      </c>
      <c r="BA42" s="148">
        <f>COUNTIFS('Отчет РПЗ(ПЗ)_ПЗИП'!$G:$G,Справочно!$C26,'Отчет РПЗ(ПЗ)_ПЗИП'!$AQ:$AQ,9,'Отчет РПЗ(ПЗ)_ПЗИП'!$AG:$AG,"&gt;0")</f>
        <v>0</v>
      </c>
      <c r="BB42" s="431">
        <f>ПП!AB30</f>
        <v>0</v>
      </c>
      <c r="BC42" s="379">
        <f>SUMIFS('Отчет РПЗ(ПЗ)_ПЗИП'!$AG:$AG,'Отчет РПЗ(ПЗ)_ПЗИП'!$G:$G,Справочно!$C26,'Отчет РПЗ(ПЗ)_ПЗИП'!$AQ:$AQ,9,'Отчет РПЗ(ПЗ)_ПЗИП'!$AG:$AG,"&gt;0")</f>
        <v>0</v>
      </c>
      <c r="BD42" s="175">
        <f>ПП!AC30</f>
        <v>0</v>
      </c>
      <c r="BE42" s="184">
        <f t="shared" si="9"/>
        <v>0</v>
      </c>
      <c r="BF42" s="430">
        <f t="shared" si="10"/>
        <v>0</v>
      </c>
      <c r="BG42" s="339">
        <f t="shared" si="11"/>
        <v>0</v>
      </c>
      <c r="BH42" s="163">
        <f>ПП!AE30</f>
        <v>0</v>
      </c>
      <c r="BI42" s="181">
        <f>COUNTIFS('Отчет РПЗ(ПЗ)_ПЗИП'!$G:$G,Справочно!$C26,'Отчет РПЗ(ПЗ)_ПЗИП'!$AQ:$AQ,10,'Отчет РПЗ(ПЗ)_ПЗИП'!$AG:$AG,"&gt;0")</f>
        <v>0</v>
      </c>
      <c r="BJ42" s="431">
        <f>ПП!AF30</f>
        <v>0</v>
      </c>
      <c r="BK42" s="380">
        <f>SUMIFS('Отчет РПЗ(ПЗ)_ПЗИП'!$AG:$AG,'Отчет РПЗ(ПЗ)_ПЗИП'!$G:$G,Справочно!$C26,'Отчет РПЗ(ПЗ)_ПЗИП'!$AQ:$AQ,10,'Отчет РПЗ(ПЗ)_ПЗИП'!$AG:$AG,"&gt;0")</f>
        <v>0</v>
      </c>
      <c r="BL42" s="46">
        <f>ПП!AG30</f>
        <v>0</v>
      </c>
      <c r="BM42" s="181">
        <f>COUNTIFS('Отчет РПЗ(ПЗ)_ПЗИП'!$G:$G,Справочно!$C26,'Отчет РПЗ(ПЗ)_ПЗИП'!$AQ:$AQ,11,'Отчет РПЗ(ПЗ)_ПЗИП'!$AG:$AG,"&gt;0")</f>
        <v>0</v>
      </c>
      <c r="BN42" s="431">
        <f>ПП!AH30</f>
        <v>0</v>
      </c>
      <c r="BO42" s="380">
        <f>SUMIFS('Отчет РПЗ(ПЗ)_ПЗИП'!$AG:$AG,'Отчет РПЗ(ПЗ)_ПЗИП'!$G:$G,Справочно!$C26,'Отчет РПЗ(ПЗ)_ПЗИП'!$AQ:$AQ,11,'Отчет РПЗ(ПЗ)_ПЗИП'!$AG:$AG,"&gt;0")</f>
        <v>0</v>
      </c>
      <c r="BP42" s="46">
        <f>ПП!AI30</f>
        <v>0</v>
      </c>
      <c r="BQ42" s="181">
        <f>COUNTIFS('Отчет РПЗ(ПЗ)_ПЗИП'!$G:$G,Справочно!$C26,'Отчет РПЗ(ПЗ)_ПЗИП'!$AQ:$AQ,12,'Отчет РПЗ(ПЗ)_ПЗИП'!$AG:$AG,"&gt;0")</f>
        <v>0</v>
      </c>
      <c r="BR42" s="431">
        <f>ПП!AJ30</f>
        <v>0</v>
      </c>
      <c r="BS42" s="381">
        <f>SUMIFS('Отчет РПЗ(ПЗ)_ПЗИП'!$AG:$AG,'Отчет РПЗ(ПЗ)_ПЗИП'!$G:$G,Справочно!$C26,'Отчет РПЗ(ПЗ)_ПЗИП'!$AQ:$AQ,12,'Отчет РПЗ(ПЗ)_ПЗИП'!$AG:$AG,"&gt;0")</f>
        <v>0</v>
      </c>
      <c r="BT42" s="175">
        <f>ПП!AK30</f>
        <v>0</v>
      </c>
      <c r="BU42" s="183">
        <f t="shared" si="12"/>
        <v>0</v>
      </c>
      <c r="BV42" s="430">
        <f t="shared" si="13"/>
        <v>0</v>
      </c>
      <c r="BW42" s="341">
        <f t="shared" si="14"/>
        <v>0</v>
      </c>
    </row>
    <row r="43" spans="2:75" ht="13.5" thickBot="1" x14ac:dyDescent="0.25">
      <c r="B43" s="87" t="s">
        <v>255</v>
      </c>
      <c r="C43" s="96">
        <f>ПП!B31</f>
        <v>0</v>
      </c>
      <c r="D43" s="418" t="e">
        <f>ПП!C31</f>
        <v>#DIV/0!</v>
      </c>
      <c r="E43" s="67">
        <f>COUNTIFS('Отчет РПЗ(ПЗ)_ПЗИП'!$G:$G,Справочно!$C27,'Отчет РПЗ(ПЗ)_ПЗИП'!AG:AG, "&gt;0")</f>
        <v>0</v>
      </c>
      <c r="F43" s="419" t="e">
        <f t="shared" si="1"/>
        <v>#DIV/0!</v>
      </c>
      <c r="G43" s="420">
        <f>ПП!D31</f>
        <v>0</v>
      </c>
      <c r="H43" s="421" t="e">
        <f>ПП!E31</f>
        <v>#DIV/0!</v>
      </c>
      <c r="I43" s="422">
        <f>SUMIF('Отчет РПЗ(ПЗ)_ПЗИП'!$G:$G,Справочно!$C27,'Отчет РПЗ(ПЗ)_ПЗИП'!$AG:$AG)</f>
        <v>0</v>
      </c>
      <c r="J43" s="419" t="e">
        <f t="shared" si="2"/>
        <v>#DIV/0!</v>
      </c>
      <c r="K43" s="65"/>
      <c r="L43" s="163">
        <f>ПП!G31</f>
        <v>0</v>
      </c>
      <c r="M43" s="151">
        <f>COUNTIFS('Отчет РПЗ(ПЗ)_ПЗИП'!$G:$G,Справочно!$C27,'Отчет РПЗ(ПЗ)_ПЗИП'!$AQ:$AQ,1,'Отчет РПЗ(ПЗ)_ПЗИП'!$AG:$AG,"&gt;0")</f>
        <v>0</v>
      </c>
      <c r="N43" s="431">
        <f>ПП!H31</f>
        <v>0</v>
      </c>
      <c r="O43" s="342">
        <f>SUMIFS('Отчет РПЗ(ПЗ)_ПЗИП'!$AG:$AG,'Отчет РПЗ(ПЗ)_ПЗИП'!$G:$G,Справочно!$C27,'Отчет РПЗ(ПЗ)_ПЗИП'!$AQ:$AQ,1,'Отчет РПЗ(ПЗ)_ПЗИП'!$AG:$AG,"&gt;0")</f>
        <v>0</v>
      </c>
      <c r="P43" s="46">
        <f>ПП!I31</f>
        <v>0</v>
      </c>
      <c r="Q43" s="151">
        <f>COUNTIFS('Отчет РПЗ(ПЗ)_ПЗИП'!$G:$G,Справочно!$C27,'Отчет РПЗ(ПЗ)_ПЗИП'!$AQ:$AQ,2,'Отчет РПЗ(ПЗ)_ПЗИП'!$AG:$AG,"&gt;0")</f>
        <v>0</v>
      </c>
      <c r="R43" s="431">
        <f>ПП!J31</f>
        <v>0</v>
      </c>
      <c r="S43" s="342">
        <f>SUMIFS('Отчет РПЗ(ПЗ)_ПЗИП'!$AG:$AG,'Отчет РПЗ(ПЗ)_ПЗИП'!$G:$G,Справочно!$C27,'Отчет РПЗ(ПЗ)_ПЗИП'!$AQ:$AQ,2,'Отчет РПЗ(ПЗ)_ПЗИП'!$AG:$AG,"&gt;0")</f>
        <v>0</v>
      </c>
      <c r="T43" s="46">
        <f>ПП!K31</f>
        <v>0</v>
      </c>
      <c r="U43" s="151">
        <f>COUNTIFS('Отчет РПЗ(ПЗ)_ПЗИП'!$G:$G,Справочно!$C27,'Отчет РПЗ(ПЗ)_ПЗИП'!$AQ:$AQ,3,'Отчет РПЗ(ПЗ)_ПЗИП'!$AG:$AG,"&gt;0")</f>
        <v>0</v>
      </c>
      <c r="V43" s="431">
        <f>ПП!L31</f>
        <v>0</v>
      </c>
      <c r="W43" s="375">
        <f>SUMIFS('Отчет РПЗ(ПЗ)_ПЗИП'!$AG:$AG,'Отчет РПЗ(ПЗ)_ПЗИП'!$G:$G,Справочно!$C27,'Отчет РПЗ(ПЗ)_ПЗИП'!$AQ:$AQ,3,'Отчет РПЗ(ПЗ)_ПЗИП'!$AG:$AG,"&gt;0")</f>
        <v>0</v>
      </c>
      <c r="X43" s="175">
        <f>ПП!M31</f>
        <v>0</v>
      </c>
      <c r="Y43" s="176">
        <f t="shared" si="3"/>
        <v>0</v>
      </c>
      <c r="Z43" s="430">
        <f t="shared" si="4"/>
        <v>0</v>
      </c>
      <c r="AA43" s="335">
        <f t="shared" si="5"/>
        <v>0</v>
      </c>
      <c r="AB43" s="163">
        <f>ПП!O31</f>
        <v>0</v>
      </c>
      <c r="AC43" s="187">
        <f>COUNTIFS('Отчет РПЗ(ПЗ)_ПЗИП'!$G:$G,Справочно!$C27,'Отчет РПЗ(ПЗ)_ПЗИП'!$AQ:$AQ,4,'Отчет РПЗ(ПЗ)_ПЗИП'!$AG:$AG,"&gt;0")</f>
        <v>0</v>
      </c>
      <c r="AD43" s="431">
        <f>ПП!P31</f>
        <v>0</v>
      </c>
      <c r="AE43" s="376">
        <f>SUMIFS('Отчет РПЗ(ПЗ)_ПЗИП'!$AG:$AG,'Отчет РПЗ(ПЗ)_ПЗИП'!$G:$G,Справочно!$C27,'Отчет РПЗ(ПЗ)_ПЗИП'!$AQ:$AQ,4,'Отчет РПЗ(ПЗ)_ПЗИП'!$AG:$AG,"&gt;0")</f>
        <v>0</v>
      </c>
      <c r="AF43" s="46">
        <f>ПП!Q31</f>
        <v>0</v>
      </c>
      <c r="AG43" s="187">
        <f>COUNTIFS('Отчет РПЗ(ПЗ)_ПЗИП'!$G:$G,Справочно!$C27,'Отчет РПЗ(ПЗ)_ПЗИП'!$AQ:$AQ,5,'Отчет РПЗ(ПЗ)_ПЗИП'!$AG:$AG,"&gt;0")</f>
        <v>0</v>
      </c>
      <c r="AH43" s="431">
        <f>ПП!R31</f>
        <v>0</v>
      </c>
      <c r="AI43" s="376">
        <f>SUMIFS('Отчет РПЗ(ПЗ)_ПЗИП'!$AG:$AG,'Отчет РПЗ(ПЗ)_ПЗИП'!$G:$G,Справочно!$C27,'Отчет РПЗ(ПЗ)_ПЗИП'!$AQ:$AQ,5,'Отчет РПЗ(ПЗ)_ПЗИП'!$AG:$AG,"&gt;0")</f>
        <v>0</v>
      </c>
      <c r="AJ43" s="46">
        <f>ПП!S31</f>
        <v>0</v>
      </c>
      <c r="AK43" s="187">
        <f>COUNTIFS('Отчет РПЗ(ПЗ)_ПЗИП'!$G:$G,Справочно!$C27,'Отчет РПЗ(ПЗ)_ПЗИП'!$AQ:$AQ,6,'Отчет РПЗ(ПЗ)_ПЗИП'!$AG:$AG,"&gt;0")</f>
        <v>0</v>
      </c>
      <c r="AL43" s="431">
        <f>ПП!T31</f>
        <v>0</v>
      </c>
      <c r="AM43" s="377">
        <f>SUMIFS('Отчет РПЗ(ПЗ)_ПЗИП'!$AG:$AG,'Отчет РПЗ(ПЗ)_ПЗИП'!$G:$G,Справочно!$C27,'Отчет РПЗ(ПЗ)_ПЗИП'!$AQ:$AQ,6,'Отчет РПЗ(ПЗ)_ПЗИП'!$AG:$AG,"&gt;0")</f>
        <v>0</v>
      </c>
      <c r="AN43" s="175">
        <f>ПП!U31</f>
        <v>0</v>
      </c>
      <c r="AO43" s="189">
        <f t="shared" si="6"/>
        <v>0</v>
      </c>
      <c r="AP43" s="430">
        <f t="shared" si="7"/>
        <v>0</v>
      </c>
      <c r="AQ43" s="337">
        <f t="shared" si="8"/>
        <v>0</v>
      </c>
      <c r="AR43" s="163">
        <f>ПП!W31</f>
        <v>0</v>
      </c>
      <c r="AS43" s="148">
        <f>COUNTIFS('Отчет РПЗ(ПЗ)_ПЗИП'!$G:$G,Справочно!$C27,'Отчет РПЗ(ПЗ)_ПЗИП'!$AQ:$AQ,7,'Отчет РПЗ(ПЗ)_ПЗИП'!$AG:$AG,"&gt;0")</f>
        <v>0</v>
      </c>
      <c r="AT43" s="431">
        <f>ПП!X31</f>
        <v>0</v>
      </c>
      <c r="AU43" s="378">
        <f>SUMIFS('Отчет РПЗ(ПЗ)_ПЗИП'!$AG:$AG,'Отчет РПЗ(ПЗ)_ПЗИП'!$G:$G,Справочно!$C27,'Отчет РПЗ(ПЗ)_ПЗИП'!$AQ:$AQ,7,'Отчет РПЗ(ПЗ)_ПЗИП'!$AG:$AG,"&gt;0")</f>
        <v>0</v>
      </c>
      <c r="AV43" s="46">
        <f>ПП!Y31</f>
        <v>0</v>
      </c>
      <c r="AW43" s="148">
        <f>COUNTIFS('Отчет РПЗ(ПЗ)_ПЗИП'!$G:$G,Справочно!$C27,'Отчет РПЗ(ПЗ)_ПЗИП'!$AQ:$AQ,8,'Отчет РПЗ(ПЗ)_ПЗИП'!$AG:$AG,"&gt;0")</f>
        <v>0</v>
      </c>
      <c r="AX43" s="431">
        <f>ПП!Z31</f>
        <v>0</v>
      </c>
      <c r="AY43" s="378">
        <f>SUMIFS('Отчет РПЗ(ПЗ)_ПЗИП'!$AG:$AG,'Отчет РПЗ(ПЗ)_ПЗИП'!$G:$G,Справочно!$C27,'Отчет РПЗ(ПЗ)_ПЗИП'!$AQ:$AQ,8,'Отчет РПЗ(ПЗ)_ПЗИП'!$AG:$AG,"&gt;0")</f>
        <v>0</v>
      </c>
      <c r="AZ43" s="46">
        <f>ПП!AA31</f>
        <v>0</v>
      </c>
      <c r="BA43" s="148">
        <f>COUNTIFS('Отчет РПЗ(ПЗ)_ПЗИП'!$G:$G,Справочно!$C27,'Отчет РПЗ(ПЗ)_ПЗИП'!$AQ:$AQ,9,'Отчет РПЗ(ПЗ)_ПЗИП'!$AG:$AG,"&gt;0")</f>
        <v>0</v>
      </c>
      <c r="BB43" s="431">
        <f>ПП!AB31</f>
        <v>0</v>
      </c>
      <c r="BC43" s="379">
        <f>SUMIFS('Отчет РПЗ(ПЗ)_ПЗИП'!$AG:$AG,'Отчет РПЗ(ПЗ)_ПЗИП'!$G:$G,Справочно!$C27,'Отчет РПЗ(ПЗ)_ПЗИП'!$AQ:$AQ,9,'Отчет РПЗ(ПЗ)_ПЗИП'!$AG:$AG,"&gt;0")</f>
        <v>0</v>
      </c>
      <c r="BD43" s="175">
        <f>ПП!AC31</f>
        <v>0</v>
      </c>
      <c r="BE43" s="184">
        <f t="shared" si="9"/>
        <v>0</v>
      </c>
      <c r="BF43" s="430">
        <f t="shared" si="10"/>
        <v>0</v>
      </c>
      <c r="BG43" s="339">
        <f t="shared" si="11"/>
        <v>0</v>
      </c>
      <c r="BH43" s="163">
        <f>ПП!AE31</f>
        <v>0</v>
      </c>
      <c r="BI43" s="181">
        <f>COUNTIFS('Отчет РПЗ(ПЗ)_ПЗИП'!$G:$G,Справочно!$C27,'Отчет РПЗ(ПЗ)_ПЗИП'!$AQ:$AQ,10,'Отчет РПЗ(ПЗ)_ПЗИП'!$AG:$AG,"&gt;0")</f>
        <v>0</v>
      </c>
      <c r="BJ43" s="431">
        <f>ПП!AF31</f>
        <v>0</v>
      </c>
      <c r="BK43" s="380">
        <f>SUMIFS('Отчет РПЗ(ПЗ)_ПЗИП'!$AG:$AG,'Отчет РПЗ(ПЗ)_ПЗИП'!$G:$G,Справочно!$C27,'Отчет РПЗ(ПЗ)_ПЗИП'!$AQ:$AQ,10,'Отчет РПЗ(ПЗ)_ПЗИП'!$AG:$AG,"&gt;0")</f>
        <v>0</v>
      </c>
      <c r="BL43" s="46">
        <f>ПП!AG31</f>
        <v>0</v>
      </c>
      <c r="BM43" s="181">
        <f>COUNTIFS('Отчет РПЗ(ПЗ)_ПЗИП'!$G:$G,Справочно!$C27,'Отчет РПЗ(ПЗ)_ПЗИП'!$AQ:$AQ,11,'Отчет РПЗ(ПЗ)_ПЗИП'!$AG:$AG,"&gt;0")</f>
        <v>0</v>
      </c>
      <c r="BN43" s="431">
        <f>ПП!AH31</f>
        <v>0</v>
      </c>
      <c r="BO43" s="380">
        <f>SUMIFS('Отчет РПЗ(ПЗ)_ПЗИП'!$AG:$AG,'Отчет РПЗ(ПЗ)_ПЗИП'!$G:$G,Справочно!$C27,'Отчет РПЗ(ПЗ)_ПЗИП'!$AQ:$AQ,11,'Отчет РПЗ(ПЗ)_ПЗИП'!$AG:$AG,"&gt;0")</f>
        <v>0</v>
      </c>
      <c r="BP43" s="46">
        <f>ПП!AI31</f>
        <v>0</v>
      </c>
      <c r="BQ43" s="181">
        <f>COUNTIFS('Отчет РПЗ(ПЗ)_ПЗИП'!$G:$G,Справочно!$C27,'Отчет РПЗ(ПЗ)_ПЗИП'!$AQ:$AQ,12,'Отчет РПЗ(ПЗ)_ПЗИП'!$AG:$AG,"&gt;0")</f>
        <v>0</v>
      </c>
      <c r="BR43" s="431">
        <f>ПП!AJ31</f>
        <v>0</v>
      </c>
      <c r="BS43" s="381">
        <f>SUMIFS('Отчет РПЗ(ПЗ)_ПЗИП'!$AG:$AG,'Отчет РПЗ(ПЗ)_ПЗИП'!$G:$G,Справочно!$C27,'Отчет РПЗ(ПЗ)_ПЗИП'!$AQ:$AQ,12,'Отчет РПЗ(ПЗ)_ПЗИП'!$AG:$AG,"&gt;0")</f>
        <v>0</v>
      </c>
      <c r="BT43" s="175">
        <f>ПП!AK31</f>
        <v>0</v>
      </c>
      <c r="BU43" s="183">
        <f t="shared" si="12"/>
        <v>0</v>
      </c>
      <c r="BV43" s="430">
        <f t="shared" si="13"/>
        <v>0</v>
      </c>
      <c r="BW43" s="341">
        <f t="shared" si="14"/>
        <v>0</v>
      </c>
    </row>
    <row r="44" spans="2:75" ht="13.5" thickBot="1" x14ac:dyDescent="0.25">
      <c r="B44" s="87" t="s">
        <v>169</v>
      </c>
      <c r="C44" s="96">
        <f>ПП!B32</f>
        <v>0</v>
      </c>
      <c r="D44" s="418" t="e">
        <f>ПП!C32</f>
        <v>#DIV/0!</v>
      </c>
      <c r="E44" s="67">
        <f>COUNTIFS('Отчет РПЗ(ПЗ)_ПЗИП'!$G:$G,Справочно!$C28,'Отчет РПЗ(ПЗ)_ПЗИП'!AG:AG, "&gt;0")</f>
        <v>0</v>
      </c>
      <c r="F44" s="419" t="e">
        <f t="shared" si="1"/>
        <v>#DIV/0!</v>
      </c>
      <c r="G44" s="420">
        <f>ПП!D32</f>
        <v>0</v>
      </c>
      <c r="H44" s="421" t="e">
        <f>ПП!E32</f>
        <v>#DIV/0!</v>
      </c>
      <c r="I44" s="422">
        <f>SUMIF('Отчет РПЗ(ПЗ)_ПЗИП'!$G:$G,Справочно!$C28,'Отчет РПЗ(ПЗ)_ПЗИП'!$AG:$AG)</f>
        <v>0</v>
      </c>
      <c r="J44" s="419" t="e">
        <f t="shared" si="2"/>
        <v>#DIV/0!</v>
      </c>
      <c r="K44" s="65"/>
      <c r="L44" s="163">
        <f>ПП!G32</f>
        <v>0</v>
      </c>
      <c r="M44" s="151">
        <f>COUNTIFS('Отчет РПЗ(ПЗ)_ПЗИП'!$G:$G,Справочно!$C28,'Отчет РПЗ(ПЗ)_ПЗИП'!$AQ:$AQ,1,'Отчет РПЗ(ПЗ)_ПЗИП'!$AG:$AG,"&gt;0")</f>
        <v>0</v>
      </c>
      <c r="N44" s="431">
        <f>ПП!H32</f>
        <v>0</v>
      </c>
      <c r="O44" s="342">
        <f>SUMIFS('Отчет РПЗ(ПЗ)_ПЗИП'!$AG:$AG,'Отчет РПЗ(ПЗ)_ПЗИП'!$G:$G,Справочно!$C28,'Отчет РПЗ(ПЗ)_ПЗИП'!$AQ:$AQ,1,'Отчет РПЗ(ПЗ)_ПЗИП'!$AG:$AG,"&gt;0")</f>
        <v>0</v>
      </c>
      <c r="P44" s="46">
        <f>ПП!I32</f>
        <v>0</v>
      </c>
      <c r="Q44" s="151">
        <f>COUNTIFS('Отчет РПЗ(ПЗ)_ПЗИП'!$G:$G,Справочно!$C28,'Отчет РПЗ(ПЗ)_ПЗИП'!$AQ:$AQ,2,'Отчет РПЗ(ПЗ)_ПЗИП'!$AG:$AG,"&gt;0")</f>
        <v>0</v>
      </c>
      <c r="R44" s="431">
        <f>ПП!J32</f>
        <v>0</v>
      </c>
      <c r="S44" s="342">
        <f>SUMIFS('Отчет РПЗ(ПЗ)_ПЗИП'!$AG:$AG,'Отчет РПЗ(ПЗ)_ПЗИП'!$G:$G,Справочно!$C28,'Отчет РПЗ(ПЗ)_ПЗИП'!$AQ:$AQ,2,'Отчет РПЗ(ПЗ)_ПЗИП'!$AG:$AG,"&gt;0")</f>
        <v>0</v>
      </c>
      <c r="T44" s="46">
        <f>ПП!K32</f>
        <v>0</v>
      </c>
      <c r="U44" s="151">
        <f>COUNTIFS('Отчет РПЗ(ПЗ)_ПЗИП'!$G:$G,Справочно!$C28,'Отчет РПЗ(ПЗ)_ПЗИП'!$AQ:$AQ,3,'Отчет РПЗ(ПЗ)_ПЗИП'!$AG:$AG,"&gt;0")</f>
        <v>0</v>
      </c>
      <c r="V44" s="431">
        <f>ПП!L32</f>
        <v>0</v>
      </c>
      <c r="W44" s="375">
        <f>SUMIFS('Отчет РПЗ(ПЗ)_ПЗИП'!$AG:$AG,'Отчет РПЗ(ПЗ)_ПЗИП'!$G:$G,Справочно!$C28,'Отчет РПЗ(ПЗ)_ПЗИП'!$AQ:$AQ,3,'Отчет РПЗ(ПЗ)_ПЗИП'!$AG:$AG,"&gt;0")</f>
        <v>0</v>
      </c>
      <c r="X44" s="175">
        <f>ПП!M32</f>
        <v>0</v>
      </c>
      <c r="Y44" s="176">
        <f t="shared" si="3"/>
        <v>0</v>
      </c>
      <c r="Z44" s="430">
        <f t="shared" si="4"/>
        <v>0</v>
      </c>
      <c r="AA44" s="335">
        <f t="shared" si="5"/>
        <v>0</v>
      </c>
      <c r="AB44" s="163">
        <f>ПП!O32</f>
        <v>0</v>
      </c>
      <c r="AC44" s="187">
        <f>COUNTIFS('Отчет РПЗ(ПЗ)_ПЗИП'!$G:$G,Справочно!$C28,'Отчет РПЗ(ПЗ)_ПЗИП'!$AQ:$AQ,4,'Отчет РПЗ(ПЗ)_ПЗИП'!$AG:$AG,"&gt;0")</f>
        <v>0</v>
      </c>
      <c r="AD44" s="431">
        <f>ПП!P32</f>
        <v>0</v>
      </c>
      <c r="AE44" s="376">
        <f>SUMIFS('Отчет РПЗ(ПЗ)_ПЗИП'!$AG:$AG,'Отчет РПЗ(ПЗ)_ПЗИП'!$G:$G,Справочно!$C28,'Отчет РПЗ(ПЗ)_ПЗИП'!$AQ:$AQ,4,'Отчет РПЗ(ПЗ)_ПЗИП'!$AG:$AG,"&gt;0")</f>
        <v>0</v>
      </c>
      <c r="AF44" s="46">
        <f>ПП!Q32</f>
        <v>0</v>
      </c>
      <c r="AG44" s="187">
        <f>COUNTIFS('Отчет РПЗ(ПЗ)_ПЗИП'!$G:$G,Справочно!$C28,'Отчет РПЗ(ПЗ)_ПЗИП'!$AQ:$AQ,5,'Отчет РПЗ(ПЗ)_ПЗИП'!$AG:$AG,"&gt;0")</f>
        <v>0</v>
      </c>
      <c r="AH44" s="431">
        <f>ПП!R32</f>
        <v>0</v>
      </c>
      <c r="AI44" s="376">
        <f>SUMIFS('Отчет РПЗ(ПЗ)_ПЗИП'!$AG:$AG,'Отчет РПЗ(ПЗ)_ПЗИП'!$G:$G,Справочно!$C28,'Отчет РПЗ(ПЗ)_ПЗИП'!$AQ:$AQ,5,'Отчет РПЗ(ПЗ)_ПЗИП'!$AG:$AG,"&gt;0")</f>
        <v>0</v>
      </c>
      <c r="AJ44" s="46">
        <f>ПП!S32</f>
        <v>0</v>
      </c>
      <c r="AK44" s="187">
        <f>COUNTIFS('Отчет РПЗ(ПЗ)_ПЗИП'!$G:$G,Справочно!$C28,'Отчет РПЗ(ПЗ)_ПЗИП'!$AQ:$AQ,6,'Отчет РПЗ(ПЗ)_ПЗИП'!$AG:$AG,"&gt;0")</f>
        <v>0</v>
      </c>
      <c r="AL44" s="431">
        <f>ПП!T32</f>
        <v>0</v>
      </c>
      <c r="AM44" s="377">
        <f>SUMIFS('Отчет РПЗ(ПЗ)_ПЗИП'!$AG:$AG,'Отчет РПЗ(ПЗ)_ПЗИП'!$G:$G,Справочно!$C28,'Отчет РПЗ(ПЗ)_ПЗИП'!$AQ:$AQ,6,'Отчет РПЗ(ПЗ)_ПЗИП'!$AG:$AG,"&gt;0")</f>
        <v>0</v>
      </c>
      <c r="AN44" s="175">
        <f>ПП!U32</f>
        <v>0</v>
      </c>
      <c r="AO44" s="189">
        <f t="shared" si="6"/>
        <v>0</v>
      </c>
      <c r="AP44" s="430">
        <f t="shared" si="7"/>
        <v>0</v>
      </c>
      <c r="AQ44" s="337">
        <f t="shared" si="8"/>
        <v>0</v>
      </c>
      <c r="AR44" s="163">
        <f>ПП!W32</f>
        <v>0</v>
      </c>
      <c r="AS44" s="148">
        <f>COUNTIFS('Отчет РПЗ(ПЗ)_ПЗИП'!$G:$G,Справочно!$C28,'Отчет РПЗ(ПЗ)_ПЗИП'!$AQ:$AQ,7,'Отчет РПЗ(ПЗ)_ПЗИП'!$AG:$AG,"&gt;0")</f>
        <v>0</v>
      </c>
      <c r="AT44" s="431">
        <f>ПП!X32</f>
        <v>0</v>
      </c>
      <c r="AU44" s="378">
        <f>SUMIFS('Отчет РПЗ(ПЗ)_ПЗИП'!$AG:$AG,'Отчет РПЗ(ПЗ)_ПЗИП'!$G:$G,Справочно!$C28,'Отчет РПЗ(ПЗ)_ПЗИП'!$AQ:$AQ,7,'Отчет РПЗ(ПЗ)_ПЗИП'!$AG:$AG,"&gt;0")</f>
        <v>0</v>
      </c>
      <c r="AV44" s="46">
        <f>ПП!Y32</f>
        <v>0</v>
      </c>
      <c r="AW44" s="148">
        <f>COUNTIFS('Отчет РПЗ(ПЗ)_ПЗИП'!$G:$G,Справочно!$C28,'Отчет РПЗ(ПЗ)_ПЗИП'!$AQ:$AQ,8,'Отчет РПЗ(ПЗ)_ПЗИП'!$AG:$AG,"&gt;0")</f>
        <v>0</v>
      </c>
      <c r="AX44" s="431">
        <f>ПП!Z32</f>
        <v>0</v>
      </c>
      <c r="AY44" s="378">
        <f>SUMIFS('Отчет РПЗ(ПЗ)_ПЗИП'!$AG:$AG,'Отчет РПЗ(ПЗ)_ПЗИП'!$G:$G,Справочно!$C28,'Отчет РПЗ(ПЗ)_ПЗИП'!$AQ:$AQ,8,'Отчет РПЗ(ПЗ)_ПЗИП'!$AG:$AG,"&gt;0")</f>
        <v>0</v>
      </c>
      <c r="AZ44" s="46">
        <f>ПП!AA32</f>
        <v>0</v>
      </c>
      <c r="BA44" s="148">
        <f>COUNTIFS('Отчет РПЗ(ПЗ)_ПЗИП'!$G:$G,Справочно!$C28,'Отчет РПЗ(ПЗ)_ПЗИП'!$AQ:$AQ,9,'Отчет РПЗ(ПЗ)_ПЗИП'!$AG:$AG,"&gt;0")</f>
        <v>0</v>
      </c>
      <c r="BB44" s="431">
        <f>ПП!AB32</f>
        <v>0</v>
      </c>
      <c r="BC44" s="379">
        <f>SUMIFS('Отчет РПЗ(ПЗ)_ПЗИП'!$AG:$AG,'Отчет РПЗ(ПЗ)_ПЗИП'!$G:$G,Справочно!$C28,'Отчет РПЗ(ПЗ)_ПЗИП'!$AQ:$AQ,9,'Отчет РПЗ(ПЗ)_ПЗИП'!$AG:$AG,"&gt;0")</f>
        <v>0</v>
      </c>
      <c r="BD44" s="175">
        <f>ПП!AC32</f>
        <v>0</v>
      </c>
      <c r="BE44" s="184">
        <f t="shared" si="9"/>
        <v>0</v>
      </c>
      <c r="BF44" s="430">
        <f t="shared" si="10"/>
        <v>0</v>
      </c>
      <c r="BG44" s="339">
        <f t="shared" si="11"/>
        <v>0</v>
      </c>
      <c r="BH44" s="163">
        <f>ПП!AE32</f>
        <v>0</v>
      </c>
      <c r="BI44" s="181">
        <f>COUNTIFS('Отчет РПЗ(ПЗ)_ПЗИП'!$G:$G,Справочно!$C28,'Отчет РПЗ(ПЗ)_ПЗИП'!$AQ:$AQ,10,'Отчет РПЗ(ПЗ)_ПЗИП'!$AG:$AG,"&gt;0")</f>
        <v>0</v>
      </c>
      <c r="BJ44" s="431">
        <f>ПП!AF32</f>
        <v>0</v>
      </c>
      <c r="BK44" s="380">
        <f>SUMIFS('Отчет РПЗ(ПЗ)_ПЗИП'!$AG:$AG,'Отчет РПЗ(ПЗ)_ПЗИП'!$G:$G,Справочно!$C28,'Отчет РПЗ(ПЗ)_ПЗИП'!$AQ:$AQ,10,'Отчет РПЗ(ПЗ)_ПЗИП'!$AG:$AG,"&gt;0")</f>
        <v>0</v>
      </c>
      <c r="BL44" s="46">
        <f>ПП!AG32</f>
        <v>0</v>
      </c>
      <c r="BM44" s="181">
        <f>COUNTIFS('Отчет РПЗ(ПЗ)_ПЗИП'!$G:$G,Справочно!$C28,'Отчет РПЗ(ПЗ)_ПЗИП'!$AQ:$AQ,11,'Отчет РПЗ(ПЗ)_ПЗИП'!$AG:$AG,"&gt;0")</f>
        <v>0</v>
      </c>
      <c r="BN44" s="431">
        <f>ПП!AH32</f>
        <v>0</v>
      </c>
      <c r="BO44" s="380">
        <f>SUMIFS('Отчет РПЗ(ПЗ)_ПЗИП'!$AG:$AG,'Отчет РПЗ(ПЗ)_ПЗИП'!$G:$G,Справочно!$C28,'Отчет РПЗ(ПЗ)_ПЗИП'!$AQ:$AQ,11,'Отчет РПЗ(ПЗ)_ПЗИП'!$AG:$AG,"&gt;0")</f>
        <v>0</v>
      </c>
      <c r="BP44" s="46">
        <f>ПП!AI32</f>
        <v>0</v>
      </c>
      <c r="BQ44" s="181">
        <f>COUNTIFS('Отчет РПЗ(ПЗ)_ПЗИП'!$G:$G,Справочно!$C28,'Отчет РПЗ(ПЗ)_ПЗИП'!$AQ:$AQ,12,'Отчет РПЗ(ПЗ)_ПЗИП'!$AG:$AG,"&gt;0")</f>
        <v>0</v>
      </c>
      <c r="BR44" s="431">
        <f>ПП!AJ32</f>
        <v>0</v>
      </c>
      <c r="BS44" s="381">
        <f>SUMIFS('Отчет РПЗ(ПЗ)_ПЗИП'!$AG:$AG,'Отчет РПЗ(ПЗ)_ПЗИП'!$G:$G,Справочно!$C28,'Отчет РПЗ(ПЗ)_ПЗИП'!$AQ:$AQ,12,'Отчет РПЗ(ПЗ)_ПЗИП'!$AG:$AG,"&gt;0")</f>
        <v>0</v>
      </c>
      <c r="BT44" s="175">
        <f>ПП!AK32</f>
        <v>0</v>
      </c>
      <c r="BU44" s="183">
        <f t="shared" si="12"/>
        <v>0</v>
      </c>
      <c r="BV44" s="430">
        <f t="shared" si="13"/>
        <v>0</v>
      </c>
      <c r="BW44" s="341">
        <f t="shared" si="14"/>
        <v>0</v>
      </c>
    </row>
    <row r="45" spans="2:75" ht="13.5" thickBot="1" x14ac:dyDescent="0.25">
      <c r="B45" s="87" t="s">
        <v>256</v>
      </c>
      <c r="C45" s="96">
        <f>ПП!B33</f>
        <v>0</v>
      </c>
      <c r="D45" s="418" t="e">
        <f>ПП!C33</f>
        <v>#DIV/0!</v>
      </c>
      <c r="E45" s="67">
        <f>COUNTIFS('Отчет РПЗ(ПЗ)_ПЗИП'!$G:$G,Справочно!$C29,'Отчет РПЗ(ПЗ)_ПЗИП'!AG:AG, "&gt;0")</f>
        <v>0</v>
      </c>
      <c r="F45" s="419" t="e">
        <f t="shared" si="1"/>
        <v>#DIV/0!</v>
      </c>
      <c r="G45" s="420">
        <f>ПП!D33</f>
        <v>0</v>
      </c>
      <c r="H45" s="421" t="e">
        <f>ПП!E33</f>
        <v>#DIV/0!</v>
      </c>
      <c r="I45" s="422">
        <f>SUMIF('Отчет РПЗ(ПЗ)_ПЗИП'!$G:$G,Справочно!$C29,'Отчет РПЗ(ПЗ)_ПЗИП'!$AG:$AG)</f>
        <v>0</v>
      </c>
      <c r="J45" s="419" t="e">
        <f t="shared" si="2"/>
        <v>#DIV/0!</v>
      </c>
      <c r="K45" s="65"/>
      <c r="L45" s="163">
        <f>ПП!G33</f>
        <v>0</v>
      </c>
      <c r="M45" s="151">
        <f>COUNTIFS('Отчет РПЗ(ПЗ)_ПЗИП'!$G:$G,Справочно!$C29,'Отчет РПЗ(ПЗ)_ПЗИП'!$AQ:$AQ,1,'Отчет РПЗ(ПЗ)_ПЗИП'!$AG:$AG,"&gt;0")</f>
        <v>0</v>
      </c>
      <c r="N45" s="431">
        <f>ПП!H33</f>
        <v>0</v>
      </c>
      <c r="O45" s="342">
        <f>SUMIFS('Отчет РПЗ(ПЗ)_ПЗИП'!$AG:$AG,'Отчет РПЗ(ПЗ)_ПЗИП'!$G:$G,Справочно!$C29,'Отчет РПЗ(ПЗ)_ПЗИП'!$AQ:$AQ,1,'Отчет РПЗ(ПЗ)_ПЗИП'!$AG:$AG,"&gt;0")</f>
        <v>0</v>
      </c>
      <c r="P45" s="46">
        <f>ПП!I33</f>
        <v>0</v>
      </c>
      <c r="Q45" s="151">
        <f>COUNTIFS('Отчет РПЗ(ПЗ)_ПЗИП'!$G:$G,Справочно!$C29,'Отчет РПЗ(ПЗ)_ПЗИП'!$AQ:$AQ,2,'Отчет РПЗ(ПЗ)_ПЗИП'!$AG:$AG,"&gt;0")</f>
        <v>0</v>
      </c>
      <c r="R45" s="431">
        <f>ПП!J33</f>
        <v>0</v>
      </c>
      <c r="S45" s="342">
        <f>SUMIFS('Отчет РПЗ(ПЗ)_ПЗИП'!$AG:$AG,'Отчет РПЗ(ПЗ)_ПЗИП'!$G:$G,Справочно!$C29,'Отчет РПЗ(ПЗ)_ПЗИП'!$AQ:$AQ,2,'Отчет РПЗ(ПЗ)_ПЗИП'!$AG:$AG,"&gt;0")</f>
        <v>0</v>
      </c>
      <c r="T45" s="46">
        <f>ПП!K33</f>
        <v>0</v>
      </c>
      <c r="U45" s="151">
        <f>COUNTIFS('Отчет РПЗ(ПЗ)_ПЗИП'!$G:$G,Справочно!$C29,'Отчет РПЗ(ПЗ)_ПЗИП'!$AQ:$AQ,3,'Отчет РПЗ(ПЗ)_ПЗИП'!$AG:$AG,"&gt;0")</f>
        <v>0</v>
      </c>
      <c r="V45" s="431">
        <f>ПП!L33</f>
        <v>0</v>
      </c>
      <c r="W45" s="375">
        <f>SUMIFS('Отчет РПЗ(ПЗ)_ПЗИП'!$AG:$AG,'Отчет РПЗ(ПЗ)_ПЗИП'!$G:$G,Справочно!$C29,'Отчет РПЗ(ПЗ)_ПЗИП'!$AQ:$AQ,3,'Отчет РПЗ(ПЗ)_ПЗИП'!$AG:$AG,"&gt;0")</f>
        <v>0</v>
      </c>
      <c r="X45" s="175">
        <f>ПП!M33</f>
        <v>0</v>
      </c>
      <c r="Y45" s="176">
        <f t="shared" si="3"/>
        <v>0</v>
      </c>
      <c r="Z45" s="430">
        <f t="shared" si="4"/>
        <v>0</v>
      </c>
      <c r="AA45" s="335">
        <f t="shared" si="5"/>
        <v>0</v>
      </c>
      <c r="AB45" s="163">
        <f>ПП!O33</f>
        <v>0</v>
      </c>
      <c r="AC45" s="187">
        <f>COUNTIFS('Отчет РПЗ(ПЗ)_ПЗИП'!$G:$G,Справочно!$C29,'Отчет РПЗ(ПЗ)_ПЗИП'!$AQ:$AQ,4,'Отчет РПЗ(ПЗ)_ПЗИП'!$AG:$AG,"&gt;0")</f>
        <v>0</v>
      </c>
      <c r="AD45" s="431">
        <f>ПП!P33</f>
        <v>0</v>
      </c>
      <c r="AE45" s="376">
        <f>SUMIFS('Отчет РПЗ(ПЗ)_ПЗИП'!$AG:$AG,'Отчет РПЗ(ПЗ)_ПЗИП'!$G:$G,Справочно!$C29,'Отчет РПЗ(ПЗ)_ПЗИП'!$AQ:$AQ,4,'Отчет РПЗ(ПЗ)_ПЗИП'!$AG:$AG,"&gt;0")</f>
        <v>0</v>
      </c>
      <c r="AF45" s="46">
        <f>ПП!Q33</f>
        <v>0</v>
      </c>
      <c r="AG45" s="187">
        <f>COUNTIFS('Отчет РПЗ(ПЗ)_ПЗИП'!$G:$G,Справочно!$C29,'Отчет РПЗ(ПЗ)_ПЗИП'!$AQ:$AQ,5,'Отчет РПЗ(ПЗ)_ПЗИП'!$AG:$AG,"&gt;0")</f>
        <v>0</v>
      </c>
      <c r="AH45" s="431">
        <f>ПП!R33</f>
        <v>0</v>
      </c>
      <c r="AI45" s="376">
        <f>SUMIFS('Отчет РПЗ(ПЗ)_ПЗИП'!$AG:$AG,'Отчет РПЗ(ПЗ)_ПЗИП'!$G:$G,Справочно!$C29,'Отчет РПЗ(ПЗ)_ПЗИП'!$AQ:$AQ,5,'Отчет РПЗ(ПЗ)_ПЗИП'!$AG:$AG,"&gt;0")</f>
        <v>0</v>
      </c>
      <c r="AJ45" s="46">
        <f>ПП!S33</f>
        <v>0</v>
      </c>
      <c r="AK45" s="187">
        <f>COUNTIFS('Отчет РПЗ(ПЗ)_ПЗИП'!$G:$G,Справочно!$C29,'Отчет РПЗ(ПЗ)_ПЗИП'!$AQ:$AQ,6,'Отчет РПЗ(ПЗ)_ПЗИП'!$AG:$AG,"&gt;0")</f>
        <v>0</v>
      </c>
      <c r="AL45" s="431">
        <f>ПП!T33</f>
        <v>0</v>
      </c>
      <c r="AM45" s="377">
        <f>SUMIFS('Отчет РПЗ(ПЗ)_ПЗИП'!$AG:$AG,'Отчет РПЗ(ПЗ)_ПЗИП'!$G:$G,Справочно!$C29,'Отчет РПЗ(ПЗ)_ПЗИП'!$AQ:$AQ,6,'Отчет РПЗ(ПЗ)_ПЗИП'!$AG:$AG,"&gt;0")</f>
        <v>0</v>
      </c>
      <c r="AN45" s="175">
        <f>ПП!U33</f>
        <v>0</v>
      </c>
      <c r="AO45" s="189">
        <f t="shared" si="6"/>
        <v>0</v>
      </c>
      <c r="AP45" s="430">
        <f t="shared" si="7"/>
        <v>0</v>
      </c>
      <c r="AQ45" s="337">
        <f t="shared" si="8"/>
        <v>0</v>
      </c>
      <c r="AR45" s="163">
        <f>ПП!W33</f>
        <v>0</v>
      </c>
      <c r="AS45" s="148">
        <f>COUNTIFS('Отчет РПЗ(ПЗ)_ПЗИП'!$G:$G,Справочно!$C29,'Отчет РПЗ(ПЗ)_ПЗИП'!$AQ:$AQ,7,'Отчет РПЗ(ПЗ)_ПЗИП'!$AG:$AG,"&gt;0")</f>
        <v>0</v>
      </c>
      <c r="AT45" s="431">
        <f>ПП!X33</f>
        <v>0</v>
      </c>
      <c r="AU45" s="378">
        <f>SUMIFS('Отчет РПЗ(ПЗ)_ПЗИП'!$AG:$AG,'Отчет РПЗ(ПЗ)_ПЗИП'!$G:$G,Справочно!$C29,'Отчет РПЗ(ПЗ)_ПЗИП'!$AQ:$AQ,7,'Отчет РПЗ(ПЗ)_ПЗИП'!$AG:$AG,"&gt;0")</f>
        <v>0</v>
      </c>
      <c r="AV45" s="46">
        <f>ПП!Y33</f>
        <v>0</v>
      </c>
      <c r="AW45" s="148">
        <f>COUNTIFS('Отчет РПЗ(ПЗ)_ПЗИП'!$G:$G,Справочно!$C29,'Отчет РПЗ(ПЗ)_ПЗИП'!$AQ:$AQ,8,'Отчет РПЗ(ПЗ)_ПЗИП'!$AG:$AG,"&gt;0")</f>
        <v>0</v>
      </c>
      <c r="AX45" s="431">
        <f>ПП!Z33</f>
        <v>0</v>
      </c>
      <c r="AY45" s="378">
        <f>SUMIFS('Отчет РПЗ(ПЗ)_ПЗИП'!$AG:$AG,'Отчет РПЗ(ПЗ)_ПЗИП'!$G:$G,Справочно!$C29,'Отчет РПЗ(ПЗ)_ПЗИП'!$AQ:$AQ,8,'Отчет РПЗ(ПЗ)_ПЗИП'!$AG:$AG,"&gt;0")</f>
        <v>0</v>
      </c>
      <c r="AZ45" s="46">
        <f>ПП!AA33</f>
        <v>0</v>
      </c>
      <c r="BA45" s="148">
        <f>COUNTIFS('Отчет РПЗ(ПЗ)_ПЗИП'!$G:$G,Справочно!$C29,'Отчет РПЗ(ПЗ)_ПЗИП'!$AQ:$AQ,9,'Отчет РПЗ(ПЗ)_ПЗИП'!$AG:$AG,"&gt;0")</f>
        <v>0</v>
      </c>
      <c r="BB45" s="431">
        <f>ПП!AB33</f>
        <v>0</v>
      </c>
      <c r="BC45" s="379">
        <f>SUMIFS('Отчет РПЗ(ПЗ)_ПЗИП'!$AG:$AG,'Отчет РПЗ(ПЗ)_ПЗИП'!$G:$G,Справочно!$C29,'Отчет РПЗ(ПЗ)_ПЗИП'!$AQ:$AQ,9,'Отчет РПЗ(ПЗ)_ПЗИП'!$AG:$AG,"&gt;0")</f>
        <v>0</v>
      </c>
      <c r="BD45" s="175">
        <f>ПП!AC33</f>
        <v>0</v>
      </c>
      <c r="BE45" s="184">
        <f t="shared" si="9"/>
        <v>0</v>
      </c>
      <c r="BF45" s="430">
        <f t="shared" si="10"/>
        <v>0</v>
      </c>
      <c r="BG45" s="339">
        <f t="shared" si="11"/>
        <v>0</v>
      </c>
      <c r="BH45" s="163">
        <f>ПП!AE33</f>
        <v>0</v>
      </c>
      <c r="BI45" s="181">
        <f>COUNTIFS('Отчет РПЗ(ПЗ)_ПЗИП'!$G:$G,Справочно!$C29,'Отчет РПЗ(ПЗ)_ПЗИП'!$AQ:$AQ,10,'Отчет РПЗ(ПЗ)_ПЗИП'!$AG:$AG,"&gt;0")</f>
        <v>0</v>
      </c>
      <c r="BJ45" s="431">
        <f>ПП!AF33</f>
        <v>0</v>
      </c>
      <c r="BK45" s="380">
        <f>SUMIFS('Отчет РПЗ(ПЗ)_ПЗИП'!$AG:$AG,'Отчет РПЗ(ПЗ)_ПЗИП'!$G:$G,Справочно!$C29,'Отчет РПЗ(ПЗ)_ПЗИП'!$AQ:$AQ,10,'Отчет РПЗ(ПЗ)_ПЗИП'!$AG:$AG,"&gt;0")</f>
        <v>0</v>
      </c>
      <c r="BL45" s="46">
        <f>ПП!AG33</f>
        <v>0</v>
      </c>
      <c r="BM45" s="181">
        <f>COUNTIFS('Отчет РПЗ(ПЗ)_ПЗИП'!$G:$G,Справочно!$C29,'Отчет РПЗ(ПЗ)_ПЗИП'!$AQ:$AQ,11,'Отчет РПЗ(ПЗ)_ПЗИП'!$AG:$AG,"&gt;0")</f>
        <v>0</v>
      </c>
      <c r="BN45" s="431">
        <f>ПП!AH33</f>
        <v>0</v>
      </c>
      <c r="BO45" s="380">
        <f>SUMIFS('Отчет РПЗ(ПЗ)_ПЗИП'!$AG:$AG,'Отчет РПЗ(ПЗ)_ПЗИП'!$G:$G,Справочно!$C29,'Отчет РПЗ(ПЗ)_ПЗИП'!$AQ:$AQ,11,'Отчет РПЗ(ПЗ)_ПЗИП'!$AG:$AG,"&gt;0")</f>
        <v>0</v>
      </c>
      <c r="BP45" s="46">
        <f>ПП!AI33</f>
        <v>0</v>
      </c>
      <c r="BQ45" s="181">
        <f>COUNTIFS('Отчет РПЗ(ПЗ)_ПЗИП'!$G:$G,Справочно!$C29,'Отчет РПЗ(ПЗ)_ПЗИП'!$AQ:$AQ,12,'Отчет РПЗ(ПЗ)_ПЗИП'!$AG:$AG,"&gt;0")</f>
        <v>0</v>
      </c>
      <c r="BR45" s="431">
        <f>ПП!AJ33</f>
        <v>0</v>
      </c>
      <c r="BS45" s="381">
        <f>SUMIFS('Отчет РПЗ(ПЗ)_ПЗИП'!$AG:$AG,'Отчет РПЗ(ПЗ)_ПЗИП'!$G:$G,Справочно!$C29,'Отчет РПЗ(ПЗ)_ПЗИП'!$AQ:$AQ,12,'Отчет РПЗ(ПЗ)_ПЗИП'!$AG:$AG,"&gt;0")</f>
        <v>0</v>
      </c>
      <c r="BT45" s="175">
        <f>ПП!AK33</f>
        <v>0</v>
      </c>
      <c r="BU45" s="183">
        <f t="shared" si="12"/>
        <v>0</v>
      </c>
      <c r="BV45" s="430">
        <f t="shared" si="13"/>
        <v>0</v>
      </c>
      <c r="BW45" s="341">
        <f t="shared" si="14"/>
        <v>0</v>
      </c>
    </row>
    <row r="46" spans="2:75" ht="13.5" thickBot="1" x14ac:dyDescent="0.25">
      <c r="B46" s="87" t="s">
        <v>170</v>
      </c>
      <c r="C46" s="96">
        <f>ПП!B34</f>
        <v>0</v>
      </c>
      <c r="D46" s="418" t="e">
        <f>ПП!C34</f>
        <v>#DIV/0!</v>
      </c>
      <c r="E46" s="67">
        <f>COUNTIFS('Отчет РПЗ(ПЗ)_ПЗИП'!$G:$G,Справочно!$C30,'Отчет РПЗ(ПЗ)_ПЗИП'!AG:AG, "&gt;0")</f>
        <v>0</v>
      </c>
      <c r="F46" s="419" t="e">
        <f t="shared" si="1"/>
        <v>#DIV/0!</v>
      </c>
      <c r="G46" s="420">
        <f>ПП!D34</f>
        <v>0</v>
      </c>
      <c r="H46" s="421" t="e">
        <f>ПП!E34</f>
        <v>#DIV/0!</v>
      </c>
      <c r="I46" s="422">
        <f>SUMIF('Отчет РПЗ(ПЗ)_ПЗИП'!$G:$G,Справочно!$C30,'Отчет РПЗ(ПЗ)_ПЗИП'!$AG:$AG)</f>
        <v>0</v>
      </c>
      <c r="J46" s="419" t="e">
        <f t="shared" si="2"/>
        <v>#DIV/0!</v>
      </c>
      <c r="K46" s="65"/>
      <c r="L46" s="163">
        <f>ПП!G34</f>
        <v>0</v>
      </c>
      <c r="M46" s="151">
        <f>COUNTIFS('Отчет РПЗ(ПЗ)_ПЗИП'!$G:$G,Справочно!$C30,'Отчет РПЗ(ПЗ)_ПЗИП'!$AQ:$AQ,1,'Отчет РПЗ(ПЗ)_ПЗИП'!$AG:$AG,"&gt;0")</f>
        <v>0</v>
      </c>
      <c r="N46" s="431">
        <f>ПП!H34</f>
        <v>0</v>
      </c>
      <c r="O46" s="342">
        <f>SUMIFS('Отчет РПЗ(ПЗ)_ПЗИП'!$AG:$AG,'Отчет РПЗ(ПЗ)_ПЗИП'!$G:$G,Справочно!$C30,'Отчет РПЗ(ПЗ)_ПЗИП'!$AQ:$AQ,1,'Отчет РПЗ(ПЗ)_ПЗИП'!$AG:$AG,"&gt;0")</f>
        <v>0</v>
      </c>
      <c r="P46" s="46">
        <f>ПП!I34</f>
        <v>0</v>
      </c>
      <c r="Q46" s="151">
        <f>COUNTIFS('Отчет РПЗ(ПЗ)_ПЗИП'!$G:$G,Справочно!$C30,'Отчет РПЗ(ПЗ)_ПЗИП'!$AQ:$AQ,2,'Отчет РПЗ(ПЗ)_ПЗИП'!$AG:$AG,"&gt;0")</f>
        <v>0</v>
      </c>
      <c r="R46" s="431">
        <f>ПП!J34</f>
        <v>0</v>
      </c>
      <c r="S46" s="342">
        <f>SUMIFS('Отчет РПЗ(ПЗ)_ПЗИП'!$AG:$AG,'Отчет РПЗ(ПЗ)_ПЗИП'!$G:$G,Справочно!$C30,'Отчет РПЗ(ПЗ)_ПЗИП'!$AQ:$AQ,2,'Отчет РПЗ(ПЗ)_ПЗИП'!$AG:$AG,"&gt;0")</f>
        <v>0</v>
      </c>
      <c r="T46" s="46">
        <f>ПП!K34</f>
        <v>0</v>
      </c>
      <c r="U46" s="151">
        <f>COUNTIFS('Отчет РПЗ(ПЗ)_ПЗИП'!$G:$G,Справочно!$C30,'Отчет РПЗ(ПЗ)_ПЗИП'!$AQ:$AQ,3,'Отчет РПЗ(ПЗ)_ПЗИП'!$AG:$AG,"&gt;0")</f>
        <v>0</v>
      </c>
      <c r="V46" s="431">
        <f>ПП!L34</f>
        <v>0</v>
      </c>
      <c r="W46" s="375">
        <f>SUMIFS('Отчет РПЗ(ПЗ)_ПЗИП'!$AG:$AG,'Отчет РПЗ(ПЗ)_ПЗИП'!$G:$G,Справочно!$C30,'Отчет РПЗ(ПЗ)_ПЗИП'!$AQ:$AQ,3,'Отчет РПЗ(ПЗ)_ПЗИП'!$AG:$AG,"&gt;0")</f>
        <v>0</v>
      </c>
      <c r="X46" s="175">
        <f>ПП!M34</f>
        <v>0</v>
      </c>
      <c r="Y46" s="176">
        <f t="shared" si="3"/>
        <v>0</v>
      </c>
      <c r="Z46" s="430">
        <f t="shared" si="4"/>
        <v>0</v>
      </c>
      <c r="AA46" s="335">
        <f t="shared" si="5"/>
        <v>0</v>
      </c>
      <c r="AB46" s="163">
        <f>ПП!O34</f>
        <v>0</v>
      </c>
      <c r="AC46" s="187">
        <f>COUNTIFS('Отчет РПЗ(ПЗ)_ПЗИП'!$G:$G,Справочно!$C30,'Отчет РПЗ(ПЗ)_ПЗИП'!$AQ:$AQ,4,'Отчет РПЗ(ПЗ)_ПЗИП'!$AG:$AG,"&gt;0")</f>
        <v>0</v>
      </c>
      <c r="AD46" s="431">
        <f>ПП!P34</f>
        <v>0</v>
      </c>
      <c r="AE46" s="376">
        <f>SUMIFS('Отчет РПЗ(ПЗ)_ПЗИП'!$AG:$AG,'Отчет РПЗ(ПЗ)_ПЗИП'!$G:$G,Справочно!$C30,'Отчет РПЗ(ПЗ)_ПЗИП'!$AQ:$AQ,4,'Отчет РПЗ(ПЗ)_ПЗИП'!$AG:$AG,"&gt;0")</f>
        <v>0</v>
      </c>
      <c r="AF46" s="46">
        <f>ПП!Q34</f>
        <v>0</v>
      </c>
      <c r="AG46" s="187">
        <f>COUNTIFS('Отчет РПЗ(ПЗ)_ПЗИП'!$G:$G,Справочно!$C30,'Отчет РПЗ(ПЗ)_ПЗИП'!$AQ:$AQ,5,'Отчет РПЗ(ПЗ)_ПЗИП'!$AG:$AG,"&gt;0")</f>
        <v>0</v>
      </c>
      <c r="AH46" s="431">
        <f>ПП!R34</f>
        <v>0</v>
      </c>
      <c r="AI46" s="376">
        <f>SUMIFS('Отчет РПЗ(ПЗ)_ПЗИП'!$AG:$AG,'Отчет РПЗ(ПЗ)_ПЗИП'!$G:$G,Справочно!$C30,'Отчет РПЗ(ПЗ)_ПЗИП'!$AQ:$AQ,5,'Отчет РПЗ(ПЗ)_ПЗИП'!$AG:$AG,"&gt;0")</f>
        <v>0</v>
      </c>
      <c r="AJ46" s="46">
        <f>ПП!S34</f>
        <v>0</v>
      </c>
      <c r="AK46" s="187">
        <f>COUNTIFS('Отчет РПЗ(ПЗ)_ПЗИП'!$G:$G,Справочно!$C30,'Отчет РПЗ(ПЗ)_ПЗИП'!$AQ:$AQ,6,'Отчет РПЗ(ПЗ)_ПЗИП'!$AG:$AG,"&gt;0")</f>
        <v>0</v>
      </c>
      <c r="AL46" s="431">
        <f>ПП!T34</f>
        <v>0</v>
      </c>
      <c r="AM46" s="377">
        <f>SUMIFS('Отчет РПЗ(ПЗ)_ПЗИП'!$AG:$AG,'Отчет РПЗ(ПЗ)_ПЗИП'!$G:$G,Справочно!$C30,'Отчет РПЗ(ПЗ)_ПЗИП'!$AQ:$AQ,6,'Отчет РПЗ(ПЗ)_ПЗИП'!$AG:$AG,"&gt;0")</f>
        <v>0</v>
      </c>
      <c r="AN46" s="175">
        <f>ПП!U34</f>
        <v>0</v>
      </c>
      <c r="AO46" s="189">
        <f t="shared" si="6"/>
        <v>0</v>
      </c>
      <c r="AP46" s="430">
        <f t="shared" si="7"/>
        <v>0</v>
      </c>
      <c r="AQ46" s="337">
        <f t="shared" si="8"/>
        <v>0</v>
      </c>
      <c r="AR46" s="163">
        <f>ПП!W34</f>
        <v>0</v>
      </c>
      <c r="AS46" s="148">
        <f>COUNTIFS('Отчет РПЗ(ПЗ)_ПЗИП'!$G:$G,Справочно!$C30,'Отчет РПЗ(ПЗ)_ПЗИП'!$AQ:$AQ,7,'Отчет РПЗ(ПЗ)_ПЗИП'!$AG:$AG,"&gt;0")</f>
        <v>0</v>
      </c>
      <c r="AT46" s="431">
        <f>ПП!X34</f>
        <v>0</v>
      </c>
      <c r="AU46" s="378">
        <f>SUMIFS('Отчет РПЗ(ПЗ)_ПЗИП'!$AG:$AG,'Отчет РПЗ(ПЗ)_ПЗИП'!$G:$G,Справочно!$C30,'Отчет РПЗ(ПЗ)_ПЗИП'!$AQ:$AQ,7,'Отчет РПЗ(ПЗ)_ПЗИП'!$AG:$AG,"&gt;0")</f>
        <v>0</v>
      </c>
      <c r="AV46" s="46">
        <f>ПП!Y34</f>
        <v>0</v>
      </c>
      <c r="AW46" s="148">
        <f>COUNTIFS('Отчет РПЗ(ПЗ)_ПЗИП'!$G:$G,Справочно!$C30,'Отчет РПЗ(ПЗ)_ПЗИП'!$AQ:$AQ,8,'Отчет РПЗ(ПЗ)_ПЗИП'!$AG:$AG,"&gt;0")</f>
        <v>0</v>
      </c>
      <c r="AX46" s="431">
        <f>ПП!Z34</f>
        <v>0</v>
      </c>
      <c r="AY46" s="378">
        <f>SUMIFS('Отчет РПЗ(ПЗ)_ПЗИП'!$AG:$AG,'Отчет РПЗ(ПЗ)_ПЗИП'!$G:$G,Справочно!$C30,'Отчет РПЗ(ПЗ)_ПЗИП'!$AQ:$AQ,8,'Отчет РПЗ(ПЗ)_ПЗИП'!$AG:$AG,"&gt;0")</f>
        <v>0</v>
      </c>
      <c r="AZ46" s="46">
        <f>ПП!AA34</f>
        <v>0</v>
      </c>
      <c r="BA46" s="148">
        <f>COUNTIFS('Отчет РПЗ(ПЗ)_ПЗИП'!$G:$G,Справочно!$C30,'Отчет РПЗ(ПЗ)_ПЗИП'!$AQ:$AQ,9,'Отчет РПЗ(ПЗ)_ПЗИП'!$AG:$AG,"&gt;0")</f>
        <v>0</v>
      </c>
      <c r="BB46" s="431">
        <f>ПП!AB34</f>
        <v>0</v>
      </c>
      <c r="BC46" s="379">
        <f>SUMIFS('Отчет РПЗ(ПЗ)_ПЗИП'!$AG:$AG,'Отчет РПЗ(ПЗ)_ПЗИП'!$G:$G,Справочно!$C30,'Отчет РПЗ(ПЗ)_ПЗИП'!$AQ:$AQ,9,'Отчет РПЗ(ПЗ)_ПЗИП'!$AG:$AG,"&gt;0")</f>
        <v>0</v>
      </c>
      <c r="BD46" s="175">
        <f>ПП!AC34</f>
        <v>0</v>
      </c>
      <c r="BE46" s="184">
        <f t="shared" si="9"/>
        <v>0</v>
      </c>
      <c r="BF46" s="430">
        <f t="shared" si="10"/>
        <v>0</v>
      </c>
      <c r="BG46" s="339">
        <f t="shared" si="11"/>
        <v>0</v>
      </c>
      <c r="BH46" s="163">
        <f>ПП!AE34</f>
        <v>0</v>
      </c>
      <c r="BI46" s="181">
        <f>COUNTIFS('Отчет РПЗ(ПЗ)_ПЗИП'!$G:$G,Справочно!$C30,'Отчет РПЗ(ПЗ)_ПЗИП'!$AQ:$AQ,10,'Отчет РПЗ(ПЗ)_ПЗИП'!$AG:$AG,"&gt;0")</f>
        <v>0</v>
      </c>
      <c r="BJ46" s="431">
        <f>ПП!AF34</f>
        <v>0</v>
      </c>
      <c r="BK46" s="380">
        <f>SUMIFS('Отчет РПЗ(ПЗ)_ПЗИП'!$AG:$AG,'Отчет РПЗ(ПЗ)_ПЗИП'!$G:$G,Справочно!$C30,'Отчет РПЗ(ПЗ)_ПЗИП'!$AQ:$AQ,10,'Отчет РПЗ(ПЗ)_ПЗИП'!$AG:$AG,"&gt;0")</f>
        <v>0</v>
      </c>
      <c r="BL46" s="46">
        <f>ПП!AG34</f>
        <v>0</v>
      </c>
      <c r="BM46" s="181">
        <f>COUNTIFS('Отчет РПЗ(ПЗ)_ПЗИП'!$G:$G,Справочно!$C30,'Отчет РПЗ(ПЗ)_ПЗИП'!$AQ:$AQ,11,'Отчет РПЗ(ПЗ)_ПЗИП'!$AG:$AG,"&gt;0")</f>
        <v>0</v>
      </c>
      <c r="BN46" s="431">
        <f>ПП!AH34</f>
        <v>0</v>
      </c>
      <c r="BO46" s="380">
        <f>SUMIFS('Отчет РПЗ(ПЗ)_ПЗИП'!$AG:$AG,'Отчет РПЗ(ПЗ)_ПЗИП'!$G:$G,Справочно!$C30,'Отчет РПЗ(ПЗ)_ПЗИП'!$AQ:$AQ,11,'Отчет РПЗ(ПЗ)_ПЗИП'!$AG:$AG,"&gt;0")</f>
        <v>0</v>
      </c>
      <c r="BP46" s="46">
        <f>ПП!AI34</f>
        <v>0</v>
      </c>
      <c r="BQ46" s="181">
        <f>COUNTIFS('Отчет РПЗ(ПЗ)_ПЗИП'!$G:$G,Справочно!$C30,'Отчет РПЗ(ПЗ)_ПЗИП'!$AQ:$AQ,12,'Отчет РПЗ(ПЗ)_ПЗИП'!$AG:$AG,"&gt;0")</f>
        <v>0</v>
      </c>
      <c r="BR46" s="431">
        <f>ПП!AJ34</f>
        <v>0</v>
      </c>
      <c r="BS46" s="381">
        <f>SUMIFS('Отчет РПЗ(ПЗ)_ПЗИП'!$AG:$AG,'Отчет РПЗ(ПЗ)_ПЗИП'!$G:$G,Справочно!$C30,'Отчет РПЗ(ПЗ)_ПЗИП'!$AQ:$AQ,12,'Отчет РПЗ(ПЗ)_ПЗИП'!$AG:$AG,"&gt;0")</f>
        <v>0</v>
      </c>
      <c r="BT46" s="175">
        <f>ПП!AK34</f>
        <v>0</v>
      </c>
      <c r="BU46" s="183">
        <f t="shared" si="12"/>
        <v>0</v>
      </c>
      <c r="BV46" s="430">
        <f t="shared" si="13"/>
        <v>0</v>
      </c>
      <c r="BW46" s="341">
        <f t="shared" si="14"/>
        <v>0</v>
      </c>
    </row>
    <row r="47" spans="2:75" ht="13.5" thickBot="1" x14ac:dyDescent="0.25">
      <c r="B47" s="87" t="s">
        <v>257</v>
      </c>
      <c r="C47" s="96">
        <f>ПП!B35</f>
        <v>0</v>
      </c>
      <c r="D47" s="418" t="e">
        <f>ПП!C35</f>
        <v>#DIV/0!</v>
      </c>
      <c r="E47" s="67">
        <f>COUNTIFS('Отчет РПЗ(ПЗ)_ПЗИП'!$G:$G,Справочно!$C31,'Отчет РПЗ(ПЗ)_ПЗИП'!AG:AG, "&gt;0")</f>
        <v>0</v>
      </c>
      <c r="F47" s="419" t="e">
        <f t="shared" si="1"/>
        <v>#DIV/0!</v>
      </c>
      <c r="G47" s="420">
        <f>ПП!D35</f>
        <v>0</v>
      </c>
      <c r="H47" s="421" t="e">
        <f>ПП!E35</f>
        <v>#DIV/0!</v>
      </c>
      <c r="I47" s="422">
        <f>SUMIF('Отчет РПЗ(ПЗ)_ПЗИП'!$G:$G,Справочно!$C31,'Отчет РПЗ(ПЗ)_ПЗИП'!$AG:$AG)</f>
        <v>0</v>
      </c>
      <c r="J47" s="419" t="e">
        <f t="shared" si="2"/>
        <v>#DIV/0!</v>
      </c>
      <c r="K47" s="65"/>
      <c r="L47" s="168">
        <f>ПП!G35</f>
        <v>0</v>
      </c>
      <c r="M47" s="151">
        <f>COUNTIFS('Отчет РПЗ(ПЗ)_ПЗИП'!$G:$G,Справочно!$C31,'Отчет РПЗ(ПЗ)_ПЗИП'!$AQ:$AQ,1,'Отчет РПЗ(ПЗ)_ПЗИП'!$AG:$AG,"&gt;0")</f>
        <v>0</v>
      </c>
      <c r="N47" s="432">
        <f>ПП!H35</f>
        <v>0</v>
      </c>
      <c r="O47" s="385">
        <f>SUMIFS('Отчет РПЗ(ПЗ)_ПЗИП'!$AG:$AG,'Отчет РПЗ(ПЗ)_ПЗИП'!$G:$G,Справочно!$C31,'Отчет РПЗ(ПЗ)_ПЗИП'!$AQ:$AQ,1,'Отчет РПЗ(ПЗ)_ПЗИП'!$AG:$AG,"&gt;0")</f>
        <v>0</v>
      </c>
      <c r="P47" s="170">
        <f>ПП!I35</f>
        <v>0</v>
      </c>
      <c r="Q47" s="169">
        <f>COUNTIFS('Отчет РПЗ(ПЗ)_ПЗИП'!$G:$G,Справочно!$C31,'Отчет РПЗ(ПЗ)_ПЗИП'!$AQ:$AQ,2,'Отчет РПЗ(ПЗ)_ПЗИП'!$AG:$AG,"&gt;0")</f>
        <v>0</v>
      </c>
      <c r="R47" s="432">
        <f>ПП!J35</f>
        <v>0</v>
      </c>
      <c r="S47" s="385">
        <f>SUMIFS('Отчет РПЗ(ПЗ)_ПЗИП'!$AG:$AG,'Отчет РПЗ(ПЗ)_ПЗИП'!$G:$G,Справочно!$C31,'Отчет РПЗ(ПЗ)_ПЗИП'!$AQ:$AQ,2,'Отчет РПЗ(ПЗ)_ПЗИП'!$AG:$AG,"&gt;0")</f>
        <v>0</v>
      </c>
      <c r="T47" s="170">
        <f>ПП!K35</f>
        <v>0</v>
      </c>
      <c r="U47" s="169">
        <f>COUNTIFS('Отчет РПЗ(ПЗ)_ПЗИП'!$G:$G,Справочно!$C31,'Отчет РПЗ(ПЗ)_ПЗИП'!$AQ:$AQ,3,'Отчет РПЗ(ПЗ)_ПЗИП'!$AG:$AG,"&gt;0")</f>
        <v>0</v>
      </c>
      <c r="V47" s="432">
        <f>ПП!L35</f>
        <v>0</v>
      </c>
      <c r="W47" s="386">
        <f>SUMIFS('Отчет РПЗ(ПЗ)_ПЗИП'!$AG:$AG,'Отчет РПЗ(ПЗ)_ПЗИП'!$G:$G,Справочно!$C31,'Отчет РПЗ(ПЗ)_ПЗИП'!$AQ:$AQ,3,'Отчет РПЗ(ПЗ)_ПЗИП'!$AG:$AG,"&gt;0")</f>
        <v>0</v>
      </c>
      <c r="X47" s="175">
        <f>ПП!M35</f>
        <v>0</v>
      </c>
      <c r="Y47" s="176">
        <f t="shared" si="3"/>
        <v>0</v>
      </c>
      <c r="Z47" s="430">
        <f t="shared" si="4"/>
        <v>0</v>
      </c>
      <c r="AA47" s="335">
        <f t="shared" si="5"/>
        <v>0</v>
      </c>
      <c r="AB47" s="168">
        <f>ПП!O35</f>
        <v>0</v>
      </c>
      <c r="AC47" s="188">
        <f>COUNTIFS('Отчет РПЗ(ПЗ)_ПЗИП'!$G:$G,Справочно!$C31,'Отчет РПЗ(ПЗ)_ПЗИП'!$AQ:$AQ,4,'Отчет РПЗ(ПЗ)_ПЗИП'!$AG:$AG,"&gt;0")</f>
        <v>0</v>
      </c>
      <c r="AD47" s="432">
        <f>ПП!P35</f>
        <v>0</v>
      </c>
      <c r="AE47" s="387">
        <f>SUMIFS('Отчет РПЗ(ПЗ)_ПЗИП'!$AG:$AG,'Отчет РПЗ(ПЗ)_ПЗИП'!$G:$G,Справочно!$C31,'Отчет РПЗ(ПЗ)_ПЗИП'!$AQ:$AQ,4,'Отчет РПЗ(ПЗ)_ПЗИП'!$AG:$AG,"&gt;0")</f>
        <v>0</v>
      </c>
      <c r="AF47" s="170">
        <f>ПП!Q35</f>
        <v>0</v>
      </c>
      <c r="AG47" s="188">
        <f>COUNTIFS('Отчет РПЗ(ПЗ)_ПЗИП'!$G:$G,Справочно!$C31,'Отчет РПЗ(ПЗ)_ПЗИП'!$AQ:$AQ,5,'Отчет РПЗ(ПЗ)_ПЗИП'!$AG:$AG,"&gt;0")</f>
        <v>0</v>
      </c>
      <c r="AH47" s="432">
        <f>ПП!R35</f>
        <v>0</v>
      </c>
      <c r="AI47" s="387">
        <f>SUMIFS('Отчет РПЗ(ПЗ)_ПЗИП'!$AG:$AG,'Отчет РПЗ(ПЗ)_ПЗИП'!$G:$G,Справочно!$C31,'Отчет РПЗ(ПЗ)_ПЗИП'!$AQ:$AQ,5,'Отчет РПЗ(ПЗ)_ПЗИП'!$AG:$AG,"&gt;0")</f>
        <v>0</v>
      </c>
      <c r="AJ47" s="170">
        <f>ПП!S35</f>
        <v>0</v>
      </c>
      <c r="AK47" s="188">
        <f>COUNTIFS('Отчет РПЗ(ПЗ)_ПЗИП'!$G:$G,Справочно!$C31,'Отчет РПЗ(ПЗ)_ПЗИП'!$AQ:$AQ,6,'Отчет РПЗ(ПЗ)_ПЗИП'!$AG:$AG,"&gt;0")</f>
        <v>0</v>
      </c>
      <c r="AL47" s="432">
        <f>ПП!T35</f>
        <v>0</v>
      </c>
      <c r="AM47" s="388">
        <f>SUMIFS('Отчет РПЗ(ПЗ)_ПЗИП'!$AG:$AG,'Отчет РПЗ(ПЗ)_ПЗИП'!$G:$G,Справочно!$C31,'Отчет РПЗ(ПЗ)_ПЗИП'!$AQ:$AQ,6,'Отчет РПЗ(ПЗ)_ПЗИП'!$AG:$AG,"&gt;0")</f>
        <v>0</v>
      </c>
      <c r="AN47" s="175">
        <f>ПП!U35</f>
        <v>0</v>
      </c>
      <c r="AO47" s="189">
        <f t="shared" si="6"/>
        <v>0</v>
      </c>
      <c r="AP47" s="430">
        <f t="shared" si="7"/>
        <v>0</v>
      </c>
      <c r="AQ47" s="337">
        <f t="shared" si="8"/>
        <v>0</v>
      </c>
      <c r="AR47" s="168">
        <f>ПП!W35</f>
        <v>0</v>
      </c>
      <c r="AS47" s="186">
        <f>COUNTIFS('Отчет РПЗ(ПЗ)_ПЗИП'!$G:$G,Справочно!$C31,'Отчет РПЗ(ПЗ)_ПЗИП'!$AQ:$AQ,7,'Отчет РПЗ(ПЗ)_ПЗИП'!$AG:$AG,"&gt;0")</f>
        <v>0</v>
      </c>
      <c r="AT47" s="432">
        <f>ПП!X35</f>
        <v>0</v>
      </c>
      <c r="AU47" s="389">
        <f>SUMIFS('Отчет РПЗ(ПЗ)_ПЗИП'!$AG:$AG,'Отчет РПЗ(ПЗ)_ПЗИП'!$G:$G,Справочно!$C31,'Отчет РПЗ(ПЗ)_ПЗИП'!$AQ:$AQ,7,'Отчет РПЗ(ПЗ)_ПЗИП'!$AG:$AG,"&gt;0")</f>
        <v>0</v>
      </c>
      <c r="AV47" s="170">
        <f>ПП!Y35</f>
        <v>0</v>
      </c>
      <c r="AW47" s="186">
        <f>COUNTIFS('Отчет РПЗ(ПЗ)_ПЗИП'!$G:$G,Справочно!$C31,'Отчет РПЗ(ПЗ)_ПЗИП'!$AQ:$AQ,8,'Отчет РПЗ(ПЗ)_ПЗИП'!$AG:$AG,"&gt;0")</f>
        <v>0</v>
      </c>
      <c r="AX47" s="432">
        <f>ПП!Z35</f>
        <v>0</v>
      </c>
      <c r="AY47" s="389">
        <f>SUMIFS('Отчет РПЗ(ПЗ)_ПЗИП'!$AG:$AG,'Отчет РПЗ(ПЗ)_ПЗИП'!$G:$G,Справочно!$C31,'Отчет РПЗ(ПЗ)_ПЗИП'!$AQ:$AQ,8,'Отчет РПЗ(ПЗ)_ПЗИП'!$AG:$AG,"&gt;0")</f>
        <v>0</v>
      </c>
      <c r="AZ47" s="170">
        <f>ПП!AA35</f>
        <v>0</v>
      </c>
      <c r="BA47" s="186">
        <f>COUNTIFS('Отчет РПЗ(ПЗ)_ПЗИП'!$G:$G,Справочно!$C31,'Отчет РПЗ(ПЗ)_ПЗИП'!$AQ:$AQ,9,'Отчет РПЗ(ПЗ)_ПЗИП'!$AG:$AG,"&gt;0")</f>
        <v>0</v>
      </c>
      <c r="BB47" s="432">
        <f>ПП!AB35</f>
        <v>0</v>
      </c>
      <c r="BC47" s="390">
        <f>SUMIFS('Отчет РПЗ(ПЗ)_ПЗИП'!$AG:$AG,'Отчет РПЗ(ПЗ)_ПЗИП'!$G:$G,Справочно!$C31,'Отчет РПЗ(ПЗ)_ПЗИП'!$AQ:$AQ,9,'Отчет РПЗ(ПЗ)_ПЗИП'!$AG:$AG,"&gt;0")</f>
        <v>0</v>
      </c>
      <c r="BD47" s="175">
        <f>ПП!AC35</f>
        <v>0</v>
      </c>
      <c r="BE47" s="184">
        <f t="shared" si="9"/>
        <v>0</v>
      </c>
      <c r="BF47" s="430">
        <f t="shared" si="10"/>
        <v>0</v>
      </c>
      <c r="BG47" s="339">
        <f t="shared" si="11"/>
        <v>0</v>
      </c>
      <c r="BH47" s="168">
        <f>ПП!AE35</f>
        <v>0</v>
      </c>
      <c r="BI47" s="182">
        <f>COUNTIFS('Отчет РПЗ(ПЗ)_ПЗИП'!$G:$G,Справочно!$C31,'Отчет РПЗ(ПЗ)_ПЗИП'!$AQ:$AQ,10,'Отчет РПЗ(ПЗ)_ПЗИП'!$AG:$AG,"&gt;0")</f>
        <v>0</v>
      </c>
      <c r="BJ47" s="432">
        <f>ПП!AF35</f>
        <v>0</v>
      </c>
      <c r="BK47" s="391">
        <f>SUMIFS('Отчет РПЗ(ПЗ)_ПЗИП'!$AG:$AG,'Отчет РПЗ(ПЗ)_ПЗИП'!$G:$G,Справочно!$C31,'Отчет РПЗ(ПЗ)_ПЗИП'!$AQ:$AQ,10,'Отчет РПЗ(ПЗ)_ПЗИП'!$AG:$AG,"&gt;0")</f>
        <v>0</v>
      </c>
      <c r="BL47" s="170">
        <f>ПП!AG35</f>
        <v>0</v>
      </c>
      <c r="BM47" s="182">
        <f>COUNTIFS('Отчет РПЗ(ПЗ)_ПЗИП'!$G:$G,Справочно!$C31,'Отчет РПЗ(ПЗ)_ПЗИП'!$AQ:$AQ,11,'Отчет РПЗ(ПЗ)_ПЗИП'!$AG:$AG,"&gt;0")</f>
        <v>0</v>
      </c>
      <c r="BN47" s="432">
        <f>ПП!AH35</f>
        <v>0</v>
      </c>
      <c r="BO47" s="391">
        <f>SUMIFS('Отчет РПЗ(ПЗ)_ПЗИП'!$AG:$AG,'Отчет РПЗ(ПЗ)_ПЗИП'!$G:$G,Справочно!$C31,'Отчет РПЗ(ПЗ)_ПЗИП'!$AQ:$AQ,11,'Отчет РПЗ(ПЗ)_ПЗИП'!$AG:$AG,"&gt;0")</f>
        <v>0</v>
      </c>
      <c r="BP47" s="170">
        <f>ПП!AI35</f>
        <v>0</v>
      </c>
      <c r="BQ47" s="182">
        <f>COUNTIFS('Отчет РПЗ(ПЗ)_ПЗИП'!$G:$G,Справочно!$C31,'Отчет РПЗ(ПЗ)_ПЗИП'!$AQ:$AQ,12,'Отчет РПЗ(ПЗ)_ПЗИП'!$AG:$AG,"&gt;0")</f>
        <v>0</v>
      </c>
      <c r="BR47" s="432">
        <f>ПП!AJ35</f>
        <v>0</v>
      </c>
      <c r="BS47" s="392">
        <f>SUMIFS('Отчет РПЗ(ПЗ)_ПЗИП'!$AG:$AG,'Отчет РПЗ(ПЗ)_ПЗИП'!$G:$G,Справочно!$C31,'Отчет РПЗ(ПЗ)_ПЗИП'!$AQ:$AQ,12,'Отчет РПЗ(ПЗ)_ПЗИП'!$AG:$AG,"&gt;0")</f>
        <v>0</v>
      </c>
      <c r="BT47" s="175">
        <f>ПП!AK35</f>
        <v>0</v>
      </c>
      <c r="BU47" s="183">
        <f t="shared" si="12"/>
        <v>0</v>
      </c>
      <c r="BV47" s="430">
        <f t="shared" si="13"/>
        <v>0</v>
      </c>
      <c r="BW47" s="341">
        <f t="shared" si="14"/>
        <v>0</v>
      </c>
    </row>
    <row r="48" spans="2:75" ht="13.5" thickBot="1" x14ac:dyDescent="0.25">
      <c r="B48" s="68" t="s">
        <v>239</v>
      </c>
      <c r="C48" s="320">
        <f t="shared" ref="C48:J48" si="15">SUM(C28:C47)</f>
        <v>0</v>
      </c>
      <c r="D48" s="423" t="e">
        <f t="shared" si="15"/>
        <v>#DIV/0!</v>
      </c>
      <c r="E48" s="97">
        <f t="shared" si="15"/>
        <v>0</v>
      </c>
      <c r="F48" s="401" t="e">
        <f t="shared" si="15"/>
        <v>#DIV/0!</v>
      </c>
      <c r="G48" s="424">
        <f t="shared" si="15"/>
        <v>0</v>
      </c>
      <c r="H48" s="329" t="e">
        <f t="shared" si="15"/>
        <v>#DIV/0!</v>
      </c>
      <c r="I48" s="425">
        <f>SUM(I28:I47)</f>
        <v>0</v>
      </c>
      <c r="J48" s="401" t="e">
        <f t="shared" si="15"/>
        <v>#DIV/0!</v>
      </c>
      <c r="K48" s="65"/>
      <c r="L48" s="156">
        <f t="shared" ref="L48:Z48" si="16">SUM(L28:L47)</f>
        <v>0</v>
      </c>
      <c r="M48" s="139">
        <f t="shared" si="16"/>
        <v>0</v>
      </c>
      <c r="N48" s="433">
        <f t="shared" si="16"/>
        <v>0</v>
      </c>
      <c r="O48" s="344">
        <f>SUM(O28:O47)</f>
        <v>0</v>
      </c>
      <c r="P48" s="158">
        <f t="shared" si="16"/>
        <v>0</v>
      </c>
      <c r="Q48" s="139">
        <f t="shared" si="16"/>
        <v>0</v>
      </c>
      <c r="R48" s="433">
        <f t="shared" si="16"/>
        <v>0</v>
      </c>
      <c r="S48" s="344">
        <f>SUM(S28:S47)</f>
        <v>0</v>
      </c>
      <c r="T48" s="158">
        <f t="shared" si="16"/>
        <v>0</v>
      </c>
      <c r="U48" s="139">
        <f t="shared" si="16"/>
        <v>0</v>
      </c>
      <c r="V48" s="433">
        <f t="shared" si="16"/>
        <v>0</v>
      </c>
      <c r="W48" s="350">
        <f>SUM(W28:W47)</f>
        <v>0</v>
      </c>
      <c r="X48" s="177">
        <f t="shared" si="16"/>
        <v>0</v>
      </c>
      <c r="Y48" s="178">
        <f t="shared" si="16"/>
        <v>0</v>
      </c>
      <c r="Z48" s="430">
        <f t="shared" si="16"/>
        <v>0</v>
      </c>
      <c r="AA48" s="346">
        <f t="shared" ref="AA48:BF48" si="17">SUM(AA28:AA47)</f>
        <v>0</v>
      </c>
      <c r="AB48" s="156">
        <f t="shared" si="17"/>
        <v>0</v>
      </c>
      <c r="AC48" s="139">
        <f t="shared" si="17"/>
        <v>0</v>
      </c>
      <c r="AD48" s="433">
        <f t="shared" si="17"/>
        <v>0</v>
      </c>
      <c r="AE48" s="344">
        <f t="shared" si="17"/>
        <v>0</v>
      </c>
      <c r="AF48" s="158">
        <f t="shared" si="17"/>
        <v>0</v>
      </c>
      <c r="AG48" s="139">
        <f t="shared" si="17"/>
        <v>0</v>
      </c>
      <c r="AH48" s="433">
        <f t="shared" si="17"/>
        <v>0</v>
      </c>
      <c r="AI48" s="344">
        <f t="shared" si="17"/>
        <v>0</v>
      </c>
      <c r="AJ48" s="158">
        <f t="shared" si="17"/>
        <v>0</v>
      </c>
      <c r="AK48" s="139">
        <f t="shared" si="17"/>
        <v>0</v>
      </c>
      <c r="AL48" s="433">
        <f t="shared" si="17"/>
        <v>0</v>
      </c>
      <c r="AM48" s="350">
        <f t="shared" si="17"/>
        <v>0</v>
      </c>
      <c r="AN48" s="177">
        <f t="shared" si="17"/>
        <v>0</v>
      </c>
      <c r="AO48" s="178">
        <f t="shared" si="17"/>
        <v>0</v>
      </c>
      <c r="AP48" s="430">
        <f t="shared" si="17"/>
        <v>0</v>
      </c>
      <c r="AQ48" s="346">
        <f t="shared" si="17"/>
        <v>0</v>
      </c>
      <c r="AR48" s="156">
        <f t="shared" si="17"/>
        <v>0</v>
      </c>
      <c r="AS48" s="139">
        <f t="shared" si="17"/>
        <v>0</v>
      </c>
      <c r="AT48" s="433">
        <f t="shared" si="17"/>
        <v>0</v>
      </c>
      <c r="AU48" s="344">
        <f t="shared" si="17"/>
        <v>0</v>
      </c>
      <c r="AV48" s="158">
        <f t="shared" si="17"/>
        <v>0</v>
      </c>
      <c r="AW48" s="139">
        <f t="shared" si="17"/>
        <v>0</v>
      </c>
      <c r="AX48" s="433">
        <f t="shared" si="17"/>
        <v>0</v>
      </c>
      <c r="AY48" s="344">
        <f t="shared" si="17"/>
        <v>0</v>
      </c>
      <c r="AZ48" s="158">
        <f t="shared" si="17"/>
        <v>0</v>
      </c>
      <c r="BA48" s="139">
        <f t="shared" si="17"/>
        <v>0</v>
      </c>
      <c r="BB48" s="433">
        <f t="shared" si="17"/>
        <v>0</v>
      </c>
      <c r="BC48" s="350">
        <f t="shared" si="17"/>
        <v>0</v>
      </c>
      <c r="BD48" s="177">
        <f t="shared" si="17"/>
        <v>0</v>
      </c>
      <c r="BE48" s="178">
        <f t="shared" si="17"/>
        <v>0</v>
      </c>
      <c r="BF48" s="430">
        <f t="shared" si="17"/>
        <v>0</v>
      </c>
      <c r="BG48" s="346">
        <f t="shared" ref="BG48:BW48" si="18">SUM(BG28:BG47)</f>
        <v>0</v>
      </c>
      <c r="BH48" s="156">
        <f t="shared" si="18"/>
        <v>0</v>
      </c>
      <c r="BI48" s="139">
        <f t="shared" si="18"/>
        <v>0</v>
      </c>
      <c r="BJ48" s="433">
        <f t="shared" si="18"/>
        <v>0</v>
      </c>
      <c r="BK48" s="344">
        <f t="shared" si="18"/>
        <v>0</v>
      </c>
      <c r="BL48" s="158">
        <f t="shared" si="18"/>
        <v>0</v>
      </c>
      <c r="BM48" s="139">
        <f t="shared" si="18"/>
        <v>0</v>
      </c>
      <c r="BN48" s="433">
        <f t="shared" si="18"/>
        <v>0</v>
      </c>
      <c r="BO48" s="344">
        <f t="shared" si="18"/>
        <v>0</v>
      </c>
      <c r="BP48" s="158">
        <f t="shared" si="18"/>
        <v>0</v>
      </c>
      <c r="BQ48" s="139">
        <f t="shared" si="18"/>
        <v>0</v>
      </c>
      <c r="BR48" s="433">
        <f t="shared" si="18"/>
        <v>0</v>
      </c>
      <c r="BS48" s="350">
        <f t="shared" si="18"/>
        <v>0</v>
      </c>
      <c r="BT48" s="177">
        <f t="shared" si="18"/>
        <v>0</v>
      </c>
      <c r="BU48" s="178">
        <f t="shared" si="18"/>
        <v>0</v>
      </c>
      <c r="BV48" s="430">
        <f t="shared" si="18"/>
        <v>0</v>
      </c>
      <c r="BW48" s="346">
        <f t="shared" si="18"/>
        <v>0</v>
      </c>
    </row>
    <row r="49" spans="2:75" ht="13.5" thickBot="1" x14ac:dyDescent="0.25">
      <c r="B49" s="753"/>
      <c r="C49" s="754"/>
      <c r="D49" s="754"/>
      <c r="E49" s="754"/>
      <c r="F49" s="754"/>
      <c r="G49" s="754"/>
      <c r="H49" s="754"/>
      <c r="I49" s="754"/>
      <c r="J49" s="755"/>
      <c r="K49" s="65"/>
      <c r="L49" s="723"/>
      <c r="M49" s="724"/>
      <c r="N49" s="724"/>
      <c r="O49" s="724"/>
      <c r="P49" s="724"/>
      <c r="Q49" s="724"/>
      <c r="R49" s="724"/>
      <c r="S49" s="724"/>
      <c r="T49" s="724"/>
      <c r="U49" s="724"/>
      <c r="V49" s="724"/>
      <c r="W49" s="724"/>
      <c r="X49" s="724"/>
      <c r="Y49" s="724"/>
      <c r="Z49" s="724"/>
      <c r="AA49" s="725"/>
      <c r="AB49" s="723"/>
      <c r="AC49" s="724"/>
      <c r="AD49" s="724"/>
      <c r="AE49" s="724"/>
      <c r="AF49" s="724"/>
      <c r="AG49" s="724"/>
      <c r="AH49" s="724"/>
      <c r="AI49" s="724"/>
      <c r="AJ49" s="724"/>
      <c r="AK49" s="724"/>
      <c r="AL49" s="724"/>
      <c r="AM49" s="724"/>
      <c r="AN49" s="724"/>
      <c r="AO49" s="724"/>
      <c r="AP49" s="724"/>
      <c r="AQ49" s="725"/>
      <c r="AR49" s="723"/>
      <c r="AS49" s="724"/>
      <c r="AT49" s="724"/>
      <c r="AU49" s="724"/>
      <c r="AV49" s="724"/>
      <c r="AW49" s="724"/>
      <c r="AX49" s="724"/>
      <c r="AY49" s="724"/>
      <c r="AZ49" s="724"/>
      <c r="BA49" s="724"/>
      <c r="BB49" s="724"/>
      <c r="BC49" s="724"/>
      <c r="BD49" s="724"/>
      <c r="BE49" s="724"/>
      <c r="BF49" s="724"/>
      <c r="BG49" s="725"/>
      <c r="BH49" s="723"/>
      <c r="BI49" s="724"/>
      <c r="BJ49" s="724"/>
      <c r="BK49" s="724"/>
      <c r="BL49" s="724"/>
      <c r="BM49" s="724"/>
      <c r="BN49" s="724"/>
      <c r="BO49" s="724"/>
      <c r="BP49" s="724"/>
      <c r="BQ49" s="724"/>
      <c r="BR49" s="724"/>
      <c r="BS49" s="724"/>
      <c r="BT49" s="724"/>
      <c r="BU49" s="724"/>
      <c r="BV49" s="724"/>
      <c r="BW49" s="725"/>
    </row>
    <row r="50" spans="2:75" ht="13.5" thickBot="1" x14ac:dyDescent="0.25">
      <c r="B50" s="75" t="s">
        <v>109</v>
      </c>
      <c r="C50" s="320">
        <f>ПП!B38</f>
        <v>0</v>
      </c>
      <c r="D50" s="423" t="e">
        <f>ПП!C38</f>
        <v>#DIV/0!</v>
      </c>
      <c r="E50" s="98">
        <f>COUNTIFS('Отчет РПЗ(ПЗ)_ПЗИП'!$G:$G,Справочно!$C33,'Отчет РПЗ(ПЗ)_ПЗИП'!AG:AG, "&gt;0")</f>
        <v>0</v>
      </c>
      <c r="F50" s="403" t="e">
        <f>E50/$E$52</f>
        <v>#DIV/0!</v>
      </c>
      <c r="G50" s="424">
        <f>ПП!D38</f>
        <v>0</v>
      </c>
      <c r="H50" s="329" t="e">
        <f>ПП!E38</f>
        <v>#DIV/0!</v>
      </c>
      <c r="I50" s="426">
        <f>SUMIF('Отчет РПЗ(ПЗ)_ПЗИП'!$G:$G,Справочно!$C33,'Отчет РПЗ(ПЗ)_ПЗИП'!$AG:$AG)</f>
        <v>0</v>
      </c>
      <c r="J50" s="403" t="e">
        <f>I50/$I$52</f>
        <v>#DIV/0!</v>
      </c>
      <c r="K50" s="65"/>
      <c r="L50" s="156">
        <f>ПП!G38</f>
        <v>0</v>
      </c>
      <c r="M50" s="139">
        <f>COUNTIFS('Отчет РПЗ(ПЗ)_ПЗИП'!$G:$G,Справочно!$C33,'Отчет РПЗ(ПЗ)_ПЗИП'!$AQ:$AQ,1,'Отчет РПЗ(ПЗ)_ПЗИП'!$AG:$AG,"&gt;0")</f>
        <v>0</v>
      </c>
      <c r="N50" s="433">
        <f>ПП!H38</f>
        <v>0</v>
      </c>
      <c r="O50" s="344">
        <f>SUMIFS('Отчет РПЗ(ПЗ)_ПЗИП'!$AG:$AG,'Отчет РПЗ(ПЗ)_ПЗИП'!$G:$G,Справочно!$C33,'Отчет РПЗ(ПЗ)_ПЗИП'!$AQ:$AQ,1,'Отчет РПЗ(ПЗ)_ПЗИП'!$AG:$AG,"&gt;0")</f>
        <v>0</v>
      </c>
      <c r="P50" s="158">
        <f>ПП!I38</f>
        <v>0</v>
      </c>
      <c r="Q50" s="139">
        <f>COUNTIFS('Отчет РПЗ(ПЗ)_ПЗИП'!$G:$G,Справочно!$C33,'Отчет РПЗ(ПЗ)_ПЗИП'!$AQ:$AQ,2,'Отчет РПЗ(ПЗ)_ПЗИП'!$AG:$AG,"&gt;0")</f>
        <v>0</v>
      </c>
      <c r="R50" s="433">
        <f>ПП!J38</f>
        <v>0</v>
      </c>
      <c r="S50" s="344">
        <f>SUMIFS('Отчет РПЗ(ПЗ)_ПЗИП'!$AG:$AG,'Отчет РПЗ(ПЗ)_ПЗИП'!$G:$G,Справочно!$C33,'Отчет РПЗ(ПЗ)_ПЗИП'!$AQ:$AQ,2,'Отчет РПЗ(ПЗ)_ПЗИП'!$AG:$AG,"&gt;0")</f>
        <v>0</v>
      </c>
      <c r="T50" s="158">
        <f>ПП!K38</f>
        <v>0</v>
      </c>
      <c r="U50" s="139">
        <f>COUNTIFS('Отчет РПЗ(ПЗ)_ПЗИП'!$G:$G,Справочно!$C33,'Отчет РПЗ(ПЗ)_ПЗИП'!$AQ:$AQ,3,'Отчет РПЗ(ПЗ)_ПЗИП'!$AG:$AG,"&gt;0")</f>
        <v>0</v>
      </c>
      <c r="V50" s="433">
        <f>ПП!L38</f>
        <v>0</v>
      </c>
      <c r="W50" s="350">
        <f>SUMIFS('Отчет РПЗ(ПЗ)_ПЗИП'!$AG:$AG,'Отчет РПЗ(ПЗ)_ПЗИП'!$G:$G,Справочно!$C33,'Отчет РПЗ(ПЗ)_ПЗИП'!$AQ:$AQ,3,'Отчет РПЗ(ПЗ)_ПЗИП'!$AG:$AG,"&gt;0")</f>
        <v>0</v>
      </c>
      <c r="X50" s="177">
        <f>SUM(L50,P50,T50)</f>
        <v>0</v>
      </c>
      <c r="Y50" s="178">
        <f>SUM(M50,Q50,U50)</f>
        <v>0</v>
      </c>
      <c r="Z50" s="430">
        <f>SUM(N50,R50,V50)</f>
        <v>0</v>
      </c>
      <c r="AA50" s="346">
        <f>SUM(O50,S50,W50)</f>
        <v>0</v>
      </c>
      <c r="AB50" s="156">
        <f>ПП!O38</f>
        <v>0</v>
      </c>
      <c r="AC50" s="139">
        <f>COUNTIFS('Отчет РПЗ(ПЗ)_ПЗИП'!$G:$G,Справочно!$C33,'Отчет РПЗ(ПЗ)_ПЗИП'!$AQ:$AQ,4,'Отчет РПЗ(ПЗ)_ПЗИП'!$AG:$AG,"&gt;0")</f>
        <v>0</v>
      </c>
      <c r="AD50" s="433">
        <f>ПП!P38</f>
        <v>0</v>
      </c>
      <c r="AE50" s="344">
        <f>SUMIFS('Отчет РПЗ(ПЗ)_ПЗИП'!$AG:$AG,'Отчет РПЗ(ПЗ)_ПЗИП'!$G:$G,Справочно!$C33,'Отчет РПЗ(ПЗ)_ПЗИП'!$AQ:$AQ,4,'Отчет РПЗ(ПЗ)_ПЗИП'!$AG:$AG,"&gt;0")</f>
        <v>0</v>
      </c>
      <c r="AF50" s="158">
        <f>ПП!Q38</f>
        <v>0</v>
      </c>
      <c r="AG50" s="139">
        <f>COUNTIFS('Отчет РПЗ(ПЗ)_ПЗИП'!$G:$G,Справочно!$C33,'Отчет РПЗ(ПЗ)_ПЗИП'!$AQ:$AQ,5,'Отчет РПЗ(ПЗ)_ПЗИП'!$AG:$AG,"&gt;0")</f>
        <v>0</v>
      </c>
      <c r="AH50" s="433">
        <f>ПП!R38</f>
        <v>0</v>
      </c>
      <c r="AI50" s="344">
        <f>SUMIFS('Отчет РПЗ(ПЗ)_ПЗИП'!$AG:$AG,'Отчет РПЗ(ПЗ)_ПЗИП'!$G:$G,Справочно!$C33,'Отчет РПЗ(ПЗ)_ПЗИП'!$AQ:$AQ,5,'Отчет РПЗ(ПЗ)_ПЗИП'!$AG:$AG,"&gt;0")</f>
        <v>0</v>
      </c>
      <c r="AJ50" s="158">
        <f>ПП!S38</f>
        <v>0</v>
      </c>
      <c r="AK50" s="139">
        <f>COUNTIFS('Отчет РПЗ(ПЗ)_ПЗИП'!$G:$G,Справочно!$C33,'Отчет РПЗ(ПЗ)_ПЗИП'!$AQ:$AQ,6,'Отчет РПЗ(ПЗ)_ПЗИП'!$AG:$AG,"&gt;0")</f>
        <v>0</v>
      </c>
      <c r="AL50" s="433">
        <f>ПП!T38</f>
        <v>0</v>
      </c>
      <c r="AM50" s="350">
        <f>SUMIFS('Отчет РПЗ(ПЗ)_ПЗИП'!$AG:$AG,'Отчет РПЗ(ПЗ)_ПЗИП'!$G:$G,Справочно!$C33,'Отчет РПЗ(ПЗ)_ПЗИП'!$N:$N,"&gt;=01.06.2016",'Отчет РПЗ(ПЗ)_ПЗИП'!$N:$N,"&lt;=30.06.2016",'Отчет РПЗ(ПЗ)_ПЗИП'!$AG:$AG,"&gt;0")</f>
        <v>0</v>
      </c>
      <c r="AN50" s="177">
        <f>SUM(AB50,AF50,AJ50)</f>
        <v>0</v>
      </c>
      <c r="AO50" s="178">
        <f>SUM(AC50,AG50,AK50)</f>
        <v>0</v>
      </c>
      <c r="AP50" s="430">
        <f>SUM(AD50,AH50,AL50)</f>
        <v>0</v>
      </c>
      <c r="AQ50" s="346">
        <f>SUM(AE50,AI50,AM50)</f>
        <v>0</v>
      </c>
      <c r="AR50" s="156">
        <f>ПП!W38</f>
        <v>0</v>
      </c>
      <c r="AS50" s="139">
        <f>COUNTIFS('Отчет РПЗ(ПЗ)_ПЗИП'!$G:$G,Справочно!$C33,'Отчет РПЗ(ПЗ)_ПЗИП'!$AQ:$AQ,7,'Отчет РПЗ(ПЗ)_ПЗИП'!$AG:$AG,"&gt;0")</f>
        <v>0</v>
      </c>
      <c r="AT50" s="433">
        <f>ПП!X38</f>
        <v>0</v>
      </c>
      <c r="AU50" s="344">
        <f>SUMIFS('Отчет РПЗ(ПЗ)_ПЗИП'!$AG:$AG,'Отчет РПЗ(ПЗ)_ПЗИП'!$G:$G,Справочно!$C33,'Отчет РПЗ(ПЗ)_ПЗИП'!$AQ:$AQ,7,'Отчет РПЗ(ПЗ)_ПЗИП'!$AG:$AG,"&gt;0")</f>
        <v>0</v>
      </c>
      <c r="AV50" s="158">
        <f>ПП!Y38</f>
        <v>0</v>
      </c>
      <c r="AW50" s="139">
        <f>COUNTIFS('Отчет РПЗ(ПЗ)_ПЗИП'!$G:$G,Справочно!$C33,'Отчет РПЗ(ПЗ)_ПЗИП'!$AQ:$AQ,8,'Отчет РПЗ(ПЗ)_ПЗИП'!$AG:$AG,"&gt;0")</f>
        <v>0</v>
      </c>
      <c r="AX50" s="433">
        <f>ПП!Z38</f>
        <v>0</v>
      </c>
      <c r="AY50" s="344">
        <f>SUMIFS('Отчет РПЗ(ПЗ)_ПЗИП'!$AG:$AG,'Отчет РПЗ(ПЗ)_ПЗИП'!$G:$G,Справочно!$C33,'Отчет РПЗ(ПЗ)_ПЗИП'!$AQ:$AQ,8,'Отчет РПЗ(ПЗ)_ПЗИП'!$AG:$AG,"&gt;0")</f>
        <v>0</v>
      </c>
      <c r="AZ50" s="158">
        <f>ПП!AA38</f>
        <v>0</v>
      </c>
      <c r="BA50" s="139">
        <f>COUNTIFS('Отчет РПЗ(ПЗ)_ПЗИП'!$G:$G,Справочно!$C33,'Отчет РПЗ(ПЗ)_ПЗИП'!$AQ:$AQ,9,'Отчет РПЗ(ПЗ)_ПЗИП'!$AG:$AG,"&gt;0")</f>
        <v>0</v>
      </c>
      <c r="BB50" s="433">
        <f>ПП!AB38</f>
        <v>0</v>
      </c>
      <c r="BC50" s="350">
        <f>SUMIFS('Отчет РПЗ(ПЗ)_ПЗИП'!$AG:$AG,'Отчет РПЗ(ПЗ)_ПЗИП'!$G:$G,Справочно!$C33,'Отчет РПЗ(ПЗ)_ПЗИП'!$AQ:$AQ,9,'Отчет РПЗ(ПЗ)_ПЗИП'!$AG:$AG,"&gt;0")</f>
        <v>0</v>
      </c>
      <c r="BD50" s="177">
        <f>SUM(AR50,AV50,AZ50)</f>
        <v>0</v>
      </c>
      <c r="BE50" s="178">
        <f>SUM(AS50,AW50,BA50)</f>
        <v>0</v>
      </c>
      <c r="BF50" s="430">
        <f>SUM(AT50,AX50,BB50)</f>
        <v>0</v>
      </c>
      <c r="BG50" s="346">
        <f>SUM(AU50,AY50,BC50)</f>
        <v>0</v>
      </c>
      <c r="BH50" s="156">
        <f>ПП!AE38</f>
        <v>0</v>
      </c>
      <c r="BI50" s="139">
        <f>COUNTIFS('Отчет РПЗ(ПЗ)_ПЗИП'!$G:$G,Справочно!$C33,'Отчет РПЗ(ПЗ)_ПЗИП'!$AQ:$AQ,10,'Отчет РПЗ(ПЗ)_ПЗИП'!$AG:$AG,"&gt;0")</f>
        <v>0</v>
      </c>
      <c r="BJ50" s="433">
        <f>ПП!AF38</f>
        <v>0</v>
      </c>
      <c r="BK50" s="344">
        <f>SUMIFS('Отчет РПЗ(ПЗ)_ПЗИП'!$AG:$AG,'Отчет РПЗ(ПЗ)_ПЗИП'!$G:$G,Справочно!$C33,'Отчет РПЗ(ПЗ)_ПЗИП'!$AQ:$AQ,10,'Отчет РПЗ(ПЗ)_ПЗИП'!$AG:$AG,"&gt;0")</f>
        <v>0</v>
      </c>
      <c r="BL50" s="158">
        <f>ПП!AG38</f>
        <v>0</v>
      </c>
      <c r="BM50" s="139">
        <f>COUNTIFS('Отчет РПЗ(ПЗ)_ПЗИП'!$G:$G,Справочно!$C33,'Отчет РПЗ(ПЗ)_ПЗИП'!$AQ:$AQ,11,'Отчет РПЗ(ПЗ)_ПЗИП'!$AG:$AG,"&gt;0")</f>
        <v>0</v>
      </c>
      <c r="BN50" s="433">
        <f>ПП!AH38</f>
        <v>0</v>
      </c>
      <c r="BO50" s="344">
        <f>SUMIFS('Отчет РПЗ(ПЗ)_ПЗИП'!$AG:$AG,'Отчет РПЗ(ПЗ)_ПЗИП'!$G:$G,Справочно!$C33,'Отчет РПЗ(ПЗ)_ПЗИП'!$AQ:$AQ,11,'Отчет РПЗ(ПЗ)_ПЗИП'!$AG:$AG,"&gt;0")</f>
        <v>0</v>
      </c>
      <c r="BP50" s="158">
        <f>ПП!AI38</f>
        <v>0</v>
      </c>
      <c r="BQ50" s="139">
        <f>COUNTIFS('Отчет РПЗ(ПЗ)_ПЗИП'!$G:$G,Справочно!$C33,'Отчет РПЗ(ПЗ)_ПЗИП'!$AQ:$AQ,12,'Отчет РПЗ(ПЗ)_ПЗИП'!$AG:$AG,"&gt;0")</f>
        <v>0</v>
      </c>
      <c r="BR50" s="433">
        <f>ПП!AJ38</f>
        <v>0</v>
      </c>
      <c r="BS50" s="350">
        <f>SUMIFS('Отчет РПЗ(ПЗ)_ПЗИП'!$AG:$AG,'Отчет РПЗ(ПЗ)_ПЗИП'!$G:$G,Справочно!$C33,'Отчет РПЗ(ПЗ)_ПЗИП'!$AQ:$AQ,12,'Отчет РПЗ(ПЗ)_ПЗИП'!$AG:$AG,"&gt;0")</f>
        <v>0</v>
      </c>
      <c r="BT50" s="177">
        <f>SUM(BH50,BL50,BP50)</f>
        <v>0</v>
      </c>
      <c r="BU50" s="178">
        <f>SUM(BI50,BM50,BQ50)</f>
        <v>0</v>
      </c>
      <c r="BV50" s="430">
        <f>SUM(BJ50,BN50,BR50)</f>
        <v>0</v>
      </c>
      <c r="BW50" s="346">
        <f>SUM(BK50,BO50,BS50)</f>
        <v>0</v>
      </c>
    </row>
    <row r="51" spans="2:75" ht="13.5" thickBot="1" x14ac:dyDescent="0.25">
      <c r="B51" s="753"/>
      <c r="C51" s="754"/>
      <c r="D51" s="754"/>
      <c r="E51" s="754"/>
      <c r="F51" s="754"/>
      <c r="G51" s="754"/>
      <c r="H51" s="754"/>
      <c r="I51" s="754"/>
      <c r="J51" s="755"/>
      <c r="K51" s="65"/>
      <c r="L51" s="723"/>
      <c r="M51" s="724"/>
      <c r="N51" s="724"/>
      <c r="O51" s="724"/>
      <c r="P51" s="724"/>
      <c r="Q51" s="724"/>
      <c r="R51" s="724"/>
      <c r="S51" s="724"/>
      <c r="T51" s="724"/>
      <c r="U51" s="724"/>
      <c r="V51" s="724"/>
      <c r="W51" s="724"/>
      <c r="X51" s="724"/>
      <c r="Y51" s="724"/>
      <c r="Z51" s="724"/>
      <c r="AA51" s="725"/>
      <c r="AB51" s="723"/>
      <c r="AC51" s="724"/>
      <c r="AD51" s="724"/>
      <c r="AE51" s="724"/>
      <c r="AF51" s="724"/>
      <c r="AG51" s="724"/>
      <c r="AH51" s="724"/>
      <c r="AI51" s="724"/>
      <c r="AJ51" s="724"/>
      <c r="AK51" s="724"/>
      <c r="AL51" s="724"/>
      <c r="AM51" s="724"/>
      <c r="AN51" s="724"/>
      <c r="AO51" s="724"/>
      <c r="AP51" s="724"/>
      <c r="AQ51" s="725"/>
      <c r="AR51" s="723"/>
      <c r="AS51" s="724"/>
      <c r="AT51" s="724"/>
      <c r="AU51" s="724"/>
      <c r="AV51" s="724"/>
      <c r="AW51" s="724"/>
      <c r="AX51" s="724"/>
      <c r="AY51" s="724"/>
      <c r="AZ51" s="724"/>
      <c r="BA51" s="724"/>
      <c r="BB51" s="724"/>
      <c r="BC51" s="724"/>
      <c r="BD51" s="724"/>
      <c r="BE51" s="724"/>
      <c r="BF51" s="724"/>
      <c r="BG51" s="725"/>
      <c r="BH51" s="723"/>
      <c r="BI51" s="724"/>
      <c r="BJ51" s="724"/>
      <c r="BK51" s="724"/>
      <c r="BL51" s="724"/>
      <c r="BM51" s="724"/>
      <c r="BN51" s="724"/>
      <c r="BO51" s="724"/>
      <c r="BP51" s="724"/>
      <c r="BQ51" s="724"/>
      <c r="BR51" s="724"/>
      <c r="BS51" s="724"/>
      <c r="BT51" s="724"/>
      <c r="BU51" s="724"/>
      <c r="BV51" s="724"/>
      <c r="BW51" s="725"/>
    </row>
    <row r="52" spans="2:75" ht="13.5" thickBot="1" x14ac:dyDescent="0.25">
      <c r="B52" s="70" t="s">
        <v>259</v>
      </c>
      <c r="C52" s="99">
        <f>C48+C50+C91</f>
        <v>0</v>
      </c>
      <c r="D52" s="427" t="e">
        <f t="shared" ref="D52:J52" si="19">D48+D50</f>
        <v>#DIV/0!</v>
      </c>
      <c r="E52" s="97">
        <f t="shared" si="19"/>
        <v>0</v>
      </c>
      <c r="F52" s="401" t="e">
        <f t="shared" si="19"/>
        <v>#DIV/0!</v>
      </c>
      <c r="G52" s="424">
        <f t="shared" si="19"/>
        <v>0</v>
      </c>
      <c r="H52" s="329" t="e">
        <f t="shared" si="19"/>
        <v>#DIV/0!</v>
      </c>
      <c r="I52" s="425">
        <f t="shared" si="19"/>
        <v>0</v>
      </c>
      <c r="J52" s="428" t="e">
        <f t="shared" si="19"/>
        <v>#DIV/0!</v>
      </c>
      <c r="L52" s="157">
        <f>SUM(L48,L50)</f>
        <v>0</v>
      </c>
      <c r="M52" s="143">
        <f>SUM(M48,M50)</f>
        <v>0</v>
      </c>
      <c r="N52" s="433">
        <f t="shared" ref="N52:Z52" si="20">SUM(N48,N50)</f>
        <v>0</v>
      </c>
      <c r="O52" s="344">
        <f>SUM(O48,O50)</f>
        <v>0</v>
      </c>
      <c r="P52" s="160">
        <f t="shared" si="20"/>
        <v>0</v>
      </c>
      <c r="Q52" s="143">
        <f>SUM(Q48,Q50)</f>
        <v>0</v>
      </c>
      <c r="R52" s="433">
        <f t="shared" si="20"/>
        <v>0</v>
      </c>
      <c r="S52" s="344">
        <f>SUM(S48,S50)</f>
        <v>0</v>
      </c>
      <c r="T52" s="160">
        <f t="shared" si="20"/>
        <v>0</v>
      </c>
      <c r="U52" s="143">
        <f>SUM(U48,U50)</f>
        <v>0</v>
      </c>
      <c r="V52" s="433">
        <f t="shared" si="20"/>
        <v>0</v>
      </c>
      <c r="W52" s="350">
        <f>SUM(W48,W50)</f>
        <v>0</v>
      </c>
      <c r="X52" s="175">
        <f t="shared" si="20"/>
        <v>0</v>
      </c>
      <c r="Y52" s="179">
        <f>SUM(Y48,Y50)</f>
        <v>0</v>
      </c>
      <c r="Z52" s="430">
        <f t="shared" si="20"/>
        <v>0</v>
      </c>
      <c r="AA52" s="346">
        <f t="shared" ref="AA52:BF52" si="21">SUM(AA48,AA50)</f>
        <v>0</v>
      </c>
      <c r="AB52" s="157">
        <f t="shared" si="21"/>
        <v>0</v>
      </c>
      <c r="AC52" s="143">
        <f t="shared" si="21"/>
        <v>0</v>
      </c>
      <c r="AD52" s="433">
        <f t="shared" si="21"/>
        <v>0</v>
      </c>
      <c r="AE52" s="344">
        <f t="shared" si="21"/>
        <v>0</v>
      </c>
      <c r="AF52" s="160">
        <f t="shared" si="21"/>
        <v>0</v>
      </c>
      <c r="AG52" s="143">
        <f t="shared" si="21"/>
        <v>0</v>
      </c>
      <c r="AH52" s="433">
        <f t="shared" si="21"/>
        <v>0</v>
      </c>
      <c r="AI52" s="344">
        <f t="shared" si="21"/>
        <v>0</v>
      </c>
      <c r="AJ52" s="160">
        <f t="shared" si="21"/>
        <v>0</v>
      </c>
      <c r="AK52" s="143">
        <f t="shared" si="21"/>
        <v>0</v>
      </c>
      <c r="AL52" s="433">
        <f t="shared" si="21"/>
        <v>0</v>
      </c>
      <c r="AM52" s="350">
        <f t="shared" si="21"/>
        <v>0</v>
      </c>
      <c r="AN52" s="175">
        <f t="shared" si="21"/>
        <v>0</v>
      </c>
      <c r="AO52" s="179">
        <f t="shared" si="21"/>
        <v>0</v>
      </c>
      <c r="AP52" s="430">
        <f t="shared" si="21"/>
        <v>0</v>
      </c>
      <c r="AQ52" s="346">
        <f t="shared" si="21"/>
        <v>0</v>
      </c>
      <c r="AR52" s="157">
        <f t="shared" si="21"/>
        <v>0</v>
      </c>
      <c r="AS52" s="143">
        <f t="shared" si="21"/>
        <v>0</v>
      </c>
      <c r="AT52" s="433">
        <f t="shared" si="21"/>
        <v>0</v>
      </c>
      <c r="AU52" s="344">
        <f t="shared" si="21"/>
        <v>0</v>
      </c>
      <c r="AV52" s="160">
        <f t="shared" si="21"/>
        <v>0</v>
      </c>
      <c r="AW52" s="143">
        <f t="shared" si="21"/>
        <v>0</v>
      </c>
      <c r="AX52" s="433">
        <f t="shared" si="21"/>
        <v>0</v>
      </c>
      <c r="AY52" s="344">
        <f t="shared" si="21"/>
        <v>0</v>
      </c>
      <c r="AZ52" s="160">
        <f t="shared" si="21"/>
        <v>0</v>
      </c>
      <c r="BA52" s="143">
        <f t="shared" si="21"/>
        <v>0</v>
      </c>
      <c r="BB52" s="433">
        <f t="shared" si="21"/>
        <v>0</v>
      </c>
      <c r="BC52" s="350">
        <f t="shared" si="21"/>
        <v>0</v>
      </c>
      <c r="BD52" s="175">
        <f t="shared" si="21"/>
        <v>0</v>
      </c>
      <c r="BE52" s="179">
        <f t="shared" si="21"/>
        <v>0</v>
      </c>
      <c r="BF52" s="430">
        <f t="shared" si="21"/>
        <v>0</v>
      </c>
      <c r="BG52" s="346">
        <f t="shared" ref="BG52:BW52" si="22">SUM(BG48,BG50)</f>
        <v>0</v>
      </c>
      <c r="BH52" s="157">
        <f t="shared" si="22"/>
        <v>0</v>
      </c>
      <c r="BI52" s="143">
        <f t="shared" si="22"/>
        <v>0</v>
      </c>
      <c r="BJ52" s="433">
        <f t="shared" si="22"/>
        <v>0</v>
      </c>
      <c r="BK52" s="344">
        <f t="shared" si="22"/>
        <v>0</v>
      </c>
      <c r="BL52" s="160">
        <f t="shared" si="22"/>
        <v>0</v>
      </c>
      <c r="BM52" s="143">
        <f t="shared" si="22"/>
        <v>0</v>
      </c>
      <c r="BN52" s="433">
        <f t="shared" si="22"/>
        <v>0</v>
      </c>
      <c r="BO52" s="344">
        <f t="shared" si="22"/>
        <v>0</v>
      </c>
      <c r="BP52" s="160">
        <f t="shared" si="22"/>
        <v>0</v>
      </c>
      <c r="BQ52" s="143">
        <f t="shared" si="22"/>
        <v>0</v>
      </c>
      <c r="BR52" s="433">
        <f t="shared" si="22"/>
        <v>0</v>
      </c>
      <c r="BS52" s="350">
        <f t="shared" si="22"/>
        <v>0</v>
      </c>
      <c r="BT52" s="175">
        <f t="shared" si="22"/>
        <v>0</v>
      </c>
      <c r="BU52" s="179">
        <f t="shared" si="22"/>
        <v>0</v>
      </c>
      <c r="BV52" s="430">
        <f t="shared" si="22"/>
        <v>0</v>
      </c>
      <c r="BW52" s="346">
        <f t="shared" si="22"/>
        <v>0</v>
      </c>
    </row>
    <row r="53" spans="2:75" ht="22.5" customHeight="1" thickBot="1" x14ac:dyDescent="0.3">
      <c r="B53" s="727" t="s">
        <v>244</v>
      </c>
      <c r="C53" s="727"/>
      <c r="D53" s="727"/>
      <c r="E53" s="727"/>
      <c r="F53" s="727"/>
      <c r="G53" s="727"/>
      <c r="H53" s="727"/>
      <c r="I53" s="731"/>
      <c r="J53" s="731"/>
      <c r="L53" s="726" t="s">
        <v>244</v>
      </c>
      <c r="M53" s="727"/>
      <c r="N53" s="727"/>
      <c r="O53" s="727"/>
      <c r="P53" s="727"/>
      <c r="Q53" s="727"/>
      <c r="R53" s="727"/>
      <c r="S53" s="727"/>
      <c r="T53" s="727"/>
      <c r="U53" s="727"/>
      <c r="V53" s="727"/>
      <c r="W53" s="727"/>
      <c r="X53" s="727"/>
      <c r="Y53" s="727"/>
      <c r="Z53" s="727"/>
      <c r="AA53" s="728"/>
      <c r="AB53" s="726" t="s">
        <v>244</v>
      </c>
      <c r="AC53" s="727"/>
      <c r="AD53" s="727"/>
      <c r="AE53" s="727"/>
      <c r="AF53" s="727"/>
      <c r="AG53" s="727"/>
      <c r="AH53" s="727"/>
      <c r="AI53" s="727"/>
      <c r="AJ53" s="727"/>
      <c r="AK53" s="727"/>
      <c r="AL53" s="727"/>
      <c r="AM53" s="727"/>
      <c r="AN53" s="727"/>
      <c r="AO53" s="727"/>
      <c r="AP53" s="727"/>
      <c r="AQ53" s="728"/>
      <c r="AR53" s="726" t="s">
        <v>244</v>
      </c>
      <c r="AS53" s="727"/>
      <c r="AT53" s="727"/>
      <c r="AU53" s="727"/>
      <c r="AV53" s="727"/>
      <c r="AW53" s="727"/>
      <c r="AX53" s="727"/>
      <c r="AY53" s="727"/>
      <c r="AZ53" s="727"/>
      <c r="BA53" s="727"/>
      <c r="BB53" s="727"/>
      <c r="BC53" s="727"/>
      <c r="BD53" s="727"/>
      <c r="BE53" s="727"/>
      <c r="BF53" s="727"/>
      <c r="BG53" s="728"/>
      <c r="BH53" s="726" t="s">
        <v>244</v>
      </c>
      <c r="BI53" s="727"/>
      <c r="BJ53" s="727"/>
      <c r="BK53" s="727"/>
      <c r="BL53" s="727"/>
      <c r="BM53" s="727"/>
      <c r="BN53" s="727"/>
      <c r="BO53" s="727"/>
      <c r="BP53" s="727"/>
      <c r="BQ53" s="727"/>
      <c r="BR53" s="727"/>
      <c r="BS53" s="727"/>
      <c r="BT53" s="727"/>
      <c r="BU53" s="727"/>
      <c r="BV53" s="727"/>
      <c r="BW53" s="728"/>
    </row>
    <row r="54" spans="2:75" ht="54.75" customHeight="1" thickBot="1" x14ac:dyDescent="0.25">
      <c r="B54" s="135" t="s">
        <v>210</v>
      </c>
      <c r="C54" s="305" t="s">
        <v>290</v>
      </c>
      <c r="D54" s="66" t="s">
        <v>240</v>
      </c>
      <c r="E54" s="306" t="s">
        <v>289</v>
      </c>
      <c r="F54" s="305" t="s">
        <v>974</v>
      </c>
      <c r="G54" s="66" t="s">
        <v>975</v>
      </c>
      <c r="H54" s="303" t="s">
        <v>976</v>
      </c>
      <c r="I54" s="766" t="s">
        <v>261</v>
      </c>
      <c r="J54" s="779"/>
      <c r="L54" s="172" t="s">
        <v>289</v>
      </c>
      <c r="M54" s="173" t="s">
        <v>225</v>
      </c>
      <c r="N54" s="722" t="s">
        <v>261</v>
      </c>
      <c r="O54" s="722"/>
      <c r="P54" s="173" t="s">
        <v>289</v>
      </c>
      <c r="Q54" s="173" t="s">
        <v>225</v>
      </c>
      <c r="R54" s="722" t="s">
        <v>261</v>
      </c>
      <c r="S54" s="722"/>
      <c r="T54" s="173" t="s">
        <v>289</v>
      </c>
      <c r="U54" s="173" t="s">
        <v>225</v>
      </c>
      <c r="V54" s="722" t="s">
        <v>261</v>
      </c>
      <c r="W54" s="729"/>
      <c r="X54" s="101" t="s">
        <v>289</v>
      </c>
      <c r="Y54" s="101" t="s">
        <v>225</v>
      </c>
      <c r="Z54" s="721" t="s">
        <v>261</v>
      </c>
      <c r="AA54" s="721"/>
      <c r="AB54" s="172" t="s">
        <v>289</v>
      </c>
      <c r="AC54" s="173" t="s">
        <v>225</v>
      </c>
      <c r="AD54" s="722" t="s">
        <v>261</v>
      </c>
      <c r="AE54" s="722"/>
      <c r="AF54" s="173" t="s">
        <v>289</v>
      </c>
      <c r="AG54" s="173" t="s">
        <v>225</v>
      </c>
      <c r="AH54" s="722" t="s">
        <v>261</v>
      </c>
      <c r="AI54" s="722"/>
      <c r="AJ54" s="173" t="s">
        <v>289</v>
      </c>
      <c r="AK54" s="173" t="s">
        <v>225</v>
      </c>
      <c r="AL54" s="722" t="s">
        <v>261</v>
      </c>
      <c r="AM54" s="729"/>
      <c r="AN54" s="101" t="s">
        <v>289</v>
      </c>
      <c r="AO54" s="101" t="s">
        <v>225</v>
      </c>
      <c r="AP54" s="721" t="s">
        <v>261</v>
      </c>
      <c r="AQ54" s="721"/>
      <c r="AR54" s="172" t="s">
        <v>289</v>
      </c>
      <c r="AS54" s="173" t="s">
        <v>225</v>
      </c>
      <c r="AT54" s="722" t="s">
        <v>261</v>
      </c>
      <c r="AU54" s="722"/>
      <c r="AV54" s="173" t="s">
        <v>289</v>
      </c>
      <c r="AW54" s="173" t="s">
        <v>225</v>
      </c>
      <c r="AX54" s="722" t="s">
        <v>261</v>
      </c>
      <c r="AY54" s="722"/>
      <c r="AZ54" s="173" t="s">
        <v>289</v>
      </c>
      <c r="BA54" s="173" t="s">
        <v>225</v>
      </c>
      <c r="BB54" s="722" t="s">
        <v>261</v>
      </c>
      <c r="BC54" s="729"/>
      <c r="BD54" s="101" t="s">
        <v>289</v>
      </c>
      <c r="BE54" s="101" t="s">
        <v>225</v>
      </c>
      <c r="BF54" s="721" t="s">
        <v>261</v>
      </c>
      <c r="BG54" s="721"/>
      <c r="BH54" s="172" t="s">
        <v>289</v>
      </c>
      <c r="BI54" s="173" t="s">
        <v>225</v>
      </c>
      <c r="BJ54" s="722" t="s">
        <v>261</v>
      </c>
      <c r="BK54" s="722"/>
      <c r="BL54" s="173" t="s">
        <v>289</v>
      </c>
      <c r="BM54" s="173" t="s">
        <v>225</v>
      </c>
      <c r="BN54" s="722" t="s">
        <v>261</v>
      </c>
      <c r="BO54" s="722"/>
      <c r="BP54" s="173" t="s">
        <v>289</v>
      </c>
      <c r="BQ54" s="173" t="s">
        <v>225</v>
      </c>
      <c r="BR54" s="722" t="s">
        <v>261</v>
      </c>
      <c r="BS54" s="729"/>
      <c r="BT54" s="101" t="s">
        <v>289</v>
      </c>
      <c r="BU54" s="101" t="s">
        <v>225</v>
      </c>
      <c r="BV54" s="721" t="s">
        <v>261</v>
      </c>
      <c r="BW54" s="721"/>
    </row>
    <row r="55" spans="2:75" ht="15" customHeight="1" thickBot="1" x14ac:dyDescent="0.25">
      <c r="B55" s="136"/>
      <c r="C55" s="768" t="s">
        <v>40</v>
      </c>
      <c r="D55" s="768"/>
      <c r="E55" s="307"/>
      <c r="F55" s="766" t="s">
        <v>247</v>
      </c>
      <c r="G55" s="779"/>
      <c r="H55" s="308"/>
      <c r="I55" s="304" t="s">
        <v>222</v>
      </c>
      <c r="J55" s="306" t="s">
        <v>116</v>
      </c>
      <c r="L55" s="140" t="s">
        <v>40</v>
      </c>
      <c r="M55" s="141" t="s">
        <v>247</v>
      </c>
      <c r="N55" s="141" t="s">
        <v>222</v>
      </c>
      <c r="O55" s="141" t="s">
        <v>116</v>
      </c>
      <c r="P55" s="141" t="s">
        <v>40</v>
      </c>
      <c r="Q55" s="141" t="s">
        <v>247</v>
      </c>
      <c r="R55" s="141" t="s">
        <v>222</v>
      </c>
      <c r="S55" s="141" t="s">
        <v>116</v>
      </c>
      <c r="T55" s="141" t="s">
        <v>40</v>
      </c>
      <c r="U55" s="141" t="s">
        <v>247</v>
      </c>
      <c r="V55" s="141" t="s">
        <v>222</v>
      </c>
      <c r="W55" s="142" t="s">
        <v>116</v>
      </c>
      <c r="X55" s="101" t="s">
        <v>40</v>
      </c>
      <c r="Y55" s="101" t="s">
        <v>247</v>
      </c>
      <c r="Z55" s="101" t="s">
        <v>222</v>
      </c>
      <c r="AA55" s="101" t="s">
        <v>116</v>
      </c>
      <c r="AB55" s="140" t="s">
        <v>40</v>
      </c>
      <c r="AC55" s="141" t="s">
        <v>247</v>
      </c>
      <c r="AD55" s="141" t="s">
        <v>222</v>
      </c>
      <c r="AE55" s="141" t="s">
        <v>116</v>
      </c>
      <c r="AF55" s="141" t="s">
        <v>40</v>
      </c>
      <c r="AG55" s="141" t="s">
        <v>247</v>
      </c>
      <c r="AH55" s="141" t="s">
        <v>222</v>
      </c>
      <c r="AI55" s="141" t="s">
        <v>116</v>
      </c>
      <c r="AJ55" s="141" t="s">
        <v>40</v>
      </c>
      <c r="AK55" s="141" t="s">
        <v>247</v>
      </c>
      <c r="AL55" s="141" t="s">
        <v>222</v>
      </c>
      <c r="AM55" s="142" t="s">
        <v>116</v>
      </c>
      <c r="AN55" s="101" t="s">
        <v>40</v>
      </c>
      <c r="AO55" s="101" t="s">
        <v>247</v>
      </c>
      <c r="AP55" s="101" t="s">
        <v>222</v>
      </c>
      <c r="AQ55" s="101" t="s">
        <v>116</v>
      </c>
      <c r="AR55" s="140" t="s">
        <v>40</v>
      </c>
      <c r="AS55" s="141" t="s">
        <v>247</v>
      </c>
      <c r="AT55" s="141" t="s">
        <v>222</v>
      </c>
      <c r="AU55" s="141" t="s">
        <v>116</v>
      </c>
      <c r="AV55" s="141" t="s">
        <v>40</v>
      </c>
      <c r="AW55" s="141" t="s">
        <v>247</v>
      </c>
      <c r="AX55" s="141" t="s">
        <v>222</v>
      </c>
      <c r="AY55" s="141" t="s">
        <v>116</v>
      </c>
      <c r="AZ55" s="141" t="s">
        <v>40</v>
      </c>
      <c r="BA55" s="141" t="s">
        <v>247</v>
      </c>
      <c r="BB55" s="141" t="s">
        <v>222</v>
      </c>
      <c r="BC55" s="142" t="s">
        <v>116</v>
      </c>
      <c r="BD55" s="101" t="s">
        <v>40</v>
      </c>
      <c r="BE55" s="101" t="s">
        <v>247</v>
      </c>
      <c r="BF55" s="101" t="s">
        <v>222</v>
      </c>
      <c r="BG55" s="101" t="s">
        <v>116</v>
      </c>
      <c r="BH55" s="140" t="s">
        <v>40</v>
      </c>
      <c r="BI55" s="141" t="s">
        <v>247</v>
      </c>
      <c r="BJ55" s="141" t="s">
        <v>222</v>
      </c>
      <c r="BK55" s="141" t="s">
        <v>116</v>
      </c>
      <c r="BL55" s="141" t="s">
        <v>40</v>
      </c>
      <c r="BM55" s="141" t="s">
        <v>247</v>
      </c>
      <c r="BN55" s="141" t="s">
        <v>222</v>
      </c>
      <c r="BO55" s="141" t="s">
        <v>116</v>
      </c>
      <c r="BP55" s="141" t="s">
        <v>40</v>
      </c>
      <c r="BQ55" s="141" t="s">
        <v>247</v>
      </c>
      <c r="BR55" s="141" t="s">
        <v>222</v>
      </c>
      <c r="BS55" s="142" t="s">
        <v>116</v>
      </c>
      <c r="BT55" s="101" t="s">
        <v>40</v>
      </c>
      <c r="BU55" s="101" t="s">
        <v>247</v>
      </c>
      <c r="BV55" s="101" t="s">
        <v>222</v>
      </c>
      <c r="BW55" s="101" t="s">
        <v>116</v>
      </c>
    </row>
    <row r="56" spans="2:75" ht="15" customHeight="1" thickBot="1" x14ac:dyDescent="0.25">
      <c r="B56" s="59" t="str">
        <f>Справочно!E21</f>
        <v>ГК "Ростех"</v>
      </c>
      <c r="C56" s="96">
        <f>ПП!B44</f>
        <v>0</v>
      </c>
      <c r="D56" s="418" t="e">
        <f>ПП!C44</f>
        <v>#DIV/0!</v>
      </c>
      <c r="E56" s="443">
        <f>ПП!D44</f>
        <v>0</v>
      </c>
      <c r="F56" s="302">
        <f>COUNTIFS('Отчет РПЗ(ПЗ)_ПЗИП'!$AG:$AG,"&gt;0",'Отчет РПЗ(ПЗ)_ПЗИП'!$D:$D,Справочно!$E21)</f>
        <v>0</v>
      </c>
      <c r="G56" s="444" t="e">
        <f>F56/$E$52</f>
        <v>#DIV/0!</v>
      </c>
      <c r="H56" s="445">
        <f>SUMIF('Отчет РПЗ(ПЗ)_ПЗИП'!$D:$D,Справочно!$E21,'Отчет РПЗ(ПЗ)_ПЗИП'!$AG:$AG)</f>
        <v>0</v>
      </c>
      <c r="I56" s="472">
        <f>(IF($D$3=1,Z56,0)+IF($D$3=2,Z56+AP56,0)+IF($D$3=3,Z56+AP56+BF56,0)+IF($D$3=4,Z56+AP56+BF56+BV56,0))</f>
        <v>0</v>
      </c>
      <c r="J56" s="526" t="e">
        <f>I56/(X56+AN56+BD56+BT56)</f>
        <v>#DIV/0!</v>
      </c>
      <c r="L56" s="434">
        <f>SUMIFS('Отчет РПЗ(ПЗ)_ПЗИП'!$W:$W,'Отчет РПЗ(ПЗ)_ПЗИП'!$D:$D,Справочно!$E21,'Отчет РПЗ(ПЗ)_ПЗИП'!$N:$N,"&gt;=01.01.2017",'Отчет РПЗ(ПЗ)_ПЗИП'!$N:$N,"&lt;=31.01.2017",'Отчет РПЗ(ПЗ)_ПЗИП'!$AG:$AG,"&gt;0")</f>
        <v>0</v>
      </c>
      <c r="M56" s="334">
        <f>SUMIFS('Отчет РПЗ(ПЗ)_ПЗИП'!$AG:$AG,'Отчет РПЗ(ПЗ)_ПЗИП'!$D:$D,Справочно!$E21,'Отчет РПЗ(ПЗ)_ПЗИП'!$AQ:$AQ,1)</f>
        <v>0</v>
      </c>
      <c r="N56" s="342" t="str">
        <f>IF(M56=0,"НД",L56-M56)</f>
        <v>НД</v>
      </c>
      <c r="O56" s="250" t="str">
        <f>IF(M56=0, "НД", IF((N56="НД"),"НД",N56/L56))</f>
        <v>НД</v>
      </c>
      <c r="P56" s="429">
        <f>SUMIFS('Отчет РПЗ(ПЗ)_ПЗИП'!$W:$W,'Отчет РПЗ(ПЗ)_ПЗИП'!$D:$D,Справочно!$E21,'Отчет РПЗ(ПЗ)_ПЗИП'!$N:$N,"&gt;=01.02.2017",'Отчет РПЗ(ПЗ)_ПЗИП'!$N:$N,"&lt;=28.02.2017",'Отчет РПЗ(ПЗ)_ПЗИП'!$AG:$AG,"&gt;0")</f>
        <v>0</v>
      </c>
      <c r="Q56" s="334">
        <f>SUMIFS('Отчет РПЗ(ПЗ)_ПЗИП'!$AG:$AG,'Отчет РПЗ(ПЗ)_ПЗИП'!$D:$D,Справочно!$E21,'Отчет РПЗ(ПЗ)_ПЗИП'!$AQ:$AQ,2)</f>
        <v>0</v>
      </c>
      <c r="R56" s="342" t="str">
        <f>IF(Q56=0,"НД",P56-Q56)</f>
        <v>НД</v>
      </c>
      <c r="S56" s="250" t="str">
        <f>IF(Q56=0, "НД", IF((R56="НД"),"НД",R56/P56))</f>
        <v>НД</v>
      </c>
      <c r="T56" s="429">
        <f>SUMIFS('Отчет РПЗ(ПЗ)_ПЗИП'!$W:$W,'Отчет РПЗ(ПЗ)_ПЗИП'!$D:$D,Справочно!$E21,'Отчет РПЗ(ПЗ)_ПЗИП'!$N:$N,"&gt;=01.03.2017",'Отчет РПЗ(ПЗ)_ПЗИП'!$N:$N,"&lt;=31.03.2017",'Отчет РПЗ(ПЗ)_ПЗИП'!$AG:$AG,"&gt;0")</f>
        <v>0</v>
      </c>
      <c r="U56" s="334">
        <f>SUMIFS('Отчет РПЗ(ПЗ)_ПЗИП'!$AG:$AG,'Отчет РПЗ(ПЗ)_ПЗИП'!$D:$D,Справочно!$E21,'Отчет РПЗ(ПЗ)_ПЗИП'!$AQ:$AQ,3)</f>
        <v>0</v>
      </c>
      <c r="V56" s="342" t="str">
        <f>IF(U56=0,"НД",T56-U56)</f>
        <v>НД</v>
      </c>
      <c r="W56" s="250" t="str">
        <f t="shared" ref="W56:W81" si="23">IF(U56=0, "НД", IF((V56="НД"),"НД",V56/T56))</f>
        <v>НД</v>
      </c>
      <c r="X56" s="430">
        <f>SUM(L56,P56,T56)</f>
        <v>0</v>
      </c>
      <c r="Y56" s="335">
        <f>SUM(M56,Q56,U56)</f>
        <v>0</v>
      </c>
      <c r="Z56" s="335">
        <f t="shared" ref="Z56:Z81" si="24">IF(Y56=0,0,X56-Y56)</f>
        <v>0</v>
      </c>
      <c r="AA56" s="252">
        <f t="shared" ref="AA56:AA78" si="25">IF(Y56=0, 0, IF((Z56="НД"),"НД",Z56/X56))</f>
        <v>0</v>
      </c>
      <c r="AB56" s="434">
        <f>SUMIFS('Отчет РПЗ(ПЗ)_ПЗИП'!$W:$W,'Отчет РПЗ(ПЗ)_ПЗИП'!$D:$D,Справочно!$E21,'Отчет РПЗ(ПЗ)_ПЗИП'!$N:$N,"&gt;=01.04.2017",'Отчет РПЗ(ПЗ)_ПЗИП'!$N:$N,"&lt;=30.04.2017",'Отчет РПЗ(ПЗ)_ПЗИП'!$AG:$AG,"&gt;0")</f>
        <v>0</v>
      </c>
      <c r="AC56" s="336">
        <f>SUMIFS('Отчет РПЗ(ПЗ)_ПЗИП'!$AG:$AG,'Отчет РПЗ(ПЗ)_ПЗИП'!$D:$D,Справочно!$E21,'Отчет РПЗ(ПЗ)_ПЗИП'!$AQ:$AQ,4)</f>
        <v>0</v>
      </c>
      <c r="AD56" s="336" t="str">
        <f>IF(AC56=0,"НД",AB56-AC56)</f>
        <v>НД</v>
      </c>
      <c r="AE56" s="251" t="str">
        <f t="shared" ref="AE56:AE81" si="26">IF(AC56=0, "НД", IF((AD56="НД"),"НД",AD56/AB56))</f>
        <v>НД</v>
      </c>
      <c r="AF56" s="435">
        <f>SUMIFS('Отчет РПЗ(ПЗ)_ПЗИП'!$W:$W,'Отчет РПЗ(ПЗ)_ПЗИП'!$D:$D,Справочно!$E21,'Отчет РПЗ(ПЗ)_ПЗИП'!$N:$N,"&gt;=01.05.2017",'Отчет РПЗ(ПЗ)_ПЗИП'!$N:$N,"&lt;=31.05.2017",'Отчет РПЗ(ПЗ)_ПЗИП'!$AG:$AG,"&gt;0")</f>
        <v>0</v>
      </c>
      <c r="AG56" s="336">
        <f>SUMIFS('Отчет РПЗ(ПЗ)_ПЗИП'!$AG:$AG,'Отчет РПЗ(ПЗ)_ПЗИП'!$D:$D,Справочно!$E21,'Отчет РПЗ(ПЗ)_ПЗИП'!$AQ:$AQ,5)</f>
        <v>0</v>
      </c>
      <c r="AH56" s="336" t="str">
        <f>IF(AG56=0,"НД",AF56-AG56)</f>
        <v>НД</v>
      </c>
      <c r="AI56" s="251" t="str">
        <f t="shared" ref="AI56:AI81" si="27">IF(AG56=0, "НД", IF((AH56="НД"),"НД",AH56/AF56))</f>
        <v>НД</v>
      </c>
      <c r="AJ56" s="435">
        <f>SUMIFS('Отчет РПЗ(ПЗ)_ПЗИП'!$W:$W,'Отчет РПЗ(ПЗ)_ПЗИП'!$D:$D,Справочно!$E21,'Отчет РПЗ(ПЗ)_ПЗИП'!$N:$N,"&gt;=01.06.2017",'Отчет РПЗ(ПЗ)_ПЗИП'!$N:$N,"&lt;=30.06.2017",'Отчет РПЗ(ПЗ)_ПЗИП'!$AG:$AG,"&gt;0")</f>
        <v>0</v>
      </c>
      <c r="AK56" s="336">
        <f>SUMIFS('Отчет РПЗ(ПЗ)_ПЗИП'!$AG:$AG,'Отчет РПЗ(ПЗ)_ПЗИП'!$D:$D,Справочно!$E21,'Отчет РПЗ(ПЗ)_ПЗИП'!$AQ:$AQ,6)</f>
        <v>0</v>
      </c>
      <c r="AL56" s="336" t="str">
        <f>IF(AK56=0,"НД",AJ56-AK56)</f>
        <v>НД</v>
      </c>
      <c r="AM56" s="251" t="str">
        <f t="shared" ref="AM56:AM81" si="28">IF(AK56=0, "НД", IF((AL56="НД"),"НД",AL56/AJ56))</f>
        <v>НД</v>
      </c>
      <c r="AN56" s="430">
        <f>SUM(AB56,AF56,AJ56)</f>
        <v>0</v>
      </c>
      <c r="AO56" s="337">
        <f>SUM(AC56,AG56,AK56)</f>
        <v>0</v>
      </c>
      <c r="AP56" s="337">
        <f t="shared" ref="AP56:AP81" si="29">IF(AO56=0,0,AN56-AO56)</f>
        <v>0</v>
      </c>
      <c r="AQ56" s="253">
        <f t="shared" ref="AQ56:AQ81" si="30">IF(AO56=0, 0, IF((AP56="НД"),"НД",AP56/AN56))</f>
        <v>0</v>
      </c>
      <c r="AR56" s="434">
        <f>SUMIFS('Отчет РПЗ(ПЗ)_ПЗИП'!$W:$W,'Отчет РПЗ(ПЗ)_ПЗИП'!$D:$D,Справочно!$E21,'Отчет РПЗ(ПЗ)_ПЗИП'!$N:$N,"&gt;=01.07.2017",'Отчет РПЗ(ПЗ)_ПЗИП'!$N:$N,"&lt;=31.07.2017",'Отчет РПЗ(ПЗ)_ПЗИП'!$AG:$AG,"&gt;0")</f>
        <v>0</v>
      </c>
      <c r="AS56" s="338">
        <f>SUMIFS('Отчет РПЗ(ПЗ)_ПЗИП'!$AG:$AG,'Отчет РПЗ(ПЗ)_ПЗИП'!$D:$D,Справочно!$E21,'Отчет РПЗ(ПЗ)_ПЗИП'!$AQ:$AQ,7)</f>
        <v>0</v>
      </c>
      <c r="AT56" s="338" t="str">
        <f>IF(AS56=0,"НД",AR56-AS56)</f>
        <v>НД</v>
      </c>
      <c r="AU56" s="254" t="str">
        <f t="shared" ref="AU56:AU81" si="31">IF(AS56=0, "НД", IF((AT56="НД"),"НД",AT56/AR56))</f>
        <v>НД</v>
      </c>
      <c r="AV56" s="429">
        <f>SUMIFS('Отчет РПЗ(ПЗ)_ПЗИП'!$W:$W,'Отчет РПЗ(ПЗ)_ПЗИП'!$D:$D,Справочно!$E21,'Отчет РПЗ(ПЗ)_ПЗИП'!$N:$N,"&gt;=01.08.2017",'Отчет РПЗ(ПЗ)_ПЗИП'!$N:$N,"&lt;=31.08.2017",'Отчет РПЗ(ПЗ)_ПЗИП'!$AG:$AG,"&gt;0")</f>
        <v>0</v>
      </c>
      <c r="AW56" s="338">
        <f>SUMIFS('Отчет РПЗ(ПЗ)_ПЗИП'!$AG:$AG,'Отчет РПЗ(ПЗ)_ПЗИП'!$D:$D,Справочно!$E21,'Отчет РПЗ(ПЗ)_ПЗИП'!$AQ:$AQ,8)</f>
        <v>0</v>
      </c>
      <c r="AX56" s="338" t="str">
        <f>IF(AW56=0,"НД",AV56-AW56)</f>
        <v>НД</v>
      </c>
      <c r="AY56" s="256" t="str">
        <f t="shared" ref="AY56:AY81" si="32">IF(AW56=0, "НД", IF((AX56="НД"),"НД",AX56/AV56))</f>
        <v>НД</v>
      </c>
      <c r="AZ56" s="429">
        <f>SUMIFS('Отчет РПЗ(ПЗ)_ПЗИП'!$W:$W,'Отчет РПЗ(ПЗ)_ПЗИП'!$D:$D,Справочно!$E21,'Отчет РПЗ(ПЗ)_ПЗИП'!$N:$N,"&gt;=01.09.2017",'Отчет РПЗ(ПЗ)_ПЗИП'!$N:$N,"&lt;=30.09.2017",'Отчет РПЗ(ПЗ)_ПЗИП'!$AG:$AG,"&gt;0")</f>
        <v>0</v>
      </c>
      <c r="BA56" s="338">
        <f>SUMIFS('Отчет РПЗ(ПЗ)_ПЗИП'!$AG:$AG,'Отчет РПЗ(ПЗ)_ПЗИП'!$D:$D,Справочно!$E21,'Отчет РПЗ(ПЗ)_ПЗИП'!$AQ:$AQ,9)</f>
        <v>0</v>
      </c>
      <c r="BB56" s="338" t="str">
        <f>IF(BA56=0,"НД",AZ56-BA56)</f>
        <v>НД</v>
      </c>
      <c r="BC56" s="256" t="str">
        <f t="shared" ref="BC56:BC81" si="33">IF(BA56=0, "НД", IF((BB56="НД"),"НД",BB56/AZ56))</f>
        <v>НД</v>
      </c>
      <c r="BD56" s="430">
        <f>SUM(AR56,AV56,AZ56)</f>
        <v>0</v>
      </c>
      <c r="BE56" s="339">
        <f>SUM(AS56,AW56,BA56)</f>
        <v>0</v>
      </c>
      <c r="BF56" s="339">
        <f t="shared" ref="BF56:BF81" si="34">IF(BE56=0,0,BD56-BE56)</f>
        <v>0</v>
      </c>
      <c r="BG56" s="257">
        <f t="shared" ref="BG56:BG80" si="35">IF(BE56=0, 0, IF((BF56="НД"),"НД",BF56/BD56))</f>
        <v>0</v>
      </c>
      <c r="BH56" s="420">
        <f>SUMIFS('Отчет РПЗ(ПЗ)_ПЗИП'!$W:$W,'Отчет РПЗ(ПЗ)_ПЗИП'!$D:$D,Справочно!$E21,'Отчет РПЗ(ПЗ)_ПЗИП'!$N:$N,"&gt;=01.10.2017",'Отчет РПЗ(ПЗ)_ПЗИП'!$N:$N,"&lt;=31.10.2017",'Отчет РПЗ(ПЗ)_ПЗИП'!$AG:$AG,"&gt;0")</f>
        <v>0</v>
      </c>
      <c r="BI56" s="340">
        <f>SUMIFS('Отчет РПЗ(ПЗ)_ПЗИП'!$AG:$AG,'Отчет РПЗ(ПЗ)_ПЗИП'!$D:$D,Справочно!$E21,'Отчет РПЗ(ПЗ)_ПЗИП'!$AQ:$AQ,10)</f>
        <v>0</v>
      </c>
      <c r="BJ56" s="340" t="str">
        <f>IF(BI56=0,"НД",BH56-BI56)</f>
        <v>НД</v>
      </c>
      <c r="BK56" s="258" t="str">
        <f t="shared" ref="BK56:BK81" si="36">IF(BI56=0, "НД", IF((BJ56="НД"),"НД",BJ56/BH56))</f>
        <v>НД</v>
      </c>
      <c r="BL56" s="435">
        <f>SUMIFS('Отчет РПЗ(ПЗ)_ПЗИП'!$W:$W,'Отчет РПЗ(ПЗ)_ПЗИП'!$D:$D,Справочно!$E21,'Отчет РПЗ(ПЗ)_ПЗИП'!$N:$N,"&gt;=01.11.2017",'Отчет РПЗ(ПЗ)_ПЗИП'!$N:$N,"&lt;=30.11.2017",'Отчет РПЗ(ПЗ)_ПЗИП'!$AG:$AG,"&gt;0")</f>
        <v>0</v>
      </c>
      <c r="BM56" s="340">
        <f>SUMIFS('Отчет РПЗ(ПЗ)_ПЗИП'!$AG:$AG,'Отчет РПЗ(ПЗ)_ПЗИП'!$D:$D,Справочно!$E21,'Отчет РПЗ(ПЗ)_ПЗИП'!$AQ:$AQ,11)</f>
        <v>0</v>
      </c>
      <c r="BN56" s="340" t="str">
        <f>IF(BM56=0,"НД",BL56-BM56)</f>
        <v>НД</v>
      </c>
      <c r="BO56" s="258" t="str">
        <f t="shared" ref="BO56:BO81" si="37">IF(BM56=0, "НД", IF((BN56="НД"),"НД",BN56/BL56))</f>
        <v>НД</v>
      </c>
      <c r="BP56" s="435">
        <f>SUMIFS('Отчет РПЗ(ПЗ)_ПЗИП'!$W:$W,'Отчет РПЗ(ПЗ)_ПЗИП'!$D:$D,Справочно!$E21,'Отчет РПЗ(ПЗ)_ПЗИП'!$N:$N,"&gt;=01.12.2017",'Отчет РПЗ(ПЗ)_ПЗИП'!$N:$N,"&lt;=31.12.2017",'Отчет РПЗ(ПЗ)_ПЗИП'!$AG:$AG,"&gt;0")</f>
        <v>0</v>
      </c>
      <c r="BQ56" s="340">
        <f>SUMIFS('Отчет РПЗ(ПЗ)_ПЗИП'!$AG:$AG,'Отчет РПЗ(ПЗ)_ПЗИП'!$D:$D,Справочно!$E21,'Отчет РПЗ(ПЗ)_ПЗИП'!$AQ:$AQ,12)</f>
        <v>0</v>
      </c>
      <c r="BR56" s="340" t="str">
        <f>IF(BQ56=0,"НД",BP56-BQ56)</f>
        <v>НД</v>
      </c>
      <c r="BS56" s="260" t="str">
        <f t="shared" ref="BS56:BS81" si="38">IF(BQ56=0, "НД", IF((BR56="НД"),"НД",BR56/BP56))</f>
        <v>НД</v>
      </c>
      <c r="BT56" s="430">
        <f>SUM(BH56,BL56,BP56)</f>
        <v>0</v>
      </c>
      <c r="BU56" s="341">
        <f>SUM(BI56,BM56,BQ56)</f>
        <v>0</v>
      </c>
      <c r="BV56" s="341">
        <f t="shared" ref="BV56:BV81" si="39">IF(BU56=0,0,BT56-BU56)</f>
        <v>0</v>
      </c>
      <c r="BW56" s="262">
        <f t="shared" ref="BW56:BW81" si="40">IF(BU56=0, 0, IF((BV56="НД"),"НД",BV56/BT56))</f>
        <v>0</v>
      </c>
    </row>
    <row r="57" spans="2:75" ht="15" customHeight="1" thickBot="1" x14ac:dyDescent="0.25">
      <c r="B57" s="59" t="str">
        <f>Справочно!E22</f>
        <v>ООО "РТ-Развитие бизнеса"</v>
      </c>
      <c r="C57" s="96">
        <f>ПП!B45</f>
        <v>0</v>
      </c>
      <c r="D57" s="418" t="e">
        <f>ПП!C45</f>
        <v>#DIV/0!</v>
      </c>
      <c r="E57" s="443">
        <f>ПП!D45</f>
        <v>0</v>
      </c>
      <c r="F57" s="302">
        <f>COUNTIFS('Отчет РПЗ(ПЗ)_ПЗИП'!$AG:$AG,"&gt;0",'Отчет РПЗ(ПЗ)_ПЗИП'!$D:$D,Справочно!$E22)</f>
        <v>0</v>
      </c>
      <c r="G57" s="444" t="e">
        <f t="shared" ref="G57:G81" si="41">F57/$E$52</f>
        <v>#DIV/0!</v>
      </c>
      <c r="H57" s="445">
        <f>SUMIF('Отчет РПЗ(ПЗ)_ПЗИП'!$D:$D,Справочно!$E22,'Отчет РПЗ(ПЗ)_ПЗИП'!$AG:$AG)</f>
        <v>0</v>
      </c>
      <c r="I57" s="472">
        <f>(IF($D$3=1,Z57,0)+IF($D$3=2,Z57+AP57,0)+IF($D$3=3,Z57+AP57+BF57,0)+IF($D$3=4,Z57+AP57+BF57+BV57,0))</f>
        <v>0</v>
      </c>
      <c r="J57" s="526" t="e">
        <f t="shared" ref="J57:J79" si="42">I57/(X57+AN57+BD57+BT57)</f>
        <v>#DIV/0!</v>
      </c>
      <c r="L57" s="436">
        <f>SUMIFS('Отчет РПЗ(ПЗ)_ПЗИП'!$W:$W,'Отчет РПЗ(ПЗ)_ПЗИП'!$D:$D,Справочно!$E22,'Отчет РПЗ(ПЗ)_ПЗИП'!$N:$N,"&gt;=01.01.2017",'Отчет РПЗ(ПЗ)_ПЗИП'!$N:$N,"&lt;=31.01.2017",'Отчет РПЗ(ПЗ)_ПЗИП'!$AG:$AG,"&gt;0")</f>
        <v>0</v>
      </c>
      <c r="M57" s="334">
        <f>SUMIFS('Отчет РПЗ(ПЗ)_ПЗИП'!$AG:$AG,'Отчет РПЗ(ПЗ)_ПЗИП'!$D:$D,Справочно!$E22,'Отчет РПЗ(ПЗ)_ПЗИП'!$AQ:$AQ,1)</f>
        <v>0</v>
      </c>
      <c r="N57" s="342" t="str">
        <f t="shared" ref="N57:N81" si="43">IF(M57=0,"НД",L57-M57)</f>
        <v>НД</v>
      </c>
      <c r="O57" s="250" t="str">
        <f t="shared" ref="O57:O81" si="44">IF(M57=0, "НД", IF((N57="НД"),"НД",N57/L57))</f>
        <v>НД</v>
      </c>
      <c r="P57" s="431">
        <f>SUMIFS('Отчет РПЗ(ПЗ)_ПЗИП'!$W:$W,'Отчет РПЗ(ПЗ)_ПЗИП'!$D:$D,Справочно!$E22,'Отчет РПЗ(ПЗ)_ПЗИП'!$N:$N,"&gt;=01.02.2017",'Отчет РПЗ(ПЗ)_ПЗИП'!$N:$N,"&lt;=28.02.2017",'Отчет РПЗ(ПЗ)_ПЗИП'!$AG:$AG,"&gt;0")</f>
        <v>0</v>
      </c>
      <c r="Q57" s="334">
        <f>SUMIFS('Отчет РПЗ(ПЗ)_ПЗИП'!$AG:$AG,'Отчет РПЗ(ПЗ)_ПЗИП'!$D:$D,Справочно!$E22,'Отчет РПЗ(ПЗ)_ПЗИП'!$AQ:$AQ,2)</f>
        <v>0</v>
      </c>
      <c r="R57" s="342" t="str">
        <f t="shared" ref="R57:R81" si="45">IF(Q57=0,"НД",P57-Q57)</f>
        <v>НД</v>
      </c>
      <c r="S57" s="250" t="str">
        <f t="shared" ref="S57:S81" si="46">IF(Q57=0, "НД", IF((R57="НД"),"НД",R57/P57))</f>
        <v>НД</v>
      </c>
      <c r="T57" s="431">
        <f>SUMIFS('Отчет РПЗ(ПЗ)_ПЗИП'!$W:$W,'Отчет РПЗ(ПЗ)_ПЗИП'!$D:$D,Справочно!$E22,'Отчет РПЗ(ПЗ)_ПЗИП'!$N:$N,"&gt;=01.03.2017",'Отчет РПЗ(ПЗ)_ПЗИП'!$N:$N,"&lt;=31.03.2017",'Отчет РПЗ(ПЗ)_ПЗИП'!$AG:$AG,"&gt;0")</f>
        <v>0</v>
      </c>
      <c r="U57" s="334">
        <f>SUMIFS('Отчет РПЗ(ПЗ)_ПЗИП'!$AG:$AG,'Отчет РПЗ(ПЗ)_ПЗИП'!$D:$D,Справочно!$E22,'Отчет РПЗ(ПЗ)_ПЗИП'!$AQ:$AQ,3)</f>
        <v>0</v>
      </c>
      <c r="V57" s="342" t="str">
        <f t="shared" ref="V57:V81" si="47">IF(U57=0,"НД",T57-U57)</f>
        <v>НД</v>
      </c>
      <c r="W57" s="250" t="str">
        <f t="shared" si="23"/>
        <v>НД</v>
      </c>
      <c r="X57" s="430">
        <f t="shared" ref="X57:X80" si="48">SUM(L57,P57,T57)</f>
        <v>0</v>
      </c>
      <c r="Y57" s="335">
        <f t="shared" ref="Y57:Y80" si="49">SUM(M57,Q57,U57)</f>
        <v>0</v>
      </c>
      <c r="Z57" s="335">
        <f t="shared" si="24"/>
        <v>0</v>
      </c>
      <c r="AA57" s="252">
        <f t="shared" si="25"/>
        <v>0</v>
      </c>
      <c r="AB57" s="436">
        <f>SUMIFS('Отчет РПЗ(ПЗ)_ПЗИП'!$W:$W,'Отчет РПЗ(ПЗ)_ПЗИП'!$D:$D,Справочно!$E22,'Отчет РПЗ(ПЗ)_ПЗИП'!$N:$N,"&gt;=01.04.2017",'Отчет РПЗ(ПЗ)_ПЗИП'!$N:$N,"&lt;=30.04.2017",'Отчет РПЗ(ПЗ)_ПЗИП'!$AG:$AG,"&gt;0")</f>
        <v>0</v>
      </c>
      <c r="AC57" s="336">
        <f>SUMIFS('Отчет РПЗ(ПЗ)_ПЗИП'!$AG:$AG,'Отчет РПЗ(ПЗ)_ПЗИП'!$D:$D,Справочно!$E22,'Отчет РПЗ(ПЗ)_ПЗИП'!$AQ:$AQ,4)</f>
        <v>0</v>
      </c>
      <c r="AD57" s="336" t="str">
        <f t="shared" ref="AD57:AD81" si="50">IF(AC57=0,"НД",AB57-AC57)</f>
        <v>НД</v>
      </c>
      <c r="AE57" s="251" t="str">
        <f t="shared" si="26"/>
        <v>НД</v>
      </c>
      <c r="AF57" s="435">
        <f>SUMIFS('Отчет РПЗ(ПЗ)_ПЗИП'!$W:$W,'Отчет РПЗ(ПЗ)_ПЗИП'!$D:$D,Справочно!$E22,'Отчет РПЗ(ПЗ)_ПЗИП'!$N:$N,"&gt;=01.05.2017",'Отчет РПЗ(ПЗ)_ПЗИП'!$N:$N,"&lt;=31.05.2017",'Отчет РПЗ(ПЗ)_ПЗИП'!$AG:$AG,"&gt;0")</f>
        <v>0</v>
      </c>
      <c r="AG57" s="336">
        <f>SUMIFS('Отчет РПЗ(ПЗ)_ПЗИП'!$AG:$AG,'Отчет РПЗ(ПЗ)_ПЗИП'!$D:$D,Справочно!$E22,'Отчет РПЗ(ПЗ)_ПЗИП'!$AQ:$AQ,5)</f>
        <v>0</v>
      </c>
      <c r="AH57" s="336" t="str">
        <f t="shared" ref="AH57:AH80" si="51">IF(AG57=0,"НД",AF57-AG57)</f>
        <v>НД</v>
      </c>
      <c r="AI57" s="251" t="str">
        <f t="shared" si="27"/>
        <v>НД</v>
      </c>
      <c r="AJ57" s="435">
        <f>SUMIFS('Отчет РПЗ(ПЗ)_ПЗИП'!$W:$W,'Отчет РПЗ(ПЗ)_ПЗИП'!$D:$D,Справочно!$E22,'Отчет РПЗ(ПЗ)_ПЗИП'!$N:$N,"&gt;=01.06.2017",'Отчет РПЗ(ПЗ)_ПЗИП'!$N:$N,"&lt;=30.06.2017",'Отчет РПЗ(ПЗ)_ПЗИП'!$AG:$AG,"&gt;0")</f>
        <v>0</v>
      </c>
      <c r="AK57" s="336">
        <f>SUMIFS('Отчет РПЗ(ПЗ)_ПЗИП'!$AG:$AG,'Отчет РПЗ(ПЗ)_ПЗИП'!$D:$D,Справочно!$E22,'Отчет РПЗ(ПЗ)_ПЗИП'!$AQ:$AQ,6)</f>
        <v>0</v>
      </c>
      <c r="AL57" s="336" t="str">
        <f t="shared" ref="AL57:AL80" si="52">IF(AK57=0,"НД",AJ57-AK57)</f>
        <v>НД</v>
      </c>
      <c r="AM57" s="251" t="str">
        <f t="shared" si="28"/>
        <v>НД</v>
      </c>
      <c r="AN57" s="430">
        <f t="shared" ref="AN57:AN80" si="53">SUM(AB57,AF57,AJ57)</f>
        <v>0</v>
      </c>
      <c r="AO57" s="337">
        <f t="shared" ref="AO57:AO80" si="54">SUM(AC57,AG57,AK57)</f>
        <v>0</v>
      </c>
      <c r="AP57" s="337">
        <f t="shared" si="29"/>
        <v>0</v>
      </c>
      <c r="AQ57" s="253">
        <f t="shared" si="30"/>
        <v>0</v>
      </c>
      <c r="AR57" s="436">
        <f>SUMIFS('Отчет РПЗ(ПЗ)_ПЗИП'!$W:$W,'Отчет РПЗ(ПЗ)_ПЗИП'!$D:$D,Справочно!$E22,'Отчет РПЗ(ПЗ)_ПЗИП'!$N:$N,"&gt;=01.07.2017",'Отчет РПЗ(ПЗ)_ПЗИП'!$N:$N,"&lt;=31.07.2017",'Отчет РПЗ(ПЗ)_ПЗИП'!$AG:$AG,"&gt;0")</f>
        <v>0</v>
      </c>
      <c r="AS57" s="338">
        <f>SUMIFS('Отчет РПЗ(ПЗ)_ПЗИП'!$AG:$AG,'Отчет РПЗ(ПЗ)_ПЗИП'!$D:$D,Справочно!$E22,'Отчет РПЗ(ПЗ)_ПЗИП'!$AQ:$AQ,7)</f>
        <v>0</v>
      </c>
      <c r="AT57" s="378" t="str">
        <f t="shared" ref="AT57:AT80" si="55">IF(AS57=0,"НД",AR57-AS57)</f>
        <v>НД</v>
      </c>
      <c r="AU57" s="255" t="str">
        <f t="shared" si="31"/>
        <v>НД</v>
      </c>
      <c r="AV57" s="431">
        <f>SUMIFS('Отчет РПЗ(ПЗ)_ПЗИП'!$W:$W,'Отчет РПЗ(ПЗ)_ПЗИП'!$D:$D,Справочно!$E22,'Отчет РПЗ(ПЗ)_ПЗИП'!$N:$N,"&gt;=01.08.2017",'Отчет РПЗ(ПЗ)_ПЗИП'!$N:$N,"&lt;=31.08.2017",'Отчет РПЗ(ПЗ)_ПЗИП'!$AG:$AG,"&gt;0")</f>
        <v>0</v>
      </c>
      <c r="AW57" s="338">
        <f>SUMIFS('Отчет РПЗ(ПЗ)_ПЗИП'!$AG:$AG,'Отчет РПЗ(ПЗ)_ПЗИП'!$D:$D,Справочно!$E22,'Отчет РПЗ(ПЗ)_ПЗИП'!$AQ:$AQ,8)</f>
        <v>0</v>
      </c>
      <c r="AX57" s="378" t="str">
        <f t="shared" ref="AX57:AX80" si="56">IF(AW57=0,"НД",AV57-AW57)</f>
        <v>НД</v>
      </c>
      <c r="AY57" s="255" t="str">
        <f t="shared" si="32"/>
        <v>НД</v>
      </c>
      <c r="AZ57" s="431">
        <f>SUMIFS('Отчет РПЗ(ПЗ)_ПЗИП'!$W:$W,'Отчет РПЗ(ПЗ)_ПЗИП'!$D:$D,Справочно!$E22,'Отчет РПЗ(ПЗ)_ПЗИП'!$N:$N,"&gt;=01.09.2017",'Отчет РПЗ(ПЗ)_ПЗИП'!$N:$N,"&lt;=30.09.2017",'Отчет РПЗ(ПЗ)_ПЗИП'!$AG:$AG,"&gt;0")</f>
        <v>0</v>
      </c>
      <c r="BA57" s="338">
        <f>SUMIFS('Отчет РПЗ(ПЗ)_ПЗИП'!$AG:$AG,'Отчет РПЗ(ПЗ)_ПЗИП'!$D:$D,Справочно!$E22,'Отчет РПЗ(ПЗ)_ПЗИП'!$AQ:$AQ,9)</f>
        <v>0</v>
      </c>
      <c r="BB57" s="378" t="str">
        <f t="shared" ref="BB57:BB80" si="57">IF(BA57=0,"НД",AZ57-BA57)</f>
        <v>НД</v>
      </c>
      <c r="BC57" s="255" t="str">
        <f t="shared" si="33"/>
        <v>НД</v>
      </c>
      <c r="BD57" s="430">
        <f t="shared" ref="BD57:BD80" si="58">SUM(AR57,AV57,AZ57)</f>
        <v>0</v>
      </c>
      <c r="BE57" s="339">
        <f t="shared" ref="BE57:BE80" si="59">SUM(AS57,AW57,BA57)</f>
        <v>0</v>
      </c>
      <c r="BF57" s="339">
        <f t="shared" si="34"/>
        <v>0</v>
      </c>
      <c r="BG57" s="257">
        <f t="shared" si="35"/>
        <v>0</v>
      </c>
      <c r="BH57" s="420">
        <f>SUMIFS('Отчет РПЗ(ПЗ)_ПЗИП'!$W:$W,'Отчет РПЗ(ПЗ)_ПЗИП'!$D:$D,Справочно!$E22,'Отчет РПЗ(ПЗ)_ПЗИП'!$N:$N,"&gt;=01.10.2017",'Отчет РПЗ(ПЗ)_ПЗИП'!$N:$N,"&lt;=31.10.2017",'Отчет РПЗ(ПЗ)_ПЗИП'!$AG:$AG,"&gt;0")</f>
        <v>0</v>
      </c>
      <c r="BI57" s="340">
        <f>SUMIFS('Отчет РПЗ(ПЗ)_ПЗИП'!$AG:$AG,'Отчет РПЗ(ПЗ)_ПЗИП'!$D:$D,Справочно!$E22,'Отчет РПЗ(ПЗ)_ПЗИП'!$AQ:$AQ,10)</f>
        <v>0</v>
      </c>
      <c r="BJ57" s="380" t="str">
        <f t="shared" ref="BJ57:BJ80" si="60">IF(BI57=0,"НД",BH57-BI57)</f>
        <v>НД</v>
      </c>
      <c r="BK57" s="259" t="str">
        <f t="shared" si="36"/>
        <v>НД</v>
      </c>
      <c r="BL57" s="435">
        <f>SUMIFS('Отчет РПЗ(ПЗ)_ПЗИП'!$W:$W,'Отчет РПЗ(ПЗ)_ПЗИП'!$D:$D,Справочно!$E22,'Отчет РПЗ(ПЗ)_ПЗИП'!$N:$N,"&gt;=01.11.2017",'Отчет РПЗ(ПЗ)_ПЗИП'!$N:$N,"&lt;=30.11.2017",'Отчет РПЗ(ПЗ)_ПЗИП'!$AG:$AG,"&gt;0")</f>
        <v>0</v>
      </c>
      <c r="BM57" s="340">
        <f>SUMIFS('Отчет РПЗ(ПЗ)_ПЗИП'!$AG:$AG,'Отчет РПЗ(ПЗ)_ПЗИП'!$D:$D,Справочно!$E22,'Отчет РПЗ(ПЗ)_ПЗИП'!$AQ:$AQ,11)</f>
        <v>0</v>
      </c>
      <c r="BN57" s="380" t="str">
        <f t="shared" ref="BN57:BN80" si="61">IF(BM57=0,"НД",BL57-BM57)</f>
        <v>НД</v>
      </c>
      <c r="BO57" s="259" t="str">
        <f t="shared" si="37"/>
        <v>НД</v>
      </c>
      <c r="BP57" s="435">
        <f>SUMIFS('Отчет РПЗ(ПЗ)_ПЗИП'!$W:$W,'Отчет РПЗ(ПЗ)_ПЗИП'!$D:$D,Справочно!$E22,'Отчет РПЗ(ПЗ)_ПЗИП'!$N:$N,"&gt;=01.12.2017",'Отчет РПЗ(ПЗ)_ПЗИП'!$N:$N,"&lt;=31.12.2017",'Отчет РПЗ(ПЗ)_ПЗИП'!$AG:$AG,"&gt;0")</f>
        <v>0</v>
      </c>
      <c r="BQ57" s="340">
        <f>SUMIFS('Отчет РПЗ(ПЗ)_ПЗИП'!$AG:$AG,'Отчет РПЗ(ПЗ)_ПЗИП'!$D:$D,Справочно!$E22,'Отчет РПЗ(ПЗ)_ПЗИП'!$AQ:$AQ,12)</f>
        <v>0</v>
      </c>
      <c r="BR57" s="380" t="str">
        <f t="shared" ref="BR57:BR80" si="62">IF(BQ57=0,"НД",BP57-BQ57)</f>
        <v>НД</v>
      </c>
      <c r="BS57" s="261" t="str">
        <f t="shared" si="38"/>
        <v>НД</v>
      </c>
      <c r="BT57" s="430">
        <f t="shared" ref="BT57:BT80" si="63">SUM(BH57,BL57,BP57)</f>
        <v>0</v>
      </c>
      <c r="BU57" s="341">
        <f t="shared" ref="BU57:BU80" si="64">SUM(BI57,BM57,BQ57)</f>
        <v>0</v>
      </c>
      <c r="BV57" s="341">
        <f t="shared" si="39"/>
        <v>0</v>
      </c>
      <c r="BW57" s="262">
        <f t="shared" si="40"/>
        <v>0</v>
      </c>
    </row>
    <row r="58" spans="2:75" ht="15" customHeight="1" thickBot="1" x14ac:dyDescent="0.25">
      <c r="B58" s="59" t="str">
        <f>Справочно!E23</f>
        <v>АО "НПО "Сплав"</v>
      </c>
      <c r="C58" s="96">
        <f>ПП!B46</f>
        <v>0</v>
      </c>
      <c r="D58" s="418" t="e">
        <f>ПП!C46</f>
        <v>#DIV/0!</v>
      </c>
      <c r="E58" s="443">
        <f>ПП!D46</f>
        <v>0</v>
      </c>
      <c r="F58" s="302">
        <f>COUNTIFS('Отчет РПЗ(ПЗ)_ПЗИП'!$AG:$AG,"&gt;0",'Отчет РПЗ(ПЗ)_ПЗИП'!$D:$D,Справочно!$E23)</f>
        <v>0</v>
      </c>
      <c r="G58" s="444" t="e">
        <f t="shared" si="41"/>
        <v>#DIV/0!</v>
      </c>
      <c r="H58" s="445">
        <f>SUMIF('Отчет РПЗ(ПЗ)_ПЗИП'!$D:$D,Справочно!$E23,'Отчет РПЗ(ПЗ)_ПЗИП'!$AG:$AG)</f>
        <v>0</v>
      </c>
      <c r="I58" s="472">
        <f t="shared" ref="I58:I79" si="65">(IF($D$3=1,Z58,0)+IF($D$3=2,Z58+AP58,0)+IF($D$3=3,Z58+AP58+BF58,0)+IF($D$3=4,Z58+AP58+BF58+BV58,0))</f>
        <v>0</v>
      </c>
      <c r="J58" s="526" t="e">
        <f t="shared" si="42"/>
        <v>#DIV/0!</v>
      </c>
      <c r="L58" s="436">
        <f>SUMIFS('Отчет РПЗ(ПЗ)_ПЗИП'!$W:$W,'Отчет РПЗ(ПЗ)_ПЗИП'!$D:$D,Справочно!$E23,'Отчет РПЗ(ПЗ)_ПЗИП'!$N:$N,"&gt;=01.01.2017",'Отчет РПЗ(ПЗ)_ПЗИП'!$N:$N,"&lt;=31.01.2017",'Отчет РПЗ(ПЗ)_ПЗИП'!$AG:$AG,"&gt;0")</f>
        <v>0</v>
      </c>
      <c r="M58" s="334">
        <f>SUMIFS('Отчет РПЗ(ПЗ)_ПЗИП'!$AG:$AG,'Отчет РПЗ(ПЗ)_ПЗИП'!$D:$D,Справочно!$E23,'Отчет РПЗ(ПЗ)_ПЗИП'!$AQ:$AQ,1)</f>
        <v>0</v>
      </c>
      <c r="N58" s="342" t="str">
        <f t="shared" si="43"/>
        <v>НД</v>
      </c>
      <c r="O58" s="250" t="str">
        <f t="shared" si="44"/>
        <v>НД</v>
      </c>
      <c r="P58" s="431">
        <f>SUMIFS('Отчет РПЗ(ПЗ)_ПЗИП'!$W:$W,'Отчет РПЗ(ПЗ)_ПЗИП'!$D:$D,Справочно!$E23,'Отчет РПЗ(ПЗ)_ПЗИП'!$N:$N,"&gt;=01.02.2017",'Отчет РПЗ(ПЗ)_ПЗИП'!$N:$N,"&lt;=28.02.2017",'Отчет РПЗ(ПЗ)_ПЗИП'!$AG:$AG,"&gt;0")</f>
        <v>0</v>
      </c>
      <c r="Q58" s="334">
        <f>SUMIFS('Отчет РПЗ(ПЗ)_ПЗИП'!$AG:$AG,'Отчет РПЗ(ПЗ)_ПЗИП'!$D:$D,Справочно!$E23,'Отчет РПЗ(ПЗ)_ПЗИП'!$AQ:$AQ,2)</f>
        <v>0</v>
      </c>
      <c r="R58" s="342" t="str">
        <f t="shared" si="45"/>
        <v>НД</v>
      </c>
      <c r="S58" s="250" t="str">
        <f t="shared" si="46"/>
        <v>НД</v>
      </c>
      <c r="T58" s="431">
        <f>SUMIFS('Отчет РПЗ(ПЗ)_ПЗИП'!$W:$W,'Отчет РПЗ(ПЗ)_ПЗИП'!$D:$D,Справочно!$E23,'Отчет РПЗ(ПЗ)_ПЗИП'!$N:$N,"&gt;=01.03.2017",'Отчет РПЗ(ПЗ)_ПЗИП'!$N:$N,"&lt;=31.03.2017",'Отчет РПЗ(ПЗ)_ПЗИП'!$AG:$AG,"&gt;0")</f>
        <v>0</v>
      </c>
      <c r="U58" s="334">
        <f>SUMIFS('Отчет РПЗ(ПЗ)_ПЗИП'!$AG:$AG,'Отчет РПЗ(ПЗ)_ПЗИП'!$D:$D,Справочно!$E23,'Отчет РПЗ(ПЗ)_ПЗИП'!$AQ:$AQ,3)</f>
        <v>0</v>
      </c>
      <c r="V58" s="342" t="str">
        <f t="shared" si="47"/>
        <v>НД</v>
      </c>
      <c r="W58" s="250" t="str">
        <f t="shared" si="23"/>
        <v>НД</v>
      </c>
      <c r="X58" s="430">
        <f t="shared" si="48"/>
        <v>0</v>
      </c>
      <c r="Y58" s="335">
        <f t="shared" si="49"/>
        <v>0</v>
      </c>
      <c r="Z58" s="335">
        <f t="shared" si="24"/>
        <v>0</v>
      </c>
      <c r="AA58" s="252">
        <f t="shared" si="25"/>
        <v>0</v>
      </c>
      <c r="AB58" s="436">
        <f>SUMIFS('Отчет РПЗ(ПЗ)_ПЗИП'!$W:$W,'Отчет РПЗ(ПЗ)_ПЗИП'!$D:$D,Справочно!$E23,'Отчет РПЗ(ПЗ)_ПЗИП'!$N:$N,"&gt;=01.04.2017",'Отчет РПЗ(ПЗ)_ПЗИП'!$N:$N,"&lt;=30.04.2017",'Отчет РПЗ(ПЗ)_ПЗИП'!$AG:$AG,"&gt;0")</f>
        <v>0</v>
      </c>
      <c r="AC58" s="336">
        <f>SUMIFS('Отчет РПЗ(ПЗ)_ПЗИП'!$AG:$AG,'Отчет РПЗ(ПЗ)_ПЗИП'!$D:$D,Справочно!$E23,'Отчет РПЗ(ПЗ)_ПЗИП'!$AQ:$AQ,4)</f>
        <v>0</v>
      </c>
      <c r="AD58" s="336" t="str">
        <f t="shared" si="50"/>
        <v>НД</v>
      </c>
      <c r="AE58" s="251" t="str">
        <f t="shared" si="26"/>
        <v>НД</v>
      </c>
      <c r="AF58" s="435">
        <f>SUMIFS('Отчет РПЗ(ПЗ)_ПЗИП'!$W:$W,'Отчет РПЗ(ПЗ)_ПЗИП'!$D:$D,Справочно!$E23,'Отчет РПЗ(ПЗ)_ПЗИП'!$N:$N,"&gt;=01.05.2017",'Отчет РПЗ(ПЗ)_ПЗИП'!$N:$N,"&lt;=31.05.2017",'Отчет РПЗ(ПЗ)_ПЗИП'!$AG:$AG,"&gt;0")</f>
        <v>0</v>
      </c>
      <c r="AG58" s="336">
        <f>SUMIFS('Отчет РПЗ(ПЗ)_ПЗИП'!$AG:$AG,'Отчет РПЗ(ПЗ)_ПЗИП'!$D:$D,Справочно!$E23,'Отчет РПЗ(ПЗ)_ПЗИП'!$AQ:$AQ,5)</f>
        <v>0</v>
      </c>
      <c r="AH58" s="336" t="str">
        <f t="shared" si="51"/>
        <v>НД</v>
      </c>
      <c r="AI58" s="251" t="str">
        <f t="shared" si="27"/>
        <v>НД</v>
      </c>
      <c r="AJ58" s="435">
        <f>SUMIFS('Отчет РПЗ(ПЗ)_ПЗИП'!$W:$W,'Отчет РПЗ(ПЗ)_ПЗИП'!$D:$D,Справочно!$E23,'Отчет РПЗ(ПЗ)_ПЗИП'!$N:$N,"&gt;=01.06.2017",'Отчет РПЗ(ПЗ)_ПЗИП'!$N:$N,"&lt;=30.06.2017",'Отчет РПЗ(ПЗ)_ПЗИП'!$AG:$AG,"&gt;0")</f>
        <v>0</v>
      </c>
      <c r="AK58" s="336">
        <f>SUMIFS('Отчет РПЗ(ПЗ)_ПЗИП'!$AG:$AG,'Отчет РПЗ(ПЗ)_ПЗИП'!$D:$D,Справочно!$E23,'Отчет РПЗ(ПЗ)_ПЗИП'!$AQ:$AQ,6)</f>
        <v>0</v>
      </c>
      <c r="AL58" s="336" t="str">
        <f t="shared" si="52"/>
        <v>НД</v>
      </c>
      <c r="AM58" s="251" t="str">
        <f t="shared" si="28"/>
        <v>НД</v>
      </c>
      <c r="AN58" s="430">
        <f t="shared" si="53"/>
        <v>0</v>
      </c>
      <c r="AO58" s="337">
        <f t="shared" si="54"/>
        <v>0</v>
      </c>
      <c r="AP58" s="337">
        <f t="shared" si="29"/>
        <v>0</v>
      </c>
      <c r="AQ58" s="253">
        <f t="shared" si="30"/>
        <v>0</v>
      </c>
      <c r="AR58" s="436">
        <f>SUMIFS('Отчет РПЗ(ПЗ)_ПЗИП'!$W:$W,'Отчет РПЗ(ПЗ)_ПЗИП'!$D:$D,Справочно!$E23,'Отчет РПЗ(ПЗ)_ПЗИП'!$N:$N,"&gt;=01.07.2017",'Отчет РПЗ(ПЗ)_ПЗИП'!$N:$N,"&lt;=31.07.2017",'Отчет РПЗ(ПЗ)_ПЗИП'!$AG:$AG,"&gt;0")</f>
        <v>0</v>
      </c>
      <c r="AS58" s="338">
        <f>SUMIFS('Отчет РПЗ(ПЗ)_ПЗИП'!$AG:$AG,'Отчет РПЗ(ПЗ)_ПЗИП'!$D:$D,Справочно!$E23,'Отчет РПЗ(ПЗ)_ПЗИП'!$AQ:$AQ,7)</f>
        <v>0</v>
      </c>
      <c r="AT58" s="378" t="str">
        <f t="shared" si="55"/>
        <v>НД</v>
      </c>
      <c r="AU58" s="255" t="str">
        <f t="shared" si="31"/>
        <v>НД</v>
      </c>
      <c r="AV58" s="431">
        <f>SUMIFS('Отчет РПЗ(ПЗ)_ПЗИП'!$W:$W,'Отчет РПЗ(ПЗ)_ПЗИП'!$D:$D,Справочно!$E23,'Отчет РПЗ(ПЗ)_ПЗИП'!$N:$N,"&gt;=01.08.2017",'Отчет РПЗ(ПЗ)_ПЗИП'!$N:$N,"&lt;=31.08.2017",'Отчет РПЗ(ПЗ)_ПЗИП'!$AG:$AG,"&gt;0")</f>
        <v>0</v>
      </c>
      <c r="AW58" s="338">
        <f>SUMIFS('Отчет РПЗ(ПЗ)_ПЗИП'!$AG:$AG,'Отчет РПЗ(ПЗ)_ПЗИП'!$D:$D,Справочно!$E23,'Отчет РПЗ(ПЗ)_ПЗИП'!$AQ:$AQ,8)</f>
        <v>0</v>
      </c>
      <c r="AX58" s="378" t="str">
        <f t="shared" si="56"/>
        <v>НД</v>
      </c>
      <c r="AY58" s="255" t="str">
        <f t="shared" si="32"/>
        <v>НД</v>
      </c>
      <c r="AZ58" s="431">
        <f>SUMIFS('Отчет РПЗ(ПЗ)_ПЗИП'!$W:$W,'Отчет РПЗ(ПЗ)_ПЗИП'!$D:$D,Справочно!$E23,'Отчет РПЗ(ПЗ)_ПЗИП'!$N:$N,"&gt;=01.09.2017",'Отчет РПЗ(ПЗ)_ПЗИП'!$N:$N,"&lt;=30.09.2017",'Отчет РПЗ(ПЗ)_ПЗИП'!$AG:$AG,"&gt;0")</f>
        <v>0</v>
      </c>
      <c r="BA58" s="338">
        <f>SUMIFS('Отчет РПЗ(ПЗ)_ПЗИП'!$AG:$AG,'Отчет РПЗ(ПЗ)_ПЗИП'!$D:$D,Справочно!$E23,'Отчет РПЗ(ПЗ)_ПЗИП'!$AQ:$AQ,9)</f>
        <v>0</v>
      </c>
      <c r="BB58" s="378" t="str">
        <f t="shared" si="57"/>
        <v>НД</v>
      </c>
      <c r="BC58" s="255" t="str">
        <f t="shared" si="33"/>
        <v>НД</v>
      </c>
      <c r="BD58" s="430">
        <f t="shared" si="58"/>
        <v>0</v>
      </c>
      <c r="BE58" s="339">
        <f t="shared" si="59"/>
        <v>0</v>
      </c>
      <c r="BF58" s="339">
        <f t="shared" si="34"/>
        <v>0</v>
      </c>
      <c r="BG58" s="257">
        <f t="shared" si="35"/>
        <v>0</v>
      </c>
      <c r="BH58" s="420">
        <f>SUMIFS('Отчет РПЗ(ПЗ)_ПЗИП'!$W:$W,'Отчет РПЗ(ПЗ)_ПЗИП'!$D:$D,Справочно!$E23,'Отчет РПЗ(ПЗ)_ПЗИП'!$N:$N,"&gt;=01.10.2017",'Отчет РПЗ(ПЗ)_ПЗИП'!$N:$N,"&lt;=31.10.2017",'Отчет РПЗ(ПЗ)_ПЗИП'!$AG:$AG,"&gt;0")</f>
        <v>0</v>
      </c>
      <c r="BI58" s="340">
        <f>SUMIFS('Отчет РПЗ(ПЗ)_ПЗИП'!$AG:$AG,'Отчет РПЗ(ПЗ)_ПЗИП'!$D:$D,Справочно!$E23,'Отчет РПЗ(ПЗ)_ПЗИП'!$AQ:$AQ,10)</f>
        <v>0</v>
      </c>
      <c r="BJ58" s="380" t="str">
        <f t="shared" si="60"/>
        <v>НД</v>
      </c>
      <c r="BK58" s="259" t="str">
        <f t="shared" si="36"/>
        <v>НД</v>
      </c>
      <c r="BL58" s="435">
        <f>SUMIFS('Отчет РПЗ(ПЗ)_ПЗИП'!$W:$W,'Отчет РПЗ(ПЗ)_ПЗИП'!$D:$D,Справочно!$E23,'Отчет РПЗ(ПЗ)_ПЗИП'!$N:$N,"&gt;=01.11.2017",'Отчет РПЗ(ПЗ)_ПЗИП'!$N:$N,"&lt;=30.11.2017",'Отчет РПЗ(ПЗ)_ПЗИП'!$AG:$AG,"&gt;0")</f>
        <v>0</v>
      </c>
      <c r="BM58" s="340">
        <f>SUMIFS('Отчет РПЗ(ПЗ)_ПЗИП'!$AG:$AG,'Отчет РПЗ(ПЗ)_ПЗИП'!$D:$D,Справочно!$E23,'Отчет РПЗ(ПЗ)_ПЗИП'!$AQ:$AQ,11)</f>
        <v>0</v>
      </c>
      <c r="BN58" s="380" t="str">
        <f t="shared" si="61"/>
        <v>НД</v>
      </c>
      <c r="BO58" s="259" t="str">
        <f t="shared" si="37"/>
        <v>НД</v>
      </c>
      <c r="BP58" s="435">
        <f>SUMIFS('Отчет РПЗ(ПЗ)_ПЗИП'!$W:$W,'Отчет РПЗ(ПЗ)_ПЗИП'!$D:$D,Справочно!$E23,'Отчет РПЗ(ПЗ)_ПЗИП'!$N:$N,"&gt;=01.12.2017",'Отчет РПЗ(ПЗ)_ПЗИП'!$N:$N,"&lt;=31.12.2017",'Отчет РПЗ(ПЗ)_ПЗИП'!$AG:$AG,"&gt;0")</f>
        <v>0</v>
      </c>
      <c r="BQ58" s="340">
        <f>SUMIFS('Отчет РПЗ(ПЗ)_ПЗИП'!$AG:$AG,'Отчет РПЗ(ПЗ)_ПЗИП'!$D:$D,Справочно!$E23,'Отчет РПЗ(ПЗ)_ПЗИП'!$AQ:$AQ,12)</f>
        <v>0</v>
      </c>
      <c r="BR58" s="380" t="str">
        <f t="shared" si="62"/>
        <v>НД</v>
      </c>
      <c r="BS58" s="261" t="str">
        <f t="shared" si="38"/>
        <v>НД</v>
      </c>
      <c r="BT58" s="430">
        <f t="shared" si="63"/>
        <v>0</v>
      </c>
      <c r="BU58" s="341">
        <f t="shared" si="64"/>
        <v>0</v>
      </c>
      <c r="BV58" s="341">
        <f t="shared" si="39"/>
        <v>0</v>
      </c>
      <c r="BW58" s="262">
        <f t="shared" si="40"/>
        <v>0</v>
      </c>
    </row>
    <row r="59" spans="2:75" ht="15" customHeight="1" thickBot="1" x14ac:dyDescent="0.25">
      <c r="B59" s="59" t="str">
        <f>Справочно!E24</f>
        <v>ОАО "РТ-Логистика"</v>
      </c>
      <c r="C59" s="96">
        <f>ПП!B47</f>
        <v>0</v>
      </c>
      <c r="D59" s="418" t="e">
        <f>ПП!C47</f>
        <v>#DIV/0!</v>
      </c>
      <c r="E59" s="443">
        <f>ПП!D47</f>
        <v>0</v>
      </c>
      <c r="F59" s="302">
        <f>COUNTIFS('Отчет РПЗ(ПЗ)_ПЗИП'!$AG:$AG,"&gt;0",'Отчет РПЗ(ПЗ)_ПЗИП'!$D:$D,Справочно!$E24)</f>
        <v>0</v>
      </c>
      <c r="G59" s="444" t="e">
        <f t="shared" si="41"/>
        <v>#DIV/0!</v>
      </c>
      <c r="H59" s="445">
        <f>SUMIF('Отчет РПЗ(ПЗ)_ПЗИП'!$D:$D,Справочно!$E24,'Отчет РПЗ(ПЗ)_ПЗИП'!$AG:$AG)</f>
        <v>0</v>
      </c>
      <c r="I59" s="472">
        <f t="shared" si="65"/>
        <v>0</v>
      </c>
      <c r="J59" s="526" t="e">
        <f t="shared" si="42"/>
        <v>#DIV/0!</v>
      </c>
      <c r="L59" s="436">
        <f>SUMIFS('Отчет РПЗ(ПЗ)_ПЗИП'!$W:$W,'Отчет РПЗ(ПЗ)_ПЗИП'!$D:$D,Справочно!$E24,'Отчет РПЗ(ПЗ)_ПЗИП'!$N:$N,"&gt;=01.01.2017",'Отчет РПЗ(ПЗ)_ПЗИП'!$N:$N,"&lt;=31.01.2017",'Отчет РПЗ(ПЗ)_ПЗИП'!$AG:$AG,"&gt;0")</f>
        <v>0</v>
      </c>
      <c r="M59" s="334">
        <f>SUMIFS('Отчет РПЗ(ПЗ)_ПЗИП'!$AG:$AG,'Отчет РПЗ(ПЗ)_ПЗИП'!$D:$D,Справочно!$E24,'Отчет РПЗ(ПЗ)_ПЗИП'!$AQ:$AQ,1)</f>
        <v>0</v>
      </c>
      <c r="N59" s="342" t="str">
        <f t="shared" si="43"/>
        <v>НД</v>
      </c>
      <c r="O59" s="250" t="str">
        <f t="shared" si="44"/>
        <v>НД</v>
      </c>
      <c r="P59" s="431">
        <f>SUMIFS('Отчет РПЗ(ПЗ)_ПЗИП'!$W:$W,'Отчет РПЗ(ПЗ)_ПЗИП'!$D:$D,Справочно!$E24,'Отчет РПЗ(ПЗ)_ПЗИП'!$N:$N,"&gt;=01.02.2017",'Отчет РПЗ(ПЗ)_ПЗИП'!$N:$N,"&lt;=28.02.2017",'Отчет РПЗ(ПЗ)_ПЗИП'!$AG:$AG,"&gt;0")</f>
        <v>0</v>
      </c>
      <c r="Q59" s="334">
        <f>SUMIFS('Отчет РПЗ(ПЗ)_ПЗИП'!$AG:$AG,'Отчет РПЗ(ПЗ)_ПЗИП'!$D:$D,Справочно!$E24,'Отчет РПЗ(ПЗ)_ПЗИП'!$AQ:$AQ,2)</f>
        <v>0</v>
      </c>
      <c r="R59" s="342" t="str">
        <f t="shared" si="45"/>
        <v>НД</v>
      </c>
      <c r="S59" s="250" t="str">
        <f t="shared" si="46"/>
        <v>НД</v>
      </c>
      <c r="T59" s="431">
        <f>SUMIFS('Отчет РПЗ(ПЗ)_ПЗИП'!$W:$W,'Отчет РПЗ(ПЗ)_ПЗИП'!$D:$D,Справочно!$E24,'Отчет РПЗ(ПЗ)_ПЗИП'!$N:$N,"&gt;=01.03.2017",'Отчет РПЗ(ПЗ)_ПЗИП'!$N:$N,"&lt;=31.03.2017",'Отчет РПЗ(ПЗ)_ПЗИП'!$AG:$AG,"&gt;0")</f>
        <v>0</v>
      </c>
      <c r="U59" s="334">
        <f>SUMIFS('Отчет РПЗ(ПЗ)_ПЗИП'!$AG:$AG,'Отчет РПЗ(ПЗ)_ПЗИП'!$D:$D,Справочно!$E24,'Отчет РПЗ(ПЗ)_ПЗИП'!$AQ:$AQ,3)</f>
        <v>0</v>
      </c>
      <c r="V59" s="342" t="str">
        <f t="shared" si="47"/>
        <v>НД</v>
      </c>
      <c r="W59" s="250" t="str">
        <f t="shared" si="23"/>
        <v>НД</v>
      </c>
      <c r="X59" s="430">
        <f t="shared" si="48"/>
        <v>0</v>
      </c>
      <c r="Y59" s="335">
        <f t="shared" si="49"/>
        <v>0</v>
      </c>
      <c r="Z59" s="335">
        <f t="shared" si="24"/>
        <v>0</v>
      </c>
      <c r="AA59" s="252">
        <f t="shared" si="25"/>
        <v>0</v>
      </c>
      <c r="AB59" s="436">
        <f>SUMIFS('Отчет РПЗ(ПЗ)_ПЗИП'!$W:$W,'Отчет РПЗ(ПЗ)_ПЗИП'!$D:$D,Справочно!$E24,'Отчет РПЗ(ПЗ)_ПЗИП'!$N:$N,"&gt;=01.04.2017",'Отчет РПЗ(ПЗ)_ПЗИП'!$N:$N,"&lt;=30.04.2017",'Отчет РПЗ(ПЗ)_ПЗИП'!$AG:$AG,"&gt;0")</f>
        <v>0</v>
      </c>
      <c r="AC59" s="336">
        <f>SUMIFS('Отчет РПЗ(ПЗ)_ПЗИП'!$AG:$AG,'Отчет РПЗ(ПЗ)_ПЗИП'!$D:$D,Справочно!$E24,'Отчет РПЗ(ПЗ)_ПЗИП'!$AQ:$AQ,4)</f>
        <v>0</v>
      </c>
      <c r="AD59" s="336" t="str">
        <f t="shared" si="50"/>
        <v>НД</v>
      </c>
      <c r="AE59" s="251" t="str">
        <f t="shared" si="26"/>
        <v>НД</v>
      </c>
      <c r="AF59" s="435">
        <f>SUMIFS('Отчет РПЗ(ПЗ)_ПЗИП'!$W:$W,'Отчет РПЗ(ПЗ)_ПЗИП'!$D:$D,Справочно!$E24,'Отчет РПЗ(ПЗ)_ПЗИП'!$N:$N,"&gt;=01.05.2017",'Отчет РПЗ(ПЗ)_ПЗИП'!$N:$N,"&lt;=31.05.2017",'Отчет РПЗ(ПЗ)_ПЗИП'!$AG:$AG,"&gt;0")</f>
        <v>0</v>
      </c>
      <c r="AG59" s="336">
        <f>SUMIFS('Отчет РПЗ(ПЗ)_ПЗИП'!$AG:$AG,'Отчет РПЗ(ПЗ)_ПЗИП'!$D:$D,Справочно!$E24,'Отчет РПЗ(ПЗ)_ПЗИП'!$AQ:$AQ,5)</f>
        <v>0</v>
      </c>
      <c r="AH59" s="336" t="str">
        <f t="shared" si="51"/>
        <v>НД</v>
      </c>
      <c r="AI59" s="251" t="str">
        <f t="shared" si="27"/>
        <v>НД</v>
      </c>
      <c r="AJ59" s="435">
        <f>SUMIFS('Отчет РПЗ(ПЗ)_ПЗИП'!$W:$W,'Отчет РПЗ(ПЗ)_ПЗИП'!$D:$D,Справочно!$E24,'Отчет РПЗ(ПЗ)_ПЗИП'!$N:$N,"&gt;=01.06.2017",'Отчет РПЗ(ПЗ)_ПЗИП'!$N:$N,"&lt;=30.06.2017",'Отчет РПЗ(ПЗ)_ПЗИП'!$AG:$AG,"&gt;0")</f>
        <v>0</v>
      </c>
      <c r="AK59" s="336">
        <f>SUMIFS('Отчет РПЗ(ПЗ)_ПЗИП'!$AG:$AG,'Отчет РПЗ(ПЗ)_ПЗИП'!$D:$D,Справочно!$E24,'Отчет РПЗ(ПЗ)_ПЗИП'!$AQ:$AQ,6)</f>
        <v>0</v>
      </c>
      <c r="AL59" s="336" t="str">
        <f t="shared" si="52"/>
        <v>НД</v>
      </c>
      <c r="AM59" s="251" t="str">
        <f t="shared" si="28"/>
        <v>НД</v>
      </c>
      <c r="AN59" s="430">
        <f t="shared" si="53"/>
        <v>0</v>
      </c>
      <c r="AO59" s="337">
        <f t="shared" si="54"/>
        <v>0</v>
      </c>
      <c r="AP59" s="337">
        <f t="shared" si="29"/>
        <v>0</v>
      </c>
      <c r="AQ59" s="253">
        <f t="shared" si="30"/>
        <v>0</v>
      </c>
      <c r="AR59" s="436">
        <f>SUMIFS('Отчет РПЗ(ПЗ)_ПЗИП'!$W:$W,'Отчет РПЗ(ПЗ)_ПЗИП'!$D:$D,Справочно!$E24,'Отчет РПЗ(ПЗ)_ПЗИП'!$N:$N,"&gt;=01.07.2017",'Отчет РПЗ(ПЗ)_ПЗИП'!$N:$N,"&lt;=31.07.2017",'Отчет РПЗ(ПЗ)_ПЗИП'!$AG:$AG,"&gt;0")</f>
        <v>0</v>
      </c>
      <c r="AS59" s="338">
        <f>SUMIFS('Отчет РПЗ(ПЗ)_ПЗИП'!$AG:$AG,'Отчет РПЗ(ПЗ)_ПЗИП'!$D:$D,Справочно!$E24,'Отчет РПЗ(ПЗ)_ПЗИП'!$AQ:$AQ,7)</f>
        <v>0</v>
      </c>
      <c r="AT59" s="378" t="str">
        <f t="shared" si="55"/>
        <v>НД</v>
      </c>
      <c r="AU59" s="255" t="str">
        <f t="shared" si="31"/>
        <v>НД</v>
      </c>
      <c r="AV59" s="431">
        <f>SUMIFS('Отчет РПЗ(ПЗ)_ПЗИП'!$W:$W,'Отчет РПЗ(ПЗ)_ПЗИП'!$D:$D,Справочно!$E24,'Отчет РПЗ(ПЗ)_ПЗИП'!$N:$N,"&gt;=01.08.2017",'Отчет РПЗ(ПЗ)_ПЗИП'!$N:$N,"&lt;=31.08.2017",'Отчет РПЗ(ПЗ)_ПЗИП'!$AG:$AG,"&gt;0")</f>
        <v>0</v>
      </c>
      <c r="AW59" s="338">
        <f>SUMIFS('Отчет РПЗ(ПЗ)_ПЗИП'!$AG:$AG,'Отчет РПЗ(ПЗ)_ПЗИП'!$D:$D,Справочно!$E24,'Отчет РПЗ(ПЗ)_ПЗИП'!$AQ:$AQ,8)</f>
        <v>0</v>
      </c>
      <c r="AX59" s="378" t="str">
        <f t="shared" si="56"/>
        <v>НД</v>
      </c>
      <c r="AY59" s="255" t="str">
        <f t="shared" si="32"/>
        <v>НД</v>
      </c>
      <c r="AZ59" s="431">
        <f>SUMIFS('Отчет РПЗ(ПЗ)_ПЗИП'!$W:$W,'Отчет РПЗ(ПЗ)_ПЗИП'!$D:$D,Справочно!$E24,'Отчет РПЗ(ПЗ)_ПЗИП'!$N:$N,"&gt;=01.09.2017",'Отчет РПЗ(ПЗ)_ПЗИП'!$N:$N,"&lt;=30.09.2017",'Отчет РПЗ(ПЗ)_ПЗИП'!$AG:$AG,"&gt;0")</f>
        <v>0</v>
      </c>
      <c r="BA59" s="338">
        <f>SUMIFS('Отчет РПЗ(ПЗ)_ПЗИП'!$AG:$AG,'Отчет РПЗ(ПЗ)_ПЗИП'!$D:$D,Справочно!$E24,'Отчет РПЗ(ПЗ)_ПЗИП'!$AQ:$AQ,9)</f>
        <v>0</v>
      </c>
      <c r="BB59" s="378" t="str">
        <f t="shared" si="57"/>
        <v>НД</v>
      </c>
      <c r="BC59" s="255" t="str">
        <f t="shared" si="33"/>
        <v>НД</v>
      </c>
      <c r="BD59" s="430">
        <f t="shared" si="58"/>
        <v>0</v>
      </c>
      <c r="BE59" s="339">
        <f t="shared" si="59"/>
        <v>0</v>
      </c>
      <c r="BF59" s="339">
        <f t="shared" si="34"/>
        <v>0</v>
      </c>
      <c r="BG59" s="257">
        <f t="shared" si="35"/>
        <v>0</v>
      </c>
      <c r="BH59" s="420">
        <f>SUMIFS('Отчет РПЗ(ПЗ)_ПЗИП'!$W:$W,'Отчет РПЗ(ПЗ)_ПЗИП'!$D:$D,Справочно!$E24,'Отчет РПЗ(ПЗ)_ПЗИП'!$N:$N,"&gt;=01.10.2017",'Отчет РПЗ(ПЗ)_ПЗИП'!$N:$N,"&lt;=31.10.2017",'Отчет РПЗ(ПЗ)_ПЗИП'!$AG:$AG,"&gt;0")</f>
        <v>0</v>
      </c>
      <c r="BI59" s="340">
        <f>SUMIFS('Отчет РПЗ(ПЗ)_ПЗИП'!$AG:$AG,'Отчет РПЗ(ПЗ)_ПЗИП'!$D:$D,Справочно!$E24,'Отчет РПЗ(ПЗ)_ПЗИП'!$AQ:$AQ,10)</f>
        <v>0</v>
      </c>
      <c r="BJ59" s="380" t="str">
        <f t="shared" si="60"/>
        <v>НД</v>
      </c>
      <c r="BK59" s="259" t="str">
        <f t="shared" si="36"/>
        <v>НД</v>
      </c>
      <c r="BL59" s="435">
        <f>SUMIFS('Отчет РПЗ(ПЗ)_ПЗИП'!$W:$W,'Отчет РПЗ(ПЗ)_ПЗИП'!$D:$D,Справочно!$E24,'Отчет РПЗ(ПЗ)_ПЗИП'!$N:$N,"&gt;=01.11.2017",'Отчет РПЗ(ПЗ)_ПЗИП'!$N:$N,"&lt;=30.11.2017",'Отчет РПЗ(ПЗ)_ПЗИП'!$AG:$AG,"&gt;0")</f>
        <v>0</v>
      </c>
      <c r="BM59" s="340">
        <f>SUMIFS('Отчет РПЗ(ПЗ)_ПЗИП'!$AG:$AG,'Отчет РПЗ(ПЗ)_ПЗИП'!$D:$D,Справочно!$E24,'Отчет РПЗ(ПЗ)_ПЗИП'!$AQ:$AQ,11)</f>
        <v>0</v>
      </c>
      <c r="BN59" s="380" t="str">
        <f t="shared" si="61"/>
        <v>НД</v>
      </c>
      <c r="BO59" s="259" t="str">
        <f t="shared" si="37"/>
        <v>НД</v>
      </c>
      <c r="BP59" s="435">
        <f>SUMIFS('Отчет РПЗ(ПЗ)_ПЗИП'!$W:$W,'Отчет РПЗ(ПЗ)_ПЗИП'!$D:$D,Справочно!$E24,'Отчет РПЗ(ПЗ)_ПЗИП'!$N:$N,"&gt;=01.12.2017",'Отчет РПЗ(ПЗ)_ПЗИП'!$N:$N,"&lt;=31.12.2017",'Отчет РПЗ(ПЗ)_ПЗИП'!$AG:$AG,"&gt;0")</f>
        <v>0</v>
      </c>
      <c r="BQ59" s="340">
        <f>SUMIFS('Отчет РПЗ(ПЗ)_ПЗИП'!$AG:$AG,'Отчет РПЗ(ПЗ)_ПЗИП'!$D:$D,Справочно!$E24,'Отчет РПЗ(ПЗ)_ПЗИП'!$AQ:$AQ,12)</f>
        <v>0</v>
      </c>
      <c r="BR59" s="380" t="str">
        <f t="shared" si="62"/>
        <v>НД</v>
      </c>
      <c r="BS59" s="261" t="str">
        <f t="shared" si="38"/>
        <v>НД</v>
      </c>
      <c r="BT59" s="430">
        <f t="shared" si="63"/>
        <v>0</v>
      </c>
      <c r="BU59" s="341">
        <f t="shared" si="64"/>
        <v>0</v>
      </c>
      <c r="BV59" s="341">
        <f t="shared" si="39"/>
        <v>0</v>
      </c>
      <c r="BW59" s="262">
        <f t="shared" si="40"/>
        <v>0</v>
      </c>
    </row>
    <row r="60" spans="2:75" ht="15" customHeight="1" thickBot="1" x14ac:dyDescent="0.25">
      <c r="B60" s="59" t="str">
        <f>Справочно!E25</f>
        <v>ОАО "РТ-Медицина"</v>
      </c>
      <c r="C60" s="96">
        <f>ПП!B48</f>
        <v>0</v>
      </c>
      <c r="D60" s="418" t="e">
        <f>ПП!C48</f>
        <v>#DIV/0!</v>
      </c>
      <c r="E60" s="443">
        <f>ПП!D48</f>
        <v>0</v>
      </c>
      <c r="F60" s="302">
        <f>COUNTIFS('Отчет РПЗ(ПЗ)_ПЗИП'!$AG:$AG,"&gt;0",'Отчет РПЗ(ПЗ)_ПЗИП'!$D:$D,Справочно!$E25)</f>
        <v>0</v>
      </c>
      <c r="G60" s="444" t="e">
        <f t="shared" si="41"/>
        <v>#DIV/0!</v>
      </c>
      <c r="H60" s="445">
        <f>SUMIF('Отчет РПЗ(ПЗ)_ПЗИП'!$D:$D,Справочно!$E25,'Отчет РПЗ(ПЗ)_ПЗИП'!$AG:$AG)</f>
        <v>0</v>
      </c>
      <c r="I60" s="472">
        <f t="shared" si="65"/>
        <v>0</v>
      </c>
      <c r="J60" s="526" t="e">
        <f t="shared" si="42"/>
        <v>#DIV/0!</v>
      </c>
      <c r="L60" s="436">
        <f>SUMIFS('Отчет РПЗ(ПЗ)_ПЗИП'!$W:$W,'Отчет РПЗ(ПЗ)_ПЗИП'!$D:$D,Справочно!$E25,'Отчет РПЗ(ПЗ)_ПЗИП'!$N:$N,"&gt;=01.01.2017",'Отчет РПЗ(ПЗ)_ПЗИП'!$N:$N,"&lt;=31.01.2017",'Отчет РПЗ(ПЗ)_ПЗИП'!$AG:$AG,"&gt;0")</f>
        <v>0</v>
      </c>
      <c r="M60" s="334">
        <f>SUMIFS('Отчет РПЗ(ПЗ)_ПЗИП'!$AG:$AG,'Отчет РПЗ(ПЗ)_ПЗИП'!$D:$D,Справочно!$E25,'Отчет РПЗ(ПЗ)_ПЗИП'!$AQ:$AQ,1)</f>
        <v>0</v>
      </c>
      <c r="N60" s="342" t="str">
        <f t="shared" si="43"/>
        <v>НД</v>
      </c>
      <c r="O60" s="250" t="str">
        <f t="shared" si="44"/>
        <v>НД</v>
      </c>
      <c r="P60" s="431">
        <f>SUMIFS('Отчет РПЗ(ПЗ)_ПЗИП'!$W:$W,'Отчет РПЗ(ПЗ)_ПЗИП'!$D:$D,Справочно!$E25,'Отчет РПЗ(ПЗ)_ПЗИП'!$N:$N,"&gt;=01.02.2017",'Отчет РПЗ(ПЗ)_ПЗИП'!$N:$N,"&lt;=28.02.2017",'Отчет РПЗ(ПЗ)_ПЗИП'!$AG:$AG,"&gt;0")</f>
        <v>0</v>
      </c>
      <c r="Q60" s="334">
        <f>SUMIFS('Отчет РПЗ(ПЗ)_ПЗИП'!$AG:$AG,'Отчет РПЗ(ПЗ)_ПЗИП'!$D:$D,Справочно!$E25,'Отчет РПЗ(ПЗ)_ПЗИП'!$AQ:$AQ,2)</f>
        <v>0</v>
      </c>
      <c r="R60" s="342" t="str">
        <f t="shared" si="45"/>
        <v>НД</v>
      </c>
      <c r="S60" s="250" t="str">
        <f t="shared" si="46"/>
        <v>НД</v>
      </c>
      <c r="T60" s="431">
        <f>SUMIFS('Отчет РПЗ(ПЗ)_ПЗИП'!$W:$W,'Отчет РПЗ(ПЗ)_ПЗИП'!$D:$D,Справочно!$E25,'Отчет РПЗ(ПЗ)_ПЗИП'!$N:$N,"&gt;=01.03.2017",'Отчет РПЗ(ПЗ)_ПЗИП'!$N:$N,"&lt;=31.03.2017",'Отчет РПЗ(ПЗ)_ПЗИП'!$AG:$AG,"&gt;0")</f>
        <v>0</v>
      </c>
      <c r="U60" s="334">
        <f>SUMIFS('Отчет РПЗ(ПЗ)_ПЗИП'!$AG:$AG,'Отчет РПЗ(ПЗ)_ПЗИП'!$D:$D,Справочно!$E25,'Отчет РПЗ(ПЗ)_ПЗИП'!$AQ:$AQ,3)</f>
        <v>0</v>
      </c>
      <c r="V60" s="342" t="str">
        <f t="shared" si="47"/>
        <v>НД</v>
      </c>
      <c r="W60" s="250" t="str">
        <f t="shared" si="23"/>
        <v>НД</v>
      </c>
      <c r="X60" s="430">
        <f t="shared" si="48"/>
        <v>0</v>
      </c>
      <c r="Y60" s="335">
        <f t="shared" si="49"/>
        <v>0</v>
      </c>
      <c r="Z60" s="335">
        <f t="shared" si="24"/>
        <v>0</v>
      </c>
      <c r="AA60" s="252">
        <f t="shared" si="25"/>
        <v>0</v>
      </c>
      <c r="AB60" s="436">
        <f>SUMIFS('Отчет РПЗ(ПЗ)_ПЗИП'!$W:$W,'Отчет РПЗ(ПЗ)_ПЗИП'!$D:$D,Справочно!$E25,'Отчет РПЗ(ПЗ)_ПЗИП'!$N:$N,"&gt;=01.04.2017",'Отчет РПЗ(ПЗ)_ПЗИП'!$N:$N,"&lt;=30.04.2017",'Отчет РПЗ(ПЗ)_ПЗИП'!$AG:$AG,"&gt;0")</f>
        <v>0</v>
      </c>
      <c r="AC60" s="336">
        <f>SUMIFS('Отчет РПЗ(ПЗ)_ПЗИП'!$AG:$AG,'Отчет РПЗ(ПЗ)_ПЗИП'!$D:$D,Справочно!$E25,'Отчет РПЗ(ПЗ)_ПЗИП'!$AQ:$AQ,4)</f>
        <v>0</v>
      </c>
      <c r="AD60" s="336" t="str">
        <f t="shared" si="50"/>
        <v>НД</v>
      </c>
      <c r="AE60" s="251" t="str">
        <f t="shared" si="26"/>
        <v>НД</v>
      </c>
      <c r="AF60" s="435">
        <f>SUMIFS('Отчет РПЗ(ПЗ)_ПЗИП'!$W:$W,'Отчет РПЗ(ПЗ)_ПЗИП'!$D:$D,Справочно!$E25,'Отчет РПЗ(ПЗ)_ПЗИП'!$N:$N,"&gt;=01.05.2017",'Отчет РПЗ(ПЗ)_ПЗИП'!$N:$N,"&lt;=31.05.2017",'Отчет РПЗ(ПЗ)_ПЗИП'!$AG:$AG,"&gt;0")</f>
        <v>0</v>
      </c>
      <c r="AG60" s="336">
        <f>SUMIFS('Отчет РПЗ(ПЗ)_ПЗИП'!$AG:$AG,'Отчет РПЗ(ПЗ)_ПЗИП'!$D:$D,Справочно!$E25,'Отчет РПЗ(ПЗ)_ПЗИП'!$AQ:$AQ,5)</f>
        <v>0</v>
      </c>
      <c r="AH60" s="336" t="str">
        <f t="shared" si="51"/>
        <v>НД</v>
      </c>
      <c r="AI60" s="251" t="str">
        <f t="shared" si="27"/>
        <v>НД</v>
      </c>
      <c r="AJ60" s="435">
        <f>SUMIFS('Отчет РПЗ(ПЗ)_ПЗИП'!$W:$W,'Отчет РПЗ(ПЗ)_ПЗИП'!$D:$D,Справочно!$E25,'Отчет РПЗ(ПЗ)_ПЗИП'!$N:$N,"&gt;=01.06.2017",'Отчет РПЗ(ПЗ)_ПЗИП'!$N:$N,"&lt;=30.06.2017",'Отчет РПЗ(ПЗ)_ПЗИП'!$AG:$AG,"&gt;0")</f>
        <v>0</v>
      </c>
      <c r="AK60" s="336">
        <f>SUMIFS('Отчет РПЗ(ПЗ)_ПЗИП'!$AG:$AG,'Отчет РПЗ(ПЗ)_ПЗИП'!$D:$D,Справочно!$E25,'Отчет РПЗ(ПЗ)_ПЗИП'!$AQ:$AQ,6)</f>
        <v>0</v>
      </c>
      <c r="AL60" s="336" t="str">
        <f t="shared" si="52"/>
        <v>НД</v>
      </c>
      <c r="AM60" s="251" t="str">
        <f t="shared" si="28"/>
        <v>НД</v>
      </c>
      <c r="AN60" s="430">
        <f t="shared" si="53"/>
        <v>0</v>
      </c>
      <c r="AO60" s="337">
        <f t="shared" si="54"/>
        <v>0</v>
      </c>
      <c r="AP60" s="337">
        <f t="shared" si="29"/>
        <v>0</v>
      </c>
      <c r="AQ60" s="253">
        <f t="shared" si="30"/>
        <v>0</v>
      </c>
      <c r="AR60" s="436">
        <f>SUMIFS('Отчет РПЗ(ПЗ)_ПЗИП'!$W:$W,'Отчет РПЗ(ПЗ)_ПЗИП'!$D:$D,Справочно!$E25,'Отчет РПЗ(ПЗ)_ПЗИП'!$N:$N,"&gt;=01.07.2017",'Отчет РПЗ(ПЗ)_ПЗИП'!$N:$N,"&lt;=31.07.2017",'Отчет РПЗ(ПЗ)_ПЗИП'!$AG:$AG,"&gt;0")</f>
        <v>0</v>
      </c>
      <c r="AS60" s="338">
        <f>SUMIFS('Отчет РПЗ(ПЗ)_ПЗИП'!$AG:$AG,'Отчет РПЗ(ПЗ)_ПЗИП'!$D:$D,Справочно!$E25,'Отчет РПЗ(ПЗ)_ПЗИП'!$AQ:$AQ,7)</f>
        <v>0</v>
      </c>
      <c r="AT60" s="378" t="str">
        <f t="shared" si="55"/>
        <v>НД</v>
      </c>
      <c r="AU60" s="255" t="str">
        <f t="shared" si="31"/>
        <v>НД</v>
      </c>
      <c r="AV60" s="431">
        <f>SUMIFS('Отчет РПЗ(ПЗ)_ПЗИП'!$W:$W,'Отчет РПЗ(ПЗ)_ПЗИП'!$D:$D,Справочно!$E25,'Отчет РПЗ(ПЗ)_ПЗИП'!$N:$N,"&gt;=01.08.2017",'Отчет РПЗ(ПЗ)_ПЗИП'!$N:$N,"&lt;=31.08.2017",'Отчет РПЗ(ПЗ)_ПЗИП'!$AG:$AG,"&gt;0")</f>
        <v>0</v>
      </c>
      <c r="AW60" s="338">
        <f>SUMIFS('Отчет РПЗ(ПЗ)_ПЗИП'!$AG:$AG,'Отчет РПЗ(ПЗ)_ПЗИП'!$D:$D,Справочно!$E25,'Отчет РПЗ(ПЗ)_ПЗИП'!$AQ:$AQ,8)</f>
        <v>0</v>
      </c>
      <c r="AX60" s="378" t="str">
        <f t="shared" si="56"/>
        <v>НД</v>
      </c>
      <c r="AY60" s="255" t="str">
        <f t="shared" si="32"/>
        <v>НД</v>
      </c>
      <c r="AZ60" s="431">
        <f>SUMIFS('Отчет РПЗ(ПЗ)_ПЗИП'!$W:$W,'Отчет РПЗ(ПЗ)_ПЗИП'!$D:$D,Справочно!$E25,'Отчет РПЗ(ПЗ)_ПЗИП'!$N:$N,"&gt;=01.09.2017",'Отчет РПЗ(ПЗ)_ПЗИП'!$N:$N,"&lt;=30.09.2017",'Отчет РПЗ(ПЗ)_ПЗИП'!$AG:$AG,"&gt;0")</f>
        <v>0</v>
      </c>
      <c r="BA60" s="338">
        <f>SUMIFS('Отчет РПЗ(ПЗ)_ПЗИП'!$AG:$AG,'Отчет РПЗ(ПЗ)_ПЗИП'!$D:$D,Справочно!$E25,'Отчет РПЗ(ПЗ)_ПЗИП'!$AQ:$AQ,9)</f>
        <v>0</v>
      </c>
      <c r="BB60" s="378" t="str">
        <f t="shared" si="57"/>
        <v>НД</v>
      </c>
      <c r="BC60" s="255" t="str">
        <f t="shared" si="33"/>
        <v>НД</v>
      </c>
      <c r="BD60" s="430">
        <f t="shared" si="58"/>
        <v>0</v>
      </c>
      <c r="BE60" s="339">
        <f t="shared" si="59"/>
        <v>0</v>
      </c>
      <c r="BF60" s="339">
        <f t="shared" si="34"/>
        <v>0</v>
      </c>
      <c r="BG60" s="257">
        <f t="shared" si="35"/>
        <v>0</v>
      </c>
      <c r="BH60" s="420">
        <f>SUMIFS('Отчет РПЗ(ПЗ)_ПЗИП'!$W:$W,'Отчет РПЗ(ПЗ)_ПЗИП'!$D:$D,Справочно!$E25,'Отчет РПЗ(ПЗ)_ПЗИП'!$N:$N,"&gt;=01.10.2017",'Отчет РПЗ(ПЗ)_ПЗИП'!$N:$N,"&lt;=31.10.2017",'Отчет РПЗ(ПЗ)_ПЗИП'!$AG:$AG,"&gt;0")</f>
        <v>0</v>
      </c>
      <c r="BI60" s="340">
        <f>SUMIFS('Отчет РПЗ(ПЗ)_ПЗИП'!$AG:$AG,'Отчет РПЗ(ПЗ)_ПЗИП'!$D:$D,Справочно!$E25,'Отчет РПЗ(ПЗ)_ПЗИП'!$AQ:$AQ,10)</f>
        <v>0</v>
      </c>
      <c r="BJ60" s="380" t="str">
        <f t="shared" si="60"/>
        <v>НД</v>
      </c>
      <c r="BK60" s="259" t="str">
        <f t="shared" si="36"/>
        <v>НД</v>
      </c>
      <c r="BL60" s="435">
        <f>SUMIFS('Отчет РПЗ(ПЗ)_ПЗИП'!$W:$W,'Отчет РПЗ(ПЗ)_ПЗИП'!$D:$D,Справочно!$E25,'Отчет РПЗ(ПЗ)_ПЗИП'!$N:$N,"&gt;=01.11.2017",'Отчет РПЗ(ПЗ)_ПЗИП'!$N:$N,"&lt;=30.11.2017",'Отчет РПЗ(ПЗ)_ПЗИП'!$AG:$AG,"&gt;0")</f>
        <v>0</v>
      </c>
      <c r="BM60" s="340">
        <f>SUMIFS('Отчет РПЗ(ПЗ)_ПЗИП'!$AG:$AG,'Отчет РПЗ(ПЗ)_ПЗИП'!$D:$D,Справочно!$E25,'Отчет РПЗ(ПЗ)_ПЗИП'!$AQ:$AQ,11)</f>
        <v>0</v>
      </c>
      <c r="BN60" s="380" t="str">
        <f t="shared" si="61"/>
        <v>НД</v>
      </c>
      <c r="BO60" s="259" t="str">
        <f t="shared" si="37"/>
        <v>НД</v>
      </c>
      <c r="BP60" s="435">
        <f>SUMIFS('Отчет РПЗ(ПЗ)_ПЗИП'!$W:$W,'Отчет РПЗ(ПЗ)_ПЗИП'!$D:$D,Справочно!$E25,'Отчет РПЗ(ПЗ)_ПЗИП'!$N:$N,"&gt;=01.12.2017",'Отчет РПЗ(ПЗ)_ПЗИП'!$N:$N,"&lt;=31.12.2017",'Отчет РПЗ(ПЗ)_ПЗИП'!$AG:$AG,"&gt;0")</f>
        <v>0</v>
      </c>
      <c r="BQ60" s="340">
        <f>SUMIFS('Отчет РПЗ(ПЗ)_ПЗИП'!$AG:$AG,'Отчет РПЗ(ПЗ)_ПЗИП'!$D:$D,Справочно!$E25,'Отчет РПЗ(ПЗ)_ПЗИП'!$AQ:$AQ,12)</f>
        <v>0</v>
      </c>
      <c r="BR60" s="380" t="str">
        <f t="shared" si="62"/>
        <v>НД</v>
      </c>
      <c r="BS60" s="261" t="str">
        <f t="shared" si="38"/>
        <v>НД</v>
      </c>
      <c r="BT60" s="430">
        <f t="shared" si="63"/>
        <v>0</v>
      </c>
      <c r="BU60" s="341">
        <f t="shared" si="64"/>
        <v>0</v>
      </c>
      <c r="BV60" s="341">
        <f t="shared" si="39"/>
        <v>0</v>
      </c>
      <c r="BW60" s="262">
        <f t="shared" si="40"/>
        <v>0</v>
      </c>
    </row>
    <row r="61" spans="2:75" ht="15" customHeight="1" thickBot="1" x14ac:dyDescent="0.25">
      <c r="B61" s="59" t="str">
        <f>Справочно!E26</f>
        <v>АО "Концерн "Автоматика"</v>
      </c>
      <c r="C61" s="96">
        <f>ПП!B49</f>
        <v>0</v>
      </c>
      <c r="D61" s="418" t="e">
        <f>ПП!C49</f>
        <v>#DIV/0!</v>
      </c>
      <c r="E61" s="443">
        <f>ПП!D49</f>
        <v>0</v>
      </c>
      <c r="F61" s="302">
        <f>COUNTIFS('Отчет РПЗ(ПЗ)_ПЗИП'!$AG:$AG,"&gt;0",'Отчет РПЗ(ПЗ)_ПЗИП'!$D:$D,Справочно!$E26)</f>
        <v>0</v>
      </c>
      <c r="G61" s="444" t="e">
        <f t="shared" si="41"/>
        <v>#DIV/0!</v>
      </c>
      <c r="H61" s="445">
        <f>SUMIF('Отчет РПЗ(ПЗ)_ПЗИП'!$D:$D,Справочно!$E26,'Отчет РПЗ(ПЗ)_ПЗИП'!$AG:$AG)</f>
        <v>0</v>
      </c>
      <c r="I61" s="472">
        <f t="shared" si="65"/>
        <v>0</v>
      </c>
      <c r="J61" s="526" t="e">
        <f t="shared" si="42"/>
        <v>#DIV/0!</v>
      </c>
      <c r="L61" s="436">
        <f>SUMIFS('Отчет РПЗ(ПЗ)_ПЗИП'!$W:$W,'Отчет РПЗ(ПЗ)_ПЗИП'!$D:$D,Справочно!$E26,'Отчет РПЗ(ПЗ)_ПЗИП'!$N:$N,"&gt;=01.01.2017",'Отчет РПЗ(ПЗ)_ПЗИП'!$N:$N,"&lt;=31.01.2017",'Отчет РПЗ(ПЗ)_ПЗИП'!$AG:$AG,"&gt;0")</f>
        <v>0</v>
      </c>
      <c r="M61" s="334">
        <f>SUMIFS('Отчет РПЗ(ПЗ)_ПЗИП'!$AG:$AG,'Отчет РПЗ(ПЗ)_ПЗИП'!$D:$D,Справочно!$E26,'Отчет РПЗ(ПЗ)_ПЗИП'!$AQ:$AQ,1)</f>
        <v>0</v>
      </c>
      <c r="N61" s="342" t="str">
        <f t="shared" si="43"/>
        <v>НД</v>
      </c>
      <c r="O61" s="250" t="str">
        <f t="shared" si="44"/>
        <v>НД</v>
      </c>
      <c r="P61" s="431">
        <f>SUMIFS('Отчет РПЗ(ПЗ)_ПЗИП'!$W:$W,'Отчет РПЗ(ПЗ)_ПЗИП'!$D:$D,Справочно!$E26,'Отчет РПЗ(ПЗ)_ПЗИП'!$N:$N,"&gt;=01.02.2017",'Отчет РПЗ(ПЗ)_ПЗИП'!$N:$N,"&lt;=28.02.2017",'Отчет РПЗ(ПЗ)_ПЗИП'!$AG:$AG,"&gt;0")</f>
        <v>0</v>
      </c>
      <c r="Q61" s="334">
        <f>SUMIFS('Отчет РПЗ(ПЗ)_ПЗИП'!$AG:$AG,'Отчет РПЗ(ПЗ)_ПЗИП'!$D:$D,Справочно!$E26,'Отчет РПЗ(ПЗ)_ПЗИП'!$AQ:$AQ,2)</f>
        <v>0</v>
      </c>
      <c r="R61" s="342" t="str">
        <f t="shared" si="45"/>
        <v>НД</v>
      </c>
      <c r="S61" s="250" t="str">
        <f t="shared" si="46"/>
        <v>НД</v>
      </c>
      <c r="T61" s="431">
        <f>SUMIFS('Отчет РПЗ(ПЗ)_ПЗИП'!$W:$W,'Отчет РПЗ(ПЗ)_ПЗИП'!$D:$D,Справочно!$E26,'Отчет РПЗ(ПЗ)_ПЗИП'!$N:$N,"&gt;=01.03.2017",'Отчет РПЗ(ПЗ)_ПЗИП'!$N:$N,"&lt;=31.03.2017",'Отчет РПЗ(ПЗ)_ПЗИП'!$AG:$AG,"&gt;0")</f>
        <v>0</v>
      </c>
      <c r="U61" s="334">
        <f>SUMIFS('Отчет РПЗ(ПЗ)_ПЗИП'!$AG:$AG,'Отчет РПЗ(ПЗ)_ПЗИП'!$D:$D,Справочно!$E26,'Отчет РПЗ(ПЗ)_ПЗИП'!$AQ:$AQ,3)</f>
        <v>0</v>
      </c>
      <c r="V61" s="342" t="str">
        <f t="shared" si="47"/>
        <v>НД</v>
      </c>
      <c r="W61" s="250" t="str">
        <f t="shared" si="23"/>
        <v>НД</v>
      </c>
      <c r="X61" s="430">
        <f t="shared" si="48"/>
        <v>0</v>
      </c>
      <c r="Y61" s="335">
        <f t="shared" si="49"/>
        <v>0</v>
      </c>
      <c r="Z61" s="335">
        <f t="shared" si="24"/>
        <v>0</v>
      </c>
      <c r="AA61" s="252">
        <f t="shared" si="25"/>
        <v>0</v>
      </c>
      <c r="AB61" s="436">
        <f>SUMIFS('Отчет РПЗ(ПЗ)_ПЗИП'!$W:$W,'Отчет РПЗ(ПЗ)_ПЗИП'!$D:$D,Справочно!$E26,'Отчет РПЗ(ПЗ)_ПЗИП'!$N:$N,"&gt;=01.04.2017",'Отчет РПЗ(ПЗ)_ПЗИП'!$N:$N,"&lt;=30.04.2017",'Отчет РПЗ(ПЗ)_ПЗИП'!$AG:$AG,"&gt;0")</f>
        <v>0</v>
      </c>
      <c r="AC61" s="336">
        <f>SUMIFS('Отчет РПЗ(ПЗ)_ПЗИП'!$AG:$AG,'Отчет РПЗ(ПЗ)_ПЗИП'!$D:$D,Справочно!$E26,'Отчет РПЗ(ПЗ)_ПЗИП'!$AQ:$AQ,4)</f>
        <v>0</v>
      </c>
      <c r="AD61" s="336" t="str">
        <f t="shared" si="50"/>
        <v>НД</v>
      </c>
      <c r="AE61" s="251" t="str">
        <f t="shared" si="26"/>
        <v>НД</v>
      </c>
      <c r="AF61" s="435">
        <f>SUMIFS('Отчет РПЗ(ПЗ)_ПЗИП'!$W:$W,'Отчет РПЗ(ПЗ)_ПЗИП'!$D:$D,Справочно!$E26,'Отчет РПЗ(ПЗ)_ПЗИП'!$N:$N,"&gt;=01.05.2017",'Отчет РПЗ(ПЗ)_ПЗИП'!$N:$N,"&lt;=31.05.2017",'Отчет РПЗ(ПЗ)_ПЗИП'!$AG:$AG,"&gt;0")</f>
        <v>0</v>
      </c>
      <c r="AG61" s="336">
        <f>SUMIFS('Отчет РПЗ(ПЗ)_ПЗИП'!$AG:$AG,'Отчет РПЗ(ПЗ)_ПЗИП'!$D:$D,Справочно!$E26,'Отчет РПЗ(ПЗ)_ПЗИП'!$AQ:$AQ,5)</f>
        <v>0</v>
      </c>
      <c r="AH61" s="336" t="str">
        <f t="shared" si="51"/>
        <v>НД</v>
      </c>
      <c r="AI61" s="251" t="str">
        <f t="shared" si="27"/>
        <v>НД</v>
      </c>
      <c r="AJ61" s="435">
        <f>SUMIFS('Отчет РПЗ(ПЗ)_ПЗИП'!$W:$W,'Отчет РПЗ(ПЗ)_ПЗИП'!$D:$D,Справочно!$E26,'Отчет РПЗ(ПЗ)_ПЗИП'!$N:$N,"&gt;=01.06.2017",'Отчет РПЗ(ПЗ)_ПЗИП'!$N:$N,"&lt;=30.06.2017",'Отчет РПЗ(ПЗ)_ПЗИП'!$AG:$AG,"&gt;0")</f>
        <v>0</v>
      </c>
      <c r="AK61" s="336">
        <f>SUMIFS('Отчет РПЗ(ПЗ)_ПЗИП'!$AG:$AG,'Отчет РПЗ(ПЗ)_ПЗИП'!$D:$D,Справочно!$E26,'Отчет РПЗ(ПЗ)_ПЗИП'!$AQ:$AQ,6)</f>
        <v>0</v>
      </c>
      <c r="AL61" s="336" t="str">
        <f t="shared" si="52"/>
        <v>НД</v>
      </c>
      <c r="AM61" s="251" t="str">
        <f t="shared" si="28"/>
        <v>НД</v>
      </c>
      <c r="AN61" s="430">
        <f t="shared" si="53"/>
        <v>0</v>
      </c>
      <c r="AO61" s="337">
        <f t="shared" si="54"/>
        <v>0</v>
      </c>
      <c r="AP61" s="337">
        <f t="shared" si="29"/>
        <v>0</v>
      </c>
      <c r="AQ61" s="253">
        <f t="shared" si="30"/>
        <v>0</v>
      </c>
      <c r="AR61" s="436">
        <f>SUMIFS('Отчет РПЗ(ПЗ)_ПЗИП'!$W:$W,'Отчет РПЗ(ПЗ)_ПЗИП'!$D:$D,Справочно!$E26,'Отчет РПЗ(ПЗ)_ПЗИП'!$N:$N,"&gt;=01.07.2017",'Отчет РПЗ(ПЗ)_ПЗИП'!$N:$N,"&lt;=31.07.2017",'Отчет РПЗ(ПЗ)_ПЗИП'!$AG:$AG,"&gt;0")</f>
        <v>0</v>
      </c>
      <c r="AS61" s="338">
        <f>SUMIFS('Отчет РПЗ(ПЗ)_ПЗИП'!$AG:$AG,'Отчет РПЗ(ПЗ)_ПЗИП'!$D:$D,Справочно!$E26,'Отчет РПЗ(ПЗ)_ПЗИП'!$AQ:$AQ,7)</f>
        <v>0</v>
      </c>
      <c r="AT61" s="378" t="str">
        <f t="shared" si="55"/>
        <v>НД</v>
      </c>
      <c r="AU61" s="255" t="str">
        <f t="shared" si="31"/>
        <v>НД</v>
      </c>
      <c r="AV61" s="431">
        <f>SUMIFS('Отчет РПЗ(ПЗ)_ПЗИП'!$W:$W,'Отчет РПЗ(ПЗ)_ПЗИП'!$D:$D,Справочно!$E26,'Отчет РПЗ(ПЗ)_ПЗИП'!$N:$N,"&gt;=01.08.2017",'Отчет РПЗ(ПЗ)_ПЗИП'!$N:$N,"&lt;=31.08.2017",'Отчет РПЗ(ПЗ)_ПЗИП'!$AG:$AG,"&gt;0")</f>
        <v>0</v>
      </c>
      <c r="AW61" s="338">
        <f>SUMIFS('Отчет РПЗ(ПЗ)_ПЗИП'!$AG:$AG,'Отчет РПЗ(ПЗ)_ПЗИП'!$D:$D,Справочно!$E26,'Отчет РПЗ(ПЗ)_ПЗИП'!$AQ:$AQ,8)</f>
        <v>0</v>
      </c>
      <c r="AX61" s="378" t="str">
        <f t="shared" si="56"/>
        <v>НД</v>
      </c>
      <c r="AY61" s="255" t="str">
        <f t="shared" si="32"/>
        <v>НД</v>
      </c>
      <c r="AZ61" s="431">
        <f>SUMIFS('Отчет РПЗ(ПЗ)_ПЗИП'!$W:$W,'Отчет РПЗ(ПЗ)_ПЗИП'!$D:$D,Справочно!$E26,'Отчет РПЗ(ПЗ)_ПЗИП'!$N:$N,"&gt;=01.09.2017",'Отчет РПЗ(ПЗ)_ПЗИП'!$N:$N,"&lt;=30.09.2017",'Отчет РПЗ(ПЗ)_ПЗИП'!$AG:$AG,"&gt;0")</f>
        <v>0</v>
      </c>
      <c r="BA61" s="338">
        <f>SUMIFS('Отчет РПЗ(ПЗ)_ПЗИП'!$AG:$AG,'Отчет РПЗ(ПЗ)_ПЗИП'!$D:$D,Справочно!$E26,'Отчет РПЗ(ПЗ)_ПЗИП'!$AQ:$AQ,9)</f>
        <v>0</v>
      </c>
      <c r="BB61" s="378" t="str">
        <f t="shared" si="57"/>
        <v>НД</v>
      </c>
      <c r="BC61" s="255" t="str">
        <f t="shared" si="33"/>
        <v>НД</v>
      </c>
      <c r="BD61" s="430">
        <f t="shared" si="58"/>
        <v>0</v>
      </c>
      <c r="BE61" s="339">
        <f t="shared" si="59"/>
        <v>0</v>
      </c>
      <c r="BF61" s="339">
        <f t="shared" si="34"/>
        <v>0</v>
      </c>
      <c r="BG61" s="257">
        <f t="shared" si="35"/>
        <v>0</v>
      </c>
      <c r="BH61" s="420">
        <f>SUMIFS('Отчет РПЗ(ПЗ)_ПЗИП'!$W:$W,'Отчет РПЗ(ПЗ)_ПЗИП'!$D:$D,Справочно!$E26,'Отчет РПЗ(ПЗ)_ПЗИП'!$N:$N,"&gt;=01.10.2017",'Отчет РПЗ(ПЗ)_ПЗИП'!$N:$N,"&lt;=31.10.2017",'Отчет РПЗ(ПЗ)_ПЗИП'!$AG:$AG,"&gt;0")</f>
        <v>0</v>
      </c>
      <c r="BI61" s="340">
        <f>SUMIFS('Отчет РПЗ(ПЗ)_ПЗИП'!$AG:$AG,'Отчет РПЗ(ПЗ)_ПЗИП'!$D:$D,Справочно!$E26,'Отчет РПЗ(ПЗ)_ПЗИП'!$AQ:$AQ,10)</f>
        <v>0</v>
      </c>
      <c r="BJ61" s="380" t="str">
        <f t="shared" si="60"/>
        <v>НД</v>
      </c>
      <c r="BK61" s="259" t="str">
        <f t="shared" si="36"/>
        <v>НД</v>
      </c>
      <c r="BL61" s="435">
        <f>SUMIFS('Отчет РПЗ(ПЗ)_ПЗИП'!$W:$W,'Отчет РПЗ(ПЗ)_ПЗИП'!$D:$D,Справочно!$E26,'Отчет РПЗ(ПЗ)_ПЗИП'!$N:$N,"&gt;=01.11.2017",'Отчет РПЗ(ПЗ)_ПЗИП'!$N:$N,"&lt;=30.11.2017",'Отчет РПЗ(ПЗ)_ПЗИП'!$AG:$AG,"&gt;0")</f>
        <v>0</v>
      </c>
      <c r="BM61" s="340">
        <f>SUMIFS('Отчет РПЗ(ПЗ)_ПЗИП'!$AG:$AG,'Отчет РПЗ(ПЗ)_ПЗИП'!$D:$D,Справочно!$E26,'Отчет РПЗ(ПЗ)_ПЗИП'!$AQ:$AQ,11)</f>
        <v>0</v>
      </c>
      <c r="BN61" s="380" t="str">
        <f t="shared" si="61"/>
        <v>НД</v>
      </c>
      <c r="BO61" s="259" t="str">
        <f t="shared" si="37"/>
        <v>НД</v>
      </c>
      <c r="BP61" s="435">
        <f>SUMIFS('Отчет РПЗ(ПЗ)_ПЗИП'!$W:$W,'Отчет РПЗ(ПЗ)_ПЗИП'!$D:$D,Справочно!$E26,'Отчет РПЗ(ПЗ)_ПЗИП'!$N:$N,"&gt;=01.12.2017",'Отчет РПЗ(ПЗ)_ПЗИП'!$N:$N,"&lt;=31.12.2017",'Отчет РПЗ(ПЗ)_ПЗИП'!$AG:$AG,"&gt;0")</f>
        <v>0</v>
      </c>
      <c r="BQ61" s="340">
        <f>SUMIFS('Отчет РПЗ(ПЗ)_ПЗИП'!$AG:$AG,'Отчет РПЗ(ПЗ)_ПЗИП'!$D:$D,Справочно!$E26,'Отчет РПЗ(ПЗ)_ПЗИП'!$AQ:$AQ,12)</f>
        <v>0</v>
      </c>
      <c r="BR61" s="380" t="str">
        <f t="shared" si="62"/>
        <v>НД</v>
      </c>
      <c r="BS61" s="261" t="str">
        <f t="shared" si="38"/>
        <v>НД</v>
      </c>
      <c r="BT61" s="430">
        <f t="shared" si="63"/>
        <v>0</v>
      </c>
      <c r="BU61" s="341">
        <f t="shared" si="64"/>
        <v>0</v>
      </c>
      <c r="BV61" s="341">
        <f t="shared" si="39"/>
        <v>0</v>
      </c>
      <c r="BW61" s="262">
        <f t="shared" si="40"/>
        <v>0</v>
      </c>
    </row>
    <row r="62" spans="2:75" ht="15" customHeight="1" thickBot="1" x14ac:dyDescent="0.25">
      <c r="B62" s="59" t="str">
        <f>Справочно!E27</f>
        <v>АО "Станкопром"</v>
      </c>
      <c r="C62" s="96">
        <f>ПП!B50</f>
        <v>0</v>
      </c>
      <c r="D62" s="418" t="e">
        <f>ПП!C50</f>
        <v>#DIV/0!</v>
      </c>
      <c r="E62" s="443">
        <f>ПП!D50</f>
        <v>0</v>
      </c>
      <c r="F62" s="302">
        <f>COUNTIFS('Отчет РПЗ(ПЗ)_ПЗИП'!$AG:$AG,"&gt;0",'Отчет РПЗ(ПЗ)_ПЗИП'!$D:$D,Справочно!$E27)</f>
        <v>0</v>
      </c>
      <c r="G62" s="444" t="e">
        <f t="shared" si="41"/>
        <v>#DIV/0!</v>
      </c>
      <c r="H62" s="445">
        <f>SUMIF('Отчет РПЗ(ПЗ)_ПЗИП'!$D:$D,Справочно!$E27,'Отчет РПЗ(ПЗ)_ПЗИП'!$AG:$AG)</f>
        <v>0</v>
      </c>
      <c r="I62" s="472">
        <f t="shared" si="65"/>
        <v>0</v>
      </c>
      <c r="J62" s="526" t="e">
        <f t="shared" si="42"/>
        <v>#DIV/0!</v>
      </c>
      <c r="L62" s="436">
        <f>SUMIFS('Отчет РПЗ(ПЗ)_ПЗИП'!$W:$W,'Отчет РПЗ(ПЗ)_ПЗИП'!$D:$D,Справочно!$E27,'Отчет РПЗ(ПЗ)_ПЗИП'!$N:$N,"&gt;=01.01.2017",'Отчет РПЗ(ПЗ)_ПЗИП'!$N:$N,"&lt;=31.01.2017",'Отчет РПЗ(ПЗ)_ПЗИП'!$AG:$AG,"&gt;0")</f>
        <v>0</v>
      </c>
      <c r="M62" s="334">
        <f>SUMIFS('Отчет РПЗ(ПЗ)_ПЗИП'!$AG:$AG,'Отчет РПЗ(ПЗ)_ПЗИП'!$D:$D,Справочно!$E27,'Отчет РПЗ(ПЗ)_ПЗИП'!$AQ:$AQ,1)</f>
        <v>0</v>
      </c>
      <c r="N62" s="342" t="str">
        <f t="shared" si="43"/>
        <v>НД</v>
      </c>
      <c r="O62" s="250" t="str">
        <f t="shared" si="44"/>
        <v>НД</v>
      </c>
      <c r="P62" s="431">
        <f>SUMIFS('Отчет РПЗ(ПЗ)_ПЗИП'!$W:$W,'Отчет РПЗ(ПЗ)_ПЗИП'!$D:$D,Справочно!$E27,'Отчет РПЗ(ПЗ)_ПЗИП'!$N:$N,"&gt;=01.02.2017",'Отчет РПЗ(ПЗ)_ПЗИП'!$N:$N,"&lt;=28.02.2017",'Отчет РПЗ(ПЗ)_ПЗИП'!$AG:$AG,"&gt;0")</f>
        <v>0</v>
      </c>
      <c r="Q62" s="334">
        <f>SUMIFS('Отчет РПЗ(ПЗ)_ПЗИП'!$AG:$AG,'Отчет РПЗ(ПЗ)_ПЗИП'!$D:$D,Справочно!$E27,'Отчет РПЗ(ПЗ)_ПЗИП'!$AQ:$AQ,2)</f>
        <v>0</v>
      </c>
      <c r="R62" s="342" t="str">
        <f t="shared" si="45"/>
        <v>НД</v>
      </c>
      <c r="S62" s="250" t="str">
        <f t="shared" si="46"/>
        <v>НД</v>
      </c>
      <c r="T62" s="431">
        <f>SUMIFS('Отчет РПЗ(ПЗ)_ПЗИП'!$W:$W,'Отчет РПЗ(ПЗ)_ПЗИП'!$D:$D,Справочно!$E27,'Отчет РПЗ(ПЗ)_ПЗИП'!$N:$N,"&gt;=01.03.2017",'Отчет РПЗ(ПЗ)_ПЗИП'!$N:$N,"&lt;=31.03.2017",'Отчет РПЗ(ПЗ)_ПЗИП'!$AG:$AG,"&gt;0")</f>
        <v>0</v>
      </c>
      <c r="U62" s="334">
        <f>SUMIFS('Отчет РПЗ(ПЗ)_ПЗИП'!$AG:$AG,'Отчет РПЗ(ПЗ)_ПЗИП'!$D:$D,Справочно!$E27,'Отчет РПЗ(ПЗ)_ПЗИП'!$AQ:$AQ,3)</f>
        <v>0</v>
      </c>
      <c r="V62" s="342" t="str">
        <f t="shared" si="47"/>
        <v>НД</v>
      </c>
      <c r="W62" s="250" t="str">
        <f t="shared" si="23"/>
        <v>НД</v>
      </c>
      <c r="X62" s="430">
        <f t="shared" si="48"/>
        <v>0</v>
      </c>
      <c r="Y62" s="335">
        <f t="shared" si="49"/>
        <v>0</v>
      </c>
      <c r="Z62" s="335">
        <f t="shared" si="24"/>
        <v>0</v>
      </c>
      <c r="AA62" s="252">
        <f t="shared" si="25"/>
        <v>0</v>
      </c>
      <c r="AB62" s="436">
        <f>SUMIFS('Отчет РПЗ(ПЗ)_ПЗИП'!$W:$W,'Отчет РПЗ(ПЗ)_ПЗИП'!$D:$D,Справочно!$E27,'Отчет РПЗ(ПЗ)_ПЗИП'!$N:$N,"&gt;=01.04.2017",'Отчет РПЗ(ПЗ)_ПЗИП'!$N:$N,"&lt;=30.04.2017",'Отчет РПЗ(ПЗ)_ПЗИП'!$AG:$AG,"&gt;0")</f>
        <v>0</v>
      </c>
      <c r="AC62" s="336">
        <f>SUMIFS('Отчет РПЗ(ПЗ)_ПЗИП'!$AG:$AG,'Отчет РПЗ(ПЗ)_ПЗИП'!$D:$D,Справочно!$E27,'Отчет РПЗ(ПЗ)_ПЗИП'!$AQ:$AQ,4)</f>
        <v>0</v>
      </c>
      <c r="AD62" s="336" t="str">
        <f t="shared" si="50"/>
        <v>НД</v>
      </c>
      <c r="AE62" s="251" t="str">
        <f t="shared" si="26"/>
        <v>НД</v>
      </c>
      <c r="AF62" s="435">
        <f>SUMIFS('Отчет РПЗ(ПЗ)_ПЗИП'!$W:$W,'Отчет РПЗ(ПЗ)_ПЗИП'!$D:$D,Справочно!$E27,'Отчет РПЗ(ПЗ)_ПЗИП'!$N:$N,"&gt;=01.05.2017",'Отчет РПЗ(ПЗ)_ПЗИП'!$N:$N,"&lt;=31.05.2017",'Отчет РПЗ(ПЗ)_ПЗИП'!$AG:$AG,"&gt;0")</f>
        <v>0</v>
      </c>
      <c r="AG62" s="336">
        <f>SUMIFS('Отчет РПЗ(ПЗ)_ПЗИП'!$AG:$AG,'Отчет РПЗ(ПЗ)_ПЗИП'!$D:$D,Справочно!$E27,'Отчет РПЗ(ПЗ)_ПЗИП'!$AQ:$AQ,5)</f>
        <v>0</v>
      </c>
      <c r="AH62" s="336" t="str">
        <f t="shared" si="51"/>
        <v>НД</v>
      </c>
      <c r="AI62" s="251" t="str">
        <f t="shared" si="27"/>
        <v>НД</v>
      </c>
      <c r="AJ62" s="435">
        <f>SUMIFS('Отчет РПЗ(ПЗ)_ПЗИП'!$W:$W,'Отчет РПЗ(ПЗ)_ПЗИП'!$D:$D,Справочно!$E27,'Отчет РПЗ(ПЗ)_ПЗИП'!$N:$N,"&gt;=01.06.2017",'Отчет РПЗ(ПЗ)_ПЗИП'!$N:$N,"&lt;=30.06.2017",'Отчет РПЗ(ПЗ)_ПЗИП'!$AG:$AG,"&gt;0")</f>
        <v>0</v>
      </c>
      <c r="AK62" s="336">
        <f>SUMIFS('Отчет РПЗ(ПЗ)_ПЗИП'!$AG:$AG,'Отчет РПЗ(ПЗ)_ПЗИП'!$D:$D,Справочно!$E27,'Отчет РПЗ(ПЗ)_ПЗИП'!$AQ:$AQ,6)</f>
        <v>0</v>
      </c>
      <c r="AL62" s="336" t="str">
        <f t="shared" si="52"/>
        <v>НД</v>
      </c>
      <c r="AM62" s="251" t="str">
        <f t="shared" si="28"/>
        <v>НД</v>
      </c>
      <c r="AN62" s="430">
        <f t="shared" si="53"/>
        <v>0</v>
      </c>
      <c r="AO62" s="337">
        <f t="shared" si="54"/>
        <v>0</v>
      </c>
      <c r="AP62" s="337">
        <f t="shared" si="29"/>
        <v>0</v>
      </c>
      <c r="AQ62" s="253">
        <f t="shared" si="30"/>
        <v>0</v>
      </c>
      <c r="AR62" s="436">
        <f>SUMIFS('Отчет РПЗ(ПЗ)_ПЗИП'!$W:$W,'Отчет РПЗ(ПЗ)_ПЗИП'!$D:$D,Справочно!$E27,'Отчет РПЗ(ПЗ)_ПЗИП'!$N:$N,"&gt;=01.07.2017",'Отчет РПЗ(ПЗ)_ПЗИП'!$N:$N,"&lt;=31.07.2017",'Отчет РПЗ(ПЗ)_ПЗИП'!$AG:$AG,"&gt;0")</f>
        <v>0</v>
      </c>
      <c r="AS62" s="338">
        <f>SUMIFS('Отчет РПЗ(ПЗ)_ПЗИП'!$AG:$AG,'Отчет РПЗ(ПЗ)_ПЗИП'!$D:$D,Справочно!$E27,'Отчет РПЗ(ПЗ)_ПЗИП'!$AQ:$AQ,7)</f>
        <v>0</v>
      </c>
      <c r="AT62" s="378" t="str">
        <f t="shared" si="55"/>
        <v>НД</v>
      </c>
      <c r="AU62" s="255" t="str">
        <f t="shared" si="31"/>
        <v>НД</v>
      </c>
      <c r="AV62" s="431">
        <f>SUMIFS('Отчет РПЗ(ПЗ)_ПЗИП'!$W:$W,'Отчет РПЗ(ПЗ)_ПЗИП'!$D:$D,Справочно!$E27,'Отчет РПЗ(ПЗ)_ПЗИП'!$N:$N,"&gt;=01.08.2017",'Отчет РПЗ(ПЗ)_ПЗИП'!$N:$N,"&lt;=31.08.2017",'Отчет РПЗ(ПЗ)_ПЗИП'!$AG:$AG,"&gt;0")</f>
        <v>0</v>
      </c>
      <c r="AW62" s="338">
        <f>SUMIFS('Отчет РПЗ(ПЗ)_ПЗИП'!$AG:$AG,'Отчет РПЗ(ПЗ)_ПЗИП'!$D:$D,Справочно!$E27,'Отчет РПЗ(ПЗ)_ПЗИП'!$AQ:$AQ,8)</f>
        <v>0</v>
      </c>
      <c r="AX62" s="378" t="str">
        <f t="shared" si="56"/>
        <v>НД</v>
      </c>
      <c r="AY62" s="255" t="str">
        <f t="shared" si="32"/>
        <v>НД</v>
      </c>
      <c r="AZ62" s="431">
        <f>SUMIFS('Отчет РПЗ(ПЗ)_ПЗИП'!$W:$W,'Отчет РПЗ(ПЗ)_ПЗИП'!$D:$D,Справочно!$E27,'Отчет РПЗ(ПЗ)_ПЗИП'!$N:$N,"&gt;=01.09.2017",'Отчет РПЗ(ПЗ)_ПЗИП'!$N:$N,"&lt;=30.09.2017",'Отчет РПЗ(ПЗ)_ПЗИП'!$AG:$AG,"&gt;0")</f>
        <v>0</v>
      </c>
      <c r="BA62" s="338">
        <f>SUMIFS('Отчет РПЗ(ПЗ)_ПЗИП'!$AG:$AG,'Отчет РПЗ(ПЗ)_ПЗИП'!$D:$D,Справочно!$E27,'Отчет РПЗ(ПЗ)_ПЗИП'!$AQ:$AQ,9)</f>
        <v>0</v>
      </c>
      <c r="BB62" s="378" t="str">
        <f t="shared" si="57"/>
        <v>НД</v>
      </c>
      <c r="BC62" s="255" t="str">
        <f t="shared" si="33"/>
        <v>НД</v>
      </c>
      <c r="BD62" s="430">
        <f t="shared" si="58"/>
        <v>0</v>
      </c>
      <c r="BE62" s="339">
        <f t="shared" si="59"/>
        <v>0</v>
      </c>
      <c r="BF62" s="339">
        <f t="shared" si="34"/>
        <v>0</v>
      </c>
      <c r="BG62" s="257">
        <f t="shared" si="35"/>
        <v>0</v>
      </c>
      <c r="BH62" s="420">
        <f>SUMIFS('Отчет РПЗ(ПЗ)_ПЗИП'!$W:$W,'Отчет РПЗ(ПЗ)_ПЗИП'!$D:$D,Справочно!$E27,'Отчет РПЗ(ПЗ)_ПЗИП'!$N:$N,"&gt;=01.10.2017",'Отчет РПЗ(ПЗ)_ПЗИП'!$N:$N,"&lt;=31.10.2017",'Отчет РПЗ(ПЗ)_ПЗИП'!$AG:$AG,"&gt;0")</f>
        <v>0</v>
      </c>
      <c r="BI62" s="340">
        <f>SUMIFS('Отчет РПЗ(ПЗ)_ПЗИП'!$AG:$AG,'Отчет РПЗ(ПЗ)_ПЗИП'!$D:$D,Справочно!$E27,'Отчет РПЗ(ПЗ)_ПЗИП'!$AQ:$AQ,10)</f>
        <v>0</v>
      </c>
      <c r="BJ62" s="380" t="str">
        <f t="shared" si="60"/>
        <v>НД</v>
      </c>
      <c r="BK62" s="259" t="str">
        <f t="shared" si="36"/>
        <v>НД</v>
      </c>
      <c r="BL62" s="435">
        <f>SUMIFS('Отчет РПЗ(ПЗ)_ПЗИП'!$W:$W,'Отчет РПЗ(ПЗ)_ПЗИП'!$D:$D,Справочно!$E27,'Отчет РПЗ(ПЗ)_ПЗИП'!$N:$N,"&gt;=01.11.2017",'Отчет РПЗ(ПЗ)_ПЗИП'!$N:$N,"&lt;=30.11.2017",'Отчет РПЗ(ПЗ)_ПЗИП'!$AG:$AG,"&gt;0")</f>
        <v>0</v>
      </c>
      <c r="BM62" s="340">
        <f>SUMIFS('Отчет РПЗ(ПЗ)_ПЗИП'!$AG:$AG,'Отчет РПЗ(ПЗ)_ПЗИП'!$D:$D,Справочно!$E27,'Отчет РПЗ(ПЗ)_ПЗИП'!$AQ:$AQ,11)</f>
        <v>0</v>
      </c>
      <c r="BN62" s="380" t="str">
        <f t="shared" si="61"/>
        <v>НД</v>
      </c>
      <c r="BO62" s="259" t="str">
        <f t="shared" si="37"/>
        <v>НД</v>
      </c>
      <c r="BP62" s="435">
        <f>SUMIFS('Отчет РПЗ(ПЗ)_ПЗИП'!$W:$W,'Отчет РПЗ(ПЗ)_ПЗИП'!$D:$D,Справочно!$E27,'Отчет РПЗ(ПЗ)_ПЗИП'!$N:$N,"&gt;=01.12.2017",'Отчет РПЗ(ПЗ)_ПЗИП'!$N:$N,"&lt;=31.12.2017",'Отчет РПЗ(ПЗ)_ПЗИП'!$AG:$AG,"&gt;0")</f>
        <v>0</v>
      </c>
      <c r="BQ62" s="340">
        <f>SUMIFS('Отчет РПЗ(ПЗ)_ПЗИП'!$AG:$AG,'Отчет РПЗ(ПЗ)_ПЗИП'!$D:$D,Справочно!$E27,'Отчет РПЗ(ПЗ)_ПЗИП'!$AQ:$AQ,12)</f>
        <v>0</v>
      </c>
      <c r="BR62" s="380" t="str">
        <f t="shared" si="62"/>
        <v>НД</v>
      </c>
      <c r="BS62" s="261" t="str">
        <f t="shared" si="38"/>
        <v>НД</v>
      </c>
      <c r="BT62" s="430">
        <f t="shared" si="63"/>
        <v>0</v>
      </c>
      <c r="BU62" s="341">
        <f t="shared" si="64"/>
        <v>0</v>
      </c>
      <c r="BV62" s="341">
        <f t="shared" si="39"/>
        <v>0</v>
      </c>
      <c r="BW62" s="262">
        <f t="shared" si="40"/>
        <v>0</v>
      </c>
    </row>
    <row r="63" spans="2:75" ht="15" customHeight="1" thickBot="1" x14ac:dyDescent="0.25">
      <c r="B63" s="59" t="str">
        <f>Справочно!E28</f>
        <v>АО "СИБЕР"</v>
      </c>
      <c r="C63" s="96">
        <f>ПП!B51</f>
        <v>0</v>
      </c>
      <c r="D63" s="418" t="e">
        <f>ПП!C51</f>
        <v>#DIV/0!</v>
      </c>
      <c r="E63" s="443">
        <f>ПП!D51</f>
        <v>0</v>
      </c>
      <c r="F63" s="302">
        <f>COUNTIFS('Отчет РПЗ(ПЗ)_ПЗИП'!$AG:$AG,"&gt;0",'Отчет РПЗ(ПЗ)_ПЗИП'!$D:$D,Справочно!$E28)</f>
        <v>0</v>
      </c>
      <c r="G63" s="444" t="e">
        <f t="shared" si="41"/>
        <v>#DIV/0!</v>
      </c>
      <c r="H63" s="445">
        <f>SUMIF('Отчет РПЗ(ПЗ)_ПЗИП'!$D:$D,Справочно!$E28,'Отчет РПЗ(ПЗ)_ПЗИП'!$AG:$AG)</f>
        <v>0</v>
      </c>
      <c r="I63" s="472">
        <f t="shared" si="65"/>
        <v>0</v>
      </c>
      <c r="J63" s="526" t="e">
        <f t="shared" si="42"/>
        <v>#DIV/0!</v>
      </c>
      <c r="L63" s="436">
        <f>SUMIFS('Отчет РПЗ(ПЗ)_ПЗИП'!$W:$W,'Отчет РПЗ(ПЗ)_ПЗИП'!$D:$D,Справочно!$E28,'Отчет РПЗ(ПЗ)_ПЗИП'!$N:$N,"&gt;=01.01.2017",'Отчет РПЗ(ПЗ)_ПЗИП'!$N:$N,"&lt;=31.01.2017",'Отчет РПЗ(ПЗ)_ПЗИП'!$AG:$AG,"&gt;0")</f>
        <v>0</v>
      </c>
      <c r="M63" s="334">
        <f>SUMIFS('Отчет РПЗ(ПЗ)_ПЗИП'!$AG:$AG,'Отчет РПЗ(ПЗ)_ПЗИП'!$D:$D,Справочно!$E28,'Отчет РПЗ(ПЗ)_ПЗИП'!$AQ:$AQ,1)</f>
        <v>0</v>
      </c>
      <c r="N63" s="342" t="str">
        <f t="shared" si="43"/>
        <v>НД</v>
      </c>
      <c r="O63" s="250" t="str">
        <f t="shared" si="44"/>
        <v>НД</v>
      </c>
      <c r="P63" s="431">
        <f>SUMIFS('Отчет РПЗ(ПЗ)_ПЗИП'!$W:$W,'Отчет РПЗ(ПЗ)_ПЗИП'!$D:$D,Справочно!$E28,'Отчет РПЗ(ПЗ)_ПЗИП'!$N:$N,"&gt;=01.02.2017",'Отчет РПЗ(ПЗ)_ПЗИП'!$N:$N,"&lt;=28.02.2017",'Отчет РПЗ(ПЗ)_ПЗИП'!$AG:$AG,"&gt;0")</f>
        <v>0</v>
      </c>
      <c r="Q63" s="334">
        <f>SUMIFS('Отчет РПЗ(ПЗ)_ПЗИП'!$AG:$AG,'Отчет РПЗ(ПЗ)_ПЗИП'!$D:$D,Справочно!$E28,'Отчет РПЗ(ПЗ)_ПЗИП'!$AQ:$AQ,2)</f>
        <v>0</v>
      </c>
      <c r="R63" s="342" t="str">
        <f t="shared" si="45"/>
        <v>НД</v>
      </c>
      <c r="S63" s="250" t="str">
        <f t="shared" si="46"/>
        <v>НД</v>
      </c>
      <c r="T63" s="431">
        <f>SUMIFS('Отчет РПЗ(ПЗ)_ПЗИП'!$W:$W,'Отчет РПЗ(ПЗ)_ПЗИП'!$D:$D,Справочно!$E28,'Отчет РПЗ(ПЗ)_ПЗИП'!$N:$N,"&gt;=01.03.2017",'Отчет РПЗ(ПЗ)_ПЗИП'!$N:$N,"&lt;=31.03.2017",'Отчет РПЗ(ПЗ)_ПЗИП'!$AG:$AG,"&gt;0")</f>
        <v>0</v>
      </c>
      <c r="U63" s="334">
        <f>SUMIFS('Отчет РПЗ(ПЗ)_ПЗИП'!$AG:$AG,'Отчет РПЗ(ПЗ)_ПЗИП'!$D:$D,Справочно!$E28,'Отчет РПЗ(ПЗ)_ПЗИП'!$AQ:$AQ,3)</f>
        <v>0</v>
      </c>
      <c r="V63" s="342" t="str">
        <f t="shared" si="47"/>
        <v>НД</v>
      </c>
      <c r="W63" s="250" t="str">
        <f t="shared" si="23"/>
        <v>НД</v>
      </c>
      <c r="X63" s="430">
        <f t="shared" si="48"/>
        <v>0</v>
      </c>
      <c r="Y63" s="335">
        <f t="shared" si="49"/>
        <v>0</v>
      </c>
      <c r="Z63" s="335">
        <f t="shared" si="24"/>
        <v>0</v>
      </c>
      <c r="AA63" s="252">
        <f t="shared" si="25"/>
        <v>0</v>
      </c>
      <c r="AB63" s="436">
        <f>SUMIFS('Отчет РПЗ(ПЗ)_ПЗИП'!$W:$W,'Отчет РПЗ(ПЗ)_ПЗИП'!$D:$D,Справочно!$E28,'Отчет РПЗ(ПЗ)_ПЗИП'!$N:$N,"&gt;=01.04.2017",'Отчет РПЗ(ПЗ)_ПЗИП'!$N:$N,"&lt;=30.04.2017",'Отчет РПЗ(ПЗ)_ПЗИП'!$AG:$AG,"&gt;0")</f>
        <v>0</v>
      </c>
      <c r="AC63" s="336">
        <f>SUMIFS('Отчет РПЗ(ПЗ)_ПЗИП'!$AG:$AG,'Отчет РПЗ(ПЗ)_ПЗИП'!$D:$D,Справочно!$E28,'Отчет РПЗ(ПЗ)_ПЗИП'!$AQ:$AQ,4)</f>
        <v>0</v>
      </c>
      <c r="AD63" s="336" t="str">
        <f t="shared" si="50"/>
        <v>НД</v>
      </c>
      <c r="AE63" s="251" t="str">
        <f t="shared" si="26"/>
        <v>НД</v>
      </c>
      <c r="AF63" s="435">
        <f>SUMIFS('Отчет РПЗ(ПЗ)_ПЗИП'!$W:$W,'Отчет РПЗ(ПЗ)_ПЗИП'!$D:$D,Справочно!$E28,'Отчет РПЗ(ПЗ)_ПЗИП'!$N:$N,"&gt;=01.05.2017",'Отчет РПЗ(ПЗ)_ПЗИП'!$N:$N,"&lt;=31.05.2017",'Отчет РПЗ(ПЗ)_ПЗИП'!$AG:$AG,"&gt;0")</f>
        <v>0</v>
      </c>
      <c r="AG63" s="336">
        <f>SUMIFS('Отчет РПЗ(ПЗ)_ПЗИП'!$AG:$AG,'Отчет РПЗ(ПЗ)_ПЗИП'!$D:$D,Справочно!$E28,'Отчет РПЗ(ПЗ)_ПЗИП'!$AQ:$AQ,5)</f>
        <v>0</v>
      </c>
      <c r="AH63" s="336" t="str">
        <f t="shared" si="51"/>
        <v>НД</v>
      </c>
      <c r="AI63" s="251" t="str">
        <f t="shared" si="27"/>
        <v>НД</v>
      </c>
      <c r="AJ63" s="435">
        <f>SUMIFS('Отчет РПЗ(ПЗ)_ПЗИП'!$W:$W,'Отчет РПЗ(ПЗ)_ПЗИП'!$D:$D,Справочно!$E28,'Отчет РПЗ(ПЗ)_ПЗИП'!$N:$N,"&gt;=01.06.2017",'Отчет РПЗ(ПЗ)_ПЗИП'!$N:$N,"&lt;=30.06.2017",'Отчет РПЗ(ПЗ)_ПЗИП'!$AG:$AG,"&gt;0")</f>
        <v>0</v>
      </c>
      <c r="AK63" s="336">
        <f>SUMIFS('Отчет РПЗ(ПЗ)_ПЗИП'!$AG:$AG,'Отчет РПЗ(ПЗ)_ПЗИП'!$D:$D,Справочно!$E28,'Отчет РПЗ(ПЗ)_ПЗИП'!$AQ:$AQ,6)</f>
        <v>0</v>
      </c>
      <c r="AL63" s="336" t="str">
        <f t="shared" si="52"/>
        <v>НД</v>
      </c>
      <c r="AM63" s="251" t="str">
        <f t="shared" si="28"/>
        <v>НД</v>
      </c>
      <c r="AN63" s="430">
        <f t="shared" si="53"/>
        <v>0</v>
      </c>
      <c r="AO63" s="337">
        <f t="shared" si="54"/>
        <v>0</v>
      </c>
      <c r="AP63" s="337">
        <f t="shared" si="29"/>
        <v>0</v>
      </c>
      <c r="AQ63" s="253">
        <f t="shared" si="30"/>
        <v>0</v>
      </c>
      <c r="AR63" s="436">
        <f>SUMIFS('Отчет РПЗ(ПЗ)_ПЗИП'!$W:$W,'Отчет РПЗ(ПЗ)_ПЗИП'!$D:$D,Справочно!$E28,'Отчет РПЗ(ПЗ)_ПЗИП'!$N:$N,"&gt;=01.07.2017",'Отчет РПЗ(ПЗ)_ПЗИП'!$N:$N,"&lt;=31.07.2017",'Отчет РПЗ(ПЗ)_ПЗИП'!$AG:$AG,"&gt;0")</f>
        <v>0</v>
      </c>
      <c r="AS63" s="338">
        <f>SUMIFS('Отчет РПЗ(ПЗ)_ПЗИП'!$AG:$AG,'Отчет РПЗ(ПЗ)_ПЗИП'!$D:$D,Справочно!$E28,'Отчет РПЗ(ПЗ)_ПЗИП'!$AQ:$AQ,7)</f>
        <v>0</v>
      </c>
      <c r="AT63" s="378" t="str">
        <f t="shared" si="55"/>
        <v>НД</v>
      </c>
      <c r="AU63" s="255" t="str">
        <f t="shared" si="31"/>
        <v>НД</v>
      </c>
      <c r="AV63" s="431">
        <f>SUMIFS('Отчет РПЗ(ПЗ)_ПЗИП'!$W:$W,'Отчет РПЗ(ПЗ)_ПЗИП'!$D:$D,Справочно!$E28,'Отчет РПЗ(ПЗ)_ПЗИП'!$N:$N,"&gt;=01.08.2017",'Отчет РПЗ(ПЗ)_ПЗИП'!$N:$N,"&lt;=31.08.2017",'Отчет РПЗ(ПЗ)_ПЗИП'!$AG:$AG,"&gt;0")</f>
        <v>0</v>
      </c>
      <c r="AW63" s="338">
        <f>SUMIFS('Отчет РПЗ(ПЗ)_ПЗИП'!$AG:$AG,'Отчет РПЗ(ПЗ)_ПЗИП'!$D:$D,Справочно!$E28,'Отчет РПЗ(ПЗ)_ПЗИП'!$AQ:$AQ,8)</f>
        <v>0</v>
      </c>
      <c r="AX63" s="378" t="str">
        <f t="shared" si="56"/>
        <v>НД</v>
      </c>
      <c r="AY63" s="255" t="str">
        <f t="shared" si="32"/>
        <v>НД</v>
      </c>
      <c r="AZ63" s="431">
        <f>SUMIFS('Отчет РПЗ(ПЗ)_ПЗИП'!$W:$W,'Отчет РПЗ(ПЗ)_ПЗИП'!$D:$D,Справочно!$E28,'Отчет РПЗ(ПЗ)_ПЗИП'!$N:$N,"&gt;=01.09.2017",'Отчет РПЗ(ПЗ)_ПЗИП'!$N:$N,"&lt;=30.09.2017",'Отчет РПЗ(ПЗ)_ПЗИП'!$AG:$AG,"&gt;0")</f>
        <v>0</v>
      </c>
      <c r="BA63" s="338">
        <f>SUMIFS('Отчет РПЗ(ПЗ)_ПЗИП'!$AG:$AG,'Отчет РПЗ(ПЗ)_ПЗИП'!$D:$D,Справочно!$E28,'Отчет РПЗ(ПЗ)_ПЗИП'!$AQ:$AQ,9)</f>
        <v>0</v>
      </c>
      <c r="BB63" s="378" t="str">
        <f t="shared" si="57"/>
        <v>НД</v>
      </c>
      <c r="BC63" s="255" t="str">
        <f t="shared" si="33"/>
        <v>НД</v>
      </c>
      <c r="BD63" s="430">
        <f t="shared" si="58"/>
        <v>0</v>
      </c>
      <c r="BE63" s="339">
        <f t="shared" si="59"/>
        <v>0</v>
      </c>
      <c r="BF63" s="339">
        <f t="shared" si="34"/>
        <v>0</v>
      </c>
      <c r="BG63" s="257">
        <f t="shared" si="35"/>
        <v>0</v>
      </c>
      <c r="BH63" s="420">
        <f>SUMIFS('Отчет РПЗ(ПЗ)_ПЗИП'!$W:$W,'Отчет РПЗ(ПЗ)_ПЗИП'!$D:$D,Справочно!$E28,'Отчет РПЗ(ПЗ)_ПЗИП'!$N:$N,"&gt;=01.10.2017",'Отчет РПЗ(ПЗ)_ПЗИП'!$N:$N,"&lt;=31.10.2017",'Отчет РПЗ(ПЗ)_ПЗИП'!$AG:$AG,"&gt;0")</f>
        <v>0</v>
      </c>
      <c r="BI63" s="340">
        <f>SUMIFS('Отчет РПЗ(ПЗ)_ПЗИП'!$AG:$AG,'Отчет РПЗ(ПЗ)_ПЗИП'!$D:$D,Справочно!$E28,'Отчет РПЗ(ПЗ)_ПЗИП'!$AQ:$AQ,10)</f>
        <v>0</v>
      </c>
      <c r="BJ63" s="380" t="str">
        <f t="shared" si="60"/>
        <v>НД</v>
      </c>
      <c r="BK63" s="259" t="str">
        <f t="shared" si="36"/>
        <v>НД</v>
      </c>
      <c r="BL63" s="435">
        <f>SUMIFS('Отчет РПЗ(ПЗ)_ПЗИП'!$W:$W,'Отчет РПЗ(ПЗ)_ПЗИП'!$D:$D,Справочно!$E28,'Отчет РПЗ(ПЗ)_ПЗИП'!$N:$N,"&gt;=01.11.2017",'Отчет РПЗ(ПЗ)_ПЗИП'!$N:$N,"&lt;=30.11.2017",'Отчет РПЗ(ПЗ)_ПЗИП'!$AG:$AG,"&gt;0")</f>
        <v>0</v>
      </c>
      <c r="BM63" s="340">
        <f>SUMIFS('Отчет РПЗ(ПЗ)_ПЗИП'!$AG:$AG,'Отчет РПЗ(ПЗ)_ПЗИП'!$D:$D,Справочно!$E28,'Отчет РПЗ(ПЗ)_ПЗИП'!$AQ:$AQ,11)</f>
        <v>0</v>
      </c>
      <c r="BN63" s="380" t="str">
        <f t="shared" si="61"/>
        <v>НД</v>
      </c>
      <c r="BO63" s="259" t="str">
        <f t="shared" si="37"/>
        <v>НД</v>
      </c>
      <c r="BP63" s="435">
        <f>SUMIFS('Отчет РПЗ(ПЗ)_ПЗИП'!$W:$W,'Отчет РПЗ(ПЗ)_ПЗИП'!$D:$D,Справочно!$E28,'Отчет РПЗ(ПЗ)_ПЗИП'!$N:$N,"&gt;=01.12.2017",'Отчет РПЗ(ПЗ)_ПЗИП'!$N:$N,"&lt;=31.12.2017",'Отчет РПЗ(ПЗ)_ПЗИП'!$AG:$AG,"&gt;0")</f>
        <v>0</v>
      </c>
      <c r="BQ63" s="340">
        <f>SUMIFS('Отчет РПЗ(ПЗ)_ПЗИП'!$AG:$AG,'Отчет РПЗ(ПЗ)_ПЗИП'!$D:$D,Справочно!$E28,'Отчет РПЗ(ПЗ)_ПЗИП'!$AQ:$AQ,12)</f>
        <v>0</v>
      </c>
      <c r="BR63" s="380" t="str">
        <f t="shared" si="62"/>
        <v>НД</v>
      </c>
      <c r="BS63" s="261" t="str">
        <f t="shared" si="38"/>
        <v>НД</v>
      </c>
      <c r="BT63" s="430">
        <f t="shared" si="63"/>
        <v>0</v>
      </c>
      <c r="BU63" s="341">
        <f t="shared" si="64"/>
        <v>0</v>
      </c>
      <c r="BV63" s="341">
        <f t="shared" si="39"/>
        <v>0</v>
      </c>
      <c r="BW63" s="262">
        <f t="shared" si="40"/>
        <v>0</v>
      </c>
    </row>
    <row r="64" spans="2:75" ht="13.5" thickBot="1" x14ac:dyDescent="0.25">
      <c r="B64" s="59" t="str">
        <f>Справочно!E29</f>
        <v>АО "Объединенная двигателестроительная корпорация"</v>
      </c>
      <c r="C64" s="96">
        <f>ПП!B52</f>
        <v>0</v>
      </c>
      <c r="D64" s="418" t="e">
        <f>ПП!C52</f>
        <v>#DIV/0!</v>
      </c>
      <c r="E64" s="443">
        <f>ПП!D52</f>
        <v>0</v>
      </c>
      <c r="F64" s="302">
        <f>COUNTIFS('Отчет РПЗ(ПЗ)_ПЗИП'!$AG:$AG,"&gt;0",'Отчет РПЗ(ПЗ)_ПЗИП'!$D:$D,Справочно!$E29)</f>
        <v>0</v>
      </c>
      <c r="G64" s="444" t="e">
        <f t="shared" si="41"/>
        <v>#DIV/0!</v>
      </c>
      <c r="H64" s="445">
        <f>SUMIF('Отчет РПЗ(ПЗ)_ПЗИП'!$D:$D,Справочно!$E29,'Отчет РПЗ(ПЗ)_ПЗИП'!$AG:$AG)</f>
        <v>0</v>
      </c>
      <c r="I64" s="472">
        <f t="shared" si="65"/>
        <v>0</v>
      </c>
      <c r="J64" s="526" t="e">
        <f t="shared" si="42"/>
        <v>#DIV/0!</v>
      </c>
      <c r="L64" s="436">
        <f>SUMIFS('Отчет РПЗ(ПЗ)_ПЗИП'!$W:$W,'Отчет РПЗ(ПЗ)_ПЗИП'!$D:$D,Справочно!$E29,'Отчет РПЗ(ПЗ)_ПЗИП'!$N:$N,"&gt;=01.01.2017",'Отчет РПЗ(ПЗ)_ПЗИП'!$N:$N,"&lt;=31.01.2017",'Отчет РПЗ(ПЗ)_ПЗИП'!$AG:$AG,"&gt;0")</f>
        <v>0</v>
      </c>
      <c r="M64" s="334">
        <f>SUMIFS('Отчет РПЗ(ПЗ)_ПЗИП'!$AG:$AG,'Отчет РПЗ(ПЗ)_ПЗИП'!$D:$D,Справочно!$E29,'Отчет РПЗ(ПЗ)_ПЗИП'!$AQ:$AQ,1)</f>
        <v>0</v>
      </c>
      <c r="N64" s="342" t="str">
        <f t="shared" si="43"/>
        <v>НД</v>
      </c>
      <c r="O64" s="250" t="str">
        <f t="shared" si="44"/>
        <v>НД</v>
      </c>
      <c r="P64" s="431">
        <f>SUMIFS('Отчет РПЗ(ПЗ)_ПЗИП'!$W:$W,'Отчет РПЗ(ПЗ)_ПЗИП'!$D:$D,Справочно!$E29,'Отчет РПЗ(ПЗ)_ПЗИП'!$N:$N,"&gt;=01.02.2017",'Отчет РПЗ(ПЗ)_ПЗИП'!$N:$N,"&lt;=28.02.2017",'Отчет РПЗ(ПЗ)_ПЗИП'!$AG:$AG,"&gt;0")</f>
        <v>0</v>
      </c>
      <c r="Q64" s="334">
        <f>SUMIFS('Отчет РПЗ(ПЗ)_ПЗИП'!$AG:$AG,'Отчет РПЗ(ПЗ)_ПЗИП'!$D:$D,Справочно!$E29,'Отчет РПЗ(ПЗ)_ПЗИП'!$AQ:$AQ,2)</f>
        <v>0</v>
      </c>
      <c r="R64" s="342" t="str">
        <f t="shared" si="45"/>
        <v>НД</v>
      </c>
      <c r="S64" s="250" t="str">
        <f t="shared" si="46"/>
        <v>НД</v>
      </c>
      <c r="T64" s="431">
        <f>SUMIFS('Отчет РПЗ(ПЗ)_ПЗИП'!$W:$W,'Отчет РПЗ(ПЗ)_ПЗИП'!$D:$D,Справочно!$E29,'Отчет РПЗ(ПЗ)_ПЗИП'!$N:$N,"&gt;=01.03.2017",'Отчет РПЗ(ПЗ)_ПЗИП'!$N:$N,"&lt;=31.03.2017",'Отчет РПЗ(ПЗ)_ПЗИП'!$AG:$AG,"&gt;0")</f>
        <v>0</v>
      </c>
      <c r="U64" s="334">
        <f>SUMIFS('Отчет РПЗ(ПЗ)_ПЗИП'!$AG:$AG,'Отчет РПЗ(ПЗ)_ПЗИП'!$D:$D,Справочно!$E29,'Отчет РПЗ(ПЗ)_ПЗИП'!$AQ:$AQ,3)</f>
        <v>0</v>
      </c>
      <c r="V64" s="342" t="str">
        <f t="shared" si="47"/>
        <v>НД</v>
      </c>
      <c r="W64" s="250" t="str">
        <f t="shared" si="23"/>
        <v>НД</v>
      </c>
      <c r="X64" s="430">
        <f t="shared" si="48"/>
        <v>0</v>
      </c>
      <c r="Y64" s="335">
        <f t="shared" si="49"/>
        <v>0</v>
      </c>
      <c r="Z64" s="335">
        <f t="shared" si="24"/>
        <v>0</v>
      </c>
      <c r="AA64" s="252">
        <f t="shared" si="25"/>
        <v>0</v>
      </c>
      <c r="AB64" s="436">
        <f>SUMIFS('Отчет РПЗ(ПЗ)_ПЗИП'!$W:$W,'Отчет РПЗ(ПЗ)_ПЗИП'!$D:$D,Справочно!$E29,'Отчет РПЗ(ПЗ)_ПЗИП'!$N:$N,"&gt;=01.04.2017",'Отчет РПЗ(ПЗ)_ПЗИП'!$N:$N,"&lt;=30.04.2017",'Отчет РПЗ(ПЗ)_ПЗИП'!$AG:$AG,"&gt;0")</f>
        <v>0</v>
      </c>
      <c r="AC64" s="336">
        <f>SUMIFS('Отчет РПЗ(ПЗ)_ПЗИП'!$AG:$AG,'Отчет РПЗ(ПЗ)_ПЗИП'!$D:$D,Справочно!$E29,'Отчет РПЗ(ПЗ)_ПЗИП'!$AQ:$AQ,4)</f>
        <v>0</v>
      </c>
      <c r="AD64" s="336" t="str">
        <f t="shared" si="50"/>
        <v>НД</v>
      </c>
      <c r="AE64" s="251" t="str">
        <f t="shared" si="26"/>
        <v>НД</v>
      </c>
      <c r="AF64" s="435">
        <f>SUMIFS('Отчет РПЗ(ПЗ)_ПЗИП'!$W:$W,'Отчет РПЗ(ПЗ)_ПЗИП'!$D:$D,Справочно!$E29,'Отчет РПЗ(ПЗ)_ПЗИП'!$N:$N,"&gt;=01.05.2017",'Отчет РПЗ(ПЗ)_ПЗИП'!$N:$N,"&lt;=31.05.2017",'Отчет РПЗ(ПЗ)_ПЗИП'!$AG:$AG,"&gt;0")</f>
        <v>0</v>
      </c>
      <c r="AG64" s="336">
        <f>SUMIFS('Отчет РПЗ(ПЗ)_ПЗИП'!$AG:$AG,'Отчет РПЗ(ПЗ)_ПЗИП'!$D:$D,Справочно!$E29,'Отчет РПЗ(ПЗ)_ПЗИП'!$AQ:$AQ,5)</f>
        <v>0</v>
      </c>
      <c r="AH64" s="336" t="str">
        <f t="shared" si="51"/>
        <v>НД</v>
      </c>
      <c r="AI64" s="251" t="str">
        <f t="shared" si="27"/>
        <v>НД</v>
      </c>
      <c r="AJ64" s="435">
        <f>SUMIFS('Отчет РПЗ(ПЗ)_ПЗИП'!$W:$W,'Отчет РПЗ(ПЗ)_ПЗИП'!$D:$D,Справочно!$E29,'Отчет РПЗ(ПЗ)_ПЗИП'!$N:$N,"&gt;=01.06.2017",'Отчет РПЗ(ПЗ)_ПЗИП'!$N:$N,"&lt;=30.06.2017",'Отчет РПЗ(ПЗ)_ПЗИП'!$AG:$AG,"&gt;0")</f>
        <v>0</v>
      </c>
      <c r="AK64" s="336">
        <f>SUMIFS('Отчет РПЗ(ПЗ)_ПЗИП'!$AG:$AG,'Отчет РПЗ(ПЗ)_ПЗИП'!$D:$D,Справочно!$E29,'Отчет РПЗ(ПЗ)_ПЗИП'!$AQ:$AQ,6)</f>
        <v>0</v>
      </c>
      <c r="AL64" s="336" t="str">
        <f t="shared" si="52"/>
        <v>НД</v>
      </c>
      <c r="AM64" s="251" t="str">
        <f t="shared" si="28"/>
        <v>НД</v>
      </c>
      <c r="AN64" s="430">
        <f t="shared" si="53"/>
        <v>0</v>
      </c>
      <c r="AO64" s="337">
        <f t="shared" si="54"/>
        <v>0</v>
      </c>
      <c r="AP64" s="337">
        <f t="shared" si="29"/>
        <v>0</v>
      </c>
      <c r="AQ64" s="253">
        <f t="shared" si="30"/>
        <v>0</v>
      </c>
      <c r="AR64" s="436">
        <f>SUMIFS('Отчет РПЗ(ПЗ)_ПЗИП'!$W:$W,'Отчет РПЗ(ПЗ)_ПЗИП'!$D:$D,Справочно!$E29,'Отчет РПЗ(ПЗ)_ПЗИП'!$N:$N,"&gt;=01.07.2017",'Отчет РПЗ(ПЗ)_ПЗИП'!$N:$N,"&lt;=31.07.2017",'Отчет РПЗ(ПЗ)_ПЗИП'!$AG:$AG,"&gt;0")</f>
        <v>0</v>
      </c>
      <c r="AS64" s="338">
        <f>SUMIFS('Отчет РПЗ(ПЗ)_ПЗИП'!$AG:$AG,'Отчет РПЗ(ПЗ)_ПЗИП'!$D:$D,Справочно!$E29,'Отчет РПЗ(ПЗ)_ПЗИП'!$AQ:$AQ,7)</f>
        <v>0</v>
      </c>
      <c r="AT64" s="378" t="str">
        <f t="shared" si="55"/>
        <v>НД</v>
      </c>
      <c r="AU64" s="255" t="str">
        <f t="shared" si="31"/>
        <v>НД</v>
      </c>
      <c r="AV64" s="431">
        <f>SUMIFS('Отчет РПЗ(ПЗ)_ПЗИП'!$W:$W,'Отчет РПЗ(ПЗ)_ПЗИП'!$D:$D,Справочно!$E29,'Отчет РПЗ(ПЗ)_ПЗИП'!$N:$N,"&gt;=01.08.2017",'Отчет РПЗ(ПЗ)_ПЗИП'!$N:$N,"&lt;=31.08.2017",'Отчет РПЗ(ПЗ)_ПЗИП'!$AG:$AG,"&gt;0")</f>
        <v>0</v>
      </c>
      <c r="AW64" s="338">
        <f>SUMIFS('Отчет РПЗ(ПЗ)_ПЗИП'!$AG:$AG,'Отчет РПЗ(ПЗ)_ПЗИП'!$D:$D,Справочно!$E29,'Отчет РПЗ(ПЗ)_ПЗИП'!$AQ:$AQ,8)</f>
        <v>0</v>
      </c>
      <c r="AX64" s="378" t="str">
        <f t="shared" si="56"/>
        <v>НД</v>
      </c>
      <c r="AY64" s="255" t="str">
        <f t="shared" si="32"/>
        <v>НД</v>
      </c>
      <c r="AZ64" s="431">
        <f>SUMIFS('Отчет РПЗ(ПЗ)_ПЗИП'!$W:$W,'Отчет РПЗ(ПЗ)_ПЗИП'!$D:$D,Справочно!$E29,'Отчет РПЗ(ПЗ)_ПЗИП'!$N:$N,"&gt;=01.09.2017",'Отчет РПЗ(ПЗ)_ПЗИП'!$N:$N,"&lt;=30.09.2017",'Отчет РПЗ(ПЗ)_ПЗИП'!$AG:$AG,"&gt;0")</f>
        <v>0</v>
      </c>
      <c r="BA64" s="338">
        <f>SUMIFS('Отчет РПЗ(ПЗ)_ПЗИП'!$AG:$AG,'Отчет РПЗ(ПЗ)_ПЗИП'!$D:$D,Справочно!$E29,'Отчет РПЗ(ПЗ)_ПЗИП'!$AQ:$AQ,9)</f>
        <v>0</v>
      </c>
      <c r="BB64" s="378" t="str">
        <f t="shared" si="57"/>
        <v>НД</v>
      </c>
      <c r="BC64" s="255" t="str">
        <f t="shared" si="33"/>
        <v>НД</v>
      </c>
      <c r="BD64" s="430">
        <f t="shared" si="58"/>
        <v>0</v>
      </c>
      <c r="BE64" s="339">
        <f t="shared" si="59"/>
        <v>0</v>
      </c>
      <c r="BF64" s="339">
        <f t="shared" si="34"/>
        <v>0</v>
      </c>
      <c r="BG64" s="257">
        <f t="shared" si="35"/>
        <v>0</v>
      </c>
      <c r="BH64" s="420">
        <f>SUMIFS('Отчет РПЗ(ПЗ)_ПЗИП'!$W:$W,'Отчет РПЗ(ПЗ)_ПЗИП'!$D:$D,Справочно!$E29,'Отчет РПЗ(ПЗ)_ПЗИП'!$N:$N,"&gt;=01.10.2017",'Отчет РПЗ(ПЗ)_ПЗИП'!$N:$N,"&lt;=31.10.2017",'Отчет РПЗ(ПЗ)_ПЗИП'!$AG:$AG,"&gt;0")</f>
        <v>0</v>
      </c>
      <c r="BI64" s="340">
        <f>SUMIFS('Отчет РПЗ(ПЗ)_ПЗИП'!$AG:$AG,'Отчет РПЗ(ПЗ)_ПЗИП'!$D:$D,Справочно!$E29,'Отчет РПЗ(ПЗ)_ПЗИП'!$AQ:$AQ,10)</f>
        <v>0</v>
      </c>
      <c r="BJ64" s="380" t="str">
        <f t="shared" si="60"/>
        <v>НД</v>
      </c>
      <c r="BK64" s="259" t="str">
        <f t="shared" si="36"/>
        <v>НД</v>
      </c>
      <c r="BL64" s="435">
        <f>SUMIFS('Отчет РПЗ(ПЗ)_ПЗИП'!$W:$W,'Отчет РПЗ(ПЗ)_ПЗИП'!$D:$D,Справочно!$E29,'Отчет РПЗ(ПЗ)_ПЗИП'!$N:$N,"&gt;=01.11.2017",'Отчет РПЗ(ПЗ)_ПЗИП'!$N:$N,"&lt;=30.11.2017",'Отчет РПЗ(ПЗ)_ПЗИП'!$AG:$AG,"&gt;0")</f>
        <v>0</v>
      </c>
      <c r="BM64" s="340">
        <f>SUMIFS('Отчет РПЗ(ПЗ)_ПЗИП'!$AG:$AG,'Отчет РПЗ(ПЗ)_ПЗИП'!$D:$D,Справочно!$E29,'Отчет РПЗ(ПЗ)_ПЗИП'!$AQ:$AQ,11)</f>
        <v>0</v>
      </c>
      <c r="BN64" s="380" t="str">
        <f t="shared" si="61"/>
        <v>НД</v>
      </c>
      <c r="BO64" s="259" t="str">
        <f t="shared" si="37"/>
        <v>НД</v>
      </c>
      <c r="BP64" s="435">
        <f>SUMIFS('Отчет РПЗ(ПЗ)_ПЗИП'!$W:$W,'Отчет РПЗ(ПЗ)_ПЗИП'!$D:$D,Справочно!$E29,'Отчет РПЗ(ПЗ)_ПЗИП'!$N:$N,"&gt;=01.12.2017",'Отчет РПЗ(ПЗ)_ПЗИП'!$N:$N,"&lt;=31.12.2017",'Отчет РПЗ(ПЗ)_ПЗИП'!$AG:$AG,"&gt;0")</f>
        <v>0</v>
      </c>
      <c r="BQ64" s="340">
        <f>SUMIFS('Отчет РПЗ(ПЗ)_ПЗИП'!$AG:$AG,'Отчет РПЗ(ПЗ)_ПЗИП'!$D:$D,Справочно!$E29,'Отчет РПЗ(ПЗ)_ПЗИП'!$AQ:$AQ,12)</f>
        <v>0</v>
      </c>
      <c r="BR64" s="380" t="str">
        <f t="shared" si="62"/>
        <v>НД</v>
      </c>
      <c r="BS64" s="261" t="str">
        <f t="shared" si="38"/>
        <v>НД</v>
      </c>
      <c r="BT64" s="430">
        <f t="shared" si="63"/>
        <v>0</v>
      </c>
      <c r="BU64" s="341">
        <f t="shared" si="64"/>
        <v>0</v>
      </c>
      <c r="BV64" s="341">
        <f t="shared" si="39"/>
        <v>0</v>
      </c>
      <c r="BW64" s="262">
        <f t="shared" si="40"/>
        <v>0</v>
      </c>
    </row>
    <row r="65" spans="2:75" ht="15" customHeight="1" thickBot="1" x14ac:dyDescent="0.25">
      <c r="B65" s="59" t="str">
        <f>Справочно!E30</f>
        <v>ООО "РТ-Информ"</v>
      </c>
      <c r="C65" s="96">
        <f>ПП!B53</f>
        <v>0</v>
      </c>
      <c r="D65" s="418" t="e">
        <f>ПП!C53</f>
        <v>#DIV/0!</v>
      </c>
      <c r="E65" s="443">
        <f>ПП!D53</f>
        <v>0</v>
      </c>
      <c r="F65" s="302">
        <f>COUNTIFS('Отчет РПЗ(ПЗ)_ПЗИП'!$AG:$AG,"&gt;0",'Отчет РПЗ(ПЗ)_ПЗИП'!$D:$D,Справочно!$E30)</f>
        <v>0</v>
      </c>
      <c r="G65" s="444" t="e">
        <f t="shared" si="41"/>
        <v>#DIV/0!</v>
      </c>
      <c r="H65" s="445">
        <f>SUMIF('Отчет РПЗ(ПЗ)_ПЗИП'!$D:$D,Справочно!$E30,'Отчет РПЗ(ПЗ)_ПЗИП'!$AG:$AG)</f>
        <v>0</v>
      </c>
      <c r="I65" s="472">
        <f t="shared" si="65"/>
        <v>0</v>
      </c>
      <c r="J65" s="526" t="e">
        <f t="shared" si="42"/>
        <v>#DIV/0!</v>
      </c>
      <c r="L65" s="436">
        <f>SUMIFS('Отчет РПЗ(ПЗ)_ПЗИП'!$W:$W,'Отчет РПЗ(ПЗ)_ПЗИП'!$D:$D,Справочно!$E30,'Отчет РПЗ(ПЗ)_ПЗИП'!$N:$N,"&gt;=01.01.2017",'Отчет РПЗ(ПЗ)_ПЗИП'!$N:$N,"&lt;=31.01.2017",'Отчет РПЗ(ПЗ)_ПЗИП'!$AG:$AG,"&gt;0")</f>
        <v>0</v>
      </c>
      <c r="M65" s="334">
        <f>SUMIFS('Отчет РПЗ(ПЗ)_ПЗИП'!$AG:$AG,'Отчет РПЗ(ПЗ)_ПЗИП'!$D:$D,Справочно!$E30,'Отчет РПЗ(ПЗ)_ПЗИП'!$AQ:$AQ,1)</f>
        <v>0</v>
      </c>
      <c r="N65" s="342" t="str">
        <f t="shared" si="43"/>
        <v>НД</v>
      </c>
      <c r="O65" s="250" t="str">
        <f t="shared" si="44"/>
        <v>НД</v>
      </c>
      <c r="P65" s="431">
        <f>SUMIFS('Отчет РПЗ(ПЗ)_ПЗИП'!$W:$W,'Отчет РПЗ(ПЗ)_ПЗИП'!$D:$D,Справочно!$E30,'Отчет РПЗ(ПЗ)_ПЗИП'!$N:$N,"&gt;=01.02.2017",'Отчет РПЗ(ПЗ)_ПЗИП'!$N:$N,"&lt;=28.02.2017",'Отчет РПЗ(ПЗ)_ПЗИП'!$AG:$AG,"&gt;0")</f>
        <v>0</v>
      </c>
      <c r="Q65" s="334">
        <f>SUMIFS('Отчет РПЗ(ПЗ)_ПЗИП'!$AG:$AG,'Отчет РПЗ(ПЗ)_ПЗИП'!$D:$D,Справочно!$E30,'Отчет РПЗ(ПЗ)_ПЗИП'!$AQ:$AQ,2)</f>
        <v>0</v>
      </c>
      <c r="R65" s="342" t="str">
        <f t="shared" si="45"/>
        <v>НД</v>
      </c>
      <c r="S65" s="250" t="str">
        <f t="shared" si="46"/>
        <v>НД</v>
      </c>
      <c r="T65" s="431">
        <f>SUMIFS('Отчет РПЗ(ПЗ)_ПЗИП'!$W:$W,'Отчет РПЗ(ПЗ)_ПЗИП'!$D:$D,Справочно!$E30,'Отчет РПЗ(ПЗ)_ПЗИП'!$N:$N,"&gt;=01.03.2017",'Отчет РПЗ(ПЗ)_ПЗИП'!$N:$N,"&lt;=31.03.2017",'Отчет РПЗ(ПЗ)_ПЗИП'!$AG:$AG,"&gt;0")</f>
        <v>0</v>
      </c>
      <c r="U65" s="334">
        <f>SUMIFS('Отчет РПЗ(ПЗ)_ПЗИП'!$AG:$AG,'Отчет РПЗ(ПЗ)_ПЗИП'!$D:$D,Справочно!$E30,'Отчет РПЗ(ПЗ)_ПЗИП'!$AQ:$AQ,3)</f>
        <v>0</v>
      </c>
      <c r="V65" s="342" t="str">
        <f t="shared" si="47"/>
        <v>НД</v>
      </c>
      <c r="W65" s="250" t="str">
        <f t="shared" si="23"/>
        <v>НД</v>
      </c>
      <c r="X65" s="430">
        <f t="shared" si="48"/>
        <v>0</v>
      </c>
      <c r="Y65" s="335">
        <f t="shared" si="49"/>
        <v>0</v>
      </c>
      <c r="Z65" s="335">
        <f t="shared" si="24"/>
        <v>0</v>
      </c>
      <c r="AA65" s="252">
        <f t="shared" si="25"/>
        <v>0</v>
      </c>
      <c r="AB65" s="436">
        <f>SUMIFS('Отчет РПЗ(ПЗ)_ПЗИП'!$W:$W,'Отчет РПЗ(ПЗ)_ПЗИП'!$D:$D,Справочно!$E30,'Отчет РПЗ(ПЗ)_ПЗИП'!$N:$N,"&gt;=01.04.2017",'Отчет РПЗ(ПЗ)_ПЗИП'!$N:$N,"&lt;=30.04.2017",'Отчет РПЗ(ПЗ)_ПЗИП'!$AG:$AG,"&gt;0")</f>
        <v>0</v>
      </c>
      <c r="AC65" s="336">
        <f>SUMIFS('Отчет РПЗ(ПЗ)_ПЗИП'!$AG:$AG,'Отчет РПЗ(ПЗ)_ПЗИП'!$D:$D,Справочно!$E30,'Отчет РПЗ(ПЗ)_ПЗИП'!$AQ:$AQ,4)</f>
        <v>0</v>
      </c>
      <c r="AD65" s="336" t="str">
        <f t="shared" si="50"/>
        <v>НД</v>
      </c>
      <c r="AE65" s="251" t="str">
        <f t="shared" si="26"/>
        <v>НД</v>
      </c>
      <c r="AF65" s="435">
        <f>SUMIFS('Отчет РПЗ(ПЗ)_ПЗИП'!$W:$W,'Отчет РПЗ(ПЗ)_ПЗИП'!$D:$D,Справочно!$E30,'Отчет РПЗ(ПЗ)_ПЗИП'!$N:$N,"&gt;=01.05.2017",'Отчет РПЗ(ПЗ)_ПЗИП'!$N:$N,"&lt;=31.05.2017",'Отчет РПЗ(ПЗ)_ПЗИП'!$AG:$AG,"&gt;0")</f>
        <v>0</v>
      </c>
      <c r="AG65" s="336">
        <f>SUMIFS('Отчет РПЗ(ПЗ)_ПЗИП'!$AG:$AG,'Отчет РПЗ(ПЗ)_ПЗИП'!$D:$D,Справочно!$E30,'Отчет РПЗ(ПЗ)_ПЗИП'!$AQ:$AQ,5)</f>
        <v>0</v>
      </c>
      <c r="AH65" s="336" t="str">
        <f t="shared" si="51"/>
        <v>НД</v>
      </c>
      <c r="AI65" s="251" t="str">
        <f t="shared" si="27"/>
        <v>НД</v>
      </c>
      <c r="AJ65" s="435">
        <f>SUMIFS('Отчет РПЗ(ПЗ)_ПЗИП'!$W:$W,'Отчет РПЗ(ПЗ)_ПЗИП'!$D:$D,Справочно!$E30,'Отчет РПЗ(ПЗ)_ПЗИП'!$N:$N,"&gt;=01.06.2017",'Отчет РПЗ(ПЗ)_ПЗИП'!$N:$N,"&lt;=30.06.2017",'Отчет РПЗ(ПЗ)_ПЗИП'!$AG:$AG,"&gt;0")</f>
        <v>0</v>
      </c>
      <c r="AK65" s="336">
        <f>SUMIFS('Отчет РПЗ(ПЗ)_ПЗИП'!$AG:$AG,'Отчет РПЗ(ПЗ)_ПЗИП'!$D:$D,Справочно!$E30,'Отчет РПЗ(ПЗ)_ПЗИП'!$AQ:$AQ,6)</f>
        <v>0</v>
      </c>
      <c r="AL65" s="336" t="str">
        <f t="shared" si="52"/>
        <v>НД</v>
      </c>
      <c r="AM65" s="251" t="str">
        <f t="shared" si="28"/>
        <v>НД</v>
      </c>
      <c r="AN65" s="430">
        <f t="shared" si="53"/>
        <v>0</v>
      </c>
      <c r="AO65" s="337">
        <f t="shared" si="54"/>
        <v>0</v>
      </c>
      <c r="AP65" s="337">
        <f t="shared" si="29"/>
        <v>0</v>
      </c>
      <c r="AQ65" s="253">
        <f t="shared" si="30"/>
        <v>0</v>
      </c>
      <c r="AR65" s="436">
        <f>SUMIFS('Отчет РПЗ(ПЗ)_ПЗИП'!$W:$W,'Отчет РПЗ(ПЗ)_ПЗИП'!$D:$D,Справочно!$E30,'Отчет РПЗ(ПЗ)_ПЗИП'!$N:$N,"&gt;=01.07.2017",'Отчет РПЗ(ПЗ)_ПЗИП'!$N:$N,"&lt;=31.07.2017",'Отчет РПЗ(ПЗ)_ПЗИП'!$AG:$AG,"&gt;0")</f>
        <v>0</v>
      </c>
      <c r="AS65" s="338">
        <f>SUMIFS('Отчет РПЗ(ПЗ)_ПЗИП'!$AG:$AG,'Отчет РПЗ(ПЗ)_ПЗИП'!$D:$D,Справочно!$E30,'Отчет РПЗ(ПЗ)_ПЗИП'!$AQ:$AQ,7)</f>
        <v>0</v>
      </c>
      <c r="AT65" s="378" t="str">
        <f t="shared" si="55"/>
        <v>НД</v>
      </c>
      <c r="AU65" s="255" t="str">
        <f t="shared" si="31"/>
        <v>НД</v>
      </c>
      <c r="AV65" s="431">
        <f>SUMIFS('Отчет РПЗ(ПЗ)_ПЗИП'!$W:$W,'Отчет РПЗ(ПЗ)_ПЗИП'!$D:$D,Справочно!$E30,'Отчет РПЗ(ПЗ)_ПЗИП'!$N:$N,"&gt;=01.08.2017",'Отчет РПЗ(ПЗ)_ПЗИП'!$N:$N,"&lt;=31.08.2017",'Отчет РПЗ(ПЗ)_ПЗИП'!$AG:$AG,"&gt;0")</f>
        <v>0</v>
      </c>
      <c r="AW65" s="338">
        <f>SUMIFS('Отчет РПЗ(ПЗ)_ПЗИП'!$AG:$AG,'Отчет РПЗ(ПЗ)_ПЗИП'!$D:$D,Справочно!$E30,'Отчет РПЗ(ПЗ)_ПЗИП'!$AQ:$AQ,8)</f>
        <v>0</v>
      </c>
      <c r="AX65" s="378" t="str">
        <f t="shared" si="56"/>
        <v>НД</v>
      </c>
      <c r="AY65" s="255" t="str">
        <f t="shared" si="32"/>
        <v>НД</v>
      </c>
      <c r="AZ65" s="431">
        <f>SUMIFS('Отчет РПЗ(ПЗ)_ПЗИП'!$W:$W,'Отчет РПЗ(ПЗ)_ПЗИП'!$D:$D,Справочно!$E30,'Отчет РПЗ(ПЗ)_ПЗИП'!$N:$N,"&gt;=01.09.2017",'Отчет РПЗ(ПЗ)_ПЗИП'!$N:$N,"&lt;=30.09.2017",'Отчет РПЗ(ПЗ)_ПЗИП'!$AG:$AG,"&gt;0")</f>
        <v>0</v>
      </c>
      <c r="BA65" s="338">
        <f>SUMIFS('Отчет РПЗ(ПЗ)_ПЗИП'!$AG:$AG,'Отчет РПЗ(ПЗ)_ПЗИП'!$D:$D,Справочно!$E30,'Отчет РПЗ(ПЗ)_ПЗИП'!$AQ:$AQ,9)</f>
        <v>0</v>
      </c>
      <c r="BB65" s="378" t="str">
        <f t="shared" si="57"/>
        <v>НД</v>
      </c>
      <c r="BC65" s="255" t="str">
        <f t="shared" si="33"/>
        <v>НД</v>
      </c>
      <c r="BD65" s="430">
        <f t="shared" si="58"/>
        <v>0</v>
      </c>
      <c r="BE65" s="339">
        <f t="shared" si="59"/>
        <v>0</v>
      </c>
      <c r="BF65" s="339">
        <f t="shared" si="34"/>
        <v>0</v>
      </c>
      <c r="BG65" s="257">
        <f t="shared" si="35"/>
        <v>0</v>
      </c>
      <c r="BH65" s="420">
        <f>SUMIFS('Отчет РПЗ(ПЗ)_ПЗИП'!$W:$W,'Отчет РПЗ(ПЗ)_ПЗИП'!$D:$D,Справочно!$E30,'Отчет РПЗ(ПЗ)_ПЗИП'!$N:$N,"&gt;=01.10.2017",'Отчет РПЗ(ПЗ)_ПЗИП'!$N:$N,"&lt;=31.10.2017",'Отчет РПЗ(ПЗ)_ПЗИП'!$AG:$AG,"&gt;0")</f>
        <v>0</v>
      </c>
      <c r="BI65" s="340">
        <f>SUMIFS('Отчет РПЗ(ПЗ)_ПЗИП'!$AG:$AG,'Отчет РПЗ(ПЗ)_ПЗИП'!$D:$D,Справочно!$E30,'Отчет РПЗ(ПЗ)_ПЗИП'!$AQ:$AQ,10)</f>
        <v>0</v>
      </c>
      <c r="BJ65" s="380" t="str">
        <f t="shared" si="60"/>
        <v>НД</v>
      </c>
      <c r="BK65" s="259" t="str">
        <f t="shared" si="36"/>
        <v>НД</v>
      </c>
      <c r="BL65" s="435">
        <f>SUMIFS('Отчет РПЗ(ПЗ)_ПЗИП'!$W:$W,'Отчет РПЗ(ПЗ)_ПЗИП'!$D:$D,Справочно!$E30,'Отчет РПЗ(ПЗ)_ПЗИП'!$N:$N,"&gt;=01.11.2017",'Отчет РПЗ(ПЗ)_ПЗИП'!$N:$N,"&lt;=30.11.2017",'Отчет РПЗ(ПЗ)_ПЗИП'!$AG:$AG,"&gt;0")</f>
        <v>0</v>
      </c>
      <c r="BM65" s="340">
        <f>SUMIFS('Отчет РПЗ(ПЗ)_ПЗИП'!$AG:$AG,'Отчет РПЗ(ПЗ)_ПЗИП'!$D:$D,Справочно!$E30,'Отчет РПЗ(ПЗ)_ПЗИП'!$AQ:$AQ,11)</f>
        <v>0</v>
      </c>
      <c r="BN65" s="380" t="str">
        <f t="shared" si="61"/>
        <v>НД</v>
      </c>
      <c r="BO65" s="259" t="str">
        <f t="shared" si="37"/>
        <v>НД</v>
      </c>
      <c r="BP65" s="435">
        <f>SUMIFS('Отчет РПЗ(ПЗ)_ПЗИП'!$W:$W,'Отчет РПЗ(ПЗ)_ПЗИП'!$D:$D,Справочно!$E30,'Отчет РПЗ(ПЗ)_ПЗИП'!$N:$N,"&gt;=01.12.2017",'Отчет РПЗ(ПЗ)_ПЗИП'!$N:$N,"&lt;=31.12.2017",'Отчет РПЗ(ПЗ)_ПЗИП'!$AG:$AG,"&gt;0")</f>
        <v>0</v>
      </c>
      <c r="BQ65" s="340">
        <f>SUMIFS('Отчет РПЗ(ПЗ)_ПЗИП'!$AG:$AG,'Отчет РПЗ(ПЗ)_ПЗИП'!$D:$D,Справочно!$E30,'Отчет РПЗ(ПЗ)_ПЗИП'!$AQ:$AQ,12)</f>
        <v>0</v>
      </c>
      <c r="BR65" s="380" t="str">
        <f t="shared" si="62"/>
        <v>НД</v>
      </c>
      <c r="BS65" s="261" t="str">
        <f t="shared" si="38"/>
        <v>НД</v>
      </c>
      <c r="BT65" s="430">
        <f t="shared" si="63"/>
        <v>0</v>
      </c>
      <c r="BU65" s="341">
        <f t="shared" si="64"/>
        <v>0</v>
      </c>
      <c r="BV65" s="341">
        <f t="shared" si="39"/>
        <v>0</v>
      </c>
      <c r="BW65" s="262">
        <f t="shared" si="40"/>
        <v>0</v>
      </c>
    </row>
    <row r="66" spans="2:75" ht="15" customHeight="1" thickBot="1" x14ac:dyDescent="0.25">
      <c r="B66" s="59" t="str">
        <f>Справочно!E31</f>
        <v>ООО "РТ-Комплектимпекс"</v>
      </c>
      <c r="C66" s="96">
        <f>ПП!B54</f>
        <v>0</v>
      </c>
      <c r="D66" s="418" t="e">
        <f>ПП!C54</f>
        <v>#DIV/0!</v>
      </c>
      <c r="E66" s="443">
        <f>ПП!D54</f>
        <v>0</v>
      </c>
      <c r="F66" s="302">
        <f>COUNTIFS('Отчет РПЗ(ПЗ)_ПЗИП'!$AG:$AG,"&gt;0",'Отчет РПЗ(ПЗ)_ПЗИП'!$D:$D,Справочно!$E31)</f>
        <v>0</v>
      </c>
      <c r="G66" s="444" t="e">
        <f t="shared" si="41"/>
        <v>#DIV/0!</v>
      </c>
      <c r="H66" s="445">
        <f>SUMIF('Отчет РПЗ(ПЗ)_ПЗИП'!$D:$D,Справочно!$E31,'Отчет РПЗ(ПЗ)_ПЗИП'!$AG:$AG)</f>
        <v>0</v>
      </c>
      <c r="I66" s="472">
        <f t="shared" si="65"/>
        <v>0</v>
      </c>
      <c r="J66" s="526" t="e">
        <f t="shared" si="42"/>
        <v>#DIV/0!</v>
      </c>
      <c r="L66" s="436">
        <f>SUMIFS('Отчет РПЗ(ПЗ)_ПЗИП'!$W:$W,'Отчет РПЗ(ПЗ)_ПЗИП'!$D:$D,Справочно!$E31,'Отчет РПЗ(ПЗ)_ПЗИП'!$N:$N,"&gt;=01.01.2017",'Отчет РПЗ(ПЗ)_ПЗИП'!$N:$N,"&lt;=31.01.2017",'Отчет РПЗ(ПЗ)_ПЗИП'!$AG:$AG,"&gt;0")</f>
        <v>0</v>
      </c>
      <c r="M66" s="334">
        <f>SUMIFS('Отчет РПЗ(ПЗ)_ПЗИП'!$AG:$AG,'Отчет РПЗ(ПЗ)_ПЗИП'!$D:$D,Справочно!$E31,'Отчет РПЗ(ПЗ)_ПЗИП'!$AQ:$AQ,1)</f>
        <v>0</v>
      </c>
      <c r="N66" s="342" t="str">
        <f t="shared" si="43"/>
        <v>НД</v>
      </c>
      <c r="O66" s="250" t="str">
        <f t="shared" si="44"/>
        <v>НД</v>
      </c>
      <c r="P66" s="431">
        <f>SUMIFS('Отчет РПЗ(ПЗ)_ПЗИП'!$W:$W,'Отчет РПЗ(ПЗ)_ПЗИП'!$D:$D,Справочно!$E31,'Отчет РПЗ(ПЗ)_ПЗИП'!$N:$N,"&gt;=01.02.2017",'Отчет РПЗ(ПЗ)_ПЗИП'!$N:$N,"&lt;=28.02.2017",'Отчет РПЗ(ПЗ)_ПЗИП'!$AG:$AG,"&gt;0")</f>
        <v>0</v>
      </c>
      <c r="Q66" s="334">
        <f>SUMIFS('Отчет РПЗ(ПЗ)_ПЗИП'!$AG:$AG,'Отчет РПЗ(ПЗ)_ПЗИП'!$D:$D,Справочно!$E31,'Отчет РПЗ(ПЗ)_ПЗИП'!$AQ:$AQ,2)</f>
        <v>0</v>
      </c>
      <c r="R66" s="342" t="str">
        <f t="shared" si="45"/>
        <v>НД</v>
      </c>
      <c r="S66" s="250" t="str">
        <f t="shared" si="46"/>
        <v>НД</v>
      </c>
      <c r="T66" s="431">
        <f>SUMIFS('Отчет РПЗ(ПЗ)_ПЗИП'!$W:$W,'Отчет РПЗ(ПЗ)_ПЗИП'!$D:$D,Справочно!$E31,'Отчет РПЗ(ПЗ)_ПЗИП'!$N:$N,"&gt;=01.03.2017",'Отчет РПЗ(ПЗ)_ПЗИП'!$N:$N,"&lt;=31.03.2017",'Отчет РПЗ(ПЗ)_ПЗИП'!$AG:$AG,"&gt;0")</f>
        <v>0</v>
      </c>
      <c r="U66" s="334">
        <f>SUMIFS('Отчет РПЗ(ПЗ)_ПЗИП'!$AG:$AG,'Отчет РПЗ(ПЗ)_ПЗИП'!$D:$D,Справочно!$E31,'Отчет РПЗ(ПЗ)_ПЗИП'!$AQ:$AQ,3)</f>
        <v>0</v>
      </c>
      <c r="V66" s="342" t="str">
        <f t="shared" si="47"/>
        <v>НД</v>
      </c>
      <c r="W66" s="250" t="str">
        <f t="shared" si="23"/>
        <v>НД</v>
      </c>
      <c r="X66" s="430">
        <f t="shared" si="48"/>
        <v>0</v>
      </c>
      <c r="Y66" s="335">
        <f t="shared" si="49"/>
        <v>0</v>
      </c>
      <c r="Z66" s="335">
        <f t="shared" si="24"/>
        <v>0</v>
      </c>
      <c r="AA66" s="252">
        <f t="shared" si="25"/>
        <v>0</v>
      </c>
      <c r="AB66" s="436">
        <f>SUMIFS('Отчет РПЗ(ПЗ)_ПЗИП'!$W:$W,'Отчет РПЗ(ПЗ)_ПЗИП'!$D:$D,Справочно!$E31,'Отчет РПЗ(ПЗ)_ПЗИП'!$N:$N,"&gt;=01.04.2017",'Отчет РПЗ(ПЗ)_ПЗИП'!$N:$N,"&lt;=30.04.2017",'Отчет РПЗ(ПЗ)_ПЗИП'!$AG:$AG,"&gt;0")</f>
        <v>0</v>
      </c>
      <c r="AC66" s="336">
        <f>SUMIFS('Отчет РПЗ(ПЗ)_ПЗИП'!$AG:$AG,'Отчет РПЗ(ПЗ)_ПЗИП'!$D:$D,Справочно!$E31,'Отчет РПЗ(ПЗ)_ПЗИП'!$AQ:$AQ,4)</f>
        <v>0</v>
      </c>
      <c r="AD66" s="336" t="str">
        <f t="shared" si="50"/>
        <v>НД</v>
      </c>
      <c r="AE66" s="251" t="str">
        <f t="shared" si="26"/>
        <v>НД</v>
      </c>
      <c r="AF66" s="435">
        <f>SUMIFS('Отчет РПЗ(ПЗ)_ПЗИП'!$W:$W,'Отчет РПЗ(ПЗ)_ПЗИП'!$D:$D,Справочно!$E31,'Отчет РПЗ(ПЗ)_ПЗИП'!$N:$N,"&gt;=01.05.2017",'Отчет РПЗ(ПЗ)_ПЗИП'!$N:$N,"&lt;=31.05.2017",'Отчет РПЗ(ПЗ)_ПЗИП'!$AG:$AG,"&gt;0")</f>
        <v>0</v>
      </c>
      <c r="AG66" s="336">
        <f>SUMIFS('Отчет РПЗ(ПЗ)_ПЗИП'!$AG:$AG,'Отчет РПЗ(ПЗ)_ПЗИП'!$D:$D,Справочно!$E31,'Отчет РПЗ(ПЗ)_ПЗИП'!$AQ:$AQ,5)</f>
        <v>0</v>
      </c>
      <c r="AH66" s="336" t="str">
        <f t="shared" si="51"/>
        <v>НД</v>
      </c>
      <c r="AI66" s="251" t="str">
        <f t="shared" si="27"/>
        <v>НД</v>
      </c>
      <c r="AJ66" s="435">
        <f>SUMIFS('Отчет РПЗ(ПЗ)_ПЗИП'!$W:$W,'Отчет РПЗ(ПЗ)_ПЗИП'!$D:$D,Справочно!$E31,'Отчет РПЗ(ПЗ)_ПЗИП'!$N:$N,"&gt;=01.06.2017",'Отчет РПЗ(ПЗ)_ПЗИП'!$N:$N,"&lt;=30.06.2017",'Отчет РПЗ(ПЗ)_ПЗИП'!$AG:$AG,"&gt;0")</f>
        <v>0</v>
      </c>
      <c r="AK66" s="336">
        <f>SUMIFS('Отчет РПЗ(ПЗ)_ПЗИП'!$AG:$AG,'Отчет РПЗ(ПЗ)_ПЗИП'!$D:$D,Справочно!$E31,'Отчет РПЗ(ПЗ)_ПЗИП'!$AQ:$AQ,6)</f>
        <v>0</v>
      </c>
      <c r="AL66" s="336" t="str">
        <f t="shared" si="52"/>
        <v>НД</v>
      </c>
      <c r="AM66" s="251" t="str">
        <f t="shared" si="28"/>
        <v>НД</v>
      </c>
      <c r="AN66" s="430">
        <f t="shared" si="53"/>
        <v>0</v>
      </c>
      <c r="AO66" s="337">
        <f t="shared" si="54"/>
        <v>0</v>
      </c>
      <c r="AP66" s="337">
        <f t="shared" si="29"/>
        <v>0</v>
      </c>
      <c r="AQ66" s="253">
        <f t="shared" si="30"/>
        <v>0</v>
      </c>
      <c r="AR66" s="436">
        <f>SUMIFS('Отчет РПЗ(ПЗ)_ПЗИП'!$W:$W,'Отчет РПЗ(ПЗ)_ПЗИП'!$D:$D,Справочно!$E31,'Отчет РПЗ(ПЗ)_ПЗИП'!$N:$N,"&gt;=01.07.2017",'Отчет РПЗ(ПЗ)_ПЗИП'!$N:$N,"&lt;=31.07.2017",'Отчет РПЗ(ПЗ)_ПЗИП'!$AG:$AG,"&gt;0")</f>
        <v>0</v>
      </c>
      <c r="AS66" s="338">
        <f>SUMIFS('Отчет РПЗ(ПЗ)_ПЗИП'!$AG:$AG,'Отчет РПЗ(ПЗ)_ПЗИП'!$D:$D,Справочно!$E31,'Отчет РПЗ(ПЗ)_ПЗИП'!$AQ:$AQ,7)</f>
        <v>0</v>
      </c>
      <c r="AT66" s="378" t="str">
        <f t="shared" si="55"/>
        <v>НД</v>
      </c>
      <c r="AU66" s="255" t="str">
        <f t="shared" si="31"/>
        <v>НД</v>
      </c>
      <c r="AV66" s="431">
        <f>SUMIFS('Отчет РПЗ(ПЗ)_ПЗИП'!$W:$W,'Отчет РПЗ(ПЗ)_ПЗИП'!$D:$D,Справочно!$E31,'Отчет РПЗ(ПЗ)_ПЗИП'!$N:$N,"&gt;=01.08.2017",'Отчет РПЗ(ПЗ)_ПЗИП'!$N:$N,"&lt;=31.08.2017",'Отчет РПЗ(ПЗ)_ПЗИП'!$AG:$AG,"&gt;0")</f>
        <v>0</v>
      </c>
      <c r="AW66" s="338">
        <f>SUMIFS('Отчет РПЗ(ПЗ)_ПЗИП'!$AG:$AG,'Отчет РПЗ(ПЗ)_ПЗИП'!$D:$D,Справочно!$E31,'Отчет РПЗ(ПЗ)_ПЗИП'!$AQ:$AQ,8)</f>
        <v>0</v>
      </c>
      <c r="AX66" s="378" t="str">
        <f t="shared" si="56"/>
        <v>НД</v>
      </c>
      <c r="AY66" s="255" t="str">
        <f t="shared" si="32"/>
        <v>НД</v>
      </c>
      <c r="AZ66" s="431">
        <f>SUMIFS('Отчет РПЗ(ПЗ)_ПЗИП'!$W:$W,'Отчет РПЗ(ПЗ)_ПЗИП'!$D:$D,Справочно!$E31,'Отчет РПЗ(ПЗ)_ПЗИП'!$N:$N,"&gt;=01.09.2017",'Отчет РПЗ(ПЗ)_ПЗИП'!$N:$N,"&lt;=30.09.2017",'Отчет РПЗ(ПЗ)_ПЗИП'!$AG:$AG,"&gt;0")</f>
        <v>0</v>
      </c>
      <c r="BA66" s="338">
        <f>SUMIFS('Отчет РПЗ(ПЗ)_ПЗИП'!$AG:$AG,'Отчет РПЗ(ПЗ)_ПЗИП'!$D:$D,Справочно!$E31,'Отчет РПЗ(ПЗ)_ПЗИП'!$AQ:$AQ,9)</f>
        <v>0</v>
      </c>
      <c r="BB66" s="378" t="str">
        <f t="shared" si="57"/>
        <v>НД</v>
      </c>
      <c r="BC66" s="255" t="str">
        <f t="shared" si="33"/>
        <v>НД</v>
      </c>
      <c r="BD66" s="430">
        <f t="shared" si="58"/>
        <v>0</v>
      </c>
      <c r="BE66" s="339">
        <f t="shared" si="59"/>
        <v>0</v>
      </c>
      <c r="BF66" s="339">
        <f t="shared" si="34"/>
        <v>0</v>
      </c>
      <c r="BG66" s="257">
        <f t="shared" si="35"/>
        <v>0</v>
      </c>
      <c r="BH66" s="420">
        <f>SUMIFS('Отчет РПЗ(ПЗ)_ПЗИП'!$W:$W,'Отчет РПЗ(ПЗ)_ПЗИП'!$D:$D,Справочно!$E31,'Отчет РПЗ(ПЗ)_ПЗИП'!$N:$N,"&gt;=01.10.2017",'Отчет РПЗ(ПЗ)_ПЗИП'!$N:$N,"&lt;=31.10.2017",'Отчет РПЗ(ПЗ)_ПЗИП'!$AG:$AG,"&gt;0")</f>
        <v>0</v>
      </c>
      <c r="BI66" s="340">
        <f>SUMIFS('Отчет РПЗ(ПЗ)_ПЗИП'!$AG:$AG,'Отчет РПЗ(ПЗ)_ПЗИП'!$D:$D,Справочно!$E31,'Отчет РПЗ(ПЗ)_ПЗИП'!$AQ:$AQ,10)</f>
        <v>0</v>
      </c>
      <c r="BJ66" s="380" t="str">
        <f t="shared" si="60"/>
        <v>НД</v>
      </c>
      <c r="BK66" s="259" t="str">
        <f t="shared" si="36"/>
        <v>НД</v>
      </c>
      <c r="BL66" s="435">
        <f>SUMIFS('Отчет РПЗ(ПЗ)_ПЗИП'!$W:$W,'Отчет РПЗ(ПЗ)_ПЗИП'!$D:$D,Справочно!$E31,'Отчет РПЗ(ПЗ)_ПЗИП'!$N:$N,"&gt;=01.11.2017",'Отчет РПЗ(ПЗ)_ПЗИП'!$N:$N,"&lt;=30.11.2017",'Отчет РПЗ(ПЗ)_ПЗИП'!$AG:$AG,"&gt;0")</f>
        <v>0</v>
      </c>
      <c r="BM66" s="340">
        <f>SUMIFS('Отчет РПЗ(ПЗ)_ПЗИП'!$AG:$AG,'Отчет РПЗ(ПЗ)_ПЗИП'!$D:$D,Справочно!$E31,'Отчет РПЗ(ПЗ)_ПЗИП'!$AQ:$AQ,11)</f>
        <v>0</v>
      </c>
      <c r="BN66" s="380" t="str">
        <f t="shared" si="61"/>
        <v>НД</v>
      </c>
      <c r="BO66" s="259" t="str">
        <f t="shared" si="37"/>
        <v>НД</v>
      </c>
      <c r="BP66" s="435">
        <f>SUMIFS('Отчет РПЗ(ПЗ)_ПЗИП'!$W:$W,'Отчет РПЗ(ПЗ)_ПЗИП'!$D:$D,Справочно!$E31,'Отчет РПЗ(ПЗ)_ПЗИП'!$N:$N,"&gt;=01.12.2017",'Отчет РПЗ(ПЗ)_ПЗИП'!$N:$N,"&lt;=31.12.2017",'Отчет РПЗ(ПЗ)_ПЗИП'!$AG:$AG,"&gt;0")</f>
        <v>0</v>
      </c>
      <c r="BQ66" s="340">
        <f>SUMIFS('Отчет РПЗ(ПЗ)_ПЗИП'!$AG:$AG,'Отчет РПЗ(ПЗ)_ПЗИП'!$D:$D,Справочно!$E31,'Отчет РПЗ(ПЗ)_ПЗИП'!$AQ:$AQ,12)</f>
        <v>0</v>
      </c>
      <c r="BR66" s="380" t="str">
        <f t="shared" si="62"/>
        <v>НД</v>
      </c>
      <c r="BS66" s="261" t="str">
        <f t="shared" si="38"/>
        <v>НД</v>
      </c>
      <c r="BT66" s="430">
        <f t="shared" si="63"/>
        <v>0</v>
      </c>
      <c r="BU66" s="341">
        <f t="shared" si="64"/>
        <v>0</v>
      </c>
      <c r="BV66" s="341">
        <f t="shared" si="39"/>
        <v>0</v>
      </c>
      <c r="BW66" s="262">
        <f t="shared" si="40"/>
        <v>0</v>
      </c>
    </row>
    <row r="67" spans="2:75" ht="13.5" thickBot="1" x14ac:dyDescent="0.25">
      <c r="B67" s="59" t="str">
        <f>Справочно!E32</f>
        <v>ООО "РТ-Экспо"</v>
      </c>
      <c r="C67" s="96">
        <f>ПП!B55</f>
        <v>0</v>
      </c>
      <c r="D67" s="418" t="e">
        <f>ПП!C55</f>
        <v>#DIV/0!</v>
      </c>
      <c r="E67" s="443">
        <f>ПП!D55</f>
        <v>0</v>
      </c>
      <c r="F67" s="302">
        <f>COUNTIFS('Отчет РПЗ(ПЗ)_ПЗИП'!$AG:$AG,"&gt;0",'Отчет РПЗ(ПЗ)_ПЗИП'!$D:$D,Справочно!$E32)</f>
        <v>0</v>
      </c>
      <c r="G67" s="444" t="e">
        <f t="shared" si="41"/>
        <v>#DIV/0!</v>
      </c>
      <c r="H67" s="445">
        <f>SUMIF('Отчет РПЗ(ПЗ)_ПЗИП'!$D:$D,Справочно!$E32,'Отчет РПЗ(ПЗ)_ПЗИП'!$AG:$AG)</f>
        <v>0</v>
      </c>
      <c r="I67" s="472">
        <f t="shared" si="65"/>
        <v>0</v>
      </c>
      <c r="J67" s="526" t="e">
        <f t="shared" si="42"/>
        <v>#DIV/0!</v>
      </c>
      <c r="L67" s="436">
        <f>SUMIFS('Отчет РПЗ(ПЗ)_ПЗИП'!$W:$W,'Отчет РПЗ(ПЗ)_ПЗИП'!$D:$D,Справочно!$E32,'Отчет РПЗ(ПЗ)_ПЗИП'!$N:$N,"&gt;=01.01.2017",'Отчет РПЗ(ПЗ)_ПЗИП'!$N:$N,"&lt;=31.01.2017",'Отчет РПЗ(ПЗ)_ПЗИП'!$AG:$AG,"&gt;0")</f>
        <v>0</v>
      </c>
      <c r="M67" s="334">
        <f>SUMIFS('Отчет РПЗ(ПЗ)_ПЗИП'!$AG:$AG,'Отчет РПЗ(ПЗ)_ПЗИП'!$D:$D,Справочно!$E32,'Отчет РПЗ(ПЗ)_ПЗИП'!$AQ:$AQ,1)</f>
        <v>0</v>
      </c>
      <c r="N67" s="342" t="str">
        <f t="shared" si="43"/>
        <v>НД</v>
      </c>
      <c r="O67" s="250" t="str">
        <f t="shared" si="44"/>
        <v>НД</v>
      </c>
      <c r="P67" s="431">
        <f>SUMIFS('Отчет РПЗ(ПЗ)_ПЗИП'!$W:$W,'Отчет РПЗ(ПЗ)_ПЗИП'!$D:$D,Справочно!$E32,'Отчет РПЗ(ПЗ)_ПЗИП'!$N:$N,"&gt;=01.02.2017",'Отчет РПЗ(ПЗ)_ПЗИП'!$N:$N,"&lt;=28.02.2017",'Отчет РПЗ(ПЗ)_ПЗИП'!$AG:$AG,"&gt;0")</f>
        <v>0</v>
      </c>
      <c r="Q67" s="334">
        <f>SUMIFS('Отчет РПЗ(ПЗ)_ПЗИП'!$AG:$AG,'Отчет РПЗ(ПЗ)_ПЗИП'!$D:$D,Справочно!$E32,'Отчет РПЗ(ПЗ)_ПЗИП'!$AQ:$AQ,2)</f>
        <v>0</v>
      </c>
      <c r="R67" s="342" t="str">
        <f t="shared" si="45"/>
        <v>НД</v>
      </c>
      <c r="S67" s="250" t="str">
        <f t="shared" si="46"/>
        <v>НД</v>
      </c>
      <c r="T67" s="431">
        <f>SUMIFS('Отчет РПЗ(ПЗ)_ПЗИП'!$W:$W,'Отчет РПЗ(ПЗ)_ПЗИП'!$D:$D,Справочно!$E32,'Отчет РПЗ(ПЗ)_ПЗИП'!$N:$N,"&gt;=01.03.2017",'Отчет РПЗ(ПЗ)_ПЗИП'!$N:$N,"&lt;=31.03.2017",'Отчет РПЗ(ПЗ)_ПЗИП'!$AG:$AG,"&gt;0")</f>
        <v>0</v>
      </c>
      <c r="U67" s="334">
        <f>SUMIFS('Отчет РПЗ(ПЗ)_ПЗИП'!$AG:$AG,'Отчет РПЗ(ПЗ)_ПЗИП'!$D:$D,Справочно!$E32,'Отчет РПЗ(ПЗ)_ПЗИП'!$AQ:$AQ,3)</f>
        <v>0</v>
      </c>
      <c r="V67" s="342" t="str">
        <f t="shared" si="47"/>
        <v>НД</v>
      </c>
      <c r="W67" s="250" t="str">
        <f t="shared" si="23"/>
        <v>НД</v>
      </c>
      <c r="X67" s="430">
        <f t="shared" si="48"/>
        <v>0</v>
      </c>
      <c r="Y67" s="335">
        <f t="shared" si="49"/>
        <v>0</v>
      </c>
      <c r="Z67" s="335">
        <f t="shared" si="24"/>
        <v>0</v>
      </c>
      <c r="AA67" s="252">
        <f t="shared" si="25"/>
        <v>0</v>
      </c>
      <c r="AB67" s="436">
        <f>SUMIFS('Отчет РПЗ(ПЗ)_ПЗИП'!$W:$W,'Отчет РПЗ(ПЗ)_ПЗИП'!$D:$D,Справочно!$E32,'Отчет РПЗ(ПЗ)_ПЗИП'!$N:$N,"&gt;=01.04.2017",'Отчет РПЗ(ПЗ)_ПЗИП'!$N:$N,"&lt;=30.04.2017",'Отчет РПЗ(ПЗ)_ПЗИП'!$AG:$AG,"&gt;0")</f>
        <v>0</v>
      </c>
      <c r="AC67" s="336">
        <f>SUMIFS('Отчет РПЗ(ПЗ)_ПЗИП'!$AG:$AG,'Отчет РПЗ(ПЗ)_ПЗИП'!$D:$D,Справочно!$E32,'Отчет РПЗ(ПЗ)_ПЗИП'!$AQ:$AQ,4)</f>
        <v>0</v>
      </c>
      <c r="AD67" s="336" t="str">
        <f t="shared" si="50"/>
        <v>НД</v>
      </c>
      <c r="AE67" s="251" t="str">
        <f t="shared" si="26"/>
        <v>НД</v>
      </c>
      <c r="AF67" s="435">
        <f>SUMIFS('Отчет РПЗ(ПЗ)_ПЗИП'!$W:$W,'Отчет РПЗ(ПЗ)_ПЗИП'!$D:$D,Справочно!$E32,'Отчет РПЗ(ПЗ)_ПЗИП'!$N:$N,"&gt;=01.05.2017",'Отчет РПЗ(ПЗ)_ПЗИП'!$N:$N,"&lt;=31.05.2017",'Отчет РПЗ(ПЗ)_ПЗИП'!$AG:$AG,"&gt;0")</f>
        <v>0</v>
      </c>
      <c r="AG67" s="336">
        <f>SUMIFS('Отчет РПЗ(ПЗ)_ПЗИП'!$AG:$AG,'Отчет РПЗ(ПЗ)_ПЗИП'!$D:$D,Справочно!$E32,'Отчет РПЗ(ПЗ)_ПЗИП'!$AQ:$AQ,5)</f>
        <v>0</v>
      </c>
      <c r="AH67" s="336" t="str">
        <f t="shared" si="51"/>
        <v>НД</v>
      </c>
      <c r="AI67" s="251" t="str">
        <f t="shared" si="27"/>
        <v>НД</v>
      </c>
      <c r="AJ67" s="435">
        <f>SUMIFS('Отчет РПЗ(ПЗ)_ПЗИП'!$W:$W,'Отчет РПЗ(ПЗ)_ПЗИП'!$D:$D,Справочно!$E32,'Отчет РПЗ(ПЗ)_ПЗИП'!$N:$N,"&gt;=01.06.2017",'Отчет РПЗ(ПЗ)_ПЗИП'!$N:$N,"&lt;=30.06.2017",'Отчет РПЗ(ПЗ)_ПЗИП'!$AG:$AG,"&gt;0")</f>
        <v>0</v>
      </c>
      <c r="AK67" s="336">
        <f>SUMIFS('Отчет РПЗ(ПЗ)_ПЗИП'!$AG:$AG,'Отчет РПЗ(ПЗ)_ПЗИП'!$D:$D,Справочно!$E32,'Отчет РПЗ(ПЗ)_ПЗИП'!$AQ:$AQ,6)</f>
        <v>0</v>
      </c>
      <c r="AL67" s="336" t="str">
        <f t="shared" si="52"/>
        <v>НД</v>
      </c>
      <c r="AM67" s="251" t="str">
        <f t="shared" si="28"/>
        <v>НД</v>
      </c>
      <c r="AN67" s="430">
        <f t="shared" si="53"/>
        <v>0</v>
      </c>
      <c r="AO67" s="337">
        <f t="shared" si="54"/>
        <v>0</v>
      </c>
      <c r="AP67" s="337">
        <f t="shared" si="29"/>
        <v>0</v>
      </c>
      <c r="AQ67" s="253">
        <f t="shared" si="30"/>
        <v>0</v>
      </c>
      <c r="AR67" s="436">
        <f>SUMIFS('Отчет РПЗ(ПЗ)_ПЗИП'!$W:$W,'Отчет РПЗ(ПЗ)_ПЗИП'!$D:$D,Справочно!$E32,'Отчет РПЗ(ПЗ)_ПЗИП'!$N:$N,"&gt;=01.07.2017",'Отчет РПЗ(ПЗ)_ПЗИП'!$N:$N,"&lt;=31.07.2017",'Отчет РПЗ(ПЗ)_ПЗИП'!$AG:$AG,"&gt;0")</f>
        <v>0</v>
      </c>
      <c r="AS67" s="338">
        <f>SUMIFS('Отчет РПЗ(ПЗ)_ПЗИП'!$AG:$AG,'Отчет РПЗ(ПЗ)_ПЗИП'!$D:$D,Справочно!$E32,'Отчет РПЗ(ПЗ)_ПЗИП'!$AQ:$AQ,7)</f>
        <v>0</v>
      </c>
      <c r="AT67" s="378" t="str">
        <f t="shared" si="55"/>
        <v>НД</v>
      </c>
      <c r="AU67" s="255" t="str">
        <f t="shared" si="31"/>
        <v>НД</v>
      </c>
      <c r="AV67" s="431">
        <f>SUMIFS('Отчет РПЗ(ПЗ)_ПЗИП'!$W:$W,'Отчет РПЗ(ПЗ)_ПЗИП'!$D:$D,Справочно!$E32,'Отчет РПЗ(ПЗ)_ПЗИП'!$N:$N,"&gt;=01.08.2017",'Отчет РПЗ(ПЗ)_ПЗИП'!$N:$N,"&lt;=31.08.2017",'Отчет РПЗ(ПЗ)_ПЗИП'!$AG:$AG,"&gt;0")</f>
        <v>0</v>
      </c>
      <c r="AW67" s="338">
        <f>SUMIFS('Отчет РПЗ(ПЗ)_ПЗИП'!$AG:$AG,'Отчет РПЗ(ПЗ)_ПЗИП'!$D:$D,Справочно!$E32,'Отчет РПЗ(ПЗ)_ПЗИП'!$AQ:$AQ,8)</f>
        <v>0</v>
      </c>
      <c r="AX67" s="378" t="str">
        <f t="shared" si="56"/>
        <v>НД</v>
      </c>
      <c r="AY67" s="255" t="str">
        <f t="shared" si="32"/>
        <v>НД</v>
      </c>
      <c r="AZ67" s="431">
        <f>SUMIFS('Отчет РПЗ(ПЗ)_ПЗИП'!$W:$W,'Отчет РПЗ(ПЗ)_ПЗИП'!$D:$D,Справочно!$E32,'Отчет РПЗ(ПЗ)_ПЗИП'!$N:$N,"&gt;=01.09.2017",'Отчет РПЗ(ПЗ)_ПЗИП'!$N:$N,"&lt;=30.09.2017",'Отчет РПЗ(ПЗ)_ПЗИП'!$AG:$AG,"&gt;0")</f>
        <v>0</v>
      </c>
      <c r="BA67" s="338">
        <f>SUMIFS('Отчет РПЗ(ПЗ)_ПЗИП'!$AG:$AG,'Отчет РПЗ(ПЗ)_ПЗИП'!$D:$D,Справочно!$E32,'Отчет РПЗ(ПЗ)_ПЗИП'!$AQ:$AQ,9)</f>
        <v>0</v>
      </c>
      <c r="BB67" s="378" t="str">
        <f t="shared" si="57"/>
        <v>НД</v>
      </c>
      <c r="BC67" s="255" t="str">
        <f t="shared" si="33"/>
        <v>НД</v>
      </c>
      <c r="BD67" s="430">
        <f t="shared" si="58"/>
        <v>0</v>
      </c>
      <c r="BE67" s="339">
        <f t="shared" si="59"/>
        <v>0</v>
      </c>
      <c r="BF67" s="339">
        <f t="shared" si="34"/>
        <v>0</v>
      </c>
      <c r="BG67" s="257">
        <f t="shared" si="35"/>
        <v>0</v>
      </c>
      <c r="BH67" s="420">
        <f>SUMIFS('Отчет РПЗ(ПЗ)_ПЗИП'!$W:$W,'Отчет РПЗ(ПЗ)_ПЗИП'!$D:$D,Справочно!$E32,'Отчет РПЗ(ПЗ)_ПЗИП'!$N:$N,"&gt;=01.10.2017",'Отчет РПЗ(ПЗ)_ПЗИП'!$N:$N,"&lt;=31.10.2017",'Отчет РПЗ(ПЗ)_ПЗИП'!$AG:$AG,"&gt;0")</f>
        <v>0</v>
      </c>
      <c r="BI67" s="340">
        <f>SUMIFS('Отчет РПЗ(ПЗ)_ПЗИП'!$AG:$AG,'Отчет РПЗ(ПЗ)_ПЗИП'!$D:$D,Справочно!$E32,'Отчет РПЗ(ПЗ)_ПЗИП'!$AQ:$AQ,10)</f>
        <v>0</v>
      </c>
      <c r="BJ67" s="380" t="str">
        <f t="shared" si="60"/>
        <v>НД</v>
      </c>
      <c r="BK67" s="259" t="str">
        <f t="shared" si="36"/>
        <v>НД</v>
      </c>
      <c r="BL67" s="435">
        <f>SUMIFS('Отчет РПЗ(ПЗ)_ПЗИП'!$W:$W,'Отчет РПЗ(ПЗ)_ПЗИП'!$D:$D,Справочно!$E32,'Отчет РПЗ(ПЗ)_ПЗИП'!$N:$N,"&gt;=01.11.2017",'Отчет РПЗ(ПЗ)_ПЗИП'!$N:$N,"&lt;=30.11.2017",'Отчет РПЗ(ПЗ)_ПЗИП'!$AG:$AG,"&gt;0")</f>
        <v>0</v>
      </c>
      <c r="BM67" s="340">
        <f>SUMIFS('Отчет РПЗ(ПЗ)_ПЗИП'!$AG:$AG,'Отчет РПЗ(ПЗ)_ПЗИП'!$D:$D,Справочно!$E32,'Отчет РПЗ(ПЗ)_ПЗИП'!$AQ:$AQ,11)</f>
        <v>0</v>
      </c>
      <c r="BN67" s="380" t="str">
        <f t="shared" si="61"/>
        <v>НД</v>
      </c>
      <c r="BO67" s="259" t="str">
        <f t="shared" si="37"/>
        <v>НД</v>
      </c>
      <c r="BP67" s="435">
        <f>SUMIFS('Отчет РПЗ(ПЗ)_ПЗИП'!$W:$W,'Отчет РПЗ(ПЗ)_ПЗИП'!$D:$D,Справочно!$E32,'Отчет РПЗ(ПЗ)_ПЗИП'!$N:$N,"&gt;=01.12.2017",'Отчет РПЗ(ПЗ)_ПЗИП'!$N:$N,"&lt;=31.12.2017",'Отчет РПЗ(ПЗ)_ПЗИП'!$AG:$AG,"&gt;0")</f>
        <v>0</v>
      </c>
      <c r="BQ67" s="340">
        <f>SUMIFS('Отчет РПЗ(ПЗ)_ПЗИП'!$AG:$AG,'Отчет РПЗ(ПЗ)_ПЗИП'!$D:$D,Справочно!$E32,'Отчет РПЗ(ПЗ)_ПЗИП'!$AQ:$AQ,12)</f>
        <v>0</v>
      </c>
      <c r="BR67" s="380" t="str">
        <f t="shared" si="62"/>
        <v>НД</v>
      </c>
      <c r="BS67" s="261" t="str">
        <f t="shared" si="38"/>
        <v>НД</v>
      </c>
      <c r="BT67" s="430">
        <f t="shared" si="63"/>
        <v>0</v>
      </c>
      <c r="BU67" s="341">
        <f t="shared" si="64"/>
        <v>0</v>
      </c>
      <c r="BV67" s="341">
        <f t="shared" si="39"/>
        <v>0</v>
      </c>
      <c r="BW67" s="262">
        <f t="shared" si="40"/>
        <v>0</v>
      </c>
    </row>
    <row r="68" spans="2:75" ht="13.5" thickBot="1" x14ac:dyDescent="0.25">
      <c r="B68" s="59" t="str">
        <f>Справочно!E33</f>
        <v>ООО "РТ-Страхование"</v>
      </c>
      <c r="C68" s="96">
        <f>ПП!B56</f>
        <v>0</v>
      </c>
      <c r="D68" s="418" t="e">
        <f>ПП!C56</f>
        <v>#DIV/0!</v>
      </c>
      <c r="E68" s="443">
        <f>ПП!D56</f>
        <v>0</v>
      </c>
      <c r="F68" s="302">
        <f>COUNTIFS('Отчет РПЗ(ПЗ)_ПЗИП'!$AG:$AG,"&gt;0",'Отчет РПЗ(ПЗ)_ПЗИП'!$D:$D,Справочно!$E33)</f>
        <v>0</v>
      </c>
      <c r="G68" s="444" t="e">
        <f t="shared" si="41"/>
        <v>#DIV/0!</v>
      </c>
      <c r="H68" s="445">
        <f>SUMIF('Отчет РПЗ(ПЗ)_ПЗИП'!$D:$D,Справочно!$E33,'Отчет РПЗ(ПЗ)_ПЗИП'!$AG:$AG)</f>
        <v>0</v>
      </c>
      <c r="I68" s="472">
        <f t="shared" si="65"/>
        <v>0</v>
      </c>
      <c r="J68" s="526" t="e">
        <f t="shared" si="42"/>
        <v>#DIV/0!</v>
      </c>
      <c r="L68" s="436">
        <f>SUMIFS('Отчет РПЗ(ПЗ)_ПЗИП'!$W:$W,'Отчет РПЗ(ПЗ)_ПЗИП'!$D:$D,Справочно!$E33,'Отчет РПЗ(ПЗ)_ПЗИП'!$N:$N,"&gt;=01.01.2017",'Отчет РПЗ(ПЗ)_ПЗИП'!$N:$N,"&lt;=31.01.2017",'Отчет РПЗ(ПЗ)_ПЗИП'!$AG:$AG,"&gt;0")</f>
        <v>0</v>
      </c>
      <c r="M68" s="334">
        <f>SUMIFS('Отчет РПЗ(ПЗ)_ПЗИП'!$AG:$AG,'Отчет РПЗ(ПЗ)_ПЗИП'!$D:$D,Справочно!$E33,'Отчет РПЗ(ПЗ)_ПЗИП'!$AQ:$AQ,1)</f>
        <v>0</v>
      </c>
      <c r="N68" s="342" t="str">
        <f t="shared" si="43"/>
        <v>НД</v>
      </c>
      <c r="O68" s="250" t="str">
        <f t="shared" si="44"/>
        <v>НД</v>
      </c>
      <c r="P68" s="431">
        <f>SUMIFS('Отчет РПЗ(ПЗ)_ПЗИП'!$W:$W,'Отчет РПЗ(ПЗ)_ПЗИП'!$D:$D,Справочно!$E33,'Отчет РПЗ(ПЗ)_ПЗИП'!$N:$N,"&gt;=01.02.2017",'Отчет РПЗ(ПЗ)_ПЗИП'!$N:$N,"&lt;=28.02.2017",'Отчет РПЗ(ПЗ)_ПЗИП'!$AG:$AG,"&gt;0")</f>
        <v>0</v>
      </c>
      <c r="Q68" s="334">
        <f>SUMIFS('Отчет РПЗ(ПЗ)_ПЗИП'!$AG:$AG,'Отчет РПЗ(ПЗ)_ПЗИП'!$D:$D,Справочно!$E33,'Отчет РПЗ(ПЗ)_ПЗИП'!$AQ:$AQ,2)</f>
        <v>0</v>
      </c>
      <c r="R68" s="342" t="str">
        <f t="shared" si="45"/>
        <v>НД</v>
      </c>
      <c r="S68" s="250" t="str">
        <f t="shared" si="46"/>
        <v>НД</v>
      </c>
      <c r="T68" s="431">
        <f>SUMIFS('Отчет РПЗ(ПЗ)_ПЗИП'!$W:$W,'Отчет РПЗ(ПЗ)_ПЗИП'!$D:$D,Справочно!$E33,'Отчет РПЗ(ПЗ)_ПЗИП'!$N:$N,"&gt;=01.03.2017",'Отчет РПЗ(ПЗ)_ПЗИП'!$N:$N,"&lt;=31.03.2017",'Отчет РПЗ(ПЗ)_ПЗИП'!$AG:$AG,"&gt;0")</f>
        <v>0</v>
      </c>
      <c r="U68" s="334">
        <f>SUMIFS('Отчет РПЗ(ПЗ)_ПЗИП'!$AG:$AG,'Отчет РПЗ(ПЗ)_ПЗИП'!$D:$D,Справочно!$E33,'Отчет РПЗ(ПЗ)_ПЗИП'!$AQ:$AQ,3)</f>
        <v>0</v>
      </c>
      <c r="V68" s="342" t="str">
        <f t="shared" si="47"/>
        <v>НД</v>
      </c>
      <c r="W68" s="250" t="str">
        <f t="shared" si="23"/>
        <v>НД</v>
      </c>
      <c r="X68" s="430">
        <f t="shared" si="48"/>
        <v>0</v>
      </c>
      <c r="Y68" s="335">
        <f t="shared" si="49"/>
        <v>0</v>
      </c>
      <c r="Z68" s="335">
        <f t="shared" si="24"/>
        <v>0</v>
      </c>
      <c r="AA68" s="252">
        <f t="shared" si="25"/>
        <v>0</v>
      </c>
      <c r="AB68" s="436">
        <f>SUMIFS('Отчет РПЗ(ПЗ)_ПЗИП'!$W:$W,'Отчет РПЗ(ПЗ)_ПЗИП'!$D:$D,Справочно!$E33,'Отчет РПЗ(ПЗ)_ПЗИП'!$N:$N,"&gt;=01.04.2017",'Отчет РПЗ(ПЗ)_ПЗИП'!$N:$N,"&lt;=30.04.2017",'Отчет РПЗ(ПЗ)_ПЗИП'!$AG:$AG,"&gt;0")</f>
        <v>0</v>
      </c>
      <c r="AC68" s="336">
        <f>SUMIFS('Отчет РПЗ(ПЗ)_ПЗИП'!$AG:$AG,'Отчет РПЗ(ПЗ)_ПЗИП'!$D:$D,Справочно!$E33,'Отчет РПЗ(ПЗ)_ПЗИП'!$AQ:$AQ,4)</f>
        <v>0</v>
      </c>
      <c r="AD68" s="336" t="str">
        <f t="shared" si="50"/>
        <v>НД</v>
      </c>
      <c r="AE68" s="251" t="str">
        <f t="shared" si="26"/>
        <v>НД</v>
      </c>
      <c r="AF68" s="435">
        <f>SUMIFS('Отчет РПЗ(ПЗ)_ПЗИП'!$W:$W,'Отчет РПЗ(ПЗ)_ПЗИП'!$D:$D,Справочно!$E33,'Отчет РПЗ(ПЗ)_ПЗИП'!$N:$N,"&gt;=01.05.2017",'Отчет РПЗ(ПЗ)_ПЗИП'!$N:$N,"&lt;=31.05.2017",'Отчет РПЗ(ПЗ)_ПЗИП'!$AG:$AG,"&gt;0")</f>
        <v>0</v>
      </c>
      <c r="AG68" s="336">
        <f>SUMIFS('Отчет РПЗ(ПЗ)_ПЗИП'!$AG:$AG,'Отчет РПЗ(ПЗ)_ПЗИП'!$D:$D,Справочно!$E33,'Отчет РПЗ(ПЗ)_ПЗИП'!$AQ:$AQ,5)</f>
        <v>0</v>
      </c>
      <c r="AH68" s="336" t="str">
        <f t="shared" si="51"/>
        <v>НД</v>
      </c>
      <c r="AI68" s="251" t="str">
        <f t="shared" si="27"/>
        <v>НД</v>
      </c>
      <c r="AJ68" s="435">
        <f>SUMIFS('Отчет РПЗ(ПЗ)_ПЗИП'!$W:$W,'Отчет РПЗ(ПЗ)_ПЗИП'!$D:$D,Справочно!$E33,'Отчет РПЗ(ПЗ)_ПЗИП'!$N:$N,"&gt;=01.06.2017",'Отчет РПЗ(ПЗ)_ПЗИП'!$N:$N,"&lt;=30.06.2017",'Отчет РПЗ(ПЗ)_ПЗИП'!$AG:$AG,"&gt;0")</f>
        <v>0</v>
      </c>
      <c r="AK68" s="336">
        <f>SUMIFS('Отчет РПЗ(ПЗ)_ПЗИП'!$AG:$AG,'Отчет РПЗ(ПЗ)_ПЗИП'!$D:$D,Справочно!$E33,'Отчет РПЗ(ПЗ)_ПЗИП'!$AQ:$AQ,6)</f>
        <v>0</v>
      </c>
      <c r="AL68" s="336" t="str">
        <f t="shared" si="52"/>
        <v>НД</v>
      </c>
      <c r="AM68" s="251" t="str">
        <f t="shared" si="28"/>
        <v>НД</v>
      </c>
      <c r="AN68" s="430">
        <f t="shared" si="53"/>
        <v>0</v>
      </c>
      <c r="AO68" s="337">
        <f t="shared" si="54"/>
        <v>0</v>
      </c>
      <c r="AP68" s="337">
        <f t="shared" si="29"/>
        <v>0</v>
      </c>
      <c r="AQ68" s="253">
        <f t="shared" si="30"/>
        <v>0</v>
      </c>
      <c r="AR68" s="436">
        <f>SUMIFS('Отчет РПЗ(ПЗ)_ПЗИП'!$W:$W,'Отчет РПЗ(ПЗ)_ПЗИП'!$D:$D,Справочно!$E33,'Отчет РПЗ(ПЗ)_ПЗИП'!$N:$N,"&gt;=01.07.2017",'Отчет РПЗ(ПЗ)_ПЗИП'!$N:$N,"&lt;=31.07.2017",'Отчет РПЗ(ПЗ)_ПЗИП'!$AG:$AG,"&gt;0")</f>
        <v>0</v>
      </c>
      <c r="AS68" s="338">
        <f>SUMIFS('Отчет РПЗ(ПЗ)_ПЗИП'!$AG:$AG,'Отчет РПЗ(ПЗ)_ПЗИП'!$D:$D,Справочно!$E33,'Отчет РПЗ(ПЗ)_ПЗИП'!$AQ:$AQ,7)</f>
        <v>0</v>
      </c>
      <c r="AT68" s="378" t="str">
        <f t="shared" si="55"/>
        <v>НД</v>
      </c>
      <c r="AU68" s="255" t="str">
        <f t="shared" si="31"/>
        <v>НД</v>
      </c>
      <c r="AV68" s="431">
        <f>SUMIFS('Отчет РПЗ(ПЗ)_ПЗИП'!$W:$W,'Отчет РПЗ(ПЗ)_ПЗИП'!$D:$D,Справочно!$E33,'Отчет РПЗ(ПЗ)_ПЗИП'!$N:$N,"&gt;=01.08.2017",'Отчет РПЗ(ПЗ)_ПЗИП'!$N:$N,"&lt;=31.08.2017",'Отчет РПЗ(ПЗ)_ПЗИП'!$AG:$AG,"&gt;0")</f>
        <v>0</v>
      </c>
      <c r="AW68" s="338">
        <f>SUMIFS('Отчет РПЗ(ПЗ)_ПЗИП'!$AG:$AG,'Отчет РПЗ(ПЗ)_ПЗИП'!$D:$D,Справочно!$E33,'Отчет РПЗ(ПЗ)_ПЗИП'!$AQ:$AQ,8)</f>
        <v>0</v>
      </c>
      <c r="AX68" s="378" t="str">
        <f t="shared" si="56"/>
        <v>НД</v>
      </c>
      <c r="AY68" s="255" t="str">
        <f t="shared" si="32"/>
        <v>НД</v>
      </c>
      <c r="AZ68" s="431">
        <f>SUMIFS('Отчет РПЗ(ПЗ)_ПЗИП'!$W:$W,'Отчет РПЗ(ПЗ)_ПЗИП'!$D:$D,Справочно!$E33,'Отчет РПЗ(ПЗ)_ПЗИП'!$N:$N,"&gt;=01.09.2017",'Отчет РПЗ(ПЗ)_ПЗИП'!$N:$N,"&lt;=30.09.2017",'Отчет РПЗ(ПЗ)_ПЗИП'!$AG:$AG,"&gt;0")</f>
        <v>0</v>
      </c>
      <c r="BA68" s="338">
        <f>SUMIFS('Отчет РПЗ(ПЗ)_ПЗИП'!$AG:$AG,'Отчет РПЗ(ПЗ)_ПЗИП'!$D:$D,Справочно!$E33,'Отчет РПЗ(ПЗ)_ПЗИП'!$AQ:$AQ,9)</f>
        <v>0</v>
      </c>
      <c r="BB68" s="378" t="str">
        <f t="shared" si="57"/>
        <v>НД</v>
      </c>
      <c r="BC68" s="255" t="str">
        <f t="shared" si="33"/>
        <v>НД</v>
      </c>
      <c r="BD68" s="430">
        <f t="shared" si="58"/>
        <v>0</v>
      </c>
      <c r="BE68" s="339">
        <f t="shared" si="59"/>
        <v>0</v>
      </c>
      <c r="BF68" s="339">
        <f t="shared" si="34"/>
        <v>0</v>
      </c>
      <c r="BG68" s="257">
        <f t="shared" si="35"/>
        <v>0</v>
      </c>
      <c r="BH68" s="420">
        <f>SUMIFS('Отчет РПЗ(ПЗ)_ПЗИП'!$W:$W,'Отчет РПЗ(ПЗ)_ПЗИП'!$D:$D,Справочно!$E33,'Отчет РПЗ(ПЗ)_ПЗИП'!$N:$N,"&gt;=01.10.2017",'Отчет РПЗ(ПЗ)_ПЗИП'!$N:$N,"&lt;=31.10.2017",'Отчет РПЗ(ПЗ)_ПЗИП'!$AG:$AG,"&gt;0")</f>
        <v>0</v>
      </c>
      <c r="BI68" s="340">
        <f>SUMIFS('Отчет РПЗ(ПЗ)_ПЗИП'!$AG:$AG,'Отчет РПЗ(ПЗ)_ПЗИП'!$D:$D,Справочно!$E33,'Отчет РПЗ(ПЗ)_ПЗИП'!$AQ:$AQ,10)</f>
        <v>0</v>
      </c>
      <c r="BJ68" s="380" t="str">
        <f t="shared" si="60"/>
        <v>НД</v>
      </c>
      <c r="BK68" s="259" t="str">
        <f t="shared" si="36"/>
        <v>НД</v>
      </c>
      <c r="BL68" s="435">
        <f>SUMIFS('Отчет РПЗ(ПЗ)_ПЗИП'!$W:$W,'Отчет РПЗ(ПЗ)_ПЗИП'!$D:$D,Справочно!$E33,'Отчет РПЗ(ПЗ)_ПЗИП'!$N:$N,"&gt;=01.11.2017",'Отчет РПЗ(ПЗ)_ПЗИП'!$N:$N,"&lt;=30.11.2017",'Отчет РПЗ(ПЗ)_ПЗИП'!$AG:$AG,"&gt;0")</f>
        <v>0</v>
      </c>
      <c r="BM68" s="340">
        <f>SUMIFS('Отчет РПЗ(ПЗ)_ПЗИП'!$AG:$AG,'Отчет РПЗ(ПЗ)_ПЗИП'!$D:$D,Справочно!$E33,'Отчет РПЗ(ПЗ)_ПЗИП'!$AQ:$AQ,11)</f>
        <v>0</v>
      </c>
      <c r="BN68" s="380" t="str">
        <f t="shared" si="61"/>
        <v>НД</v>
      </c>
      <c r="BO68" s="259" t="str">
        <f t="shared" si="37"/>
        <v>НД</v>
      </c>
      <c r="BP68" s="435">
        <f>SUMIFS('Отчет РПЗ(ПЗ)_ПЗИП'!$W:$W,'Отчет РПЗ(ПЗ)_ПЗИП'!$D:$D,Справочно!$E33,'Отчет РПЗ(ПЗ)_ПЗИП'!$N:$N,"&gt;=01.12.2017",'Отчет РПЗ(ПЗ)_ПЗИП'!$N:$N,"&lt;=31.12.2017",'Отчет РПЗ(ПЗ)_ПЗИП'!$AG:$AG,"&gt;0")</f>
        <v>0</v>
      </c>
      <c r="BQ68" s="340">
        <f>SUMIFS('Отчет РПЗ(ПЗ)_ПЗИП'!$AG:$AG,'Отчет РПЗ(ПЗ)_ПЗИП'!$D:$D,Справочно!$E33,'Отчет РПЗ(ПЗ)_ПЗИП'!$AQ:$AQ,12)</f>
        <v>0</v>
      </c>
      <c r="BR68" s="380" t="str">
        <f t="shared" si="62"/>
        <v>НД</v>
      </c>
      <c r="BS68" s="261" t="str">
        <f t="shared" si="38"/>
        <v>НД</v>
      </c>
      <c r="BT68" s="430">
        <f t="shared" si="63"/>
        <v>0</v>
      </c>
      <c r="BU68" s="341">
        <f t="shared" si="64"/>
        <v>0</v>
      </c>
      <c r="BV68" s="341">
        <f t="shared" si="39"/>
        <v>0</v>
      </c>
      <c r="BW68" s="262">
        <f t="shared" si="40"/>
        <v>0</v>
      </c>
    </row>
    <row r="69" spans="2:75" ht="13.5" thickBot="1" x14ac:dyDescent="0.25">
      <c r="B69" s="59" t="str">
        <f>Справочно!E34</f>
        <v>АО "Концерн Радиоэлектронные технологии"</v>
      </c>
      <c r="C69" s="96">
        <f>ПП!B57</f>
        <v>0</v>
      </c>
      <c r="D69" s="418" t="e">
        <f>ПП!C57</f>
        <v>#DIV/0!</v>
      </c>
      <c r="E69" s="443">
        <f>ПП!D57</f>
        <v>0</v>
      </c>
      <c r="F69" s="302">
        <f>COUNTIFS('Отчет РПЗ(ПЗ)_ПЗИП'!$AG:$AG,"&gt;0",'Отчет РПЗ(ПЗ)_ПЗИП'!$D:$D,Справочно!$E34)</f>
        <v>0</v>
      </c>
      <c r="G69" s="444" t="e">
        <f t="shared" si="41"/>
        <v>#DIV/0!</v>
      </c>
      <c r="H69" s="445">
        <f>SUMIF('Отчет РПЗ(ПЗ)_ПЗИП'!$D:$D,Справочно!$E34,'Отчет РПЗ(ПЗ)_ПЗИП'!$AG:$AG)</f>
        <v>0</v>
      </c>
      <c r="I69" s="472">
        <f t="shared" si="65"/>
        <v>0</v>
      </c>
      <c r="J69" s="526" t="e">
        <f t="shared" si="42"/>
        <v>#DIV/0!</v>
      </c>
      <c r="L69" s="436">
        <f>SUMIFS('Отчет РПЗ(ПЗ)_ПЗИП'!$W:$W,'Отчет РПЗ(ПЗ)_ПЗИП'!$D:$D,Справочно!$E34,'Отчет РПЗ(ПЗ)_ПЗИП'!$N:$N,"&gt;=01.01.2017",'Отчет РПЗ(ПЗ)_ПЗИП'!$N:$N,"&lt;=31.01.2017",'Отчет РПЗ(ПЗ)_ПЗИП'!$AG:$AG,"&gt;0")</f>
        <v>0</v>
      </c>
      <c r="M69" s="334">
        <f>SUMIFS('Отчет РПЗ(ПЗ)_ПЗИП'!$AG:$AG,'Отчет РПЗ(ПЗ)_ПЗИП'!$D:$D,Справочно!$E34,'Отчет РПЗ(ПЗ)_ПЗИП'!$AQ:$AQ,1)</f>
        <v>0</v>
      </c>
      <c r="N69" s="342" t="str">
        <f t="shared" si="43"/>
        <v>НД</v>
      </c>
      <c r="O69" s="250" t="str">
        <f t="shared" si="44"/>
        <v>НД</v>
      </c>
      <c r="P69" s="431">
        <f>SUMIFS('Отчет РПЗ(ПЗ)_ПЗИП'!$W:$W,'Отчет РПЗ(ПЗ)_ПЗИП'!$D:$D,Справочно!$E34,'Отчет РПЗ(ПЗ)_ПЗИП'!$N:$N,"&gt;=01.02.2017",'Отчет РПЗ(ПЗ)_ПЗИП'!$N:$N,"&lt;=28.02.2017",'Отчет РПЗ(ПЗ)_ПЗИП'!$AG:$AG,"&gt;0")</f>
        <v>0</v>
      </c>
      <c r="Q69" s="334">
        <f>SUMIFS('Отчет РПЗ(ПЗ)_ПЗИП'!$AG:$AG,'Отчет РПЗ(ПЗ)_ПЗИП'!$D:$D,Справочно!$E34,'Отчет РПЗ(ПЗ)_ПЗИП'!$AQ:$AQ,2)</f>
        <v>0</v>
      </c>
      <c r="R69" s="342" t="str">
        <f t="shared" si="45"/>
        <v>НД</v>
      </c>
      <c r="S69" s="250" t="str">
        <f t="shared" si="46"/>
        <v>НД</v>
      </c>
      <c r="T69" s="431">
        <f>SUMIFS('Отчет РПЗ(ПЗ)_ПЗИП'!$W:$W,'Отчет РПЗ(ПЗ)_ПЗИП'!$D:$D,Справочно!$E34,'Отчет РПЗ(ПЗ)_ПЗИП'!$N:$N,"&gt;=01.03.2017",'Отчет РПЗ(ПЗ)_ПЗИП'!$N:$N,"&lt;=31.03.2017",'Отчет РПЗ(ПЗ)_ПЗИП'!$AG:$AG,"&gt;0")</f>
        <v>0</v>
      </c>
      <c r="U69" s="334">
        <f>SUMIFS('Отчет РПЗ(ПЗ)_ПЗИП'!$AG:$AG,'Отчет РПЗ(ПЗ)_ПЗИП'!$D:$D,Справочно!$E34,'Отчет РПЗ(ПЗ)_ПЗИП'!$AQ:$AQ,3)</f>
        <v>0</v>
      </c>
      <c r="V69" s="342" t="str">
        <f t="shared" si="47"/>
        <v>НД</v>
      </c>
      <c r="W69" s="250" t="str">
        <f t="shared" si="23"/>
        <v>НД</v>
      </c>
      <c r="X69" s="430">
        <f t="shared" si="48"/>
        <v>0</v>
      </c>
      <c r="Y69" s="335">
        <f t="shared" si="49"/>
        <v>0</v>
      </c>
      <c r="Z69" s="335">
        <f t="shared" si="24"/>
        <v>0</v>
      </c>
      <c r="AA69" s="252">
        <f t="shared" si="25"/>
        <v>0</v>
      </c>
      <c r="AB69" s="436">
        <f>SUMIFS('Отчет РПЗ(ПЗ)_ПЗИП'!$W:$W,'Отчет РПЗ(ПЗ)_ПЗИП'!$D:$D,Справочно!$E34,'Отчет РПЗ(ПЗ)_ПЗИП'!$N:$N,"&gt;=01.04.2017",'Отчет РПЗ(ПЗ)_ПЗИП'!$N:$N,"&lt;=30.04.2017",'Отчет РПЗ(ПЗ)_ПЗИП'!$AG:$AG,"&gt;0")</f>
        <v>0</v>
      </c>
      <c r="AC69" s="336">
        <f>SUMIFS('Отчет РПЗ(ПЗ)_ПЗИП'!$AG:$AG,'Отчет РПЗ(ПЗ)_ПЗИП'!$D:$D,Справочно!$E34,'Отчет РПЗ(ПЗ)_ПЗИП'!$AQ:$AQ,4)</f>
        <v>0</v>
      </c>
      <c r="AD69" s="336" t="str">
        <f t="shared" si="50"/>
        <v>НД</v>
      </c>
      <c r="AE69" s="251" t="str">
        <f t="shared" si="26"/>
        <v>НД</v>
      </c>
      <c r="AF69" s="435">
        <f>SUMIFS('Отчет РПЗ(ПЗ)_ПЗИП'!$W:$W,'Отчет РПЗ(ПЗ)_ПЗИП'!$D:$D,Справочно!$E34,'Отчет РПЗ(ПЗ)_ПЗИП'!$N:$N,"&gt;=01.05.2017",'Отчет РПЗ(ПЗ)_ПЗИП'!$N:$N,"&lt;=31.05.2017",'Отчет РПЗ(ПЗ)_ПЗИП'!$AG:$AG,"&gt;0")</f>
        <v>0</v>
      </c>
      <c r="AG69" s="336">
        <f>SUMIFS('Отчет РПЗ(ПЗ)_ПЗИП'!$AG:$AG,'Отчет РПЗ(ПЗ)_ПЗИП'!$D:$D,Справочно!$E34,'Отчет РПЗ(ПЗ)_ПЗИП'!$AQ:$AQ,5)</f>
        <v>0</v>
      </c>
      <c r="AH69" s="336" t="str">
        <f t="shared" si="51"/>
        <v>НД</v>
      </c>
      <c r="AI69" s="251" t="str">
        <f t="shared" si="27"/>
        <v>НД</v>
      </c>
      <c r="AJ69" s="435">
        <f>SUMIFS('Отчет РПЗ(ПЗ)_ПЗИП'!$W:$W,'Отчет РПЗ(ПЗ)_ПЗИП'!$D:$D,Справочно!$E34,'Отчет РПЗ(ПЗ)_ПЗИП'!$N:$N,"&gt;=01.06.2017",'Отчет РПЗ(ПЗ)_ПЗИП'!$N:$N,"&lt;=30.06.2017",'Отчет РПЗ(ПЗ)_ПЗИП'!$AG:$AG,"&gt;0")</f>
        <v>0</v>
      </c>
      <c r="AK69" s="336">
        <f>SUMIFS('Отчет РПЗ(ПЗ)_ПЗИП'!$AG:$AG,'Отчет РПЗ(ПЗ)_ПЗИП'!$D:$D,Справочно!$E34,'Отчет РПЗ(ПЗ)_ПЗИП'!$AQ:$AQ,6)</f>
        <v>0</v>
      </c>
      <c r="AL69" s="336" t="str">
        <f t="shared" si="52"/>
        <v>НД</v>
      </c>
      <c r="AM69" s="251" t="str">
        <f t="shared" si="28"/>
        <v>НД</v>
      </c>
      <c r="AN69" s="430">
        <f t="shared" si="53"/>
        <v>0</v>
      </c>
      <c r="AO69" s="337">
        <f t="shared" si="54"/>
        <v>0</v>
      </c>
      <c r="AP69" s="337">
        <f t="shared" si="29"/>
        <v>0</v>
      </c>
      <c r="AQ69" s="253">
        <f t="shared" si="30"/>
        <v>0</v>
      </c>
      <c r="AR69" s="436">
        <f>SUMIFS('Отчет РПЗ(ПЗ)_ПЗИП'!$W:$W,'Отчет РПЗ(ПЗ)_ПЗИП'!$D:$D,Справочно!$E34,'Отчет РПЗ(ПЗ)_ПЗИП'!$N:$N,"&gt;=01.07.2017",'Отчет РПЗ(ПЗ)_ПЗИП'!$N:$N,"&lt;=31.07.2017",'Отчет РПЗ(ПЗ)_ПЗИП'!$AG:$AG,"&gt;0")</f>
        <v>0</v>
      </c>
      <c r="AS69" s="338">
        <f>SUMIFS('Отчет РПЗ(ПЗ)_ПЗИП'!$AG:$AG,'Отчет РПЗ(ПЗ)_ПЗИП'!$D:$D,Справочно!$E34,'Отчет РПЗ(ПЗ)_ПЗИП'!$AQ:$AQ,7)</f>
        <v>0</v>
      </c>
      <c r="AT69" s="378" t="str">
        <f t="shared" si="55"/>
        <v>НД</v>
      </c>
      <c r="AU69" s="255" t="str">
        <f t="shared" si="31"/>
        <v>НД</v>
      </c>
      <c r="AV69" s="431">
        <f>SUMIFS('Отчет РПЗ(ПЗ)_ПЗИП'!$W:$W,'Отчет РПЗ(ПЗ)_ПЗИП'!$D:$D,Справочно!$E34,'Отчет РПЗ(ПЗ)_ПЗИП'!$N:$N,"&gt;=01.08.2017",'Отчет РПЗ(ПЗ)_ПЗИП'!$N:$N,"&lt;=31.08.2017",'Отчет РПЗ(ПЗ)_ПЗИП'!$AG:$AG,"&gt;0")</f>
        <v>0</v>
      </c>
      <c r="AW69" s="338">
        <f>SUMIFS('Отчет РПЗ(ПЗ)_ПЗИП'!$AG:$AG,'Отчет РПЗ(ПЗ)_ПЗИП'!$D:$D,Справочно!$E34,'Отчет РПЗ(ПЗ)_ПЗИП'!$AQ:$AQ,8)</f>
        <v>0</v>
      </c>
      <c r="AX69" s="378" t="str">
        <f t="shared" si="56"/>
        <v>НД</v>
      </c>
      <c r="AY69" s="255" t="str">
        <f t="shared" si="32"/>
        <v>НД</v>
      </c>
      <c r="AZ69" s="431">
        <f>SUMIFS('Отчет РПЗ(ПЗ)_ПЗИП'!$W:$W,'Отчет РПЗ(ПЗ)_ПЗИП'!$D:$D,Справочно!$E34,'Отчет РПЗ(ПЗ)_ПЗИП'!$N:$N,"&gt;=01.09.2017",'Отчет РПЗ(ПЗ)_ПЗИП'!$N:$N,"&lt;=30.09.2017",'Отчет РПЗ(ПЗ)_ПЗИП'!$AG:$AG,"&gt;0")</f>
        <v>0</v>
      </c>
      <c r="BA69" s="338">
        <f>SUMIFS('Отчет РПЗ(ПЗ)_ПЗИП'!$AG:$AG,'Отчет РПЗ(ПЗ)_ПЗИП'!$D:$D,Справочно!$E34,'Отчет РПЗ(ПЗ)_ПЗИП'!$AQ:$AQ,9)</f>
        <v>0</v>
      </c>
      <c r="BB69" s="378" t="str">
        <f t="shared" si="57"/>
        <v>НД</v>
      </c>
      <c r="BC69" s="255" t="str">
        <f t="shared" si="33"/>
        <v>НД</v>
      </c>
      <c r="BD69" s="430">
        <f t="shared" si="58"/>
        <v>0</v>
      </c>
      <c r="BE69" s="339">
        <f t="shared" si="59"/>
        <v>0</v>
      </c>
      <c r="BF69" s="339">
        <f t="shared" si="34"/>
        <v>0</v>
      </c>
      <c r="BG69" s="257">
        <f t="shared" si="35"/>
        <v>0</v>
      </c>
      <c r="BH69" s="420">
        <f>SUMIFS('Отчет РПЗ(ПЗ)_ПЗИП'!$W:$W,'Отчет РПЗ(ПЗ)_ПЗИП'!$D:$D,Справочно!$E34,'Отчет РПЗ(ПЗ)_ПЗИП'!$N:$N,"&gt;=01.10.2017",'Отчет РПЗ(ПЗ)_ПЗИП'!$N:$N,"&lt;=31.10.2017",'Отчет РПЗ(ПЗ)_ПЗИП'!$AG:$AG,"&gt;0")</f>
        <v>0</v>
      </c>
      <c r="BI69" s="340">
        <f>SUMIFS('Отчет РПЗ(ПЗ)_ПЗИП'!$AG:$AG,'Отчет РПЗ(ПЗ)_ПЗИП'!$D:$D,Справочно!$E34,'Отчет РПЗ(ПЗ)_ПЗИП'!$AQ:$AQ,10)</f>
        <v>0</v>
      </c>
      <c r="BJ69" s="380" t="str">
        <f t="shared" si="60"/>
        <v>НД</v>
      </c>
      <c r="BK69" s="259" t="str">
        <f t="shared" si="36"/>
        <v>НД</v>
      </c>
      <c r="BL69" s="435">
        <f>SUMIFS('Отчет РПЗ(ПЗ)_ПЗИП'!$W:$W,'Отчет РПЗ(ПЗ)_ПЗИП'!$D:$D,Справочно!$E34,'Отчет РПЗ(ПЗ)_ПЗИП'!$N:$N,"&gt;=01.11.2017",'Отчет РПЗ(ПЗ)_ПЗИП'!$N:$N,"&lt;=30.11.2017",'Отчет РПЗ(ПЗ)_ПЗИП'!$AG:$AG,"&gt;0")</f>
        <v>0</v>
      </c>
      <c r="BM69" s="340">
        <f>SUMIFS('Отчет РПЗ(ПЗ)_ПЗИП'!$AG:$AG,'Отчет РПЗ(ПЗ)_ПЗИП'!$D:$D,Справочно!$E34,'Отчет РПЗ(ПЗ)_ПЗИП'!$AQ:$AQ,11)</f>
        <v>0</v>
      </c>
      <c r="BN69" s="380" t="str">
        <f t="shared" si="61"/>
        <v>НД</v>
      </c>
      <c r="BO69" s="259" t="str">
        <f t="shared" si="37"/>
        <v>НД</v>
      </c>
      <c r="BP69" s="435">
        <f>SUMIFS('Отчет РПЗ(ПЗ)_ПЗИП'!$W:$W,'Отчет РПЗ(ПЗ)_ПЗИП'!$D:$D,Справочно!$E34,'Отчет РПЗ(ПЗ)_ПЗИП'!$N:$N,"&gt;=01.12.2017",'Отчет РПЗ(ПЗ)_ПЗИП'!$N:$N,"&lt;=31.12.2017",'Отчет РПЗ(ПЗ)_ПЗИП'!$AG:$AG,"&gt;0")</f>
        <v>0</v>
      </c>
      <c r="BQ69" s="340">
        <f>SUMIFS('Отчет РПЗ(ПЗ)_ПЗИП'!$AG:$AG,'Отчет РПЗ(ПЗ)_ПЗИП'!$D:$D,Справочно!$E34,'Отчет РПЗ(ПЗ)_ПЗИП'!$AQ:$AQ,12)</f>
        <v>0</v>
      </c>
      <c r="BR69" s="380" t="str">
        <f t="shared" si="62"/>
        <v>НД</v>
      </c>
      <c r="BS69" s="261" t="str">
        <f t="shared" si="38"/>
        <v>НД</v>
      </c>
      <c r="BT69" s="430">
        <f t="shared" si="63"/>
        <v>0</v>
      </c>
      <c r="BU69" s="341">
        <f t="shared" si="64"/>
        <v>0</v>
      </c>
      <c r="BV69" s="341">
        <f t="shared" si="39"/>
        <v>0</v>
      </c>
      <c r="BW69" s="262">
        <f t="shared" si="40"/>
        <v>0</v>
      </c>
    </row>
    <row r="70" spans="2:75" ht="13.5" thickBot="1" x14ac:dyDescent="0.25">
      <c r="B70" s="59" t="str">
        <f>Справочно!E35</f>
        <v>АО "НПК "Технологии машиностроения"</v>
      </c>
      <c r="C70" s="96">
        <f>ПП!B58</f>
        <v>0</v>
      </c>
      <c r="D70" s="418" t="e">
        <f>ПП!C58</f>
        <v>#DIV/0!</v>
      </c>
      <c r="E70" s="443">
        <f>ПП!D58</f>
        <v>0</v>
      </c>
      <c r="F70" s="302">
        <f>COUNTIFS('Отчет РПЗ(ПЗ)_ПЗИП'!$AG:$AG,"&gt;0",'Отчет РПЗ(ПЗ)_ПЗИП'!$D:$D,Справочно!$E35)</f>
        <v>0</v>
      </c>
      <c r="G70" s="444" t="e">
        <f t="shared" si="41"/>
        <v>#DIV/0!</v>
      </c>
      <c r="H70" s="445">
        <f>SUMIF('Отчет РПЗ(ПЗ)_ПЗИП'!$D:$D,Справочно!$E35,'Отчет РПЗ(ПЗ)_ПЗИП'!$AG:$AG)</f>
        <v>0</v>
      </c>
      <c r="I70" s="472">
        <f t="shared" si="65"/>
        <v>0</v>
      </c>
      <c r="J70" s="526" t="e">
        <f t="shared" si="42"/>
        <v>#DIV/0!</v>
      </c>
      <c r="L70" s="436">
        <f>SUMIFS('Отчет РПЗ(ПЗ)_ПЗИП'!$W:$W,'Отчет РПЗ(ПЗ)_ПЗИП'!$D:$D,Справочно!$E35,'Отчет РПЗ(ПЗ)_ПЗИП'!$N:$N,"&gt;=01.01.2017",'Отчет РПЗ(ПЗ)_ПЗИП'!$N:$N,"&lt;=31.01.2017",'Отчет РПЗ(ПЗ)_ПЗИП'!$AG:$AG,"&gt;0")</f>
        <v>0</v>
      </c>
      <c r="M70" s="334">
        <f>SUMIFS('Отчет РПЗ(ПЗ)_ПЗИП'!$AG:$AG,'Отчет РПЗ(ПЗ)_ПЗИП'!$D:$D,Справочно!$E35,'Отчет РПЗ(ПЗ)_ПЗИП'!$AQ:$AQ,1)</f>
        <v>0</v>
      </c>
      <c r="N70" s="342" t="str">
        <f t="shared" si="43"/>
        <v>НД</v>
      </c>
      <c r="O70" s="250" t="str">
        <f t="shared" si="44"/>
        <v>НД</v>
      </c>
      <c r="P70" s="431">
        <f>SUMIFS('Отчет РПЗ(ПЗ)_ПЗИП'!$W:$W,'Отчет РПЗ(ПЗ)_ПЗИП'!$D:$D,Справочно!$E35,'Отчет РПЗ(ПЗ)_ПЗИП'!$N:$N,"&gt;=01.02.2017",'Отчет РПЗ(ПЗ)_ПЗИП'!$N:$N,"&lt;=28.02.2017",'Отчет РПЗ(ПЗ)_ПЗИП'!$AG:$AG,"&gt;0")</f>
        <v>0</v>
      </c>
      <c r="Q70" s="334">
        <f>SUMIFS('Отчет РПЗ(ПЗ)_ПЗИП'!$AG:$AG,'Отчет РПЗ(ПЗ)_ПЗИП'!$D:$D,Справочно!$E35,'Отчет РПЗ(ПЗ)_ПЗИП'!$AQ:$AQ,2)</f>
        <v>0</v>
      </c>
      <c r="R70" s="342" t="str">
        <f t="shared" si="45"/>
        <v>НД</v>
      </c>
      <c r="S70" s="250" t="str">
        <f t="shared" si="46"/>
        <v>НД</v>
      </c>
      <c r="T70" s="431">
        <f>SUMIFS('Отчет РПЗ(ПЗ)_ПЗИП'!$W:$W,'Отчет РПЗ(ПЗ)_ПЗИП'!$D:$D,Справочно!$E35,'Отчет РПЗ(ПЗ)_ПЗИП'!$N:$N,"&gt;=01.03.2017",'Отчет РПЗ(ПЗ)_ПЗИП'!$N:$N,"&lt;=31.03.2017",'Отчет РПЗ(ПЗ)_ПЗИП'!$AG:$AG,"&gt;0")</f>
        <v>0</v>
      </c>
      <c r="U70" s="334">
        <f>SUMIFS('Отчет РПЗ(ПЗ)_ПЗИП'!$AG:$AG,'Отчет РПЗ(ПЗ)_ПЗИП'!$D:$D,Справочно!$E35,'Отчет РПЗ(ПЗ)_ПЗИП'!$AQ:$AQ,3)</f>
        <v>0</v>
      </c>
      <c r="V70" s="342" t="str">
        <f t="shared" si="47"/>
        <v>НД</v>
      </c>
      <c r="W70" s="250" t="str">
        <f t="shared" si="23"/>
        <v>НД</v>
      </c>
      <c r="X70" s="430">
        <f t="shared" si="48"/>
        <v>0</v>
      </c>
      <c r="Y70" s="335">
        <f t="shared" si="49"/>
        <v>0</v>
      </c>
      <c r="Z70" s="335">
        <f t="shared" si="24"/>
        <v>0</v>
      </c>
      <c r="AA70" s="252">
        <f t="shared" si="25"/>
        <v>0</v>
      </c>
      <c r="AB70" s="436">
        <f>SUMIFS('Отчет РПЗ(ПЗ)_ПЗИП'!$W:$W,'Отчет РПЗ(ПЗ)_ПЗИП'!$D:$D,Справочно!$E35,'Отчет РПЗ(ПЗ)_ПЗИП'!$N:$N,"&gt;=01.04.2017",'Отчет РПЗ(ПЗ)_ПЗИП'!$N:$N,"&lt;=30.04.2017",'Отчет РПЗ(ПЗ)_ПЗИП'!$AG:$AG,"&gt;0")</f>
        <v>0</v>
      </c>
      <c r="AC70" s="336">
        <f>SUMIFS('Отчет РПЗ(ПЗ)_ПЗИП'!$AG:$AG,'Отчет РПЗ(ПЗ)_ПЗИП'!$D:$D,Справочно!$E35,'Отчет РПЗ(ПЗ)_ПЗИП'!$AQ:$AQ,4)</f>
        <v>0</v>
      </c>
      <c r="AD70" s="336" t="str">
        <f t="shared" si="50"/>
        <v>НД</v>
      </c>
      <c r="AE70" s="251" t="str">
        <f t="shared" si="26"/>
        <v>НД</v>
      </c>
      <c r="AF70" s="435">
        <f>SUMIFS('Отчет РПЗ(ПЗ)_ПЗИП'!$W:$W,'Отчет РПЗ(ПЗ)_ПЗИП'!$D:$D,Справочно!$E35,'Отчет РПЗ(ПЗ)_ПЗИП'!$N:$N,"&gt;=01.05.2017",'Отчет РПЗ(ПЗ)_ПЗИП'!$N:$N,"&lt;=31.05.2017",'Отчет РПЗ(ПЗ)_ПЗИП'!$AG:$AG,"&gt;0")</f>
        <v>0</v>
      </c>
      <c r="AG70" s="336">
        <f>SUMIFS('Отчет РПЗ(ПЗ)_ПЗИП'!$AG:$AG,'Отчет РПЗ(ПЗ)_ПЗИП'!$D:$D,Справочно!$E35,'Отчет РПЗ(ПЗ)_ПЗИП'!$AQ:$AQ,5)</f>
        <v>0</v>
      </c>
      <c r="AH70" s="336" t="str">
        <f t="shared" si="51"/>
        <v>НД</v>
      </c>
      <c r="AI70" s="251" t="str">
        <f t="shared" si="27"/>
        <v>НД</v>
      </c>
      <c r="AJ70" s="435">
        <f>SUMIFS('Отчет РПЗ(ПЗ)_ПЗИП'!$W:$W,'Отчет РПЗ(ПЗ)_ПЗИП'!$D:$D,Справочно!$E35,'Отчет РПЗ(ПЗ)_ПЗИП'!$N:$N,"&gt;=01.06.2017",'Отчет РПЗ(ПЗ)_ПЗИП'!$N:$N,"&lt;=30.06.2017",'Отчет РПЗ(ПЗ)_ПЗИП'!$AG:$AG,"&gt;0")</f>
        <v>0</v>
      </c>
      <c r="AK70" s="336">
        <f>SUMIFS('Отчет РПЗ(ПЗ)_ПЗИП'!$AG:$AG,'Отчет РПЗ(ПЗ)_ПЗИП'!$D:$D,Справочно!$E35,'Отчет РПЗ(ПЗ)_ПЗИП'!$AQ:$AQ,6)</f>
        <v>0</v>
      </c>
      <c r="AL70" s="336" t="str">
        <f t="shared" si="52"/>
        <v>НД</v>
      </c>
      <c r="AM70" s="251" t="str">
        <f t="shared" si="28"/>
        <v>НД</v>
      </c>
      <c r="AN70" s="430">
        <f t="shared" si="53"/>
        <v>0</v>
      </c>
      <c r="AO70" s="337">
        <f t="shared" si="54"/>
        <v>0</v>
      </c>
      <c r="AP70" s="337">
        <f t="shared" si="29"/>
        <v>0</v>
      </c>
      <c r="AQ70" s="253">
        <f t="shared" si="30"/>
        <v>0</v>
      </c>
      <c r="AR70" s="436">
        <f>SUMIFS('Отчет РПЗ(ПЗ)_ПЗИП'!$W:$W,'Отчет РПЗ(ПЗ)_ПЗИП'!$D:$D,Справочно!$E35,'Отчет РПЗ(ПЗ)_ПЗИП'!$N:$N,"&gt;=01.07.2017",'Отчет РПЗ(ПЗ)_ПЗИП'!$N:$N,"&lt;=31.07.2017",'Отчет РПЗ(ПЗ)_ПЗИП'!$AG:$AG,"&gt;0")</f>
        <v>0</v>
      </c>
      <c r="AS70" s="338">
        <f>SUMIFS('Отчет РПЗ(ПЗ)_ПЗИП'!$AG:$AG,'Отчет РПЗ(ПЗ)_ПЗИП'!$D:$D,Справочно!$E35,'Отчет РПЗ(ПЗ)_ПЗИП'!$AQ:$AQ,7)</f>
        <v>0</v>
      </c>
      <c r="AT70" s="378" t="str">
        <f t="shared" si="55"/>
        <v>НД</v>
      </c>
      <c r="AU70" s="255" t="str">
        <f t="shared" si="31"/>
        <v>НД</v>
      </c>
      <c r="AV70" s="431">
        <f>SUMIFS('Отчет РПЗ(ПЗ)_ПЗИП'!$W:$W,'Отчет РПЗ(ПЗ)_ПЗИП'!$D:$D,Справочно!$E35,'Отчет РПЗ(ПЗ)_ПЗИП'!$N:$N,"&gt;=01.08.2017",'Отчет РПЗ(ПЗ)_ПЗИП'!$N:$N,"&lt;=31.08.2017",'Отчет РПЗ(ПЗ)_ПЗИП'!$AG:$AG,"&gt;0")</f>
        <v>0</v>
      </c>
      <c r="AW70" s="338">
        <f>SUMIFS('Отчет РПЗ(ПЗ)_ПЗИП'!$AG:$AG,'Отчет РПЗ(ПЗ)_ПЗИП'!$D:$D,Справочно!$E35,'Отчет РПЗ(ПЗ)_ПЗИП'!$AQ:$AQ,8)</f>
        <v>0</v>
      </c>
      <c r="AX70" s="378" t="str">
        <f t="shared" si="56"/>
        <v>НД</v>
      </c>
      <c r="AY70" s="255" t="str">
        <f t="shared" si="32"/>
        <v>НД</v>
      </c>
      <c r="AZ70" s="431">
        <f>SUMIFS('Отчет РПЗ(ПЗ)_ПЗИП'!$W:$W,'Отчет РПЗ(ПЗ)_ПЗИП'!$D:$D,Справочно!$E35,'Отчет РПЗ(ПЗ)_ПЗИП'!$N:$N,"&gt;=01.09.2017",'Отчет РПЗ(ПЗ)_ПЗИП'!$N:$N,"&lt;=30.09.2017",'Отчет РПЗ(ПЗ)_ПЗИП'!$AG:$AG,"&gt;0")</f>
        <v>0</v>
      </c>
      <c r="BA70" s="338">
        <f>SUMIFS('Отчет РПЗ(ПЗ)_ПЗИП'!$AG:$AG,'Отчет РПЗ(ПЗ)_ПЗИП'!$D:$D,Справочно!$E35,'Отчет РПЗ(ПЗ)_ПЗИП'!$AQ:$AQ,9)</f>
        <v>0</v>
      </c>
      <c r="BB70" s="378" t="str">
        <f t="shared" si="57"/>
        <v>НД</v>
      </c>
      <c r="BC70" s="255" t="str">
        <f t="shared" si="33"/>
        <v>НД</v>
      </c>
      <c r="BD70" s="430">
        <f t="shared" si="58"/>
        <v>0</v>
      </c>
      <c r="BE70" s="339">
        <f t="shared" si="59"/>
        <v>0</v>
      </c>
      <c r="BF70" s="339">
        <f t="shared" si="34"/>
        <v>0</v>
      </c>
      <c r="BG70" s="257">
        <f t="shared" si="35"/>
        <v>0</v>
      </c>
      <c r="BH70" s="420">
        <f>SUMIFS('Отчет РПЗ(ПЗ)_ПЗИП'!$W:$W,'Отчет РПЗ(ПЗ)_ПЗИП'!$D:$D,Справочно!$E35,'Отчет РПЗ(ПЗ)_ПЗИП'!$N:$N,"&gt;=01.10.2017",'Отчет РПЗ(ПЗ)_ПЗИП'!$N:$N,"&lt;=31.10.2017",'Отчет РПЗ(ПЗ)_ПЗИП'!$AG:$AG,"&gt;0")</f>
        <v>0</v>
      </c>
      <c r="BI70" s="340">
        <f>SUMIFS('Отчет РПЗ(ПЗ)_ПЗИП'!$AG:$AG,'Отчет РПЗ(ПЗ)_ПЗИП'!$D:$D,Справочно!$E35,'Отчет РПЗ(ПЗ)_ПЗИП'!$AQ:$AQ,10)</f>
        <v>0</v>
      </c>
      <c r="BJ70" s="380" t="str">
        <f t="shared" si="60"/>
        <v>НД</v>
      </c>
      <c r="BK70" s="259" t="str">
        <f t="shared" si="36"/>
        <v>НД</v>
      </c>
      <c r="BL70" s="435">
        <f>SUMIFS('Отчет РПЗ(ПЗ)_ПЗИП'!$W:$W,'Отчет РПЗ(ПЗ)_ПЗИП'!$D:$D,Справочно!$E35,'Отчет РПЗ(ПЗ)_ПЗИП'!$N:$N,"&gt;=01.11.2017",'Отчет РПЗ(ПЗ)_ПЗИП'!$N:$N,"&lt;=30.11.2017",'Отчет РПЗ(ПЗ)_ПЗИП'!$AG:$AG,"&gt;0")</f>
        <v>0</v>
      </c>
      <c r="BM70" s="340">
        <f>SUMIFS('Отчет РПЗ(ПЗ)_ПЗИП'!$AG:$AG,'Отчет РПЗ(ПЗ)_ПЗИП'!$D:$D,Справочно!$E35,'Отчет РПЗ(ПЗ)_ПЗИП'!$AQ:$AQ,11)</f>
        <v>0</v>
      </c>
      <c r="BN70" s="380" t="str">
        <f t="shared" si="61"/>
        <v>НД</v>
      </c>
      <c r="BO70" s="259" t="str">
        <f t="shared" si="37"/>
        <v>НД</v>
      </c>
      <c r="BP70" s="435">
        <f>SUMIFS('Отчет РПЗ(ПЗ)_ПЗИП'!$W:$W,'Отчет РПЗ(ПЗ)_ПЗИП'!$D:$D,Справочно!$E35,'Отчет РПЗ(ПЗ)_ПЗИП'!$N:$N,"&gt;=01.12.2017",'Отчет РПЗ(ПЗ)_ПЗИП'!$N:$N,"&lt;=31.12.2017",'Отчет РПЗ(ПЗ)_ПЗИП'!$AG:$AG,"&gt;0")</f>
        <v>0</v>
      </c>
      <c r="BQ70" s="340">
        <f>SUMIFS('Отчет РПЗ(ПЗ)_ПЗИП'!$AG:$AG,'Отчет РПЗ(ПЗ)_ПЗИП'!$D:$D,Справочно!$E35,'Отчет РПЗ(ПЗ)_ПЗИП'!$AQ:$AQ,12)</f>
        <v>0</v>
      </c>
      <c r="BR70" s="380" t="str">
        <f t="shared" si="62"/>
        <v>НД</v>
      </c>
      <c r="BS70" s="261" t="str">
        <f t="shared" si="38"/>
        <v>НД</v>
      </c>
      <c r="BT70" s="430">
        <f t="shared" si="63"/>
        <v>0</v>
      </c>
      <c r="BU70" s="341">
        <f t="shared" si="64"/>
        <v>0</v>
      </c>
      <c r="BV70" s="341">
        <f t="shared" si="39"/>
        <v>0</v>
      </c>
      <c r="BW70" s="262">
        <f t="shared" si="40"/>
        <v>0</v>
      </c>
    </row>
    <row r="71" spans="2:75" ht="12.75" customHeight="1" thickBot="1" x14ac:dyDescent="0.25">
      <c r="B71" s="59" t="str">
        <f>Справочно!E36</f>
        <v>АО "НПО "Высокоточные комплексы"</v>
      </c>
      <c r="C71" s="96">
        <f>ПП!B59</f>
        <v>0</v>
      </c>
      <c r="D71" s="418" t="e">
        <f>ПП!C59</f>
        <v>#DIV/0!</v>
      </c>
      <c r="E71" s="443">
        <f>ПП!D59</f>
        <v>0</v>
      </c>
      <c r="F71" s="302">
        <f>COUNTIFS('Отчет РПЗ(ПЗ)_ПЗИП'!$AG:$AG,"&gt;0",'Отчет РПЗ(ПЗ)_ПЗИП'!$D:$D,Справочно!$E36)</f>
        <v>0</v>
      </c>
      <c r="G71" s="444" t="e">
        <f t="shared" si="41"/>
        <v>#DIV/0!</v>
      </c>
      <c r="H71" s="445">
        <f>SUMIF('Отчет РПЗ(ПЗ)_ПЗИП'!$D:$D,Справочно!$E36,'Отчет РПЗ(ПЗ)_ПЗИП'!$AG:$AG)</f>
        <v>0</v>
      </c>
      <c r="I71" s="472">
        <f t="shared" si="65"/>
        <v>0</v>
      </c>
      <c r="J71" s="526" t="e">
        <f t="shared" si="42"/>
        <v>#DIV/0!</v>
      </c>
      <c r="L71" s="436">
        <f>SUMIFS('Отчет РПЗ(ПЗ)_ПЗИП'!$W:$W,'Отчет РПЗ(ПЗ)_ПЗИП'!$D:$D,Справочно!$E36,'Отчет РПЗ(ПЗ)_ПЗИП'!$N:$N,"&gt;=01.01.2017",'Отчет РПЗ(ПЗ)_ПЗИП'!$N:$N,"&lt;=31.01.2017",'Отчет РПЗ(ПЗ)_ПЗИП'!$AG:$AG,"&gt;0")</f>
        <v>0</v>
      </c>
      <c r="M71" s="334">
        <f>SUMIFS('Отчет РПЗ(ПЗ)_ПЗИП'!$AG:$AG,'Отчет РПЗ(ПЗ)_ПЗИП'!$D:$D,Справочно!$E36,'Отчет РПЗ(ПЗ)_ПЗИП'!$AQ:$AQ,1)</f>
        <v>0</v>
      </c>
      <c r="N71" s="342" t="str">
        <f t="shared" si="43"/>
        <v>НД</v>
      </c>
      <c r="O71" s="250" t="str">
        <f t="shared" si="44"/>
        <v>НД</v>
      </c>
      <c r="P71" s="431">
        <f>SUMIFS('Отчет РПЗ(ПЗ)_ПЗИП'!$W:$W,'Отчет РПЗ(ПЗ)_ПЗИП'!$D:$D,Справочно!$E36,'Отчет РПЗ(ПЗ)_ПЗИП'!$N:$N,"&gt;=01.02.2017",'Отчет РПЗ(ПЗ)_ПЗИП'!$N:$N,"&lt;=28.02.2017",'Отчет РПЗ(ПЗ)_ПЗИП'!$AG:$AG,"&gt;0")</f>
        <v>0</v>
      </c>
      <c r="Q71" s="334">
        <f>SUMIFS('Отчет РПЗ(ПЗ)_ПЗИП'!$AG:$AG,'Отчет РПЗ(ПЗ)_ПЗИП'!$D:$D,Справочно!$E36,'Отчет РПЗ(ПЗ)_ПЗИП'!$AQ:$AQ,2)</f>
        <v>0</v>
      </c>
      <c r="R71" s="342" t="str">
        <f t="shared" si="45"/>
        <v>НД</v>
      </c>
      <c r="S71" s="250" t="str">
        <f t="shared" si="46"/>
        <v>НД</v>
      </c>
      <c r="T71" s="431">
        <f>SUMIFS('Отчет РПЗ(ПЗ)_ПЗИП'!$W:$W,'Отчет РПЗ(ПЗ)_ПЗИП'!$D:$D,Справочно!$E36,'Отчет РПЗ(ПЗ)_ПЗИП'!$N:$N,"&gt;=01.03.2017",'Отчет РПЗ(ПЗ)_ПЗИП'!$N:$N,"&lt;=31.03.2017",'Отчет РПЗ(ПЗ)_ПЗИП'!$AG:$AG,"&gt;0")</f>
        <v>0</v>
      </c>
      <c r="U71" s="334">
        <f>SUMIFS('Отчет РПЗ(ПЗ)_ПЗИП'!$AG:$AG,'Отчет РПЗ(ПЗ)_ПЗИП'!$D:$D,Справочно!$E36,'Отчет РПЗ(ПЗ)_ПЗИП'!$AQ:$AQ,3)</f>
        <v>0</v>
      </c>
      <c r="V71" s="342" t="str">
        <f t="shared" si="47"/>
        <v>НД</v>
      </c>
      <c r="W71" s="250" t="str">
        <f t="shared" si="23"/>
        <v>НД</v>
      </c>
      <c r="X71" s="430">
        <f t="shared" si="48"/>
        <v>0</v>
      </c>
      <c r="Y71" s="335">
        <f t="shared" si="49"/>
        <v>0</v>
      </c>
      <c r="Z71" s="335">
        <f t="shared" si="24"/>
        <v>0</v>
      </c>
      <c r="AA71" s="252">
        <f t="shared" si="25"/>
        <v>0</v>
      </c>
      <c r="AB71" s="436">
        <f>SUMIFS('Отчет РПЗ(ПЗ)_ПЗИП'!$W:$W,'Отчет РПЗ(ПЗ)_ПЗИП'!$D:$D,Справочно!$E36,'Отчет РПЗ(ПЗ)_ПЗИП'!$N:$N,"&gt;=01.04.2017",'Отчет РПЗ(ПЗ)_ПЗИП'!$N:$N,"&lt;=30.04.2017",'Отчет РПЗ(ПЗ)_ПЗИП'!$AG:$AG,"&gt;0")</f>
        <v>0</v>
      </c>
      <c r="AC71" s="336">
        <f>SUMIFS('Отчет РПЗ(ПЗ)_ПЗИП'!$AG:$AG,'Отчет РПЗ(ПЗ)_ПЗИП'!$D:$D,Справочно!$E36,'Отчет РПЗ(ПЗ)_ПЗИП'!$AQ:$AQ,4)</f>
        <v>0</v>
      </c>
      <c r="AD71" s="336" t="str">
        <f t="shared" si="50"/>
        <v>НД</v>
      </c>
      <c r="AE71" s="251" t="str">
        <f t="shared" si="26"/>
        <v>НД</v>
      </c>
      <c r="AF71" s="435">
        <f>SUMIFS('Отчет РПЗ(ПЗ)_ПЗИП'!$W:$W,'Отчет РПЗ(ПЗ)_ПЗИП'!$D:$D,Справочно!$E36,'Отчет РПЗ(ПЗ)_ПЗИП'!$N:$N,"&gt;=01.05.2017",'Отчет РПЗ(ПЗ)_ПЗИП'!$N:$N,"&lt;=31.05.2017",'Отчет РПЗ(ПЗ)_ПЗИП'!$AG:$AG,"&gt;0")</f>
        <v>0</v>
      </c>
      <c r="AG71" s="336">
        <f>SUMIFS('Отчет РПЗ(ПЗ)_ПЗИП'!$AG:$AG,'Отчет РПЗ(ПЗ)_ПЗИП'!$D:$D,Справочно!$E36,'Отчет РПЗ(ПЗ)_ПЗИП'!$AQ:$AQ,5)</f>
        <v>0</v>
      </c>
      <c r="AH71" s="336" t="str">
        <f t="shared" si="51"/>
        <v>НД</v>
      </c>
      <c r="AI71" s="251" t="str">
        <f t="shared" si="27"/>
        <v>НД</v>
      </c>
      <c r="AJ71" s="435">
        <f>SUMIFS('Отчет РПЗ(ПЗ)_ПЗИП'!$W:$W,'Отчет РПЗ(ПЗ)_ПЗИП'!$D:$D,Справочно!$E36,'Отчет РПЗ(ПЗ)_ПЗИП'!$N:$N,"&gt;=01.06.2017",'Отчет РПЗ(ПЗ)_ПЗИП'!$N:$N,"&lt;=30.06.2017",'Отчет РПЗ(ПЗ)_ПЗИП'!$AG:$AG,"&gt;0")</f>
        <v>0</v>
      </c>
      <c r="AK71" s="336">
        <f>SUMIFS('Отчет РПЗ(ПЗ)_ПЗИП'!$AG:$AG,'Отчет РПЗ(ПЗ)_ПЗИП'!$D:$D,Справочно!$E36,'Отчет РПЗ(ПЗ)_ПЗИП'!$AQ:$AQ,6)</f>
        <v>0</v>
      </c>
      <c r="AL71" s="336" t="str">
        <f t="shared" si="52"/>
        <v>НД</v>
      </c>
      <c r="AM71" s="251" t="str">
        <f t="shared" si="28"/>
        <v>НД</v>
      </c>
      <c r="AN71" s="430">
        <f t="shared" si="53"/>
        <v>0</v>
      </c>
      <c r="AO71" s="337">
        <f t="shared" si="54"/>
        <v>0</v>
      </c>
      <c r="AP71" s="337">
        <f t="shared" si="29"/>
        <v>0</v>
      </c>
      <c r="AQ71" s="253">
        <f t="shared" si="30"/>
        <v>0</v>
      </c>
      <c r="AR71" s="436">
        <f>SUMIFS('Отчет РПЗ(ПЗ)_ПЗИП'!$W:$W,'Отчет РПЗ(ПЗ)_ПЗИП'!$D:$D,Справочно!$E36,'Отчет РПЗ(ПЗ)_ПЗИП'!$N:$N,"&gt;=01.07.2017",'Отчет РПЗ(ПЗ)_ПЗИП'!$N:$N,"&lt;=31.07.2017",'Отчет РПЗ(ПЗ)_ПЗИП'!$AG:$AG,"&gt;0")</f>
        <v>0</v>
      </c>
      <c r="AS71" s="338">
        <f>SUMIFS('Отчет РПЗ(ПЗ)_ПЗИП'!$AG:$AG,'Отчет РПЗ(ПЗ)_ПЗИП'!$D:$D,Справочно!$E36,'Отчет РПЗ(ПЗ)_ПЗИП'!$AQ:$AQ,7)</f>
        <v>0</v>
      </c>
      <c r="AT71" s="378" t="str">
        <f t="shared" si="55"/>
        <v>НД</v>
      </c>
      <c r="AU71" s="255" t="str">
        <f t="shared" si="31"/>
        <v>НД</v>
      </c>
      <c r="AV71" s="431">
        <f>SUMIFS('Отчет РПЗ(ПЗ)_ПЗИП'!$W:$W,'Отчет РПЗ(ПЗ)_ПЗИП'!$D:$D,Справочно!$E36,'Отчет РПЗ(ПЗ)_ПЗИП'!$N:$N,"&gt;=01.08.2017",'Отчет РПЗ(ПЗ)_ПЗИП'!$N:$N,"&lt;=31.08.2017",'Отчет РПЗ(ПЗ)_ПЗИП'!$AG:$AG,"&gt;0")</f>
        <v>0</v>
      </c>
      <c r="AW71" s="338">
        <f>SUMIFS('Отчет РПЗ(ПЗ)_ПЗИП'!$AG:$AG,'Отчет РПЗ(ПЗ)_ПЗИП'!$D:$D,Справочно!$E36,'Отчет РПЗ(ПЗ)_ПЗИП'!$AQ:$AQ,8)</f>
        <v>0</v>
      </c>
      <c r="AX71" s="378" t="str">
        <f t="shared" si="56"/>
        <v>НД</v>
      </c>
      <c r="AY71" s="255" t="str">
        <f t="shared" si="32"/>
        <v>НД</v>
      </c>
      <c r="AZ71" s="431">
        <f>SUMIFS('Отчет РПЗ(ПЗ)_ПЗИП'!$W:$W,'Отчет РПЗ(ПЗ)_ПЗИП'!$D:$D,Справочно!$E36,'Отчет РПЗ(ПЗ)_ПЗИП'!$N:$N,"&gt;=01.09.2017",'Отчет РПЗ(ПЗ)_ПЗИП'!$N:$N,"&lt;=30.09.2017",'Отчет РПЗ(ПЗ)_ПЗИП'!$AG:$AG,"&gt;0")</f>
        <v>0</v>
      </c>
      <c r="BA71" s="338">
        <f>SUMIFS('Отчет РПЗ(ПЗ)_ПЗИП'!$AG:$AG,'Отчет РПЗ(ПЗ)_ПЗИП'!$D:$D,Справочно!$E36,'Отчет РПЗ(ПЗ)_ПЗИП'!$AQ:$AQ,9)</f>
        <v>0</v>
      </c>
      <c r="BB71" s="378" t="str">
        <f t="shared" si="57"/>
        <v>НД</v>
      </c>
      <c r="BC71" s="255" t="str">
        <f t="shared" si="33"/>
        <v>НД</v>
      </c>
      <c r="BD71" s="430">
        <f t="shared" si="58"/>
        <v>0</v>
      </c>
      <c r="BE71" s="339">
        <f t="shared" si="59"/>
        <v>0</v>
      </c>
      <c r="BF71" s="339">
        <f t="shared" si="34"/>
        <v>0</v>
      </c>
      <c r="BG71" s="257">
        <f t="shared" si="35"/>
        <v>0</v>
      </c>
      <c r="BH71" s="420">
        <f>SUMIFS('Отчет РПЗ(ПЗ)_ПЗИП'!$W:$W,'Отчет РПЗ(ПЗ)_ПЗИП'!$D:$D,Справочно!$E36,'Отчет РПЗ(ПЗ)_ПЗИП'!$N:$N,"&gt;=01.10.2017",'Отчет РПЗ(ПЗ)_ПЗИП'!$N:$N,"&lt;=31.10.2017",'Отчет РПЗ(ПЗ)_ПЗИП'!$AG:$AG,"&gt;0")</f>
        <v>0</v>
      </c>
      <c r="BI71" s="340">
        <f>SUMIFS('Отчет РПЗ(ПЗ)_ПЗИП'!$AG:$AG,'Отчет РПЗ(ПЗ)_ПЗИП'!$D:$D,Справочно!$E36,'Отчет РПЗ(ПЗ)_ПЗИП'!$AQ:$AQ,10)</f>
        <v>0</v>
      </c>
      <c r="BJ71" s="380" t="str">
        <f t="shared" si="60"/>
        <v>НД</v>
      </c>
      <c r="BK71" s="259" t="str">
        <f t="shared" si="36"/>
        <v>НД</v>
      </c>
      <c r="BL71" s="435">
        <f>SUMIFS('Отчет РПЗ(ПЗ)_ПЗИП'!$W:$W,'Отчет РПЗ(ПЗ)_ПЗИП'!$D:$D,Справочно!$E36,'Отчет РПЗ(ПЗ)_ПЗИП'!$N:$N,"&gt;=01.11.2017",'Отчет РПЗ(ПЗ)_ПЗИП'!$N:$N,"&lt;=30.11.2017",'Отчет РПЗ(ПЗ)_ПЗИП'!$AG:$AG,"&gt;0")</f>
        <v>0</v>
      </c>
      <c r="BM71" s="340">
        <f>SUMIFS('Отчет РПЗ(ПЗ)_ПЗИП'!$AG:$AG,'Отчет РПЗ(ПЗ)_ПЗИП'!$D:$D,Справочно!$E36,'Отчет РПЗ(ПЗ)_ПЗИП'!$AQ:$AQ,11)</f>
        <v>0</v>
      </c>
      <c r="BN71" s="380" t="str">
        <f t="shared" si="61"/>
        <v>НД</v>
      </c>
      <c r="BO71" s="259" t="str">
        <f t="shared" si="37"/>
        <v>НД</v>
      </c>
      <c r="BP71" s="435">
        <f>SUMIFS('Отчет РПЗ(ПЗ)_ПЗИП'!$W:$W,'Отчет РПЗ(ПЗ)_ПЗИП'!$D:$D,Справочно!$E36,'Отчет РПЗ(ПЗ)_ПЗИП'!$N:$N,"&gt;=01.12.2017",'Отчет РПЗ(ПЗ)_ПЗИП'!$N:$N,"&lt;=31.12.2017",'Отчет РПЗ(ПЗ)_ПЗИП'!$AG:$AG,"&gt;0")</f>
        <v>0</v>
      </c>
      <c r="BQ71" s="340">
        <f>SUMIFS('Отчет РПЗ(ПЗ)_ПЗИП'!$AG:$AG,'Отчет РПЗ(ПЗ)_ПЗИП'!$D:$D,Справочно!$E36,'Отчет РПЗ(ПЗ)_ПЗИП'!$AQ:$AQ,12)</f>
        <v>0</v>
      </c>
      <c r="BR71" s="380" t="str">
        <f t="shared" si="62"/>
        <v>НД</v>
      </c>
      <c r="BS71" s="261" t="str">
        <f t="shared" si="38"/>
        <v>НД</v>
      </c>
      <c r="BT71" s="430">
        <f t="shared" si="63"/>
        <v>0</v>
      </c>
      <c r="BU71" s="341">
        <f t="shared" si="64"/>
        <v>0</v>
      </c>
      <c r="BV71" s="341">
        <f t="shared" si="39"/>
        <v>0</v>
      </c>
      <c r="BW71" s="262">
        <f t="shared" si="40"/>
        <v>0</v>
      </c>
    </row>
    <row r="72" spans="2:75" ht="13.5" thickBot="1" x14ac:dyDescent="0.25">
      <c r="B72" s="59" t="str">
        <f>Справочно!E37</f>
        <v>АО "Объединенная приборостроительная компания"</v>
      </c>
      <c r="C72" s="96">
        <f>ПП!B60</f>
        <v>0</v>
      </c>
      <c r="D72" s="418" t="e">
        <f>ПП!C60</f>
        <v>#DIV/0!</v>
      </c>
      <c r="E72" s="443">
        <f>ПП!D60</f>
        <v>0</v>
      </c>
      <c r="F72" s="302">
        <f>COUNTIFS('Отчет РПЗ(ПЗ)_ПЗИП'!$AG:$AG,"&gt;0",'Отчет РПЗ(ПЗ)_ПЗИП'!$D:$D,Справочно!$E37)</f>
        <v>0</v>
      </c>
      <c r="G72" s="444" t="e">
        <f t="shared" si="41"/>
        <v>#DIV/0!</v>
      </c>
      <c r="H72" s="445">
        <f>SUMIF('Отчет РПЗ(ПЗ)_ПЗИП'!$D:$D,Справочно!$E37,'Отчет РПЗ(ПЗ)_ПЗИП'!$AG:$AG)</f>
        <v>0</v>
      </c>
      <c r="I72" s="472">
        <f t="shared" si="65"/>
        <v>0</v>
      </c>
      <c r="J72" s="526" t="e">
        <f t="shared" si="42"/>
        <v>#DIV/0!</v>
      </c>
      <c r="L72" s="436">
        <f>SUMIFS('Отчет РПЗ(ПЗ)_ПЗИП'!$W:$W,'Отчет РПЗ(ПЗ)_ПЗИП'!$D:$D,Справочно!$E37,'Отчет РПЗ(ПЗ)_ПЗИП'!$N:$N,"&gt;=01.01.2017",'Отчет РПЗ(ПЗ)_ПЗИП'!$N:$N,"&lt;=31.01.2017",'Отчет РПЗ(ПЗ)_ПЗИП'!$AG:$AG,"&gt;0")</f>
        <v>0</v>
      </c>
      <c r="M72" s="334">
        <f>SUMIFS('Отчет РПЗ(ПЗ)_ПЗИП'!$AG:$AG,'Отчет РПЗ(ПЗ)_ПЗИП'!$D:$D,Справочно!$E37,'Отчет РПЗ(ПЗ)_ПЗИП'!$AQ:$AQ,1)</f>
        <v>0</v>
      </c>
      <c r="N72" s="342" t="str">
        <f t="shared" si="43"/>
        <v>НД</v>
      </c>
      <c r="O72" s="250" t="str">
        <f t="shared" si="44"/>
        <v>НД</v>
      </c>
      <c r="P72" s="431">
        <f>SUMIFS('Отчет РПЗ(ПЗ)_ПЗИП'!$W:$W,'Отчет РПЗ(ПЗ)_ПЗИП'!$D:$D,Справочно!$E37,'Отчет РПЗ(ПЗ)_ПЗИП'!$N:$N,"&gt;=01.02.2017",'Отчет РПЗ(ПЗ)_ПЗИП'!$N:$N,"&lt;=28.02.2017",'Отчет РПЗ(ПЗ)_ПЗИП'!$AG:$AG,"&gt;0")</f>
        <v>0</v>
      </c>
      <c r="Q72" s="334">
        <f>SUMIFS('Отчет РПЗ(ПЗ)_ПЗИП'!$AG:$AG,'Отчет РПЗ(ПЗ)_ПЗИП'!$D:$D,Справочно!$E37,'Отчет РПЗ(ПЗ)_ПЗИП'!$AQ:$AQ,2)</f>
        <v>0</v>
      </c>
      <c r="R72" s="342" t="str">
        <f t="shared" si="45"/>
        <v>НД</v>
      </c>
      <c r="S72" s="250" t="str">
        <f t="shared" si="46"/>
        <v>НД</v>
      </c>
      <c r="T72" s="431">
        <f>SUMIFS('Отчет РПЗ(ПЗ)_ПЗИП'!$W:$W,'Отчет РПЗ(ПЗ)_ПЗИП'!$D:$D,Справочно!$E37,'Отчет РПЗ(ПЗ)_ПЗИП'!$N:$N,"&gt;=01.03.2017",'Отчет РПЗ(ПЗ)_ПЗИП'!$N:$N,"&lt;=31.03.2017",'Отчет РПЗ(ПЗ)_ПЗИП'!$AG:$AG,"&gt;0")</f>
        <v>0</v>
      </c>
      <c r="U72" s="334">
        <f>SUMIFS('Отчет РПЗ(ПЗ)_ПЗИП'!$AG:$AG,'Отчет РПЗ(ПЗ)_ПЗИП'!$D:$D,Справочно!$E37,'Отчет РПЗ(ПЗ)_ПЗИП'!$AQ:$AQ,3)</f>
        <v>0</v>
      </c>
      <c r="V72" s="342" t="str">
        <f t="shared" si="47"/>
        <v>НД</v>
      </c>
      <c r="W72" s="250" t="str">
        <f t="shared" si="23"/>
        <v>НД</v>
      </c>
      <c r="X72" s="430">
        <f t="shared" si="48"/>
        <v>0</v>
      </c>
      <c r="Y72" s="335">
        <f t="shared" si="49"/>
        <v>0</v>
      </c>
      <c r="Z72" s="335">
        <f t="shared" si="24"/>
        <v>0</v>
      </c>
      <c r="AA72" s="252">
        <f t="shared" si="25"/>
        <v>0</v>
      </c>
      <c r="AB72" s="436">
        <f>SUMIFS('Отчет РПЗ(ПЗ)_ПЗИП'!$W:$W,'Отчет РПЗ(ПЗ)_ПЗИП'!$D:$D,Справочно!$E37,'Отчет РПЗ(ПЗ)_ПЗИП'!$N:$N,"&gt;=01.04.2017",'Отчет РПЗ(ПЗ)_ПЗИП'!$N:$N,"&lt;=30.04.2017",'Отчет РПЗ(ПЗ)_ПЗИП'!$AG:$AG,"&gt;0")</f>
        <v>0</v>
      </c>
      <c r="AC72" s="336">
        <f>SUMIFS('Отчет РПЗ(ПЗ)_ПЗИП'!$AG:$AG,'Отчет РПЗ(ПЗ)_ПЗИП'!$D:$D,Справочно!$E37,'Отчет РПЗ(ПЗ)_ПЗИП'!$AQ:$AQ,4)</f>
        <v>0</v>
      </c>
      <c r="AD72" s="336" t="str">
        <f t="shared" si="50"/>
        <v>НД</v>
      </c>
      <c r="AE72" s="251" t="str">
        <f t="shared" si="26"/>
        <v>НД</v>
      </c>
      <c r="AF72" s="435">
        <f>SUMIFS('Отчет РПЗ(ПЗ)_ПЗИП'!$W:$W,'Отчет РПЗ(ПЗ)_ПЗИП'!$D:$D,Справочно!$E37,'Отчет РПЗ(ПЗ)_ПЗИП'!$N:$N,"&gt;=01.05.2017",'Отчет РПЗ(ПЗ)_ПЗИП'!$N:$N,"&lt;=31.05.2017",'Отчет РПЗ(ПЗ)_ПЗИП'!$AG:$AG,"&gt;0")</f>
        <v>0</v>
      </c>
      <c r="AG72" s="336">
        <f>SUMIFS('Отчет РПЗ(ПЗ)_ПЗИП'!$AG:$AG,'Отчет РПЗ(ПЗ)_ПЗИП'!$D:$D,Справочно!$E37,'Отчет РПЗ(ПЗ)_ПЗИП'!$AQ:$AQ,5)</f>
        <v>0</v>
      </c>
      <c r="AH72" s="336" t="str">
        <f t="shared" si="51"/>
        <v>НД</v>
      </c>
      <c r="AI72" s="251" t="str">
        <f t="shared" si="27"/>
        <v>НД</v>
      </c>
      <c r="AJ72" s="435">
        <f>SUMIFS('Отчет РПЗ(ПЗ)_ПЗИП'!$W:$W,'Отчет РПЗ(ПЗ)_ПЗИП'!$D:$D,Справочно!$E37,'Отчет РПЗ(ПЗ)_ПЗИП'!$N:$N,"&gt;=01.06.2017",'Отчет РПЗ(ПЗ)_ПЗИП'!$N:$N,"&lt;=30.06.2017",'Отчет РПЗ(ПЗ)_ПЗИП'!$AG:$AG,"&gt;0")</f>
        <v>0</v>
      </c>
      <c r="AK72" s="336">
        <f>SUMIFS('Отчет РПЗ(ПЗ)_ПЗИП'!$AG:$AG,'Отчет РПЗ(ПЗ)_ПЗИП'!$D:$D,Справочно!$E37,'Отчет РПЗ(ПЗ)_ПЗИП'!$AQ:$AQ,6)</f>
        <v>0</v>
      </c>
      <c r="AL72" s="336" t="str">
        <f t="shared" si="52"/>
        <v>НД</v>
      </c>
      <c r="AM72" s="251" t="str">
        <f t="shared" si="28"/>
        <v>НД</v>
      </c>
      <c r="AN72" s="430">
        <f t="shared" si="53"/>
        <v>0</v>
      </c>
      <c r="AO72" s="337">
        <f t="shared" si="54"/>
        <v>0</v>
      </c>
      <c r="AP72" s="337">
        <f t="shared" si="29"/>
        <v>0</v>
      </c>
      <c r="AQ72" s="253">
        <f t="shared" si="30"/>
        <v>0</v>
      </c>
      <c r="AR72" s="436">
        <f>SUMIFS('Отчет РПЗ(ПЗ)_ПЗИП'!$W:$W,'Отчет РПЗ(ПЗ)_ПЗИП'!$D:$D,Справочно!$E37,'Отчет РПЗ(ПЗ)_ПЗИП'!$N:$N,"&gt;=01.07.2017",'Отчет РПЗ(ПЗ)_ПЗИП'!$N:$N,"&lt;=31.07.2017",'Отчет РПЗ(ПЗ)_ПЗИП'!$AG:$AG,"&gt;0")</f>
        <v>0</v>
      </c>
      <c r="AS72" s="338">
        <f>SUMIFS('Отчет РПЗ(ПЗ)_ПЗИП'!$AG:$AG,'Отчет РПЗ(ПЗ)_ПЗИП'!$D:$D,Справочно!$E37,'Отчет РПЗ(ПЗ)_ПЗИП'!$AQ:$AQ,7)</f>
        <v>0</v>
      </c>
      <c r="AT72" s="378" t="str">
        <f t="shared" si="55"/>
        <v>НД</v>
      </c>
      <c r="AU72" s="255" t="str">
        <f t="shared" si="31"/>
        <v>НД</v>
      </c>
      <c r="AV72" s="431">
        <f>SUMIFS('Отчет РПЗ(ПЗ)_ПЗИП'!$W:$W,'Отчет РПЗ(ПЗ)_ПЗИП'!$D:$D,Справочно!$E37,'Отчет РПЗ(ПЗ)_ПЗИП'!$N:$N,"&gt;=01.08.2017",'Отчет РПЗ(ПЗ)_ПЗИП'!$N:$N,"&lt;=31.08.2017",'Отчет РПЗ(ПЗ)_ПЗИП'!$AG:$AG,"&gt;0")</f>
        <v>0</v>
      </c>
      <c r="AW72" s="338">
        <f>SUMIFS('Отчет РПЗ(ПЗ)_ПЗИП'!$AG:$AG,'Отчет РПЗ(ПЗ)_ПЗИП'!$D:$D,Справочно!$E37,'Отчет РПЗ(ПЗ)_ПЗИП'!$AQ:$AQ,8)</f>
        <v>0</v>
      </c>
      <c r="AX72" s="378" t="str">
        <f t="shared" si="56"/>
        <v>НД</v>
      </c>
      <c r="AY72" s="255" t="str">
        <f t="shared" si="32"/>
        <v>НД</v>
      </c>
      <c r="AZ72" s="431">
        <f>SUMIFS('Отчет РПЗ(ПЗ)_ПЗИП'!$W:$W,'Отчет РПЗ(ПЗ)_ПЗИП'!$D:$D,Справочно!$E37,'Отчет РПЗ(ПЗ)_ПЗИП'!$N:$N,"&gt;=01.09.2017",'Отчет РПЗ(ПЗ)_ПЗИП'!$N:$N,"&lt;=30.09.2017",'Отчет РПЗ(ПЗ)_ПЗИП'!$AG:$AG,"&gt;0")</f>
        <v>0</v>
      </c>
      <c r="BA72" s="338">
        <f>SUMIFS('Отчет РПЗ(ПЗ)_ПЗИП'!$AG:$AG,'Отчет РПЗ(ПЗ)_ПЗИП'!$D:$D,Справочно!$E37,'Отчет РПЗ(ПЗ)_ПЗИП'!$AQ:$AQ,9)</f>
        <v>0</v>
      </c>
      <c r="BB72" s="378" t="str">
        <f t="shared" si="57"/>
        <v>НД</v>
      </c>
      <c r="BC72" s="255" t="str">
        <f t="shared" si="33"/>
        <v>НД</v>
      </c>
      <c r="BD72" s="430">
        <f t="shared" si="58"/>
        <v>0</v>
      </c>
      <c r="BE72" s="339">
        <f t="shared" si="59"/>
        <v>0</v>
      </c>
      <c r="BF72" s="339">
        <f t="shared" si="34"/>
        <v>0</v>
      </c>
      <c r="BG72" s="257">
        <f t="shared" si="35"/>
        <v>0</v>
      </c>
      <c r="BH72" s="420">
        <f>SUMIFS('Отчет РПЗ(ПЗ)_ПЗИП'!$W:$W,'Отчет РПЗ(ПЗ)_ПЗИП'!$D:$D,Справочно!$E37,'Отчет РПЗ(ПЗ)_ПЗИП'!$N:$N,"&gt;=01.10.2017",'Отчет РПЗ(ПЗ)_ПЗИП'!$N:$N,"&lt;=31.10.2017",'Отчет РПЗ(ПЗ)_ПЗИП'!$AG:$AG,"&gt;0")</f>
        <v>0</v>
      </c>
      <c r="BI72" s="340">
        <f>SUMIFS('Отчет РПЗ(ПЗ)_ПЗИП'!$AG:$AG,'Отчет РПЗ(ПЗ)_ПЗИП'!$D:$D,Справочно!$E37,'Отчет РПЗ(ПЗ)_ПЗИП'!$AQ:$AQ,10)</f>
        <v>0</v>
      </c>
      <c r="BJ72" s="380" t="str">
        <f t="shared" si="60"/>
        <v>НД</v>
      </c>
      <c r="BK72" s="259" t="str">
        <f t="shared" si="36"/>
        <v>НД</v>
      </c>
      <c r="BL72" s="435">
        <f>SUMIFS('Отчет РПЗ(ПЗ)_ПЗИП'!$W:$W,'Отчет РПЗ(ПЗ)_ПЗИП'!$D:$D,Справочно!$E37,'Отчет РПЗ(ПЗ)_ПЗИП'!$N:$N,"&gt;=01.11.2017",'Отчет РПЗ(ПЗ)_ПЗИП'!$N:$N,"&lt;=30.11.2017",'Отчет РПЗ(ПЗ)_ПЗИП'!$AG:$AG,"&gt;0")</f>
        <v>0</v>
      </c>
      <c r="BM72" s="340">
        <f>SUMIFS('Отчет РПЗ(ПЗ)_ПЗИП'!$AG:$AG,'Отчет РПЗ(ПЗ)_ПЗИП'!$D:$D,Справочно!$E37,'Отчет РПЗ(ПЗ)_ПЗИП'!$AQ:$AQ,11)</f>
        <v>0</v>
      </c>
      <c r="BN72" s="380" t="str">
        <f t="shared" si="61"/>
        <v>НД</v>
      </c>
      <c r="BO72" s="259" t="str">
        <f t="shared" si="37"/>
        <v>НД</v>
      </c>
      <c r="BP72" s="435">
        <f>SUMIFS('Отчет РПЗ(ПЗ)_ПЗИП'!$W:$W,'Отчет РПЗ(ПЗ)_ПЗИП'!$D:$D,Справочно!$E37,'Отчет РПЗ(ПЗ)_ПЗИП'!$N:$N,"&gt;=01.12.2017",'Отчет РПЗ(ПЗ)_ПЗИП'!$N:$N,"&lt;=31.12.2017",'Отчет РПЗ(ПЗ)_ПЗИП'!$AG:$AG,"&gt;0")</f>
        <v>0</v>
      </c>
      <c r="BQ72" s="340">
        <f>SUMIFS('Отчет РПЗ(ПЗ)_ПЗИП'!$AG:$AG,'Отчет РПЗ(ПЗ)_ПЗИП'!$D:$D,Справочно!$E37,'Отчет РПЗ(ПЗ)_ПЗИП'!$AQ:$AQ,12)</f>
        <v>0</v>
      </c>
      <c r="BR72" s="380" t="str">
        <f t="shared" si="62"/>
        <v>НД</v>
      </c>
      <c r="BS72" s="261" t="str">
        <f t="shared" si="38"/>
        <v>НД</v>
      </c>
      <c r="BT72" s="430">
        <f t="shared" si="63"/>
        <v>0</v>
      </c>
      <c r="BU72" s="341">
        <f t="shared" si="64"/>
        <v>0</v>
      </c>
      <c r="BV72" s="341">
        <f t="shared" si="39"/>
        <v>0</v>
      </c>
      <c r="BW72" s="262">
        <f t="shared" si="40"/>
        <v>0</v>
      </c>
    </row>
    <row r="73" spans="2:75" ht="13.5" thickBot="1" x14ac:dyDescent="0.25">
      <c r="B73" s="59" t="str">
        <f>Справочно!E38</f>
        <v>АО "Российская электроника"</v>
      </c>
      <c r="C73" s="96">
        <f>ПП!B61</f>
        <v>0</v>
      </c>
      <c r="D73" s="418" t="e">
        <f>ПП!C61</f>
        <v>#DIV/0!</v>
      </c>
      <c r="E73" s="443">
        <f>ПП!D61</f>
        <v>0</v>
      </c>
      <c r="F73" s="302">
        <f>COUNTIFS('Отчет РПЗ(ПЗ)_ПЗИП'!$AG:$AG,"&gt;0",'Отчет РПЗ(ПЗ)_ПЗИП'!$D:$D,Справочно!$E38)</f>
        <v>0</v>
      </c>
      <c r="G73" s="444" t="e">
        <f t="shared" si="41"/>
        <v>#DIV/0!</v>
      </c>
      <c r="H73" s="445">
        <f>SUMIF('Отчет РПЗ(ПЗ)_ПЗИП'!$D:$D,Справочно!$E38,'Отчет РПЗ(ПЗ)_ПЗИП'!$AG:$AG)</f>
        <v>0</v>
      </c>
      <c r="I73" s="472">
        <f t="shared" si="65"/>
        <v>0</v>
      </c>
      <c r="J73" s="526" t="e">
        <f t="shared" si="42"/>
        <v>#DIV/0!</v>
      </c>
      <c r="L73" s="436">
        <f>SUMIFS('Отчет РПЗ(ПЗ)_ПЗИП'!$W:$W,'Отчет РПЗ(ПЗ)_ПЗИП'!$D:$D,Справочно!$E38,'Отчет РПЗ(ПЗ)_ПЗИП'!$N:$N,"&gt;=01.01.2017",'Отчет РПЗ(ПЗ)_ПЗИП'!$N:$N,"&lt;=31.01.2017",'Отчет РПЗ(ПЗ)_ПЗИП'!$AG:$AG,"&gt;0")</f>
        <v>0</v>
      </c>
      <c r="M73" s="334">
        <f>SUMIFS('Отчет РПЗ(ПЗ)_ПЗИП'!$AG:$AG,'Отчет РПЗ(ПЗ)_ПЗИП'!$D:$D,Справочно!$E38,'Отчет РПЗ(ПЗ)_ПЗИП'!$AQ:$AQ,1)</f>
        <v>0</v>
      </c>
      <c r="N73" s="342" t="str">
        <f t="shared" si="43"/>
        <v>НД</v>
      </c>
      <c r="O73" s="250" t="str">
        <f t="shared" si="44"/>
        <v>НД</v>
      </c>
      <c r="P73" s="431">
        <f>SUMIFS('Отчет РПЗ(ПЗ)_ПЗИП'!$W:$W,'Отчет РПЗ(ПЗ)_ПЗИП'!$D:$D,Справочно!$E38,'Отчет РПЗ(ПЗ)_ПЗИП'!$N:$N,"&gt;=01.02.2017",'Отчет РПЗ(ПЗ)_ПЗИП'!$N:$N,"&lt;=28.02.2017",'Отчет РПЗ(ПЗ)_ПЗИП'!$AG:$AG,"&gt;0")</f>
        <v>0</v>
      </c>
      <c r="Q73" s="334">
        <f>SUMIFS('Отчет РПЗ(ПЗ)_ПЗИП'!$AG:$AG,'Отчет РПЗ(ПЗ)_ПЗИП'!$D:$D,Справочно!$E38,'Отчет РПЗ(ПЗ)_ПЗИП'!$AQ:$AQ,2)</f>
        <v>0</v>
      </c>
      <c r="R73" s="342" t="str">
        <f t="shared" si="45"/>
        <v>НД</v>
      </c>
      <c r="S73" s="250" t="str">
        <f t="shared" si="46"/>
        <v>НД</v>
      </c>
      <c r="T73" s="431">
        <f>SUMIFS('Отчет РПЗ(ПЗ)_ПЗИП'!$W:$W,'Отчет РПЗ(ПЗ)_ПЗИП'!$D:$D,Справочно!$E38,'Отчет РПЗ(ПЗ)_ПЗИП'!$N:$N,"&gt;=01.03.2017",'Отчет РПЗ(ПЗ)_ПЗИП'!$N:$N,"&lt;=31.03.2017",'Отчет РПЗ(ПЗ)_ПЗИП'!$AG:$AG,"&gt;0")</f>
        <v>0</v>
      </c>
      <c r="U73" s="334">
        <f>SUMIFS('Отчет РПЗ(ПЗ)_ПЗИП'!$AG:$AG,'Отчет РПЗ(ПЗ)_ПЗИП'!$D:$D,Справочно!$E38,'Отчет РПЗ(ПЗ)_ПЗИП'!$AQ:$AQ,3)</f>
        <v>0</v>
      </c>
      <c r="V73" s="342" t="str">
        <f t="shared" si="47"/>
        <v>НД</v>
      </c>
      <c r="W73" s="250" t="str">
        <f t="shared" si="23"/>
        <v>НД</v>
      </c>
      <c r="X73" s="430">
        <f t="shared" si="48"/>
        <v>0</v>
      </c>
      <c r="Y73" s="335">
        <f t="shared" si="49"/>
        <v>0</v>
      </c>
      <c r="Z73" s="335">
        <f t="shared" si="24"/>
        <v>0</v>
      </c>
      <c r="AA73" s="252">
        <f t="shared" si="25"/>
        <v>0</v>
      </c>
      <c r="AB73" s="436">
        <f>SUMIFS('Отчет РПЗ(ПЗ)_ПЗИП'!$W:$W,'Отчет РПЗ(ПЗ)_ПЗИП'!$D:$D,Справочно!$E38,'Отчет РПЗ(ПЗ)_ПЗИП'!$N:$N,"&gt;=01.04.2017",'Отчет РПЗ(ПЗ)_ПЗИП'!$N:$N,"&lt;=30.04.2017",'Отчет РПЗ(ПЗ)_ПЗИП'!$AG:$AG,"&gt;0")</f>
        <v>0</v>
      </c>
      <c r="AC73" s="336">
        <f>SUMIFS('Отчет РПЗ(ПЗ)_ПЗИП'!$AG:$AG,'Отчет РПЗ(ПЗ)_ПЗИП'!$D:$D,Справочно!$E38,'Отчет РПЗ(ПЗ)_ПЗИП'!$AQ:$AQ,4)</f>
        <v>0</v>
      </c>
      <c r="AD73" s="336" t="str">
        <f t="shared" si="50"/>
        <v>НД</v>
      </c>
      <c r="AE73" s="251" t="str">
        <f t="shared" si="26"/>
        <v>НД</v>
      </c>
      <c r="AF73" s="435">
        <f>SUMIFS('Отчет РПЗ(ПЗ)_ПЗИП'!$W:$W,'Отчет РПЗ(ПЗ)_ПЗИП'!$D:$D,Справочно!$E38,'Отчет РПЗ(ПЗ)_ПЗИП'!$N:$N,"&gt;=01.05.2017",'Отчет РПЗ(ПЗ)_ПЗИП'!$N:$N,"&lt;=31.05.2017",'Отчет РПЗ(ПЗ)_ПЗИП'!$AG:$AG,"&gt;0")</f>
        <v>0</v>
      </c>
      <c r="AG73" s="336">
        <f>SUMIFS('Отчет РПЗ(ПЗ)_ПЗИП'!$AG:$AG,'Отчет РПЗ(ПЗ)_ПЗИП'!$D:$D,Справочно!$E38,'Отчет РПЗ(ПЗ)_ПЗИП'!$AQ:$AQ,5)</f>
        <v>0</v>
      </c>
      <c r="AH73" s="336" t="str">
        <f t="shared" si="51"/>
        <v>НД</v>
      </c>
      <c r="AI73" s="251" t="str">
        <f t="shared" si="27"/>
        <v>НД</v>
      </c>
      <c r="AJ73" s="435">
        <f>SUMIFS('Отчет РПЗ(ПЗ)_ПЗИП'!$W:$W,'Отчет РПЗ(ПЗ)_ПЗИП'!$D:$D,Справочно!$E38,'Отчет РПЗ(ПЗ)_ПЗИП'!$N:$N,"&gt;=01.06.2017",'Отчет РПЗ(ПЗ)_ПЗИП'!$N:$N,"&lt;=30.06.2017",'Отчет РПЗ(ПЗ)_ПЗИП'!$AG:$AG,"&gt;0")</f>
        <v>0</v>
      </c>
      <c r="AK73" s="336">
        <f>SUMIFS('Отчет РПЗ(ПЗ)_ПЗИП'!$AG:$AG,'Отчет РПЗ(ПЗ)_ПЗИП'!$D:$D,Справочно!$E38,'Отчет РПЗ(ПЗ)_ПЗИП'!$AQ:$AQ,6)</f>
        <v>0</v>
      </c>
      <c r="AL73" s="336" t="str">
        <f t="shared" si="52"/>
        <v>НД</v>
      </c>
      <c r="AM73" s="251" t="str">
        <f t="shared" si="28"/>
        <v>НД</v>
      </c>
      <c r="AN73" s="430">
        <f t="shared" si="53"/>
        <v>0</v>
      </c>
      <c r="AO73" s="337">
        <f t="shared" si="54"/>
        <v>0</v>
      </c>
      <c r="AP73" s="337">
        <f t="shared" si="29"/>
        <v>0</v>
      </c>
      <c r="AQ73" s="253">
        <f t="shared" si="30"/>
        <v>0</v>
      </c>
      <c r="AR73" s="436">
        <f>SUMIFS('Отчет РПЗ(ПЗ)_ПЗИП'!$W:$W,'Отчет РПЗ(ПЗ)_ПЗИП'!$D:$D,Справочно!$E38,'Отчет РПЗ(ПЗ)_ПЗИП'!$N:$N,"&gt;=01.07.2017",'Отчет РПЗ(ПЗ)_ПЗИП'!$N:$N,"&lt;=31.07.2017",'Отчет РПЗ(ПЗ)_ПЗИП'!$AG:$AG,"&gt;0")</f>
        <v>0</v>
      </c>
      <c r="AS73" s="338">
        <f>SUMIFS('Отчет РПЗ(ПЗ)_ПЗИП'!$AG:$AG,'Отчет РПЗ(ПЗ)_ПЗИП'!$D:$D,Справочно!$E38,'Отчет РПЗ(ПЗ)_ПЗИП'!$AQ:$AQ,7)</f>
        <v>0</v>
      </c>
      <c r="AT73" s="378" t="str">
        <f t="shared" si="55"/>
        <v>НД</v>
      </c>
      <c r="AU73" s="255" t="str">
        <f t="shared" si="31"/>
        <v>НД</v>
      </c>
      <c r="AV73" s="431">
        <f>SUMIFS('Отчет РПЗ(ПЗ)_ПЗИП'!$W:$W,'Отчет РПЗ(ПЗ)_ПЗИП'!$D:$D,Справочно!$E38,'Отчет РПЗ(ПЗ)_ПЗИП'!$N:$N,"&gt;=01.08.2017",'Отчет РПЗ(ПЗ)_ПЗИП'!$N:$N,"&lt;=31.08.2017",'Отчет РПЗ(ПЗ)_ПЗИП'!$AG:$AG,"&gt;0")</f>
        <v>0</v>
      </c>
      <c r="AW73" s="338">
        <f>SUMIFS('Отчет РПЗ(ПЗ)_ПЗИП'!$AG:$AG,'Отчет РПЗ(ПЗ)_ПЗИП'!$D:$D,Справочно!$E38,'Отчет РПЗ(ПЗ)_ПЗИП'!$AQ:$AQ,8)</f>
        <v>0</v>
      </c>
      <c r="AX73" s="378" t="str">
        <f t="shared" si="56"/>
        <v>НД</v>
      </c>
      <c r="AY73" s="255" t="str">
        <f t="shared" si="32"/>
        <v>НД</v>
      </c>
      <c r="AZ73" s="431">
        <f>SUMIFS('Отчет РПЗ(ПЗ)_ПЗИП'!$W:$W,'Отчет РПЗ(ПЗ)_ПЗИП'!$D:$D,Справочно!$E38,'Отчет РПЗ(ПЗ)_ПЗИП'!$N:$N,"&gt;=01.09.2017",'Отчет РПЗ(ПЗ)_ПЗИП'!$N:$N,"&lt;=30.09.2017",'Отчет РПЗ(ПЗ)_ПЗИП'!$AG:$AG,"&gt;0")</f>
        <v>0</v>
      </c>
      <c r="BA73" s="338">
        <f>SUMIFS('Отчет РПЗ(ПЗ)_ПЗИП'!$AG:$AG,'Отчет РПЗ(ПЗ)_ПЗИП'!$D:$D,Справочно!$E38,'Отчет РПЗ(ПЗ)_ПЗИП'!$AQ:$AQ,9)</f>
        <v>0</v>
      </c>
      <c r="BB73" s="378" t="str">
        <f t="shared" si="57"/>
        <v>НД</v>
      </c>
      <c r="BC73" s="255" t="str">
        <f t="shared" si="33"/>
        <v>НД</v>
      </c>
      <c r="BD73" s="430">
        <f t="shared" si="58"/>
        <v>0</v>
      </c>
      <c r="BE73" s="339">
        <f t="shared" si="59"/>
        <v>0</v>
      </c>
      <c r="BF73" s="339">
        <f t="shared" si="34"/>
        <v>0</v>
      </c>
      <c r="BG73" s="257">
        <f t="shared" si="35"/>
        <v>0</v>
      </c>
      <c r="BH73" s="420">
        <f>SUMIFS('Отчет РПЗ(ПЗ)_ПЗИП'!$W:$W,'Отчет РПЗ(ПЗ)_ПЗИП'!$D:$D,Справочно!$E38,'Отчет РПЗ(ПЗ)_ПЗИП'!$N:$N,"&gt;=01.10.2017",'Отчет РПЗ(ПЗ)_ПЗИП'!$N:$N,"&lt;=31.10.2017",'Отчет РПЗ(ПЗ)_ПЗИП'!$AG:$AG,"&gt;0")</f>
        <v>0</v>
      </c>
      <c r="BI73" s="340">
        <f>SUMIFS('Отчет РПЗ(ПЗ)_ПЗИП'!$AG:$AG,'Отчет РПЗ(ПЗ)_ПЗИП'!$D:$D,Справочно!$E38,'Отчет РПЗ(ПЗ)_ПЗИП'!$AQ:$AQ,10)</f>
        <v>0</v>
      </c>
      <c r="BJ73" s="380" t="str">
        <f t="shared" si="60"/>
        <v>НД</v>
      </c>
      <c r="BK73" s="259" t="str">
        <f t="shared" si="36"/>
        <v>НД</v>
      </c>
      <c r="BL73" s="435">
        <f>SUMIFS('Отчет РПЗ(ПЗ)_ПЗИП'!$W:$W,'Отчет РПЗ(ПЗ)_ПЗИП'!$D:$D,Справочно!$E38,'Отчет РПЗ(ПЗ)_ПЗИП'!$N:$N,"&gt;=01.11.2017",'Отчет РПЗ(ПЗ)_ПЗИП'!$N:$N,"&lt;=30.11.2017",'Отчет РПЗ(ПЗ)_ПЗИП'!$AG:$AG,"&gt;0")</f>
        <v>0</v>
      </c>
      <c r="BM73" s="340">
        <f>SUMIFS('Отчет РПЗ(ПЗ)_ПЗИП'!$AG:$AG,'Отчет РПЗ(ПЗ)_ПЗИП'!$D:$D,Справочно!$E38,'Отчет РПЗ(ПЗ)_ПЗИП'!$AQ:$AQ,11)</f>
        <v>0</v>
      </c>
      <c r="BN73" s="380" t="str">
        <f t="shared" si="61"/>
        <v>НД</v>
      </c>
      <c r="BO73" s="259" t="str">
        <f t="shared" si="37"/>
        <v>НД</v>
      </c>
      <c r="BP73" s="435">
        <f>SUMIFS('Отчет РПЗ(ПЗ)_ПЗИП'!$W:$W,'Отчет РПЗ(ПЗ)_ПЗИП'!$D:$D,Справочно!$E38,'Отчет РПЗ(ПЗ)_ПЗИП'!$N:$N,"&gt;=01.12.2017",'Отчет РПЗ(ПЗ)_ПЗИП'!$N:$N,"&lt;=31.12.2017",'Отчет РПЗ(ПЗ)_ПЗИП'!$AG:$AG,"&gt;0")</f>
        <v>0</v>
      </c>
      <c r="BQ73" s="340">
        <f>SUMIFS('Отчет РПЗ(ПЗ)_ПЗИП'!$AG:$AG,'Отчет РПЗ(ПЗ)_ПЗИП'!$D:$D,Справочно!$E38,'Отчет РПЗ(ПЗ)_ПЗИП'!$AQ:$AQ,12)</f>
        <v>0</v>
      </c>
      <c r="BR73" s="380" t="str">
        <f t="shared" si="62"/>
        <v>НД</v>
      </c>
      <c r="BS73" s="261" t="str">
        <f t="shared" si="38"/>
        <v>НД</v>
      </c>
      <c r="BT73" s="430">
        <f t="shared" si="63"/>
        <v>0</v>
      </c>
      <c r="BU73" s="341">
        <f t="shared" si="64"/>
        <v>0</v>
      </c>
      <c r="BV73" s="341">
        <f t="shared" si="39"/>
        <v>0</v>
      </c>
      <c r="BW73" s="262">
        <f t="shared" si="40"/>
        <v>0</v>
      </c>
    </row>
    <row r="74" spans="2:75" ht="13.5" thickBot="1" x14ac:dyDescent="0.25">
      <c r="B74" s="59" t="str">
        <f>Справочно!E39</f>
        <v>АО "РТ-Авто"</v>
      </c>
      <c r="C74" s="96">
        <f>ПП!B62</f>
        <v>0</v>
      </c>
      <c r="D74" s="418" t="e">
        <f>ПП!C62</f>
        <v>#DIV/0!</v>
      </c>
      <c r="E74" s="443">
        <f>ПП!D62</f>
        <v>0</v>
      </c>
      <c r="F74" s="302">
        <f>COUNTIFS('Отчет РПЗ(ПЗ)_ПЗИП'!$AG:$AG,"&gt;0",'Отчет РПЗ(ПЗ)_ПЗИП'!$D:$D,Справочно!$E38)</f>
        <v>0</v>
      </c>
      <c r="G74" s="444" t="e">
        <f t="shared" si="41"/>
        <v>#DIV/0!</v>
      </c>
      <c r="H74" s="445">
        <f>SUMIF('Отчет РПЗ(ПЗ)_ПЗИП'!$D:$D,Справочно!$E38,'Отчет РПЗ(ПЗ)_ПЗИП'!$AG:$AG)</f>
        <v>0</v>
      </c>
      <c r="I74" s="472">
        <f t="shared" si="65"/>
        <v>0</v>
      </c>
      <c r="J74" s="526" t="e">
        <f t="shared" si="42"/>
        <v>#DIV/0!</v>
      </c>
      <c r="L74" s="436">
        <f>SUMIFS('Отчет РПЗ(ПЗ)_ПЗИП'!$W:$W,'Отчет РПЗ(ПЗ)_ПЗИП'!$D:$D,Справочно!$E39,'Отчет РПЗ(ПЗ)_ПЗИП'!$N:$N,"&gt;=01.01.2017",'Отчет РПЗ(ПЗ)_ПЗИП'!$N:$N,"&lt;=31.01.2017",'Отчет РПЗ(ПЗ)_ПЗИП'!$AG:$AG,"&gt;0")</f>
        <v>0</v>
      </c>
      <c r="M74" s="334">
        <f>SUMIFS('Отчет РПЗ(ПЗ)_ПЗИП'!$AG:$AG,'Отчет РПЗ(ПЗ)_ПЗИП'!$D:$D,Справочно!$E39,'Отчет РПЗ(ПЗ)_ПЗИП'!$AQ:$AQ,1)</f>
        <v>0</v>
      </c>
      <c r="N74" s="342" t="str">
        <f t="shared" si="43"/>
        <v>НД</v>
      </c>
      <c r="O74" s="250" t="str">
        <f t="shared" si="44"/>
        <v>НД</v>
      </c>
      <c r="P74" s="431">
        <f>SUMIFS('Отчет РПЗ(ПЗ)_ПЗИП'!$W:$W,'Отчет РПЗ(ПЗ)_ПЗИП'!$D:$D,Справочно!$E39,'Отчет РПЗ(ПЗ)_ПЗИП'!$N:$N,"&gt;=01.02.2017",'Отчет РПЗ(ПЗ)_ПЗИП'!$N:$N,"&lt;=28.02.2017",'Отчет РПЗ(ПЗ)_ПЗИП'!$AG:$AG,"&gt;0")</f>
        <v>0</v>
      </c>
      <c r="Q74" s="334">
        <f>SUMIFS('Отчет РПЗ(ПЗ)_ПЗИП'!$AG:$AG,'Отчет РПЗ(ПЗ)_ПЗИП'!$D:$D,Справочно!$E39,'Отчет РПЗ(ПЗ)_ПЗИП'!$AQ:$AQ,2)</f>
        <v>0</v>
      </c>
      <c r="R74" s="342" t="str">
        <f t="shared" si="45"/>
        <v>НД</v>
      </c>
      <c r="S74" s="250" t="str">
        <f t="shared" si="46"/>
        <v>НД</v>
      </c>
      <c r="T74" s="431">
        <f>SUMIFS('Отчет РПЗ(ПЗ)_ПЗИП'!$W:$W,'Отчет РПЗ(ПЗ)_ПЗИП'!$D:$D,Справочно!$E39,'Отчет РПЗ(ПЗ)_ПЗИП'!$N:$N,"&gt;=01.03.2017",'Отчет РПЗ(ПЗ)_ПЗИП'!$N:$N,"&lt;=31.03.2017",'Отчет РПЗ(ПЗ)_ПЗИП'!$AG:$AG,"&gt;0")</f>
        <v>0</v>
      </c>
      <c r="U74" s="334">
        <f>SUMIFS('Отчет РПЗ(ПЗ)_ПЗИП'!$AG:$AG,'Отчет РПЗ(ПЗ)_ПЗИП'!$D:$D,Справочно!$E39,'Отчет РПЗ(ПЗ)_ПЗИП'!$AQ:$AQ,3)</f>
        <v>0</v>
      </c>
      <c r="V74" s="342" t="str">
        <f t="shared" si="47"/>
        <v>НД</v>
      </c>
      <c r="W74" s="250" t="str">
        <f t="shared" si="23"/>
        <v>НД</v>
      </c>
      <c r="X74" s="430">
        <f t="shared" si="48"/>
        <v>0</v>
      </c>
      <c r="Y74" s="335">
        <f t="shared" si="49"/>
        <v>0</v>
      </c>
      <c r="Z74" s="335">
        <f t="shared" si="24"/>
        <v>0</v>
      </c>
      <c r="AA74" s="252">
        <f t="shared" si="25"/>
        <v>0</v>
      </c>
      <c r="AB74" s="436">
        <f>SUMIFS('Отчет РПЗ(ПЗ)_ПЗИП'!$W:$W,'Отчет РПЗ(ПЗ)_ПЗИП'!$D:$D,Справочно!$E39,'Отчет РПЗ(ПЗ)_ПЗИП'!$N:$N,"&gt;=01.04.2017",'Отчет РПЗ(ПЗ)_ПЗИП'!$N:$N,"&lt;=30.04.2017",'Отчет РПЗ(ПЗ)_ПЗИП'!$AG:$AG,"&gt;0")</f>
        <v>0</v>
      </c>
      <c r="AC74" s="336">
        <f>SUMIFS('Отчет РПЗ(ПЗ)_ПЗИП'!$AG:$AG,'Отчет РПЗ(ПЗ)_ПЗИП'!$D:$D,Справочно!$E39,'Отчет РПЗ(ПЗ)_ПЗИП'!$AQ:$AQ,4)</f>
        <v>0</v>
      </c>
      <c r="AD74" s="336" t="str">
        <f t="shared" si="50"/>
        <v>НД</v>
      </c>
      <c r="AE74" s="251" t="str">
        <f t="shared" si="26"/>
        <v>НД</v>
      </c>
      <c r="AF74" s="435">
        <f>SUMIFS('Отчет РПЗ(ПЗ)_ПЗИП'!$W:$W,'Отчет РПЗ(ПЗ)_ПЗИП'!$D:$D,Справочно!$E39,'Отчет РПЗ(ПЗ)_ПЗИП'!$N:$N,"&gt;=01.05.2017",'Отчет РПЗ(ПЗ)_ПЗИП'!$N:$N,"&lt;=31.05.2017",'Отчет РПЗ(ПЗ)_ПЗИП'!$AG:$AG,"&gt;0")</f>
        <v>0</v>
      </c>
      <c r="AG74" s="336">
        <f>SUMIFS('Отчет РПЗ(ПЗ)_ПЗИП'!$AG:$AG,'Отчет РПЗ(ПЗ)_ПЗИП'!$D:$D,Справочно!$E39,'Отчет РПЗ(ПЗ)_ПЗИП'!$AQ:$AQ,5)</f>
        <v>0</v>
      </c>
      <c r="AH74" s="336" t="str">
        <f t="shared" si="51"/>
        <v>НД</v>
      </c>
      <c r="AI74" s="251" t="str">
        <f t="shared" si="27"/>
        <v>НД</v>
      </c>
      <c r="AJ74" s="435">
        <f>SUMIFS('Отчет РПЗ(ПЗ)_ПЗИП'!$W:$W,'Отчет РПЗ(ПЗ)_ПЗИП'!$D:$D,Справочно!$E39,'Отчет РПЗ(ПЗ)_ПЗИП'!$N:$N,"&gt;=01.06.2017",'Отчет РПЗ(ПЗ)_ПЗИП'!$N:$N,"&lt;=30.06.2017",'Отчет РПЗ(ПЗ)_ПЗИП'!$AG:$AG,"&gt;0")</f>
        <v>0</v>
      </c>
      <c r="AK74" s="336">
        <f>SUMIFS('Отчет РПЗ(ПЗ)_ПЗИП'!$AG:$AG,'Отчет РПЗ(ПЗ)_ПЗИП'!$D:$D,Справочно!$E39,'Отчет РПЗ(ПЗ)_ПЗИП'!$AQ:$AQ,6)</f>
        <v>0</v>
      </c>
      <c r="AL74" s="336" t="str">
        <f t="shared" si="52"/>
        <v>НД</v>
      </c>
      <c r="AM74" s="251" t="str">
        <f t="shared" si="28"/>
        <v>НД</v>
      </c>
      <c r="AN74" s="430">
        <f t="shared" si="53"/>
        <v>0</v>
      </c>
      <c r="AO74" s="337">
        <f t="shared" si="54"/>
        <v>0</v>
      </c>
      <c r="AP74" s="337">
        <f t="shared" si="29"/>
        <v>0</v>
      </c>
      <c r="AQ74" s="253">
        <f t="shared" si="30"/>
        <v>0</v>
      </c>
      <c r="AR74" s="436">
        <f>SUMIFS('Отчет РПЗ(ПЗ)_ПЗИП'!$W:$W,'Отчет РПЗ(ПЗ)_ПЗИП'!$D:$D,Справочно!$E39,'Отчет РПЗ(ПЗ)_ПЗИП'!$N:$N,"&gt;=01.07.2017",'Отчет РПЗ(ПЗ)_ПЗИП'!$N:$N,"&lt;=31.07.2017",'Отчет РПЗ(ПЗ)_ПЗИП'!$AG:$AG,"&gt;0")</f>
        <v>0</v>
      </c>
      <c r="AS74" s="338">
        <f>SUMIFS('Отчет РПЗ(ПЗ)_ПЗИП'!$AG:$AG,'Отчет РПЗ(ПЗ)_ПЗИП'!$D:$D,Справочно!$E39,'Отчет РПЗ(ПЗ)_ПЗИП'!$AQ:$AQ,7)</f>
        <v>0</v>
      </c>
      <c r="AT74" s="378" t="str">
        <f>IF(AS74=0,"НД",AR74-AS74)</f>
        <v>НД</v>
      </c>
      <c r="AU74" s="255" t="str">
        <f t="shared" si="31"/>
        <v>НД</v>
      </c>
      <c r="AV74" s="431">
        <f>SUMIFS('Отчет РПЗ(ПЗ)_ПЗИП'!$W:$W,'Отчет РПЗ(ПЗ)_ПЗИП'!$D:$D,Справочно!$E39,'Отчет РПЗ(ПЗ)_ПЗИП'!$N:$N,"&gt;=01.08.2017",'Отчет РПЗ(ПЗ)_ПЗИП'!$N:$N,"&lt;=31.08.2017",'Отчет РПЗ(ПЗ)_ПЗИП'!$AG:$AG,"&gt;0")</f>
        <v>0</v>
      </c>
      <c r="AW74" s="338">
        <f>SUMIFS('Отчет РПЗ(ПЗ)_ПЗИП'!$AG:$AG,'Отчет РПЗ(ПЗ)_ПЗИП'!$D:$D,Справочно!$E39,'Отчет РПЗ(ПЗ)_ПЗИП'!$AQ:$AQ,8)</f>
        <v>0</v>
      </c>
      <c r="AX74" s="378" t="str">
        <f t="shared" si="56"/>
        <v>НД</v>
      </c>
      <c r="AY74" s="255" t="str">
        <f t="shared" si="32"/>
        <v>НД</v>
      </c>
      <c r="AZ74" s="431">
        <f>SUMIFS('Отчет РПЗ(ПЗ)_ПЗИП'!$W:$W,'Отчет РПЗ(ПЗ)_ПЗИП'!$D:$D,Справочно!$E39,'Отчет РПЗ(ПЗ)_ПЗИП'!$N:$N,"&gt;=01.09.2017",'Отчет РПЗ(ПЗ)_ПЗИП'!$N:$N,"&lt;=30.09.2017",'Отчет РПЗ(ПЗ)_ПЗИП'!$AG:$AG,"&gt;0")</f>
        <v>0</v>
      </c>
      <c r="BA74" s="338">
        <f>SUMIFS('Отчет РПЗ(ПЗ)_ПЗИП'!$AG:$AG,'Отчет РПЗ(ПЗ)_ПЗИП'!$D:$D,Справочно!$E39,'Отчет РПЗ(ПЗ)_ПЗИП'!$AQ:$AQ,9)</f>
        <v>0</v>
      </c>
      <c r="BB74" s="378" t="str">
        <f t="shared" si="57"/>
        <v>НД</v>
      </c>
      <c r="BC74" s="255" t="str">
        <f t="shared" si="33"/>
        <v>НД</v>
      </c>
      <c r="BD74" s="430">
        <f t="shared" si="58"/>
        <v>0</v>
      </c>
      <c r="BE74" s="339">
        <f t="shared" si="59"/>
        <v>0</v>
      </c>
      <c r="BF74" s="339">
        <f t="shared" si="34"/>
        <v>0</v>
      </c>
      <c r="BG74" s="257">
        <f t="shared" si="35"/>
        <v>0</v>
      </c>
      <c r="BH74" s="420">
        <f>SUMIFS('Отчет РПЗ(ПЗ)_ПЗИП'!$W:$W,'Отчет РПЗ(ПЗ)_ПЗИП'!$D:$D,Справочно!$E39,'Отчет РПЗ(ПЗ)_ПЗИП'!$N:$N,"&gt;=01.10.2017",'Отчет РПЗ(ПЗ)_ПЗИП'!$N:$N,"&lt;=31.10.2017",'Отчет РПЗ(ПЗ)_ПЗИП'!$AG:$AG,"&gt;0")</f>
        <v>0</v>
      </c>
      <c r="BI74" s="340">
        <f>SUMIFS('Отчет РПЗ(ПЗ)_ПЗИП'!$AG:$AG,'Отчет РПЗ(ПЗ)_ПЗИП'!$D:$D,Справочно!$E39,'Отчет РПЗ(ПЗ)_ПЗИП'!$AQ:$AQ,10)</f>
        <v>0</v>
      </c>
      <c r="BJ74" s="380" t="str">
        <f t="shared" si="60"/>
        <v>НД</v>
      </c>
      <c r="BK74" s="259" t="str">
        <f t="shared" si="36"/>
        <v>НД</v>
      </c>
      <c r="BL74" s="435">
        <f>SUMIFS('Отчет РПЗ(ПЗ)_ПЗИП'!$W:$W,'Отчет РПЗ(ПЗ)_ПЗИП'!$D:$D,Справочно!$E39,'Отчет РПЗ(ПЗ)_ПЗИП'!$N:$N,"&gt;=01.11.2017",'Отчет РПЗ(ПЗ)_ПЗИП'!$N:$N,"&lt;=30.11.2017",'Отчет РПЗ(ПЗ)_ПЗИП'!$AG:$AG,"&gt;0")</f>
        <v>0</v>
      </c>
      <c r="BM74" s="340">
        <f>SUMIFS('Отчет РПЗ(ПЗ)_ПЗИП'!$AG:$AG,'Отчет РПЗ(ПЗ)_ПЗИП'!$D:$D,Справочно!$E39,'Отчет РПЗ(ПЗ)_ПЗИП'!$AQ:$AQ,11)</f>
        <v>0</v>
      </c>
      <c r="BN74" s="380" t="str">
        <f t="shared" si="61"/>
        <v>НД</v>
      </c>
      <c r="BO74" s="259" t="str">
        <f t="shared" si="37"/>
        <v>НД</v>
      </c>
      <c r="BP74" s="435">
        <f>SUMIFS('Отчет РПЗ(ПЗ)_ПЗИП'!$W:$W,'Отчет РПЗ(ПЗ)_ПЗИП'!$D:$D,Справочно!$E39,'Отчет РПЗ(ПЗ)_ПЗИП'!$N:$N,"&gt;=01.12.2017",'Отчет РПЗ(ПЗ)_ПЗИП'!$N:$N,"&lt;=31.12.2017",'Отчет РПЗ(ПЗ)_ПЗИП'!$AG:$AG,"&gt;0")</f>
        <v>0</v>
      </c>
      <c r="BQ74" s="340">
        <f>SUMIFS('Отчет РПЗ(ПЗ)_ПЗИП'!$AG:$AG,'Отчет РПЗ(ПЗ)_ПЗИП'!$D:$D,Справочно!$E39,'Отчет РПЗ(ПЗ)_ПЗИП'!$AQ:$AQ,12)</f>
        <v>0</v>
      </c>
      <c r="BR74" s="380" t="str">
        <f t="shared" si="62"/>
        <v>НД</v>
      </c>
      <c r="BS74" s="261" t="str">
        <f t="shared" si="38"/>
        <v>НД</v>
      </c>
      <c r="BT74" s="430">
        <f t="shared" si="63"/>
        <v>0</v>
      </c>
      <c r="BU74" s="341">
        <f t="shared" si="64"/>
        <v>0</v>
      </c>
      <c r="BV74" s="341">
        <f t="shared" si="39"/>
        <v>0</v>
      </c>
      <c r="BW74" s="262">
        <f t="shared" si="40"/>
        <v>0</v>
      </c>
    </row>
    <row r="75" spans="2:75" ht="13.5" thickBot="1" x14ac:dyDescent="0.25">
      <c r="B75" s="59" t="str">
        <f>Справочно!E40</f>
        <v>АО "Национальная иммунобиологическая компания"</v>
      </c>
      <c r="C75" s="96">
        <f>ПП!B63</f>
        <v>0</v>
      </c>
      <c r="D75" s="418" t="e">
        <f>ПП!C63</f>
        <v>#DIV/0!</v>
      </c>
      <c r="E75" s="443">
        <f>ПП!D63</f>
        <v>0</v>
      </c>
      <c r="F75" s="302">
        <f>COUNTIFS('Отчет РПЗ(ПЗ)_ПЗИП'!$AG:$AG,"&gt;0",'Отчет РПЗ(ПЗ)_ПЗИП'!$D:$D,Справочно!$E39)</f>
        <v>0</v>
      </c>
      <c r="G75" s="444" t="e">
        <f t="shared" si="41"/>
        <v>#DIV/0!</v>
      </c>
      <c r="H75" s="445">
        <f>SUMIF('Отчет РПЗ(ПЗ)_ПЗИП'!$D:$D,Справочно!$E39,'Отчет РПЗ(ПЗ)_ПЗИП'!$AG:$AG)</f>
        <v>0</v>
      </c>
      <c r="I75" s="472">
        <f t="shared" si="65"/>
        <v>0</v>
      </c>
      <c r="J75" s="526" t="e">
        <f t="shared" si="42"/>
        <v>#DIV/0!</v>
      </c>
      <c r="L75" s="436">
        <f>SUMIFS('Отчет РПЗ(ПЗ)_ПЗИП'!$W:$W,'Отчет РПЗ(ПЗ)_ПЗИП'!$D:$D,Справочно!$E40,'Отчет РПЗ(ПЗ)_ПЗИП'!$N:$N,"&gt;=01.01.2017",'Отчет РПЗ(ПЗ)_ПЗИП'!$N:$N,"&lt;=31.01.2017",'Отчет РПЗ(ПЗ)_ПЗИП'!$AG:$AG,"&gt;0")</f>
        <v>0</v>
      </c>
      <c r="M75" s="334">
        <f>SUMIFS('Отчет РПЗ(ПЗ)_ПЗИП'!$AG:$AG,'Отчет РПЗ(ПЗ)_ПЗИП'!$D:$D,Справочно!$E40,'Отчет РПЗ(ПЗ)_ПЗИП'!$AQ:$AQ,1)</f>
        <v>0</v>
      </c>
      <c r="N75" s="342" t="str">
        <f t="shared" si="43"/>
        <v>НД</v>
      </c>
      <c r="O75" s="250" t="str">
        <f t="shared" si="44"/>
        <v>НД</v>
      </c>
      <c r="P75" s="431">
        <f>SUMIFS('Отчет РПЗ(ПЗ)_ПЗИП'!$W:$W,'Отчет РПЗ(ПЗ)_ПЗИП'!$D:$D,Справочно!$E40,'Отчет РПЗ(ПЗ)_ПЗИП'!$N:$N,"&gt;=01.02.2017",'Отчет РПЗ(ПЗ)_ПЗИП'!$N:$N,"&lt;=28.02.2017",'Отчет РПЗ(ПЗ)_ПЗИП'!$AG:$AG,"&gt;0")</f>
        <v>0</v>
      </c>
      <c r="Q75" s="334">
        <f>SUMIFS('Отчет РПЗ(ПЗ)_ПЗИП'!$AG:$AG,'Отчет РПЗ(ПЗ)_ПЗИП'!$D:$D,Справочно!$E40,'Отчет РПЗ(ПЗ)_ПЗИП'!$AQ:$AQ,2)</f>
        <v>0</v>
      </c>
      <c r="R75" s="342" t="str">
        <f t="shared" si="45"/>
        <v>НД</v>
      </c>
      <c r="S75" s="250" t="str">
        <f t="shared" si="46"/>
        <v>НД</v>
      </c>
      <c r="T75" s="431">
        <f>SUMIFS('Отчет РПЗ(ПЗ)_ПЗИП'!$W:$W,'Отчет РПЗ(ПЗ)_ПЗИП'!$D:$D,Справочно!$E40,'Отчет РПЗ(ПЗ)_ПЗИП'!$N:$N,"&gt;=01.03.2017",'Отчет РПЗ(ПЗ)_ПЗИП'!$N:$N,"&lt;=31.03.2017",'Отчет РПЗ(ПЗ)_ПЗИП'!$AG:$AG,"&gt;0")</f>
        <v>0</v>
      </c>
      <c r="U75" s="334">
        <f>SUMIFS('Отчет РПЗ(ПЗ)_ПЗИП'!$AG:$AG,'Отчет РПЗ(ПЗ)_ПЗИП'!$D:$D,Справочно!$E40,'Отчет РПЗ(ПЗ)_ПЗИП'!$AQ:$AQ,3)</f>
        <v>0</v>
      </c>
      <c r="V75" s="342" t="str">
        <f t="shared" si="47"/>
        <v>НД</v>
      </c>
      <c r="W75" s="250" t="str">
        <f t="shared" si="23"/>
        <v>НД</v>
      </c>
      <c r="X75" s="430">
        <f t="shared" si="48"/>
        <v>0</v>
      </c>
      <c r="Y75" s="335">
        <f t="shared" si="49"/>
        <v>0</v>
      </c>
      <c r="Z75" s="335">
        <f t="shared" si="24"/>
        <v>0</v>
      </c>
      <c r="AA75" s="252">
        <f t="shared" si="25"/>
        <v>0</v>
      </c>
      <c r="AB75" s="436">
        <f>SUMIFS('Отчет РПЗ(ПЗ)_ПЗИП'!$W:$W,'Отчет РПЗ(ПЗ)_ПЗИП'!$D:$D,Справочно!$E40,'Отчет РПЗ(ПЗ)_ПЗИП'!$N:$N,"&gt;=01.04.2017",'Отчет РПЗ(ПЗ)_ПЗИП'!$N:$N,"&lt;=30.04.2017",'Отчет РПЗ(ПЗ)_ПЗИП'!$AG:$AG,"&gt;0")</f>
        <v>0</v>
      </c>
      <c r="AC75" s="336">
        <f>SUMIFS('Отчет РПЗ(ПЗ)_ПЗИП'!$AG:$AG,'Отчет РПЗ(ПЗ)_ПЗИП'!$D:$D,Справочно!$E40,'Отчет РПЗ(ПЗ)_ПЗИП'!$AQ:$AQ,4)</f>
        <v>0</v>
      </c>
      <c r="AD75" s="336" t="str">
        <f t="shared" si="50"/>
        <v>НД</v>
      </c>
      <c r="AE75" s="251" t="str">
        <f t="shared" si="26"/>
        <v>НД</v>
      </c>
      <c r="AF75" s="435">
        <f>SUMIFS('Отчет РПЗ(ПЗ)_ПЗИП'!$W:$W,'Отчет РПЗ(ПЗ)_ПЗИП'!$D:$D,Справочно!$E40,'Отчет РПЗ(ПЗ)_ПЗИП'!$N:$N,"&gt;=01.05.2017",'Отчет РПЗ(ПЗ)_ПЗИП'!$N:$N,"&lt;=31.05.2017",'Отчет РПЗ(ПЗ)_ПЗИП'!$AG:$AG,"&gt;0")</f>
        <v>0</v>
      </c>
      <c r="AG75" s="336">
        <f>SUMIFS('Отчет РПЗ(ПЗ)_ПЗИП'!$AG:$AG,'Отчет РПЗ(ПЗ)_ПЗИП'!$D:$D,Справочно!$E40,'Отчет РПЗ(ПЗ)_ПЗИП'!$AQ:$AQ,5)</f>
        <v>0</v>
      </c>
      <c r="AH75" s="336" t="str">
        <f t="shared" si="51"/>
        <v>НД</v>
      </c>
      <c r="AI75" s="251" t="str">
        <f t="shared" si="27"/>
        <v>НД</v>
      </c>
      <c r="AJ75" s="435">
        <f>SUMIFS('Отчет РПЗ(ПЗ)_ПЗИП'!$W:$W,'Отчет РПЗ(ПЗ)_ПЗИП'!$D:$D,Справочно!$E40,'Отчет РПЗ(ПЗ)_ПЗИП'!$N:$N,"&gt;=01.06.2017",'Отчет РПЗ(ПЗ)_ПЗИП'!$N:$N,"&lt;=30.06.2017",'Отчет РПЗ(ПЗ)_ПЗИП'!$AG:$AG,"&gt;0")</f>
        <v>0</v>
      </c>
      <c r="AK75" s="336">
        <f>SUMIFS('Отчет РПЗ(ПЗ)_ПЗИП'!$AG:$AG,'Отчет РПЗ(ПЗ)_ПЗИП'!$D:$D,Справочно!$E40,'Отчет РПЗ(ПЗ)_ПЗИП'!$AQ:$AQ,6)</f>
        <v>0</v>
      </c>
      <c r="AL75" s="336" t="str">
        <f t="shared" si="52"/>
        <v>НД</v>
      </c>
      <c r="AM75" s="251" t="str">
        <f t="shared" si="28"/>
        <v>НД</v>
      </c>
      <c r="AN75" s="430">
        <f t="shared" si="53"/>
        <v>0</v>
      </c>
      <c r="AO75" s="337">
        <f t="shared" si="54"/>
        <v>0</v>
      </c>
      <c r="AP75" s="337">
        <f t="shared" si="29"/>
        <v>0</v>
      </c>
      <c r="AQ75" s="253">
        <f t="shared" si="30"/>
        <v>0</v>
      </c>
      <c r="AR75" s="436">
        <f>SUMIFS('Отчет РПЗ(ПЗ)_ПЗИП'!$W:$W,'Отчет РПЗ(ПЗ)_ПЗИП'!$D:$D,Справочно!$E40,'Отчет РПЗ(ПЗ)_ПЗИП'!$N:$N,"&gt;=01.07.2017",'Отчет РПЗ(ПЗ)_ПЗИП'!$N:$N,"&lt;=31.07.2017",'Отчет РПЗ(ПЗ)_ПЗИП'!$AG:$AG,"&gt;0")</f>
        <v>0</v>
      </c>
      <c r="AS75" s="338">
        <f>SUMIFS('Отчет РПЗ(ПЗ)_ПЗИП'!$AG:$AG,'Отчет РПЗ(ПЗ)_ПЗИП'!$D:$D,Справочно!$E40,'Отчет РПЗ(ПЗ)_ПЗИП'!$AQ:$AQ,7)</f>
        <v>0</v>
      </c>
      <c r="AT75" s="378" t="str">
        <f t="shared" si="55"/>
        <v>НД</v>
      </c>
      <c r="AU75" s="255" t="str">
        <f t="shared" si="31"/>
        <v>НД</v>
      </c>
      <c r="AV75" s="431">
        <f>SUMIFS('Отчет РПЗ(ПЗ)_ПЗИП'!$W:$W,'Отчет РПЗ(ПЗ)_ПЗИП'!$D:$D,Справочно!$E40,'Отчет РПЗ(ПЗ)_ПЗИП'!$N:$N,"&gt;=01.08.2017",'Отчет РПЗ(ПЗ)_ПЗИП'!$N:$N,"&lt;=31.08.2017",'Отчет РПЗ(ПЗ)_ПЗИП'!$AG:$AG,"&gt;0")</f>
        <v>0</v>
      </c>
      <c r="AW75" s="338">
        <f>SUMIFS('Отчет РПЗ(ПЗ)_ПЗИП'!$AG:$AG,'Отчет РПЗ(ПЗ)_ПЗИП'!$D:$D,Справочно!$E40,'Отчет РПЗ(ПЗ)_ПЗИП'!$AQ:$AQ,8)</f>
        <v>0</v>
      </c>
      <c r="AX75" s="378" t="str">
        <f t="shared" si="56"/>
        <v>НД</v>
      </c>
      <c r="AY75" s="255" t="str">
        <f t="shared" si="32"/>
        <v>НД</v>
      </c>
      <c r="AZ75" s="431">
        <f>SUMIFS('Отчет РПЗ(ПЗ)_ПЗИП'!$W:$W,'Отчет РПЗ(ПЗ)_ПЗИП'!$D:$D,Справочно!$E40,'Отчет РПЗ(ПЗ)_ПЗИП'!$N:$N,"&gt;=01.09.2017",'Отчет РПЗ(ПЗ)_ПЗИП'!$N:$N,"&lt;=30.09.2017",'Отчет РПЗ(ПЗ)_ПЗИП'!$AG:$AG,"&gt;0")</f>
        <v>0</v>
      </c>
      <c r="BA75" s="338">
        <f>SUMIFS('Отчет РПЗ(ПЗ)_ПЗИП'!$AG:$AG,'Отчет РПЗ(ПЗ)_ПЗИП'!$D:$D,Справочно!$E40,'Отчет РПЗ(ПЗ)_ПЗИП'!$AQ:$AQ,9)</f>
        <v>0</v>
      </c>
      <c r="BB75" s="378" t="str">
        <f t="shared" si="57"/>
        <v>НД</v>
      </c>
      <c r="BC75" s="255" t="str">
        <f t="shared" si="33"/>
        <v>НД</v>
      </c>
      <c r="BD75" s="430">
        <f t="shared" si="58"/>
        <v>0</v>
      </c>
      <c r="BE75" s="339">
        <f t="shared" si="59"/>
        <v>0</v>
      </c>
      <c r="BF75" s="339">
        <f t="shared" si="34"/>
        <v>0</v>
      </c>
      <c r="BG75" s="257">
        <f t="shared" si="35"/>
        <v>0</v>
      </c>
      <c r="BH75" s="420">
        <f>SUMIFS('Отчет РПЗ(ПЗ)_ПЗИП'!$W:$W,'Отчет РПЗ(ПЗ)_ПЗИП'!$D:$D,Справочно!$E40,'Отчет РПЗ(ПЗ)_ПЗИП'!$N:$N,"&gt;=01.10.2017",'Отчет РПЗ(ПЗ)_ПЗИП'!$N:$N,"&lt;=31.10.2017",'Отчет РПЗ(ПЗ)_ПЗИП'!$AG:$AG,"&gt;0")</f>
        <v>0</v>
      </c>
      <c r="BI75" s="340">
        <f>SUMIFS('Отчет РПЗ(ПЗ)_ПЗИП'!$AG:$AG,'Отчет РПЗ(ПЗ)_ПЗИП'!$D:$D,Справочно!$E40,'Отчет РПЗ(ПЗ)_ПЗИП'!$AQ:$AQ,10)</f>
        <v>0</v>
      </c>
      <c r="BJ75" s="380" t="str">
        <f t="shared" si="60"/>
        <v>НД</v>
      </c>
      <c r="BK75" s="259" t="str">
        <f t="shared" si="36"/>
        <v>НД</v>
      </c>
      <c r="BL75" s="435">
        <f>SUMIFS('Отчет РПЗ(ПЗ)_ПЗИП'!$W:$W,'Отчет РПЗ(ПЗ)_ПЗИП'!$D:$D,Справочно!$E40,'Отчет РПЗ(ПЗ)_ПЗИП'!$N:$N,"&gt;=01.11.2017",'Отчет РПЗ(ПЗ)_ПЗИП'!$N:$N,"&lt;=30.11.2017",'Отчет РПЗ(ПЗ)_ПЗИП'!$AG:$AG,"&gt;0")</f>
        <v>0</v>
      </c>
      <c r="BM75" s="340">
        <f>SUMIFS('Отчет РПЗ(ПЗ)_ПЗИП'!$AG:$AG,'Отчет РПЗ(ПЗ)_ПЗИП'!$D:$D,Справочно!$E40,'Отчет РПЗ(ПЗ)_ПЗИП'!$AQ:$AQ,11)</f>
        <v>0</v>
      </c>
      <c r="BN75" s="380" t="str">
        <f t="shared" si="61"/>
        <v>НД</v>
      </c>
      <c r="BO75" s="259" t="str">
        <f t="shared" si="37"/>
        <v>НД</v>
      </c>
      <c r="BP75" s="435">
        <f>SUMIFS('Отчет РПЗ(ПЗ)_ПЗИП'!$W:$W,'Отчет РПЗ(ПЗ)_ПЗИП'!$D:$D,Справочно!$E40,'Отчет РПЗ(ПЗ)_ПЗИП'!$N:$N,"&gt;=01.12.2017",'Отчет РПЗ(ПЗ)_ПЗИП'!$N:$N,"&lt;=31.12.2017",'Отчет РПЗ(ПЗ)_ПЗИП'!$AG:$AG,"&gt;0")</f>
        <v>0</v>
      </c>
      <c r="BQ75" s="340">
        <f>SUMIFS('Отчет РПЗ(ПЗ)_ПЗИП'!$AG:$AG,'Отчет РПЗ(ПЗ)_ПЗИП'!$D:$D,Справочно!$E40,'Отчет РПЗ(ПЗ)_ПЗИП'!$AQ:$AQ,12)</f>
        <v>0</v>
      </c>
      <c r="BR75" s="380" t="str">
        <f t="shared" si="62"/>
        <v>НД</v>
      </c>
      <c r="BS75" s="261" t="str">
        <f t="shared" si="38"/>
        <v>НД</v>
      </c>
      <c r="BT75" s="430">
        <f t="shared" si="63"/>
        <v>0</v>
      </c>
      <c r="BU75" s="341">
        <f t="shared" si="64"/>
        <v>0</v>
      </c>
      <c r="BV75" s="341">
        <f t="shared" si="39"/>
        <v>0</v>
      </c>
      <c r="BW75" s="262">
        <f t="shared" si="40"/>
        <v>0</v>
      </c>
    </row>
    <row r="76" spans="2:75" ht="13.5" thickBot="1" x14ac:dyDescent="0.25">
      <c r="B76" s="59" t="str">
        <f>Справочно!E41</f>
        <v>АО "РТ-Химические технологии и композиционные материалы"</v>
      </c>
      <c r="C76" s="96">
        <f>ПП!B64</f>
        <v>0</v>
      </c>
      <c r="D76" s="418" t="e">
        <f>ПП!C64</f>
        <v>#DIV/0!</v>
      </c>
      <c r="E76" s="443">
        <f>ПП!D64</f>
        <v>0</v>
      </c>
      <c r="F76" s="302">
        <f>COUNTIFS('Отчет РПЗ(ПЗ)_ПЗИП'!$AG:$AG,"&gt;0",'Отчет РПЗ(ПЗ)_ПЗИП'!$D:$D,Справочно!$E40)</f>
        <v>0</v>
      </c>
      <c r="G76" s="444" t="e">
        <f t="shared" si="41"/>
        <v>#DIV/0!</v>
      </c>
      <c r="H76" s="445">
        <f>SUMIF('Отчет РПЗ(ПЗ)_ПЗИП'!$D:$D,Справочно!$E40,'Отчет РПЗ(ПЗ)_ПЗИП'!$AG:$AG)</f>
        <v>0</v>
      </c>
      <c r="I76" s="472">
        <f t="shared" si="65"/>
        <v>0</v>
      </c>
      <c r="J76" s="526" t="e">
        <f t="shared" si="42"/>
        <v>#DIV/0!</v>
      </c>
      <c r="L76" s="436">
        <f>SUMIFS('Отчет РПЗ(ПЗ)_ПЗИП'!$W:$W,'Отчет РПЗ(ПЗ)_ПЗИП'!$D:$D,Справочно!$E41,'Отчет РПЗ(ПЗ)_ПЗИП'!$N:$N,"&gt;=01.01.2017",'Отчет РПЗ(ПЗ)_ПЗИП'!$N:$N,"&lt;=31.01.2017",'Отчет РПЗ(ПЗ)_ПЗИП'!$AG:$AG,"&gt;0")</f>
        <v>0</v>
      </c>
      <c r="M76" s="334">
        <f>SUMIFS('Отчет РПЗ(ПЗ)_ПЗИП'!$AG:$AG,'Отчет РПЗ(ПЗ)_ПЗИП'!$D:$D,Справочно!$E41,'Отчет РПЗ(ПЗ)_ПЗИП'!$AQ:$AQ,1)</f>
        <v>0</v>
      </c>
      <c r="N76" s="342" t="str">
        <f t="shared" si="43"/>
        <v>НД</v>
      </c>
      <c r="O76" s="250" t="str">
        <f t="shared" si="44"/>
        <v>НД</v>
      </c>
      <c r="P76" s="431">
        <f>SUMIFS('Отчет РПЗ(ПЗ)_ПЗИП'!$W:$W,'Отчет РПЗ(ПЗ)_ПЗИП'!$D:$D,Справочно!$E41,'Отчет РПЗ(ПЗ)_ПЗИП'!$N:$N,"&gt;=01.02.2017",'Отчет РПЗ(ПЗ)_ПЗИП'!$N:$N,"&lt;=28.02.2017",'Отчет РПЗ(ПЗ)_ПЗИП'!$AG:$AG,"&gt;0")</f>
        <v>0</v>
      </c>
      <c r="Q76" s="334">
        <f>SUMIFS('Отчет РПЗ(ПЗ)_ПЗИП'!$AG:$AG,'Отчет РПЗ(ПЗ)_ПЗИП'!$D:$D,Справочно!$E41,'Отчет РПЗ(ПЗ)_ПЗИП'!$AQ:$AQ,2)</f>
        <v>0</v>
      </c>
      <c r="R76" s="342" t="str">
        <f t="shared" si="45"/>
        <v>НД</v>
      </c>
      <c r="S76" s="250" t="str">
        <f t="shared" si="46"/>
        <v>НД</v>
      </c>
      <c r="T76" s="431">
        <f>SUMIFS('Отчет РПЗ(ПЗ)_ПЗИП'!$W:$W,'Отчет РПЗ(ПЗ)_ПЗИП'!$D:$D,Справочно!$E41,'Отчет РПЗ(ПЗ)_ПЗИП'!$N:$N,"&gt;=01.03.2017",'Отчет РПЗ(ПЗ)_ПЗИП'!$N:$N,"&lt;=31.03.2017",'Отчет РПЗ(ПЗ)_ПЗИП'!$AG:$AG,"&gt;0")</f>
        <v>0</v>
      </c>
      <c r="U76" s="334">
        <f>SUMIFS('Отчет РПЗ(ПЗ)_ПЗИП'!$AG:$AG,'Отчет РПЗ(ПЗ)_ПЗИП'!$D:$D,Справочно!$E41,'Отчет РПЗ(ПЗ)_ПЗИП'!$AQ:$AQ,3)</f>
        <v>0</v>
      </c>
      <c r="V76" s="342" t="str">
        <f t="shared" si="47"/>
        <v>НД</v>
      </c>
      <c r="W76" s="250" t="str">
        <f t="shared" si="23"/>
        <v>НД</v>
      </c>
      <c r="X76" s="430">
        <f t="shared" si="48"/>
        <v>0</v>
      </c>
      <c r="Y76" s="335">
        <f t="shared" si="49"/>
        <v>0</v>
      </c>
      <c r="Z76" s="335">
        <f t="shared" si="24"/>
        <v>0</v>
      </c>
      <c r="AA76" s="252">
        <f t="shared" si="25"/>
        <v>0</v>
      </c>
      <c r="AB76" s="436">
        <f>SUMIFS('Отчет РПЗ(ПЗ)_ПЗИП'!$W:$W,'Отчет РПЗ(ПЗ)_ПЗИП'!$D:$D,Справочно!$E41,'Отчет РПЗ(ПЗ)_ПЗИП'!$N:$N,"&gt;=01.04.2017",'Отчет РПЗ(ПЗ)_ПЗИП'!$N:$N,"&lt;=30.04.2017",'Отчет РПЗ(ПЗ)_ПЗИП'!$AG:$AG,"&gt;0")</f>
        <v>0</v>
      </c>
      <c r="AC76" s="336">
        <f>SUMIFS('Отчет РПЗ(ПЗ)_ПЗИП'!$AG:$AG,'Отчет РПЗ(ПЗ)_ПЗИП'!$D:$D,Справочно!$E41,'Отчет РПЗ(ПЗ)_ПЗИП'!$AQ:$AQ,4)</f>
        <v>0</v>
      </c>
      <c r="AD76" s="336" t="str">
        <f t="shared" si="50"/>
        <v>НД</v>
      </c>
      <c r="AE76" s="251" t="str">
        <f t="shared" si="26"/>
        <v>НД</v>
      </c>
      <c r="AF76" s="435">
        <f>SUMIFS('Отчет РПЗ(ПЗ)_ПЗИП'!$W:$W,'Отчет РПЗ(ПЗ)_ПЗИП'!$D:$D,Справочно!$E41,'Отчет РПЗ(ПЗ)_ПЗИП'!$N:$N,"&gt;=01.05.2017",'Отчет РПЗ(ПЗ)_ПЗИП'!$N:$N,"&lt;=31.05.2017",'Отчет РПЗ(ПЗ)_ПЗИП'!$AG:$AG,"&gt;0")</f>
        <v>0</v>
      </c>
      <c r="AG76" s="336">
        <f>SUMIFS('Отчет РПЗ(ПЗ)_ПЗИП'!$AG:$AG,'Отчет РПЗ(ПЗ)_ПЗИП'!$D:$D,Справочно!$E41,'Отчет РПЗ(ПЗ)_ПЗИП'!$AQ:$AQ,5)</f>
        <v>0</v>
      </c>
      <c r="AH76" s="336" t="str">
        <f t="shared" si="51"/>
        <v>НД</v>
      </c>
      <c r="AI76" s="251" t="str">
        <f t="shared" si="27"/>
        <v>НД</v>
      </c>
      <c r="AJ76" s="435">
        <f>SUMIFS('Отчет РПЗ(ПЗ)_ПЗИП'!$W:$W,'Отчет РПЗ(ПЗ)_ПЗИП'!$D:$D,Справочно!$E41,'Отчет РПЗ(ПЗ)_ПЗИП'!$N:$N,"&gt;=01.06.2017",'Отчет РПЗ(ПЗ)_ПЗИП'!$N:$N,"&lt;=30.06.2017",'Отчет РПЗ(ПЗ)_ПЗИП'!$AG:$AG,"&gt;0")</f>
        <v>0</v>
      </c>
      <c r="AK76" s="336">
        <f>SUMIFS('Отчет РПЗ(ПЗ)_ПЗИП'!$AG:$AG,'Отчет РПЗ(ПЗ)_ПЗИП'!$D:$D,Справочно!$E41,'Отчет РПЗ(ПЗ)_ПЗИП'!$AQ:$AQ,6)</f>
        <v>0</v>
      </c>
      <c r="AL76" s="336" t="str">
        <f t="shared" si="52"/>
        <v>НД</v>
      </c>
      <c r="AM76" s="251" t="str">
        <f t="shared" si="28"/>
        <v>НД</v>
      </c>
      <c r="AN76" s="430">
        <f t="shared" si="53"/>
        <v>0</v>
      </c>
      <c r="AO76" s="337">
        <f t="shared" si="54"/>
        <v>0</v>
      </c>
      <c r="AP76" s="337">
        <f t="shared" si="29"/>
        <v>0</v>
      </c>
      <c r="AQ76" s="253">
        <f t="shared" si="30"/>
        <v>0</v>
      </c>
      <c r="AR76" s="436">
        <f>SUMIFS('Отчет РПЗ(ПЗ)_ПЗИП'!$W:$W,'Отчет РПЗ(ПЗ)_ПЗИП'!$D:$D,Справочно!$E41,'Отчет РПЗ(ПЗ)_ПЗИП'!$N:$N,"&gt;=01.07.2017",'Отчет РПЗ(ПЗ)_ПЗИП'!$N:$N,"&lt;=31.07.2017",'Отчет РПЗ(ПЗ)_ПЗИП'!$AG:$AG,"&gt;0")</f>
        <v>0</v>
      </c>
      <c r="AS76" s="338">
        <f>SUMIFS('Отчет РПЗ(ПЗ)_ПЗИП'!$AG:$AG,'Отчет РПЗ(ПЗ)_ПЗИП'!$D:$D,Справочно!$E41,'Отчет РПЗ(ПЗ)_ПЗИП'!$AQ:$AQ,7)</f>
        <v>0</v>
      </c>
      <c r="AT76" s="378" t="str">
        <f t="shared" si="55"/>
        <v>НД</v>
      </c>
      <c r="AU76" s="255" t="str">
        <f t="shared" si="31"/>
        <v>НД</v>
      </c>
      <c r="AV76" s="431">
        <f>SUMIFS('Отчет РПЗ(ПЗ)_ПЗИП'!$W:$W,'Отчет РПЗ(ПЗ)_ПЗИП'!$D:$D,Справочно!$E41,'Отчет РПЗ(ПЗ)_ПЗИП'!$N:$N,"&gt;=01.08.2017",'Отчет РПЗ(ПЗ)_ПЗИП'!$N:$N,"&lt;=31.08.2017",'Отчет РПЗ(ПЗ)_ПЗИП'!$AG:$AG,"&gt;0")</f>
        <v>0</v>
      </c>
      <c r="AW76" s="338">
        <f>SUMIFS('Отчет РПЗ(ПЗ)_ПЗИП'!$AG:$AG,'Отчет РПЗ(ПЗ)_ПЗИП'!$D:$D,Справочно!$E41,'Отчет РПЗ(ПЗ)_ПЗИП'!$AQ:$AQ,8)</f>
        <v>0</v>
      </c>
      <c r="AX76" s="378" t="str">
        <f t="shared" si="56"/>
        <v>НД</v>
      </c>
      <c r="AY76" s="255" t="str">
        <f t="shared" si="32"/>
        <v>НД</v>
      </c>
      <c r="AZ76" s="431">
        <f>SUMIFS('Отчет РПЗ(ПЗ)_ПЗИП'!$W:$W,'Отчет РПЗ(ПЗ)_ПЗИП'!$D:$D,Справочно!$E41,'Отчет РПЗ(ПЗ)_ПЗИП'!$N:$N,"&gt;=01.09.2017",'Отчет РПЗ(ПЗ)_ПЗИП'!$N:$N,"&lt;=30.09.2017",'Отчет РПЗ(ПЗ)_ПЗИП'!$AG:$AG,"&gt;0")</f>
        <v>0</v>
      </c>
      <c r="BA76" s="338">
        <f>SUMIFS('Отчет РПЗ(ПЗ)_ПЗИП'!$AG:$AG,'Отчет РПЗ(ПЗ)_ПЗИП'!$D:$D,Справочно!$E41,'Отчет РПЗ(ПЗ)_ПЗИП'!$AQ:$AQ,9)</f>
        <v>0</v>
      </c>
      <c r="BB76" s="378" t="str">
        <f t="shared" si="57"/>
        <v>НД</v>
      </c>
      <c r="BC76" s="255" t="str">
        <f t="shared" si="33"/>
        <v>НД</v>
      </c>
      <c r="BD76" s="430">
        <f t="shared" si="58"/>
        <v>0</v>
      </c>
      <c r="BE76" s="339">
        <f t="shared" si="59"/>
        <v>0</v>
      </c>
      <c r="BF76" s="339">
        <f t="shared" si="34"/>
        <v>0</v>
      </c>
      <c r="BG76" s="257">
        <f t="shared" si="35"/>
        <v>0</v>
      </c>
      <c r="BH76" s="420">
        <f>SUMIFS('Отчет РПЗ(ПЗ)_ПЗИП'!$W:$W,'Отчет РПЗ(ПЗ)_ПЗИП'!$D:$D,Справочно!$E41,'Отчет РПЗ(ПЗ)_ПЗИП'!$N:$N,"&gt;=01.10.2017",'Отчет РПЗ(ПЗ)_ПЗИП'!$N:$N,"&lt;=31.10.2017",'Отчет РПЗ(ПЗ)_ПЗИП'!$AG:$AG,"&gt;0")</f>
        <v>0</v>
      </c>
      <c r="BI76" s="340">
        <f>SUMIFS('Отчет РПЗ(ПЗ)_ПЗИП'!$AG:$AG,'Отчет РПЗ(ПЗ)_ПЗИП'!$D:$D,Справочно!$E41,'Отчет РПЗ(ПЗ)_ПЗИП'!$AQ:$AQ,10)</f>
        <v>0</v>
      </c>
      <c r="BJ76" s="380" t="str">
        <f t="shared" si="60"/>
        <v>НД</v>
      </c>
      <c r="BK76" s="259" t="str">
        <f t="shared" si="36"/>
        <v>НД</v>
      </c>
      <c r="BL76" s="435">
        <f>SUMIFS('Отчет РПЗ(ПЗ)_ПЗИП'!$W:$W,'Отчет РПЗ(ПЗ)_ПЗИП'!$D:$D,Справочно!$E41,'Отчет РПЗ(ПЗ)_ПЗИП'!$N:$N,"&gt;=01.11.2017",'Отчет РПЗ(ПЗ)_ПЗИП'!$N:$N,"&lt;=30.11.2017",'Отчет РПЗ(ПЗ)_ПЗИП'!$AG:$AG,"&gt;0")</f>
        <v>0</v>
      </c>
      <c r="BM76" s="340">
        <f>SUMIFS('Отчет РПЗ(ПЗ)_ПЗИП'!$AG:$AG,'Отчет РПЗ(ПЗ)_ПЗИП'!$D:$D,Справочно!$E41,'Отчет РПЗ(ПЗ)_ПЗИП'!$AQ:$AQ,11)</f>
        <v>0</v>
      </c>
      <c r="BN76" s="380" t="str">
        <f t="shared" si="61"/>
        <v>НД</v>
      </c>
      <c r="BO76" s="259" t="str">
        <f t="shared" si="37"/>
        <v>НД</v>
      </c>
      <c r="BP76" s="435">
        <f>SUMIFS('Отчет РПЗ(ПЗ)_ПЗИП'!$W:$W,'Отчет РПЗ(ПЗ)_ПЗИП'!$D:$D,Справочно!$E41,'Отчет РПЗ(ПЗ)_ПЗИП'!$N:$N,"&gt;=01.12.2017",'Отчет РПЗ(ПЗ)_ПЗИП'!$N:$N,"&lt;=31.12.2017",'Отчет РПЗ(ПЗ)_ПЗИП'!$AG:$AG,"&gt;0")</f>
        <v>0</v>
      </c>
      <c r="BQ76" s="340">
        <f>SUMIFS('Отчет РПЗ(ПЗ)_ПЗИП'!$AG:$AG,'Отчет РПЗ(ПЗ)_ПЗИП'!$D:$D,Справочно!$E41,'Отчет РПЗ(ПЗ)_ПЗИП'!$AQ:$AQ,12)</f>
        <v>0</v>
      </c>
      <c r="BR76" s="380" t="str">
        <f t="shared" si="62"/>
        <v>НД</v>
      </c>
      <c r="BS76" s="261" t="str">
        <f t="shared" si="38"/>
        <v>НД</v>
      </c>
      <c r="BT76" s="430">
        <f t="shared" si="63"/>
        <v>0</v>
      </c>
      <c r="BU76" s="341">
        <f t="shared" si="64"/>
        <v>0</v>
      </c>
      <c r="BV76" s="341">
        <f t="shared" si="39"/>
        <v>0</v>
      </c>
      <c r="BW76" s="262">
        <f t="shared" si="40"/>
        <v>0</v>
      </c>
    </row>
    <row r="77" spans="2:75" ht="13.5" thickBot="1" x14ac:dyDescent="0.25">
      <c r="B77" s="59" t="str">
        <f>Справочно!E42</f>
        <v>АО "Технодинамика"</v>
      </c>
      <c r="C77" s="96">
        <f>ПП!B65</f>
        <v>0</v>
      </c>
      <c r="D77" s="418" t="e">
        <f>ПП!C65</f>
        <v>#DIV/0!</v>
      </c>
      <c r="E77" s="443">
        <f>ПП!D65</f>
        <v>0</v>
      </c>
      <c r="F77" s="302">
        <f>COUNTIFS('Отчет РПЗ(ПЗ)_ПЗИП'!$AG:$AG,"&gt;0",'Отчет РПЗ(ПЗ)_ПЗИП'!$D:$D,Справочно!$E41)</f>
        <v>0</v>
      </c>
      <c r="G77" s="444" t="e">
        <f t="shared" si="41"/>
        <v>#DIV/0!</v>
      </c>
      <c r="H77" s="445">
        <f>SUMIF('Отчет РПЗ(ПЗ)_ПЗИП'!$D:$D,Справочно!$E41,'Отчет РПЗ(ПЗ)_ПЗИП'!$AG:$AG)</f>
        <v>0</v>
      </c>
      <c r="I77" s="472">
        <f t="shared" si="65"/>
        <v>0</v>
      </c>
      <c r="J77" s="526" t="e">
        <f t="shared" si="42"/>
        <v>#DIV/0!</v>
      </c>
      <c r="L77" s="436">
        <f>SUMIFS('Отчет РПЗ(ПЗ)_ПЗИП'!$W:$W,'Отчет РПЗ(ПЗ)_ПЗИП'!$D:$D,Справочно!$E42,'Отчет РПЗ(ПЗ)_ПЗИП'!$N:$N,"&gt;=01.01.2017",'Отчет РПЗ(ПЗ)_ПЗИП'!$N:$N,"&lt;=31.01.2017",'Отчет РПЗ(ПЗ)_ПЗИП'!$AG:$AG,"&gt;0")</f>
        <v>0</v>
      </c>
      <c r="M77" s="334">
        <f>SUMIFS('Отчет РПЗ(ПЗ)_ПЗИП'!$AG:$AG,'Отчет РПЗ(ПЗ)_ПЗИП'!$D:$D,Справочно!$E42,'Отчет РПЗ(ПЗ)_ПЗИП'!$AQ:$AQ,1)</f>
        <v>0</v>
      </c>
      <c r="N77" s="342" t="str">
        <f t="shared" si="43"/>
        <v>НД</v>
      </c>
      <c r="O77" s="250" t="str">
        <f t="shared" si="44"/>
        <v>НД</v>
      </c>
      <c r="P77" s="431">
        <f>SUMIFS('Отчет РПЗ(ПЗ)_ПЗИП'!$W:$W,'Отчет РПЗ(ПЗ)_ПЗИП'!$D:$D,Справочно!$E42,'Отчет РПЗ(ПЗ)_ПЗИП'!$N:$N,"&gt;=01.02.2017",'Отчет РПЗ(ПЗ)_ПЗИП'!$N:$N,"&lt;=28.02.2017",'Отчет РПЗ(ПЗ)_ПЗИП'!$AG:$AG,"&gt;0")</f>
        <v>0</v>
      </c>
      <c r="Q77" s="334">
        <f>SUMIFS('Отчет РПЗ(ПЗ)_ПЗИП'!$AG:$AG,'Отчет РПЗ(ПЗ)_ПЗИП'!$D:$D,Справочно!$E42,'Отчет РПЗ(ПЗ)_ПЗИП'!$AQ:$AQ,2)</f>
        <v>0</v>
      </c>
      <c r="R77" s="342" t="str">
        <f t="shared" si="45"/>
        <v>НД</v>
      </c>
      <c r="S77" s="250" t="str">
        <f t="shared" si="46"/>
        <v>НД</v>
      </c>
      <c r="T77" s="431">
        <f>SUMIFS('Отчет РПЗ(ПЗ)_ПЗИП'!$W:$W,'Отчет РПЗ(ПЗ)_ПЗИП'!$D:$D,Справочно!$E42,'Отчет РПЗ(ПЗ)_ПЗИП'!$N:$N,"&gt;=01.03.2017",'Отчет РПЗ(ПЗ)_ПЗИП'!$N:$N,"&lt;=31.03.2017",'Отчет РПЗ(ПЗ)_ПЗИП'!$AG:$AG,"&gt;0")</f>
        <v>0</v>
      </c>
      <c r="U77" s="334">
        <f>SUMIFS('Отчет РПЗ(ПЗ)_ПЗИП'!$AG:$AG,'Отчет РПЗ(ПЗ)_ПЗИП'!$D:$D,Справочно!$E42,'Отчет РПЗ(ПЗ)_ПЗИП'!$AQ:$AQ,3)</f>
        <v>0</v>
      </c>
      <c r="V77" s="342" t="str">
        <f t="shared" si="47"/>
        <v>НД</v>
      </c>
      <c r="W77" s="250" t="str">
        <f t="shared" si="23"/>
        <v>НД</v>
      </c>
      <c r="X77" s="430">
        <f t="shared" si="48"/>
        <v>0</v>
      </c>
      <c r="Y77" s="335">
        <f t="shared" si="49"/>
        <v>0</v>
      </c>
      <c r="Z77" s="335">
        <f t="shared" si="24"/>
        <v>0</v>
      </c>
      <c r="AA77" s="252">
        <f t="shared" si="25"/>
        <v>0</v>
      </c>
      <c r="AB77" s="436">
        <f>SUMIFS('Отчет РПЗ(ПЗ)_ПЗИП'!$W:$W,'Отчет РПЗ(ПЗ)_ПЗИП'!$D:$D,Справочно!$E42,'Отчет РПЗ(ПЗ)_ПЗИП'!$N:$N,"&gt;=01.04.2017",'Отчет РПЗ(ПЗ)_ПЗИП'!$N:$N,"&lt;=30.04.2017",'Отчет РПЗ(ПЗ)_ПЗИП'!$AG:$AG,"&gt;0")</f>
        <v>0</v>
      </c>
      <c r="AC77" s="336">
        <f>SUMIFS('Отчет РПЗ(ПЗ)_ПЗИП'!$AG:$AG,'Отчет РПЗ(ПЗ)_ПЗИП'!$D:$D,Справочно!$E42,'Отчет РПЗ(ПЗ)_ПЗИП'!$AQ:$AQ,4)</f>
        <v>0</v>
      </c>
      <c r="AD77" s="336" t="str">
        <f t="shared" si="50"/>
        <v>НД</v>
      </c>
      <c r="AE77" s="251" t="str">
        <f t="shared" si="26"/>
        <v>НД</v>
      </c>
      <c r="AF77" s="435">
        <f>SUMIFS('Отчет РПЗ(ПЗ)_ПЗИП'!$W:$W,'Отчет РПЗ(ПЗ)_ПЗИП'!$D:$D,Справочно!$E42,'Отчет РПЗ(ПЗ)_ПЗИП'!$N:$N,"&gt;=01.05.2017",'Отчет РПЗ(ПЗ)_ПЗИП'!$N:$N,"&lt;=31.05.2017",'Отчет РПЗ(ПЗ)_ПЗИП'!$AG:$AG,"&gt;0")</f>
        <v>0</v>
      </c>
      <c r="AG77" s="336">
        <f>SUMIFS('Отчет РПЗ(ПЗ)_ПЗИП'!$AG:$AG,'Отчет РПЗ(ПЗ)_ПЗИП'!$D:$D,Справочно!$E42,'Отчет РПЗ(ПЗ)_ПЗИП'!$AQ:$AQ,5)</f>
        <v>0</v>
      </c>
      <c r="AH77" s="336" t="str">
        <f t="shared" si="51"/>
        <v>НД</v>
      </c>
      <c r="AI77" s="251" t="str">
        <f t="shared" si="27"/>
        <v>НД</v>
      </c>
      <c r="AJ77" s="435">
        <f>SUMIFS('Отчет РПЗ(ПЗ)_ПЗИП'!$W:$W,'Отчет РПЗ(ПЗ)_ПЗИП'!$D:$D,Справочно!$E42,'Отчет РПЗ(ПЗ)_ПЗИП'!$N:$N,"&gt;=01.06.2017",'Отчет РПЗ(ПЗ)_ПЗИП'!$N:$N,"&lt;=30.06.2017",'Отчет РПЗ(ПЗ)_ПЗИП'!$AG:$AG,"&gt;0")</f>
        <v>0</v>
      </c>
      <c r="AK77" s="336">
        <f>SUMIFS('Отчет РПЗ(ПЗ)_ПЗИП'!$AG:$AG,'Отчет РПЗ(ПЗ)_ПЗИП'!$D:$D,Справочно!$E42,'Отчет РПЗ(ПЗ)_ПЗИП'!$AQ:$AQ,6)</f>
        <v>0</v>
      </c>
      <c r="AL77" s="336" t="str">
        <f t="shared" si="52"/>
        <v>НД</v>
      </c>
      <c r="AM77" s="251" t="str">
        <f t="shared" si="28"/>
        <v>НД</v>
      </c>
      <c r="AN77" s="430">
        <f t="shared" si="53"/>
        <v>0</v>
      </c>
      <c r="AO77" s="337">
        <f t="shared" si="54"/>
        <v>0</v>
      </c>
      <c r="AP77" s="337">
        <f t="shared" si="29"/>
        <v>0</v>
      </c>
      <c r="AQ77" s="253">
        <f t="shared" si="30"/>
        <v>0</v>
      </c>
      <c r="AR77" s="436">
        <f>SUMIFS('Отчет РПЗ(ПЗ)_ПЗИП'!$W:$W,'Отчет РПЗ(ПЗ)_ПЗИП'!$D:$D,Справочно!$E42,'Отчет РПЗ(ПЗ)_ПЗИП'!$N:$N,"&gt;=01.07.2017",'Отчет РПЗ(ПЗ)_ПЗИП'!$N:$N,"&lt;=31.07.2017",'Отчет РПЗ(ПЗ)_ПЗИП'!$AG:$AG,"&gt;0")</f>
        <v>0</v>
      </c>
      <c r="AS77" s="338">
        <f>SUMIFS('Отчет РПЗ(ПЗ)_ПЗИП'!$AG:$AG,'Отчет РПЗ(ПЗ)_ПЗИП'!$D:$D,Справочно!$E42,'Отчет РПЗ(ПЗ)_ПЗИП'!$AQ:$AQ,7)</f>
        <v>0</v>
      </c>
      <c r="AT77" s="378" t="str">
        <f t="shared" si="55"/>
        <v>НД</v>
      </c>
      <c r="AU77" s="255" t="str">
        <f t="shared" si="31"/>
        <v>НД</v>
      </c>
      <c r="AV77" s="431">
        <f>SUMIFS('Отчет РПЗ(ПЗ)_ПЗИП'!$W:$W,'Отчет РПЗ(ПЗ)_ПЗИП'!$D:$D,Справочно!$E42,'Отчет РПЗ(ПЗ)_ПЗИП'!$N:$N,"&gt;=01.08.2017",'Отчет РПЗ(ПЗ)_ПЗИП'!$N:$N,"&lt;=31.08.2017",'Отчет РПЗ(ПЗ)_ПЗИП'!$AG:$AG,"&gt;0")</f>
        <v>0</v>
      </c>
      <c r="AW77" s="338">
        <f>SUMIFS('Отчет РПЗ(ПЗ)_ПЗИП'!$AG:$AG,'Отчет РПЗ(ПЗ)_ПЗИП'!$D:$D,Справочно!$E42,'Отчет РПЗ(ПЗ)_ПЗИП'!$AQ:$AQ,8)</f>
        <v>0</v>
      </c>
      <c r="AX77" s="378" t="str">
        <f t="shared" si="56"/>
        <v>НД</v>
      </c>
      <c r="AY77" s="255" t="str">
        <f t="shared" si="32"/>
        <v>НД</v>
      </c>
      <c r="AZ77" s="431">
        <f>SUMIFS('Отчет РПЗ(ПЗ)_ПЗИП'!$W:$W,'Отчет РПЗ(ПЗ)_ПЗИП'!$D:$D,Справочно!$E42,'Отчет РПЗ(ПЗ)_ПЗИП'!$N:$N,"&gt;=01.09.2017",'Отчет РПЗ(ПЗ)_ПЗИП'!$N:$N,"&lt;=30.09.2017",'Отчет РПЗ(ПЗ)_ПЗИП'!$AG:$AG,"&gt;0")</f>
        <v>0</v>
      </c>
      <c r="BA77" s="338">
        <f>SUMIFS('Отчет РПЗ(ПЗ)_ПЗИП'!$AG:$AG,'Отчет РПЗ(ПЗ)_ПЗИП'!$D:$D,Справочно!$E42,'Отчет РПЗ(ПЗ)_ПЗИП'!$AQ:$AQ,9)</f>
        <v>0</v>
      </c>
      <c r="BB77" s="378" t="str">
        <f t="shared" si="57"/>
        <v>НД</v>
      </c>
      <c r="BC77" s="255" t="str">
        <f t="shared" si="33"/>
        <v>НД</v>
      </c>
      <c r="BD77" s="430">
        <f t="shared" si="58"/>
        <v>0</v>
      </c>
      <c r="BE77" s="339">
        <f t="shared" si="59"/>
        <v>0</v>
      </c>
      <c r="BF77" s="339">
        <f t="shared" si="34"/>
        <v>0</v>
      </c>
      <c r="BG77" s="257">
        <f t="shared" si="35"/>
        <v>0</v>
      </c>
      <c r="BH77" s="420">
        <f>SUMIFS('Отчет РПЗ(ПЗ)_ПЗИП'!$W:$W,'Отчет РПЗ(ПЗ)_ПЗИП'!$D:$D,Справочно!$E42,'Отчет РПЗ(ПЗ)_ПЗИП'!$N:$N,"&gt;=01.10.2017",'Отчет РПЗ(ПЗ)_ПЗИП'!$N:$N,"&lt;=31.10.2017",'Отчет РПЗ(ПЗ)_ПЗИП'!$AG:$AG,"&gt;0")</f>
        <v>0</v>
      </c>
      <c r="BI77" s="340">
        <f>SUMIFS('Отчет РПЗ(ПЗ)_ПЗИП'!$AG:$AG,'Отчет РПЗ(ПЗ)_ПЗИП'!$D:$D,Справочно!$E42,'Отчет РПЗ(ПЗ)_ПЗИП'!$AQ:$AQ,10)</f>
        <v>0</v>
      </c>
      <c r="BJ77" s="380" t="str">
        <f t="shared" si="60"/>
        <v>НД</v>
      </c>
      <c r="BK77" s="259" t="str">
        <f t="shared" si="36"/>
        <v>НД</v>
      </c>
      <c r="BL77" s="435">
        <f>SUMIFS('Отчет РПЗ(ПЗ)_ПЗИП'!$W:$W,'Отчет РПЗ(ПЗ)_ПЗИП'!$D:$D,Справочно!$E42,'Отчет РПЗ(ПЗ)_ПЗИП'!$N:$N,"&gt;=01.11.2017",'Отчет РПЗ(ПЗ)_ПЗИП'!$N:$N,"&lt;=30.11.2017",'Отчет РПЗ(ПЗ)_ПЗИП'!$AG:$AG,"&gt;0")</f>
        <v>0</v>
      </c>
      <c r="BM77" s="340">
        <f>SUMIFS('Отчет РПЗ(ПЗ)_ПЗИП'!$AG:$AG,'Отчет РПЗ(ПЗ)_ПЗИП'!$D:$D,Справочно!$E42,'Отчет РПЗ(ПЗ)_ПЗИП'!$AQ:$AQ,11)</f>
        <v>0</v>
      </c>
      <c r="BN77" s="380" t="str">
        <f t="shared" si="61"/>
        <v>НД</v>
      </c>
      <c r="BO77" s="259" t="str">
        <f t="shared" si="37"/>
        <v>НД</v>
      </c>
      <c r="BP77" s="435">
        <f>SUMIFS('Отчет РПЗ(ПЗ)_ПЗИП'!$W:$W,'Отчет РПЗ(ПЗ)_ПЗИП'!$D:$D,Справочно!$E42,'Отчет РПЗ(ПЗ)_ПЗИП'!$N:$N,"&gt;=01.12.2017",'Отчет РПЗ(ПЗ)_ПЗИП'!$N:$N,"&lt;=31.12.2017",'Отчет РПЗ(ПЗ)_ПЗИП'!$AG:$AG,"&gt;0")</f>
        <v>0</v>
      </c>
      <c r="BQ77" s="340">
        <f>SUMIFS('Отчет РПЗ(ПЗ)_ПЗИП'!$AG:$AG,'Отчет РПЗ(ПЗ)_ПЗИП'!$D:$D,Справочно!$E42,'Отчет РПЗ(ПЗ)_ПЗИП'!$AQ:$AQ,12)</f>
        <v>0</v>
      </c>
      <c r="BR77" s="380" t="str">
        <f t="shared" si="62"/>
        <v>НД</v>
      </c>
      <c r="BS77" s="261" t="str">
        <f t="shared" si="38"/>
        <v>НД</v>
      </c>
      <c r="BT77" s="430">
        <f t="shared" si="63"/>
        <v>0</v>
      </c>
      <c r="BU77" s="341">
        <f t="shared" si="64"/>
        <v>0</v>
      </c>
      <c r="BV77" s="341">
        <f t="shared" si="39"/>
        <v>0</v>
      </c>
      <c r="BW77" s="262">
        <f t="shared" si="40"/>
        <v>0</v>
      </c>
    </row>
    <row r="78" spans="2:75" ht="13.5" thickBot="1" x14ac:dyDescent="0.25">
      <c r="B78" s="59" t="str">
        <f>Справочно!E43</f>
        <v>АО "Швабе"</v>
      </c>
      <c r="C78" s="96">
        <f>ПП!B66</f>
        <v>0</v>
      </c>
      <c r="D78" s="418" t="e">
        <f>ПП!C66</f>
        <v>#DIV/0!</v>
      </c>
      <c r="E78" s="443">
        <f>ПП!D66</f>
        <v>0</v>
      </c>
      <c r="F78" s="302">
        <f>COUNTIFS('Отчет РПЗ(ПЗ)_ПЗИП'!$AG:$AG,"&gt;0",'Отчет РПЗ(ПЗ)_ПЗИП'!$D:$D,Справочно!$E42)</f>
        <v>0</v>
      </c>
      <c r="G78" s="444" t="e">
        <f t="shared" si="41"/>
        <v>#DIV/0!</v>
      </c>
      <c r="H78" s="445">
        <f>SUMIF('Отчет РПЗ(ПЗ)_ПЗИП'!$D:$D,Справочно!$E42,'Отчет РПЗ(ПЗ)_ПЗИП'!$AG:$AG)</f>
        <v>0</v>
      </c>
      <c r="I78" s="472">
        <f t="shared" si="65"/>
        <v>0</v>
      </c>
      <c r="J78" s="526" t="e">
        <f t="shared" si="42"/>
        <v>#DIV/0!</v>
      </c>
      <c r="L78" s="436">
        <f>SUMIFS('Отчет РПЗ(ПЗ)_ПЗИП'!$W:$W,'Отчет РПЗ(ПЗ)_ПЗИП'!$D:$D,Справочно!$E43,'Отчет РПЗ(ПЗ)_ПЗИП'!$N:$N,"&gt;=01.01.2017",'Отчет РПЗ(ПЗ)_ПЗИП'!$N:$N,"&lt;=31.01.2017",'Отчет РПЗ(ПЗ)_ПЗИП'!$AG:$AG,"&gt;0")</f>
        <v>0</v>
      </c>
      <c r="M78" s="334">
        <f>SUMIFS('Отчет РПЗ(ПЗ)_ПЗИП'!$AG:$AG,'Отчет РПЗ(ПЗ)_ПЗИП'!$D:$D,Справочно!$E43,'Отчет РПЗ(ПЗ)_ПЗИП'!$AQ:$AQ,1)</f>
        <v>0</v>
      </c>
      <c r="N78" s="342" t="str">
        <f t="shared" si="43"/>
        <v>НД</v>
      </c>
      <c r="O78" s="250" t="str">
        <f t="shared" si="44"/>
        <v>НД</v>
      </c>
      <c r="P78" s="431">
        <f>SUMIFS('Отчет РПЗ(ПЗ)_ПЗИП'!$W:$W,'Отчет РПЗ(ПЗ)_ПЗИП'!$D:$D,Справочно!$E43,'Отчет РПЗ(ПЗ)_ПЗИП'!$N:$N,"&gt;=01.02.2017",'Отчет РПЗ(ПЗ)_ПЗИП'!$N:$N,"&lt;=28.02.2017",'Отчет РПЗ(ПЗ)_ПЗИП'!$AG:$AG,"&gt;0")</f>
        <v>0</v>
      </c>
      <c r="Q78" s="334">
        <f>SUMIFS('Отчет РПЗ(ПЗ)_ПЗИП'!$AG:$AG,'Отчет РПЗ(ПЗ)_ПЗИП'!$D:$D,Справочно!$E43,'Отчет РПЗ(ПЗ)_ПЗИП'!$AQ:$AQ,2)</f>
        <v>0</v>
      </c>
      <c r="R78" s="342" t="str">
        <f t="shared" si="45"/>
        <v>НД</v>
      </c>
      <c r="S78" s="250" t="str">
        <f t="shared" si="46"/>
        <v>НД</v>
      </c>
      <c r="T78" s="431">
        <f>SUMIFS('Отчет РПЗ(ПЗ)_ПЗИП'!$W:$W,'Отчет РПЗ(ПЗ)_ПЗИП'!$D:$D,Справочно!$E43,'Отчет РПЗ(ПЗ)_ПЗИП'!$N:$N,"&gt;=01.03.2017",'Отчет РПЗ(ПЗ)_ПЗИП'!$N:$N,"&lt;=31.03.2017",'Отчет РПЗ(ПЗ)_ПЗИП'!$AG:$AG,"&gt;0")</f>
        <v>0</v>
      </c>
      <c r="U78" s="334">
        <f>SUMIFS('Отчет РПЗ(ПЗ)_ПЗИП'!$AG:$AG,'Отчет РПЗ(ПЗ)_ПЗИП'!$D:$D,Справочно!$E43,'Отчет РПЗ(ПЗ)_ПЗИП'!$AQ:$AQ,3)</f>
        <v>0</v>
      </c>
      <c r="V78" s="342" t="str">
        <f t="shared" si="47"/>
        <v>НД</v>
      </c>
      <c r="W78" s="250" t="str">
        <f t="shared" si="23"/>
        <v>НД</v>
      </c>
      <c r="X78" s="430">
        <f t="shared" si="48"/>
        <v>0</v>
      </c>
      <c r="Y78" s="335">
        <f t="shared" si="49"/>
        <v>0</v>
      </c>
      <c r="Z78" s="335">
        <f t="shared" si="24"/>
        <v>0</v>
      </c>
      <c r="AA78" s="252">
        <f t="shared" si="25"/>
        <v>0</v>
      </c>
      <c r="AB78" s="436">
        <f>SUMIFS('Отчет РПЗ(ПЗ)_ПЗИП'!$W:$W,'Отчет РПЗ(ПЗ)_ПЗИП'!$D:$D,Справочно!$E43,'Отчет РПЗ(ПЗ)_ПЗИП'!$N:$N,"&gt;=01.04.2017",'Отчет РПЗ(ПЗ)_ПЗИП'!$N:$N,"&lt;=30.04.2017",'Отчет РПЗ(ПЗ)_ПЗИП'!$AG:$AG,"&gt;0")</f>
        <v>0</v>
      </c>
      <c r="AC78" s="336">
        <f>SUMIFS('Отчет РПЗ(ПЗ)_ПЗИП'!$AG:$AG,'Отчет РПЗ(ПЗ)_ПЗИП'!$D:$D,Справочно!$E43,'Отчет РПЗ(ПЗ)_ПЗИП'!$AQ:$AQ,4)</f>
        <v>0</v>
      </c>
      <c r="AD78" s="336" t="str">
        <f t="shared" si="50"/>
        <v>НД</v>
      </c>
      <c r="AE78" s="251" t="str">
        <f t="shared" si="26"/>
        <v>НД</v>
      </c>
      <c r="AF78" s="435">
        <f>SUMIFS('Отчет РПЗ(ПЗ)_ПЗИП'!$W:$W,'Отчет РПЗ(ПЗ)_ПЗИП'!$D:$D,Справочно!$E43,'Отчет РПЗ(ПЗ)_ПЗИП'!$N:$N,"&gt;=01.05.2017",'Отчет РПЗ(ПЗ)_ПЗИП'!$N:$N,"&lt;=31.05.2017",'Отчет РПЗ(ПЗ)_ПЗИП'!$AG:$AG,"&gt;0")</f>
        <v>0</v>
      </c>
      <c r="AG78" s="336">
        <f>SUMIFS('Отчет РПЗ(ПЗ)_ПЗИП'!$AG:$AG,'Отчет РПЗ(ПЗ)_ПЗИП'!$D:$D,Справочно!$E43,'Отчет РПЗ(ПЗ)_ПЗИП'!$AQ:$AQ,5)</f>
        <v>0</v>
      </c>
      <c r="AH78" s="336" t="str">
        <f t="shared" si="51"/>
        <v>НД</v>
      </c>
      <c r="AI78" s="251" t="str">
        <f t="shared" si="27"/>
        <v>НД</v>
      </c>
      <c r="AJ78" s="435">
        <f>SUMIFS('Отчет РПЗ(ПЗ)_ПЗИП'!$W:$W,'Отчет РПЗ(ПЗ)_ПЗИП'!$D:$D,Справочно!$E43,'Отчет РПЗ(ПЗ)_ПЗИП'!$N:$N,"&gt;=01.06.2017",'Отчет РПЗ(ПЗ)_ПЗИП'!$N:$N,"&lt;=30.06.2017",'Отчет РПЗ(ПЗ)_ПЗИП'!$AG:$AG,"&gt;0")</f>
        <v>0</v>
      </c>
      <c r="AK78" s="336">
        <f>SUMIFS('Отчет РПЗ(ПЗ)_ПЗИП'!$AG:$AG,'Отчет РПЗ(ПЗ)_ПЗИП'!$D:$D,Справочно!$E43,'Отчет РПЗ(ПЗ)_ПЗИП'!$AQ:$AQ,6)</f>
        <v>0</v>
      </c>
      <c r="AL78" s="336" t="str">
        <f t="shared" si="52"/>
        <v>НД</v>
      </c>
      <c r="AM78" s="251" t="str">
        <f t="shared" si="28"/>
        <v>НД</v>
      </c>
      <c r="AN78" s="430">
        <f t="shared" si="53"/>
        <v>0</v>
      </c>
      <c r="AO78" s="337">
        <f t="shared" si="54"/>
        <v>0</v>
      </c>
      <c r="AP78" s="337">
        <f t="shared" si="29"/>
        <v>0</v>
      </c>
      <c r="AQ78" s="253">
        <f t="shared" si="30"/>
        <v>0</v>
      </c>
      <c r="AR78" s="436">
        <f>SUMIFS('Отчет РПЗ(ПЗ)_ПЗИП'!$W:$W,'Отчет РПЗ(ПЗ)_ПЗИП'!$D:$D,Справочно!$E43,'Отчет РПЗ(ПЗ)_ПЗИП'!$N:$N,"&gt;=01.07.2017",'Отчет РПЗ(ПЗ)_ПЗИП'!$N:$N,"&lt;=31.07.2017",'Отчет РПЗ(ПЗ)_ПЗИП'!$AG:$AG,"&gt;0")</f>
        <v>0</v>
      </c>
      <c r="AS78" s="338">
        <f>SUMIFS('Отчет РПЗ(ПЗ)_ПЗИП'!$AG:$AG,'Отчет РПЗ(ПЗ)_ПЗИП'!$D:$D,Справочно!$E43,'Отчет РПЗ(ПЗ)_ПЗИП'!$AQ:$AQ,7)</f>
        <v>0</v>
      </c>
      <c r="AT78" s="378" t="str">
        <f t="shared" si="55"/>
        <v>НД</v>
      </c>
      <c r="AU78" s="255" t="str">
        <f t="shared" si="31"/>
        <v>НД</v>
      </c>
      <c r="AV78" s="431">
        <f>SUMIFS('Отчет РПЗ(ПЗ)_ПЗИП'!$W:$W,'Отчет РПЗ(ПЗ)_ПЗИП'!$D:$D,Справочно!$E43,'Отчет РПЗ(ПЗ)_ПЗИП'!$N:$N,"&gt;=01.08.2017",'Отчет РПЗ(ПЗ)_ПЗИП'!$N:$N,"&lt;=31.08.2017",'Отчет РПЗ(ПЗ)_ПЗИП'!$AG:$AG,"&gt;0")</f>
        <v>0</v>
      </c>
      <c r="AW78" s="338">
        <f>SUMIFS('Отчет РПЗ(ПЗ)_ПЗИП'!$AG:$AG,'Отчет РПЗ(ПЗ)_ПЗИП'!$D:$D,Справочно!$E43,'Отчет РПЗ(ПЗ)_ПЗИП'!$AQ:$AQ,8)</f>
        <v>0</v>
      </c>
      <c r="AX78" s="378" t="str">
        <f t="shared" si="56"/>
        <v>НД</v>
      </c>
      <c r="AY78" s="255" t="str">
        <f t="shared" si="32"/>
        <v>НД</v>
      </c>
      <c r="AZ78" s="431">
        <f>SUMIFS('Отчет РПЗ(ПЗ)_ПЗИП'!$W:$W,'Отчет РПЗ(ПЗ)_ПЗИП'!$D:$D,Справочно!$E43,'Отчет РПЗ(ПЗ)_ПЗИП'!$N:$N,"&gt;=01.09.2017",'Отчет РПЗ(ПЗ)_ПЗИП'!$N:$N,"&lt;=30.09.2017",'Отчет РПЗ(ПЗ)_ПЗИП'!$AG:$AG,"&gt;0")</f>
        <v>0</v>
      </c>
      <c r="BA78" s="338">
        <f>SUMIFS('Отчет РПЗ(ПЗ)_ПЗИП'!$AG:$AG,'Отчет РПЗ(ПЗ)_ПЗИП'!$D:$D,Справочно!$E43,'Отчет РПЗ(ПЗ)_ПЗИП'!$AQ:$AQ,9)</f>
        <v>0</v>
      </c>
      <c r="BB78" s="378" t="str">
        <f t="shared" si="57"/>
        <v>НД</v>
      </c>
      <c r="BC78" s="255" t="str">
        <f t="shared" si="33"/>
        <v>НД</v>
      </c>
      <c r="BD78" s="430">
        <f t="shared" si="58"/>
        <v>0</v>
      </c>
      <c r="BE78" s="339">
        <f t="shared" si="59"/>
        <v>0</v>
      </c>
      <c r="BF78" s="339">
        <f t="shared" si="34"/>
        <v>0</v>
      </c>
      <c r="BG78" s="257">
        <f t="shared" si="35"/>
        <v>0</v>
      </c>
      <c r="BH78" s="420">
        <f>SUMIFS('Отчет РПЗ(ПЗ)_ПЗИП'!$W:$W,'Отчет РПЗ(ПЗ)_ПЗИП'!$D:$D,Справочно!$E43,'Отчет РПЗ(ПЗ)_ПЗИП'!$N:$N,"&gt;=01.10.2017",'Отчет РПЗ(ПЗ)_ПЗИП'!$N:$N,"&lt;=31.10.2017",'Отчет РПЗ(ПЗ)_ПЗИП'!$AG:$AG,"&gt;0")</f>
        <v>0</v>
      </c>
      <c r="BI78" s="340">
        <f>SUMIFS('Отчет РПЗ(ПЗ)_ПЗИП'!$AG:$AG,'Отчет РПЗ(ПЗ)_ПЗИП'!$D:$D,Справочно!$E43,'Отчет РПЗ(ПЗ)_ПЗИП'!$AQ:$AQ,10)</f>
        <v>0</v>
      </c>
      <c r="BJ78" s="380" t="str">
        <f t="shared" si="60"/>
        <v>НД</v>
      </c>
      <c r="BK78" s="259" t="str">
        <f t="shared" si="36"/>
        <v>НД</v>
      </c>
      <c r="BL78" s="435">
        <f>SUMIFS('Отчет РПЗ(ПЗ)_ПЗИП'!$W:$W,'Отчет РПЗ(ПЗ)_ПЗИП'!$D:$D,Справочно!$E43,'Отчет РПЗ(ПЗ)_ПЗИП'!$N:$N,"&gt;=01.11.2017",'Отчет РПЗ(ПЗ)_ПЗИП'!$N:$N,"&lt;=30.11.2017",'Отчет РПЗ(ПЗ)_ПЗИП'!$AG:$AG,"&gt;0")</f>
        <v>0</v>
      </c>
      <c r="BM78" s="340">
        <f>SUMIFS('Отчет РПЗ(ПЗ)_ПЗИП'!$AG:$AG,'Отчет РПЗ(ПЗ)_ПЗИП'!$D:$D,Справочно!$E43,'Отчет РПЗ(ПЗ)_ПЗИП'!$AQ:$AQ,11)</f>
        <v>0</v>
      </c>
      <c r="BN78" s="380" t="str">
        <f t="shared" si="61"/>
        <v>НД</v>
      </c>
      <c r="BO78" s="259" t="str">
        <f t="shared" si="37"/>
        <v>НД</v>
      </c>
      <c r="BP78" s="435">
        <f>SUMIFS('Отчет РПЗ(ПЗ)_ПЗИП'!$W:$W,'Отчет РПЗ(ПЗ)_ПЗИП'!$D:$D,Справочно!$E43,'Отчет РПЗ(ПЗ)_ПЗИП'!$N:$N,"&gt;=01.12.2017",'Отчет РПЗ(ПЗ)_ПЗИП'!$N:$N,"&lt;=31.12.2017",'Отчет РПЗ(ПЗ)_ПЗИП'!$AG:$AG,"&gt;0")</f>
        <v>0</v>
      </c>
      <c r="BQ78" s="340">
        <f>SUMIFS('Отчет РПЗ(ПЗ)_ПЗИП'!$AG:$AG,'Отчет РПЗ(ПЗ)_ПЗИП'!$D:$D,Справочно!$E43,'Отчет РПЗ(ПЗ)_ПЗИП'!$AQ:$AQ,12)</f>
        <v>0</v>
      </c>
      <c r="BR78" s="380" t="str">
        <f t="shared" si="62"/>
        <v>НД</v>
      </c>
      <c r="BS78" s="261" t="str">
        <f t="shared" si="38"/>
        <v>НД</v>
      </c>
      <c r="BT78" s="430">
        <f t="shared" si="63"/>
        <v>0</v>
      </c>
      <c r="BU78" s="341">
        <f t="shared" si="64"/>
        <v>0</v>
      </c>
      <c r="BV78" s="341">
        <f t="shared" si="39"/>
        <v>0</v>
      </c>
      <c r="BW78" s="262">
        <f t="shared" si="40"/>
        <v>0</v>
      </c>
    </row>
    <row r="79" spans="2:75" ht="13.5" thickBot="1" x14ac:dyDescent="0.25">
      <c r="B79" s="59" t="str">
        <f>Справочно!E44</f>
        <v>АО "Вертолеты России"</v>
      </c>
      <c r="C79" s="96">
        <f>ПП!B67</f>
        <v>0</v>
      </c>
      <c r="D79" s="418" t="e">
        <f>ПП!C67</f>
        <v>#DIV/0!</v>
      </c>
      <c r="E79" s="443">
        <f>ПП!D67</f>
        <v>0</v>
      </c>
      <c r="F79" s="302">
        <f>COUNTIFS('Отчет РПЗ(ПЗ)_ПЗИП'!$AG:$AG,"&gt;0",'Отчет РПЗ(ПЗ)_ПЗИП'!$D:$D,Справочно!$E43)</f>
        <v>0</v>
      </c>
      <c r="G79" s="444" t="e">
        <f t="shared" si="41"/>
        <v>#DIV/0!</v>
      </c>
      <c r="H79" s="445">
        <f>SUMIF('Отчет РПЗ(ПЗ)_ПЗИП'!$D:$D,Справочно!$E43,'Отчет РПЗ(ПЗ)_ПЗИП'!$AG:$AG)</f>
        <v>0</v>
      </c>
      <c r="I79" s="472">
        <f t="shared" si="65"/>
        <v>0</v>
      </c>
      <c r="J79" s="526" t="e">
        <f t="shared" si="42"/>
        <v>#DIV/0!</v>
      </c>
      <c r="L79" s="436">
        <f>SUMIFS('Отчет РПЗ(ПЗ)_ПЗИП'!$W:$W,'Отчет РПЗ(ПЗ)_ПЗИП'!$D:$D,Справочно!$E44,'Отчет РПЗ(ПЗ)_ПЗИП'!$N:$N,"&gt;=01.01.2017",'Отчет РПЗ(ПЗ)_ПЗИП'!$N:$N,"&lt;=31.01.2017",'Отчет РПЗ(ПЗ)_ПЗИП'!$AG:$AG,"&gt;0")</f>
        <v>0</v>
      </c>
      <c r="M79" s="334">
        <f>SUMIFS('Отчет РПЗ(ПЗ)_ПЗИП'!$AG:$AG,'Отчет РПЗ(ПЗ)_ПЗИП'!$D:$D,Справочно!$E44,'Отчет РПЗ(ПЗ)_ПЗИП'!$AQ:$AQ,1)</f>
        <v>0</v>
      </c>
      <c r="N79" s="342" t="str">
        <f t="shared" si="43"/>
        <v>НД</v>
      </c>
      <c r="O79" s="250" t="str">
        <f t="shared" si="44"/>
        <v>НД</v>
      </c>
      <c r="P79" s="431">
        <f>SUMIFS('Отчет РПЗ(ПЗ)_ПЗИП'!$W:$W,'Отчет РПЗ(ПЗ)_ПЗИП'!$D:$D,Справочно!$E44,'Отчет РПЗ(ПЗ)_ПЗИП'!$N:$N,"&gt;=01.02.2017",'Отчет РПЗ(ПЗ)_ПЗИП'!$N:$N,"&lt;=28.02.2017",'Отчет РПЗ(ПЗ)_ПЗИП'!$AG:$AG,"&gt;0")</f>
        <v>0</v>
      </c>
      <c r="Q79" s="334">
        <f>SUMIFS('Отчет РПЗ(ПЗ)_ПЗИП'!$AG:$AG,'Отчет РПЗ(ПЗ)_ПЗИП'!$D:$D,Справочно!$E44,'Отчет РПЗ(ПЗ)_ПЗИП'!$AQ:$AQ,2)</f>
        <v>0</v>
      </c>
      <c r="R79" s="342" t="str">
        <f t="shared" si="45"/>
        <v>НД</v>
      </c>
      <c r="S79" s="250" t="str">
        <f t="shared" si="46"/>
        <v>НД</v>
      </c>
      <c r="T79" s="431">
        <f>SUMIFS('Отчет РПЗ(ПЗ)_ПЗИП'!$W:$W,'Отчет РПЗ(ПЗ)_ПЗИП'!$D:$D,Справочно!$E44,'Отчет РПЗ(ПЗ)_ПЗИП'!$N:$N,"&gt;=01.03.2017",'Отчет РПЗ(ПЗ)_ПЗИП'!$N:$N,"&lt;=31.03.2017",'Отчет РПЗ(ПЗ)_ПЗИП'!$AG:$AG,"&gt;0")</f>
        <v>0</v>
      </c>
      <c r="U79" s="334">
        <f>SUMIFS('Отчет РПЗ(ПЗ)_ПЗИП'!$AG:$AG,'Отчет РПЗ(ПЗ)_ПЗИП'!$D:$D,Справочно!$E44,'Отчет РПЗ(ПЗ)_ПЗИП'!$AQ:$AQ,3)</f>
        <v>0</v>
      </c>
      <c r="V79" s="342" t="str">
        <f t="shared" si="47"/>
        <v>НД</v>
      </c>
      <c r="W79" s="250" t="str">
        <f t="shared" si="23"/>
        <v>НД</v>
      </c>
      <c r="X79" s="430">
        <f t="shared" si="48"/>
        <v>0</v>
      </c>
      <c r="Y79" s="335">
        <f t="shared" si="49"/>
        <v>0</v>
      </c>
      <c r="Z79" s="335">
        <f t="shared" si="24"/>
        <v>0</v>
      </c>
      <c r="AA79" s="252">
        <f>IF(Y79=0,0, IF((Z79="НД"),"НД",Z79/X79))</f>
        <v>0</v>
      </c>
      <c r="AB79" s="436">
        <f>SUMIFS('Отчет РПЗ(ПЗ)_ПЗИП'!$W:$W,'Отчет РПЗ(ПЗ)_ПЗИП'!$D:$D,Справочно!$E44,'Отчет РПЗ(ПЗ)_ПЗИП'!$N:$N,"&gt;=01.04.2017",'Отчет РПЗ(ПЗ)_ПЗИП'!$N:$N,"&lt;=30.04.2017",'Отчет РПЗ(ПЗ)_ПЗИП'!$AG:$AG,"&gt;0")</f>
        <v>0</v>
      </c>
      <c r="AC79" s="336">
        <f>SUMIFS('Отчет РПЗ(ПЗ)_ПЗИП'!$AG:$AG,'Отчет РПЗ(ПЗ)_ПЗИП'!$D:$D,Справочно!$E44,'Отчет РПЗ(ПЗ)_ПЗИП'!$AQ:$AQ,4)</f>
        <v>0</v>
      </c>
      <c r="AD79" s="336" t="str">
        <f t="shared" si="50"/>
        <v>НД</v>
      </c>
      <c r="AE79" s="251" t="str">
        <f t="shared" si="26"/>
        <v>НД</v>
      </c>
      <c r="AF79" s="435">
        <f>SUMIFS('Отчет РПЗ(ПЗ)_ПЗИП'!$W:$W,'Отчет РПЗ(ПЗ)_ПЗИП'!$D:$D,Справочно!$E44,'Отчет РПЗ(ПЗ)_ПЗИП'!$N:$N,"&gt;=01.05.2017",'Отчет РПЗ(ПЗ)_ПЗИП'!$N:$N,"&lt;=31.05.2017",'Отчет РПЗ(ПЗ)_ПЗИП'!$AG:$AG,"&gt;0")</f>
        <v>0</v>
      </c>
      <c r="AG79" s="336">
        <f>SUMIFS('Отчет РПЗ(ПЗ)_ПЗИП'!$AG:$AG,'Отчет РПЗ(ПЗ)_ПЗИП'!$D:$D,Справочно!$E44,'Отчет РПЗ(ПЗ)_ПЗИП'!$AQ:$AQ,5)</f>
        <v>0</v>
      </c>
      <c r="AH79" s="336" t="str">
        <f t="shared" si="51"/>
        <v>НД</v>
      </c>
      <c r="AI79" s="251" t="str">
        <f t="shared" si="27"/>
        <v>НД</v>
      </c>
      <c r="AJ79" s="435">
        <f>SUMIFS('Отчет РПЗ(ПЗ)_ПЗИП'!$W:$W,'Отчет РПЗ(ПЗ)_ПЗИП'!$D:$D,Справочно!$E44,'Отчет РПЗ(ПЗ)_ПЗИП'!$N:$N,"&gt;=01.06.2017",'Отчет РПЗ(ПЗ)_ПЗИП'!$N:$N,"&lt;=30.06.2017",'Отчет РПЗ(ПЗ)_ПЗИП'!$AG:$AG,"&gt;0")</f>
        <v>0</v>
      </c>
      <c r="AK79" s="336">
        <f>SUMIFS('Отчет РПЗ(ПЗ)_ПЗИП'!$AG:$AG,'Отчет РПЗ(ПЗ)_ПЗИП'!$D:$D,Справочно!$E44,'Отчет РПЗ(ПЗ)_ПЗИП'!$AQ:$AQ,6)</f>
        <v>0</v>
      </c>
      <c r="AL79" s="336" t="str">
        <f t="shared" si="52"/>
        <v>НД</v>
      </c>
      <c r="AM79" s="251" t="str">
        <f t="shared" si="28"/>
        <v>НД</v>
      </c>
      <c r="AN79" s="430">
        <f t="shared" si="53"/>
        <v>0</v>
      </c>
      <c r="AO79" s="337">
        <f t="shared" si="54"/>
        <v>0</v>
      </c>
      <c r="AP79" s="337">
        <f t="shared" si="29"/>
        <v>0</v>
      </c>
      <c r="AQ79" s="253">
        <f t="shared" si="30"/>
        <v>0</v>
      </c>
      <c r="AR79" s="436">
        <f>SUMIFS('Отчет РПЗ(ПЗ)_ПЗИП'!$W:$W,'Отчет РПЗ(ПЗ)_ПЗИП'!$D:$D,Справочно!$E44,'Отчет РПЗ(ПЗ)_ПЗИП'!$N:$N,"&gt;=01.07.2017",'Отчет РПЗ(ПЗ)_ПЗИП'!$N:$N,"&lt;=31.07.2017",'Отчет РПЗ(ПЗ)_ПЗИП'!$AG:$AG,"&gt;0")</f>
        <v>0</v>
      </c>
      <c r="AS79" s="338">
        <f>SUMIFS('Отчет РПЗ(ПЗ)_ПЗИП'!$AG:$AG,'Отчет РПЗ(ПЗ)_ПЗИП'!$D:$D,Справочно!$E44,'Отчет РПЗ(ПЗ)_ПЗИП'!$AQ:$AQ,7)</f>
        <v>0</v>
      </c>
      <c r="AT79" s="378" t="str">
        <f t="shared" si="55"/>
        <v>НД</v>
      </c>
      <c r="AU79" s="255" t="str">
        <f t="shared" si="31"/>
        <v>НД</v>
      </c>
      <c r="AV79" s="431">
        <f>SUMIFS('Отчет РПЗ(ПЗ)_ПЗИП'!$W:$W,'Отчет РПЗ(ПЗ)_ПЗИП'!$D:$D,Справочно!$E44,'Отчет РПЗ(ПЗ)_ПЗИП'!$N:$N,"&gt;=01.08.2017",'Отчет РПЗ(ПЗ)_ПЗИП'!$N:$N,"&lt;=31.08.2017",'Отчет РПЗ(ПЗ)_ПЗИП'!$AG:$AG,"&gt;0")</f>
        <v>0</v>
      </c>
      <c r="AW79" s="338">
        <f>SUMIFS('Отчет РПЗ(ПЗ)_ПЗИП'!$AG:$AG,'Отчет РПЗ(ПЗ)_ПЗИП'!$D:$D,Справочно!$E44,'Отчет РПЗ(ПЗ)_ПЗИП'!$AQ:$AQ,8)</f>
        <v>0</v>
      </c>
      <c r="AX79" s="378" t="str">
        <f t="shared" si="56"/>
        <v>НД</v>
      </c>
      <c r="AY79" s="255" t="str">
        <f t="shared" si="32"/>
        <v>НД</v>
      </c>
      <c r="AZ79" s="431">
        <f>SUMIFS('Отчет РПЗ(ПЗ)_ПЗИП'!$W:$W,'Отчет РПЗ(ПЗ)_ПЗИП'!$D:$D,Справочно!$E44,'Отчет РПЗ(ПЗ)_ПЗИП'!$N:$N,"&gt;=01.09.2017",'Отчет РПЗ(ПЗ)_ПЗИП'!$N:$N,"&lt;=30.09.2017",'Отчет РПЗ(ПЗ)_ПЗИП'!$AG:$AG,"&gt;0")</f>
        <v>0</v>
      </c>
      <c r="BA79" s="338">
        <f>SUMIFS('Отчет РПЗ(ПЗ)_ПЗИП'!$AG:$AG,'Отчет РПЗ(ПЗ)_ПЗИП'!$D:$D,Справочно!$E44,'Отчет РПЗ(ПЗ)_ПЗИП'!$AQ:$AQ,9)</f>
        <v>0</v>
      </c>
      <c r="BB79" s="378" t="str">
        <f t="shared" si="57"/>
        <v>НД</v>
      </c>
      <c r="BC79" s="255" t="str">
        <f t="shared" si="33"/>
        <v>НД</v>
      </c>
      <c r="BD79" s="430">
        <f t="shared" si="58"/>
        <v>0</v>
      </c>
      <c r="BE79" s="339">
        <f t="shared" si="59"/>
        <v>0</v>
      </c>
      <c r="BF79" s="339">
        <f t="shared" si="34"/>
        <v>0</v>
      </c>
      <c r="BG79" s="257">
        <f t="shared" si="35"/>
        <v>0</v>
      </c>
      <c r="BH79" s="420">
        <f>SUMIFS('Отчет РПЗ(ПЗ)_ПЗИП'!$W:$W,'Отчет РПЗ(ПЗ)_ПЗИП'!$D:$D,Справочно!$E44,'Отчет РПЗ(ПЗ)_ПЗИП'!$N:$N,"&gt;=01.10.2017",'Отчет РПЗ(ПЗ)_ПЗИП'!$N:$N,"&lt;=31.10.2017",'Отчет РПЗ(ПЗ)_ПЗИП'!$AG:$AG,"&gt;0")</f>
        <v>0</v>
      </c>
      <c r="BI79" s="340">
        <f>SUMIFS('Отчет РПЗ(ПЗ)_ПЗИП'!$AG:$AG,'Отчет РПЗ(ПЗ)_ПЗИП'!$D:$D,Справочно!$E44,'Отчет РПЗ(ПЗ)_ПЗИП'!$AQ:$AQ,10)</f>
        <v>0</v>
      </c>
      <c r="BJ79" s="380" t="str">
        <f t="shared" si="60"/>
        <v>НД</v>
      </c>
      <c r="BK79" s="259" t="str">
        <f t="shared" si="36"/>
        <v>НД</v>
      </c>
      <c r="BL79" s="435">
        <f>SUMIFS('Отчет РПЗ(ПЗ)_ПЗИП'!$W:$W,'Отчет РПЗ(ПЗ)_ПЗИП'!$D:$D,Справочно!$E44,'Отчет РПЗ(ПЗ)_ПЗИП'!$N:$N,"&gt;=01.11.2017",'Отчет РПЗ(ПЗ)_ПЗИП'!$N:$N,"&lt;=30.11.2017",'Отчет РПЗ(ПЗ)_ПЗИП'!$AG:$AG,"&gt;0")</f>
        <v>0</v>
      </c>
      <c r="BM79" s="340">
        <f>SUMIFS('Отчет РПЗ(ПЗ)_ПЗИП'!$AG:$AG,'Отчет РПЗ(ПЗ)_ПЗИП'!$D:$D,Справочно!$E44,'Отчет РПЗ(ПЗ)_ПЗИП'!$AQ:$AQ,11)</f>
        <v>0</v>
      </c>
      <c r="BN79" s="380" t="str">
        <f t="shared" si="61"/>
        <v>НД</v>
      </c>
      <c r="BO79" s="259" t="str">
        <f t="shared" si="37"/>
        <v>НД</v>
      </c>
      <c r="BP79" s="435">
        <f>SUMIFS('Отчет РПЗ(ПЗ)_ПЗИП'!$W:$W,'Отчет РПЗ(ПЗ)_ПЗИП'!$D:$D,Справочно!$E44,'Отчет РПЗ(ПЗ)_ПЗИП'!$N:$N,"&gt;=01.12.2017",'Отчет РПЗ(ПЗ)_ПЗИП'!$N:$N,"&lt;=31.12.2017",'Отчет РПЗ(ПЗ)_ПЗИП'!$AG:$AG,"&gt;0")</f>
        <v>0</v>
      </c>
      <c r="BQ79" s="340">
        <f>SUMIFS('Отчет РПЗ(ПЗ)_ПЗИП'!$AG:$AG,'Отчет РПЗ(ПЗ)_ПЗИП'!$D:$D,Справочно!$E44,'Отчет РПЗ(ПЗ)_ПЗИП'!$AQ:$AQ,12)</f>
        <v>0</v>
      </c>
      <c r="BR79" s="380" t="str">
        <f t="shared" si="62"/>
        <v>НД</v>
      </c>
      <c r="BS79" s="261" t="str">
        <f t="shared" si="38"/>
        <v>НД</v>
      </c>
      <c r="BT79" s="430">
        <f t="shared" si="63"/>
        <v>0</v>
      </c>
      <c r="BU79" s="341">
        <f t="shared" si="64"/>
        <v>0</v>
      </c>
      <c r="BV79" s="341">
        <f t="shared" si="39"/>
        <v>0</v>
      </c>
      <c r="BW79" s="262">
        <f t="shared" si="40"/>
        <v>0</v>
      </c>
    </row>
    <row r="80" spans="2:75" ht="13.5" thickBot="1" x14ac:dyDescent="0.25">
      <c r="B80" s="59" t="str">
        <f>Справочно!E45</f>
        <v>Заказчик</v>
      </c>
      <c r="C80" s="96">
        <f>ПП!B68</f>
        <v>0</v>
      </c>
      <c r="D80" s="418" t="e">
        <f>ПП!C68</f>
        <v>#DIV/0!</v>
      </c>
      <c r="E80" s="443">
        <f>ПП!D68</f>
        <v>0</v>
      </c>
      <c r="F80" s="302">
        <f>COUNTIFS('Отчет РПЗ(ПЗ)_ПЗИП'!$AG:$AG,"&gt;0",'Отчет РПЗ(ПЗ)_ПЗИП'!$D:$D,Справочно!$E44)</f>
        <v>0</v>
      </c>
      <c r="G80" s="444" t="e">
        <f t="shared" si="41"/>
        <v>#DIV/0!</v>
      </c>
      <c r="H80" s="445">
        <f>SUMIF('Отчет РПЗ(ПЗ)_ПЗИП'!$D:$D,Справочно!$E44,'Отчет РПЗ(ПЗ)_ПЗИП'!$AG:$AG)</f>
        <v>0</v>
      </c>
      <c r="I80" s="472">
        <f>(IF($D$3=1,Z80,0)+IF($D$3=2,Z80+AP80,0)+IF($D$3=3,Z80+AP80+BF80,0)+IF($D$3=4,Z80+AP80+BF80+BV80,0))</f>
        <v>0</v>
      </c>
      <c r="J80" s="526" t="e">
        <f>I80/(X80+AN80+BD80+BT80)</f>
        <v>#DIV/0!</v>
      </c>
      <c r="L80" s="436">
        <f>SUMIFS('Отчет РПЗ(ПЗ)_ПЗИП'!$W:$W,'Отчет РПЗ(ПЗ)_ПЗИП'!$D:$D,Справочно!$E45,'Отчет РПЗ(ПЗ)_ПЗИП'!$N:$N,"&gt;=01.01.2017",'Отчет РПЗ(ПЗ)_ПЗИП'!$N:$N,"&lt;=31.01.2017",'Отчет РПЗ(ПЗ)_ПЗИП'!$AG:$AG,"&gt;0")</f>
        <v>0</v>
      </c>
      <c r="M80" s="334">
        <f>SUMIFS('Отчет РПЗ(ПЗ)_ПЗИП'!$AG:$AG,'Отчет РПЗ(ПЗ)_ПЗИП'!$D:$D,Справочно!$E45,'Отчет РПЗ(ПЗ)_ПЗИП'!$AQ:$AQ,1)</f>
        <v>0</v>
      </c>
      <c r="N80" s="342" t="str">
        <f t="shared" si="43"/>
        <v>НД</v>
      </c>
      <c r="O80" s="250" t="str">
        <f t="shared" si="44"/>
        <v>НД</v>
      </c>
      <c r="P80" s="432">
        <f>SUMIFS('Отчет РПЗ(ПЗ)_ПЗИП'!$W:$W,'Отчет РПЗ(ПЗ)_ПЗИП'!$D:$D,Справочно!$E45,'Отчет РПЗ(ПЗ)_ПЗИП'!$N:$N,"&gt;=01.02.2017",'Отчет РПЗ(ПЗ)_ПЗИП'!$N:$N,"&lt;=28.02.2017",'Отчет РПЗ(ПЗ)_ПЗИП'!$AG:$AG,"&gt;0")</f>
        <v>0</v>
      </c>
      <c r="Q80" s="334">
        <f>SUMIFS('Отчет РПЗ(ПЗ)_ПЗИП'!$AG:$AG,'Отчет РПЗ(ПЗ)_ПЗИП'!$D:$D,Справочно!$E45,'Отчет РПЗ(ПЗ)_ПЗИП'!$AQ:$AQ,2)</f>
        <v>0</v>
      </c>
      <c r="R80" s="342" t="str">
        <f t="shared" si="45"/>
        <v>НД</v>
      </c>
      <c r="S80" s="250" t="str">
        <f t="shared" si="46"/>
        <v>НД</v>
      </c>
      <c r="T80" s="437">
        <f>SUMIFS('Отчет РПЗ(ПЗ)_ПЗИП'!$W:$W,'Отчет РПЗ(ПЗ)_ПЗИП'!$D:$D,Справочно!$E45,'Отчет РПЗ(ПЗ)_ПЗИП'!$N:$N,"&gt;=01.03.2017",'Отчет РПЗ(ПЗ)_ПЗИП'!$N:$N,"&lt;=31.03.2017",'Отчет РПЗ(ПЗ)_ПЗИП'!$AG:$AG,"&gt;0")</f>
        <v>0</v>
      </c>
      <c r="U80" s="334">
        <f>SUMIFS('Отчет РПЗ(ПЗ)_ПЗИП'!$AG:$AG,'Отчет РПЗ(ПЗ)_ПЗИП'!$D:$D,Справочно!$E45,'Отчет РПЗ(ПЗ)_ПЗИП'!$AQ:$AQ,3)</f>
        <v>0</v>
      </c>
      <c r="V80" s="342" t="str">
        <f t="shared" si="47"/>
        <v>НД</v>
      </c>
      <c r="W80" s="250" t="str">
        <f t="shared" si="23"/>
        <v>НД</v>
      </c>
      <c r="X80" s="430">
        <f t="shared" si="48"/>
        <v>0</v>
      </c>
      <c r="Y80" s="335">
        <f t="shared" si="49"/>
        <v>0</v>
      </c>
      <c r="Z80" s="335">
        <f t="shared" si="24"/>
        <v>0</v>
      </c>
      <c r="AA80" s="252">
        <f>IF(Y80=0,0, IF((Z80="НД"),"НД",Z80/X80))</f>
        <v>0</v>
      </c>
      <c r="AB80" s="438">
        <f>SUMIFS('Отчет РПЗ(ПЗ)_ПЗИП'!$W:$W,'Отчет РПЗ(ПЗ)_ПЗИП'!$D:$D,Справочно!$E45,'Отчет РПЗ(ПЗ)_ПЗИП'!$N:$N,"&gt;=01.04.2017",'Отчет РПЗ(ПЗ)_ПЗИП'!$N:$N,"&lt;=30.04.2017",'Отчет РПЗ(ПЗ)_ПЗИП'!$AG:$AG,"&gt;0")</f>
        <v>0</v>
      </c>
      <c r="AC80" s="336">
        <f>SUMIFS('Отчет РПЗ(ПЗ)_ПЗИП'!$AG:$AG,'Отчет РПЗ(ПЗ)_ПЗИП'!$D:$D,Справочно!$E45,'Отчет РПЗ(ПЗ)_ПЗИП'!$AQ:$AQ,4)</f>
        <v>0</v>
      </c>
      <c r="AD80" s="336" t="str">
        <f t="shared" si="50"/>
        <v>НД</v>
      </c>
      <c r="AE80" s="251" t="str">
        <f t="shared" si="26"/>
        <v>НД</v>
      </c>
      <c r="AF80" s="435">
        <f>SUMIFS('Отчет РПЗ(ПЗ)_ПЗИП'!$W:$W,'Отчет РПЗ(ПЗ)_ПЗИП'!$D:$D,Справочно!$E45,'Отчет РПЗ(ПЗ)_ПЗИП'!$N:$N,"&gt;=01.05.2017",'Отчет РПЗ(ПЗ)_ПЗИП'!$N:$N,"&lt;=31.05.2017",'Отчет РПЗ(ПЗ)_ПЗИП'!$AG:$AG,"&gt;0")</f>
        <v>0</v>
      </c>
      <c r="AG80" s="336">
        <f>SUMIFS('Отчет РПЗ(ПЗ)_ПЗИП'!$AG:$AG,'Отчет РПЗ(ПЗ)_ПЗИП'!$D:$D,Справочно!$E45,'Отчет РПЗ(ПЗ)_ПЗИП'!$AQ:$AQ,5)</f>
        <v>0</v>
      </c>
      <c r="AH80" s="336" t="str">
        <f t="shared" si="51"/>
        <v>НД</v>
      </c>
      <c r="AI80" s="251" t="str">
        <f t="shared" si="27"/>
        <v>НД</v>
      </c>
      <c r="AJ80" s="435">
        <f>SUMIFS('Отчет РПЗ(ПЗ)_ПЗИП'!$W:$W,'Отчет РПЗ(ПЗ)_ПЗИП'!$D:$D,Справочно!$E45,'Отчет РПЗ(ПЗ)_ПЗИП'!$N:$N,"&gt;=01.06.2017",'Отчет РПЗ(ПЗ)_ПЗИП'!$N:$N,"&lt;=30.06.2017",'Отчет РПЗ(ПЗ)_ПЗИП'!$AG:$AG,"&gt;0")</f>
        <v>0</v>
      </c>
      <c r="AK80" s="336">
        <f>SUMIFS('Отчет РПЗ(ПЗ)_ПЗИП'!$AG:$AG,'Отчет РПЗ(ПЗ)_ПЗИП'!$D:$D,Справочно!$E45,'Отчет РПЗ(ПЗ)_ПЗИП'!$AQ:$AQ,6)</f>
        <v>0</v>
      </c>
      <c r="AL80" s="336" t="str">
        <f t="shared" si="52"/>
        <v>НД</v>
      </c>
      <c r="AM80" s="251" t="str">
        <f t="shared" si="28"/>
        <v>НД</v>
      </c>
      <c r="AN80" s="430">
        <f t="shared" si="53"/>
        <v>0</v>
      </c>
      <c r="AO80" s="337">
        <f t="shared" si="54"/>
        <v>0</v>
      </c>
      <c r="AP80" s="337">
        <f t="shared" si="29"/>
        <v>0</v>
      </c>
      <c r="AQ80" s="253">
        <f t="shared" si="30"/>
        <v>0</v>
      </c>
      <c r="AR80" s="438">
        <f>SUMIFS('Отчет РПЗ(ПЗ)_ПЗИП'!$W:$W,'Отчет РПЗ(ПЗ)_ПЗИП'!$D:$D,Справочно!$E45,'Отчет РПЗ(ПЗ)_ПЗИП'!$N:$N,"&gt;=01.07.2017",'Отчет РПЗ(ПЗ)_ПЗИП'!$N:$N,"&lt;=31.07.2017",'Отчет РПЗ(ПЗ)_ПЗИП'!$AG:$AG,"&gt;0")</f>
        <v>0</v>
      </c>
      <c r="AS80" s="338">
        <f>SUMIFS('Отчет РПЗ(ПЗ)_ПЗИП'!$AG:$AG,'Отчет РПЗ(ПЗ)_ПЗИП'!$D:$D,Справочно!$E45,'Отчет РПЗ(ПЗ)_ПЗИП'!$AQ:$AQ,7)</f>
        <v>0</v>
      </c>
      <c r="AT80" s="378" t="str">
        <f t="shared" si="55"/>
        <v>НД</v>
      </c>
      <c r="AU80" s="255" t="str">
        <f t="shared" si="31"/>
        <v>НД</v>
      </c>
      <c r="AV80" s="432">
        <f>SUMIFS('Отчет РПЗ(ПЗ)_ПЗИП'!$W:$W,'Отчет РПЗ(ПЗ)_ПЗИП'!$D:$D,Справочно!$E45,'Отчет РПЗ(ПЗ)_ПЗИП'!$N:$N,"&gt;=01.08.2017",'Отчет РПЗ(ПЗ)_ПЗИП'!$N:$N,"&lt;=31.08.2017",'Отчет РПЗ(ПЗ)_ПЗИП'!$AG:$AG,"&gt;0")</f>
        <v>0</v>
      </c>
      <c r="AW80" s="338">
        <f>SUMIFS('Отчет РПЗ(ПЗ)_ПЗИП'!$AG:$AG,'Отчет РПЗ(ПЗ)_ПЗИП'!$D:$D,Справочно!$E45,'Отчет РПЗ(ПЗ)_ПЗИП'!$AQ:$AQ,8)</f>
        <v>0</v>
      </c>
      <c r="AX80" s="378" t="str">
        <f t="shared" si="56"/>
        <v>НД</v>
      </c>
      <c r="AY80" s="255" t="str">
        <f t="shared" si="32"/>
        <v>НД</v>
      </c>
      <c r="AZ80" s="432">
        <f>SUMIFS('Отчет РПЗ(ПЗ)_ПЗИП'!$W:$W,'Отчет РПЗ(ПЗ)_ПЗИП'!$D:$D,Справочно!$E45,'Отчет РПЗ(ПЗ)_ПЗИП'!$N:$N,"&gt;=01.09.2017",'Отчет РПЗ(ПЗ)_ПЗИП'!$N:$N,"&lt;=30.09.2017",'Отчет РПЗ(ПЗ)_ПЗИП'!$AG:$AG,"&gt;0")</f>
        <v>0</v>
      </c>
      <c r="BA80" s="338">
        <f>SUMIFS('Отчет РПЗ(ПЗ)_ПЗИП'!$AG:$AG,'Отчет РПЗ(ПЗ)_ПЗИП'!$D:$D,Справочно!$E45,'Отчет РПЗ(ПЗ)_ПЗИП'!$AQ:$AQ,9)</f>
        <v>0</v>
      </c>
      <c r="BB80" s="378" t="str">
        <f t="shared" si="57"/>
        <v>НД</v>
      </c>
      <c r="BC80" s="255" t="str">
        <f t="shared" si="33"/>
        <v>НД</v>
      </c>
      <c r="BD80" s="430">
        <f t="shared" si="58"/>
        <v>0</v>
      </c>
      <c r="BE80" s="339">
        <f t="shared" si="59"/>
        <v>0</v>
      </c>
      <c r="BF80" s="339">
        <f t="shared" si="34"/>
        <v>0</v>
      </c>
      <c r="BG80" s="257">
        <f t="shared" si="35"/>
        <v>0</v>
      </c>
      <c r="BH80" s="420">
        <f>SUMIFS('Отчет РПЗ(ПЗ)_ПЗИП'!$W:$W,'Отчет РПЗ(ПЗ)_ПЗИП'!$D:$D,Справочно!$E45,'Отчет РПЗ(ПЗ)_ПЗИП'!$N:$N,"&gt;=01.10.2017",'Отчет РПЗ(ПЗ)_ПЗИП'!$N:$N,"&lt;=31.10.2017",'Отчет РПЗ(ПЗ)_ПЗИП'!$AG:$AG,"&gt;0")</f>
        <v>0</v>
      </c>
      <c r="BI80" s="340">
        <f>SUMIFS('Отчет РПЗ(ПЗ)_ПЗИП'!$AG:$AG,'Отчет РПЗ(ПЗ)_ПЗИП'!$D:$D,Справочно!$E45,'Отчет РПЗ(ПЗ)_ПЗИП'!$AQ:$AQ,10)</f>
        <v>0</v>
      </c>
      <c r="BJ80" s="380" t="str">
        <f t="shared" si="60"/>
        <v>НД</v>
      </c>
      <c r="BK80" s="259" t="str">
        <f t="shared" si="36"/>
        <v>НД</v>
      </c>
      <c r="BL80" s="435">
        <f>SUMIFS('Отчет РПЗ(ПЗ)_ПЗИП'!$W:$W,'Отчет РПЗ(ПЗ)_ПЗИП'!$D:$D,Справочно!$E45,'Отчет РПЗ(ПЗ)_ПЗИП'!$N:$N,"&gt;=01.11.2017",'Отчет РПЗ(ПЗ)_ПЗИП'!$N:$N,"&lt;=30.11.2017",'Отчет РПЗ(ПЗ)_ПЗИП'!$AG:$AG,"&gt;0")</f>
        <v>0</v>
      </c>
      <c r="BM80" s="340">
        <f>SUMIFS('Отчет РПЗ(ПЗ)_ПЗИП'!$AG:$AG,'Отчет РПЗ(ПЗ)_ПЗИП'!$D:$D,Справочно!$E45,'Отчет РПЗ(ПЗ)_ПЗИП'!$AQ:$AQ,11)</f>
        <v>0</v>
      </c>
      <c r="BN80" s="380" t="str">
        <f t="shared" si="61"/>
        <v>НД</v>
      </c>
      <c r="BO80" s="259" t="str">
        <f t="shared" si="37"/>
        <v>НД</v>
      </c>
      <c r="BP80" s="435">
        <f>SUMIFS('Отчет РПЗ(ПЗ)_ПЗИП'!$W:$W,'Отчет РПЗ(ПЗ)_ПЗИП'!$D:$D,Справочно!$E45,'Отчет РПЗ(ПЗ)_ПЗИП'!$N:$N,"&gt;=01.12.2017",'Отчет РПЗ(ПЗ)_ПЗИП'!$N:$N,"&lt;=31.12.2017",'Отчет РПЗ(ПЗ)_ПЗИП'!$AG:$AG,"&gt;0")</f>
        <v>0</v>
      </c>
      <c r="BQ80" s="340">
        <f>SUMIFS('Отчет РПЗ(ПЗ)_ПЗИП'!$AG:$AG,'Отчет РПЗ(ПЗ)_ПЗИП'!$D:$D,Справочно!$E45,'Отчет РПЗ(ПЗ)_ПЗИП'!$AQ:$AQ,12)</f>
        <v>0</v>
      </c>
      <c r="BR80" s="380" t="str">
        <f t="shared" si="62"/>
        <v>НД</v>
      </c>
      <c r="BS80" s="261" t="str">
        <f t="shared" si="38"/>
        <v>НД</v>
      </c>
      <c r="BT80" s="430">
        <f t="shared" si="63"/>
        <v>0</v>
      </c>
      <c r="BU80" s="341">
        <f t="shared" si="64"/>
        <v>0</v>
      </c>
      <c r="BV80" s="341">
        <f t="shared" si="39"/>
        <v>0</v>
      </c>
      <c r="BW80" s="262">
        <f t="shared" si="40"/>
        <v>0</v>
      </c>
    </row>
    <row r="81" spans="2:75" ht="13.5" thickBot="1" x14ac:dyDescent="0.25">
      <c r="B81" s="74" t="s">
        <v>242</v>
      </c>
      <c r="C81" s="320">
        <f t="shared" ref="C81:H81" si="66">SUM(C56:C80)</f>
        <v>0</v>
      </c>
      <c r="D81" s="423" t="e">
        <f t="shared" si="66"/>
        <v>#DIV/0!</v>
      </c>
      <c r="E81" s="446">
        <f t="shared" si="66"/>
        <v>0</v>
      </c>
      <c r="F81" s="417">
        <f t="shared" si="66"/>
        <v>0</v>
      </c>
      <c r="G81" s="447" t="e">
        <f t="shared" si="41"/>
        <v>#DIV/0!</v>
      </c>
      <c r="H81" s="448">
        <f t="shared" si="66"/>
        <v>0</v>
      </c>
      <c r="I81" s="448">
        <f t="shared" ref="I81" si="67">(IF($D$3=1,Z81,0)+IF($D$3=2,Z81+AP81,0)+IF($D$3=3,Z81+AP81+BF81,0)+IF($D$3=4,Z81+AP81+BF81+BV81,0))</f>
        <v>0</v>
      </c>
      <c r="J81" s="275" t="e">
        <f>I81/(X81+AN81+BD81+BT81)</f>
        <v>#DIV/0!</v>
      </c>
      <c r="L81" s="439">
        <f t="shared" ref="L81:AO81" si="68">SUM(L56:L80)</f>
        <v>0</v>
      </c>
      <c r="M81" s="440">
        <f t="shared" si="68"/>
        <v>0</v>
      </c>
      <c r="N81" s="440" t="str">
        <f t="shared" si="43"/>
        <v>НД</v>
      </c>
      <c r="O81" s="289" t="str">
        <f t="shared" si="44"/>
        <v>НД</v>
      </c>
      <c r="P81" s="441">
        <f t="shared" si="68"/>
        <v>0</v>
      </c>
      <c r="Q81" s="440">
        <f>SUM(Q56:Q80)</f>
        <v>0</v>
      </c>
      <c r="R81" s="440" t="str">
        <f t="shared" si="45"/>
        <v>НД</v>
      </c>
      <c r="S81" s="289" t="str">
        <f t="shared" si="46"/>
        <v>НД</v>
      </c>
      <c r="T81" s="441">
        <f t="shared" si="68"/>
        <v>0</v>
      </c>
      <c r="U81" s="440">
        <f t="shared" si="68"/>
        <v>0</v>
      </c>
      <c r="V81" s="440" t="str">
        <f t="shared" si="47"/>
        <v>НД</v>
      </c>
      <c r="W81" s="290" t="str">
        <f t="shared" si="23"/>
        <v>НД</v>
      </c>
      <c r="X81" s="442">
        <f t="shared" si="68"/>
        <v>0</v>
      </c>
      <c r="Y81" s="407">
        <f t="shared" si="68"/>
        <v>0</v>
      </c>
      <c r="Z81" s="440">
        <f t="shared" si="24"/>
        <v>0</v>
      </c>
      <c r="AA81" s="275">
        <f>IF(Y81=0, 0, IF((Z81="НД"),"НД",Z81/X81))</f>
        <v>0</v>
      </c>
      <c r="AB81" s="439">
        <f t="shared" si="68"/>
        <v>0</v>
      </c>
      <c r="AC81" s="440">
        <f t="shared" si="68"/>
        <v>0</v>
      </c>
      <c r="AD81" s="440" t="str">
        <f t="shared" si="50"/>
        <v>НД</v>
      </c>
      <c r="AE81" s="276" t="str">
        <f t="shared" si="26"/>
        <v>НД</v>
      </c>
      <c r="AF81" s="441">
        <f t="shared" si="68"/>
        <v>0</v>
      </c>
      <c r="AG81" s="440">
        <f t="shared" si="68"/>
        <v>0</v>
      </c>
      <c r="AH81" s="440" t="str">
        <f>IF(AG81=0,"НД",AF81-AG81)</f>
        <v>НД</v>
      </c>
      <c r="AI81" s="276" t="str">
        <f t="shared" si="27"/>
        <v>НД</v>
      </c>
      <c r="AJ81" s="441">
        <f t="shared" si="68"/>
        <v>0</v>
      </c>
      <c r="AK81" s="440">
        <f t="shared" si="68"/>
        <v>0</v>
      </c>
      <c r="AL81" s="440" t="str">
        <f>IF(AK81=0,"НД",AJ81-AK81)</f>
        <v>НД</v>
      </c>
      <c r="AM81" s="277" t="str">
        <f t="shared" si="28"/>
        <v>НД</v>
      </c>
      <c r="AN81" s="442">
        <f t="shared" si="68"/>
        <v>0</v>
      </c>
      <c r="AO81" s="407">
        <f t="shared" si="68"/>
        <v>0</v>
      </c>
      <c r="AP81" s="407">
        <f t="shared" si="29"/>
        <v>0</v>
      </c>
      <c r="AQ81" s="278">
        <f t="shared" si="30"/>
        <v>0</v>
      </c>
      <c r="AR81" s="439">
        <f t="shared" ref="AR81:BU81" si="69">SUM(AR56:AR80)</f>
        <v>0</v>
      </c>
      <c r="AS81" s="440">
        <f t="shared" si="69"/>
        <v>0</v>
      </c>
      <c r="AT81" s="440" t="str">
        <f>IF(AS81=0,"НД",AR81-AS81)</f>
        <v>НД</v>
      </c>
      <c r="AU81" s="279" t="str">
        <f t="shared" si="31"/>
        <v>НД</v>
      </c>
      <c r="AV81" s="441">
        <f t="shared" si="69"/>
        <v>0</v>
      </c>
      <c r="AW81" s="440">
        <f t="shared" si="69"/>
        <v>0</v>
      </c>
      <c r="AX81" s="440" t="str">
        <f>IF(AW81=0,"НД",AV81-AW81)</f>
        <v>НД</v>
      </c>
      <c r="AY81" s="279" t="str">
        <f t="shared" si="32"/>
        <v>НД</v>
      </c>
      <c r="AZ81" s="441">
        <f t="shared" si="69"/>
        <v>0</v>
      </c>
      <c r="BA81" s="440">
        <f t="shared" si="69"/>
        <v>0</v>
      </c>
      <c r="BB81" s="440" t="str">
        <f>IF(BA81=0,"НД",AZ81-BA81)</f>
        <v>НД</v>
      </c>
      <c r="BC81" s="279" t="str">
        <f t="shared" si="33"/>
        <v>НД</v>
      </c>
      <c r="BD81" s="442">
        <f t="shared" si="69"/>
        <v>0</v>
      </c>
      <c r="BE81" s="407">
        <f>SUM(BE56:BE80)</f>
        <v>0</v>
      </c>
      <c r="BF81" s="407">
        <f t="shared" si="34"/>
        <v>0</v>
      </c>
      <c r="BG81" s="278" t="str">
        <f>IF(BE81=0, "НД", IF((BF81="НД"),0,BF81/BD81))</f>
        <v>НД</v>
      </c>
      <c r="BH81" s="439">
        <f t="shared" si="69"/>
        <v>0</v>
      </c>
      <c r="BI81" s="440">
        <f t="shared" si="69"/>
        <v>0</v>
      </c>
      <c r="BJ81" s="440" t="str">
        <f>IF(BI81=0,"НД",BH81-BI81)</f>
        <v>НД</v>
      </c>
      <c r="BK81" s="279" t="str">
        <f t="shared" si="36"/>
        <v>НД</v>
      </c>
      <c r="BL81" s="441">
        <f t="shared" si="69"/>
        <v>0</v>
      </c>
      <c r="BM81" s="440">
        <f t="shared" si="69"/>
        <v>0</v>
      </c>
      <c r="BN81" s="440" t="str">
        <f>IF(BM81=0,"НД",BL81-BM81)</f>
        <v>НД</v>
      </c>
      <c r="BO81" s="279" t="str">
        <f t="shared" si="37"/>
        <v>НД</v>
      </c>
      <c r="BP81" s="441">
        <f t="shared" si="69"/>
        <v>0</v>
      </c>
      <c r="BQ81" s="440">
        <f t="shared" si="69"/>
        <v>0</v>
      </c>
      <c r="BR81" s="440" t="str">
        <f>IF(BQ81=0,"НД",BP81-BQ81)</f>
        <v>НД</v>
      </c>
      <c r="BS81" s="277" t="str">
        <f t="shared" si="38"/>
        <v>НД</v>
      </c>
      <c r="BT81" s="442">
        <f t="shared" si="69"/>
        <v>0</v>
      </c>
      <c r="BU81" s="407">
        <f t="shared" si="69"/>
        <v>0</v>
      </c>
      <c r="BV81" s="440">
        <f t="shared" si="39"/>
        <v>0</v>
      </c>
      <c r="BW81" s="278">
        <f t="shared" si="40"/>
        <v>0</v>
      </c>
    </row>
    <row r="82" spans="2:75" ht="36.75" customHeight="1" thickBot="1" x14ac:dyDescent="0.3">
      <c r="B82" s="727" t="s">
        <v>994</v>
      </c>
      <c r="C82" s="727"/>
      <c r="D82" s="727"/>
      <c r="E82" s="727"/>
      <c r="F82" s="727"/>
      <c r="G82" s="731"/>
      <c r="H82" s="731"/>
      <c r="I82" s="731"/>
      <c r="J82" s="731"/>
      <c r="L82" s="281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282"/>
      <c r="AQ82" s="283"/>
      <c r="BG82" s="283"/>
      <c r="BW82" s="283"/>
    </row>
    <row r="83" spans="2:75" ht="27.75" customHeight="1" thickBot="1" x14ac:dyDescent="0.25">
      <c r="B83" s="782" t="s">
        <v>245</v>
      </c>
      <c r="C83" s="272" t="s">
        <v>290</v>
      </c>
      <c r="D83" s="272" t="s">
        <v>240</v>
      </c>
      <c r="E83" s="273" t="s">
        <v>290</v>
      </c>
      <c r="F83" s="280" t="s">
        <v>241</v>
      </c>
      <c r="G83" s="272" t="s">
        <v>289</v>
      </c>
      <c r="H83" s="272" t="s">
        <v>243</v>
      </c>
      <c r="I83" s="272" t="s">
        <v>26</v>
      </c>
      <c r="J83" s="272" t="s">
        <v>939</v>
      </c>
      <c r="L83" s="730" t="s">
        <v>290</v>
      </c>
      <c r="M83" s="722"/>
      <c r="N83" s="722" t="s">
        <v>289</v>
      </c>
      <c r="O83" s="722"/>
      <c r="P83" s="722" t="s">
        <v>290</v>
      </c>
      <c r="Q83" s="722"/>
      <c r="R83" s="722" t="s">
        <v>289</v>
      </c>
      <c r="S83" s="722"/>
      <c r="T83" s="722" t="s">
        <v>290</v>
      </c>
      <c r="U83" s="722"/>
      <c r="V83" s="722" t="s">
        <v>289</v>
      </c>
      <c r="W83" s="729"/>
      <c r="X83" s="721" t="s">
        <v>290</v>
      </c>
      <c r="Y83" s="721"/>
      <c r="Z83" s="721" t="s">
        <v>289</v>
      </c>
      <c r="AA83" s="721"/>
      <c r="AB83" s="730" t="s">
        <v>290</v>
      </c>
      <c r="AC83" s="722"/>
      <c r="AD83" s="722" t="s">
        <v>289</v>
      </c>
      <c r="AE83" s="722"/>
      <c r="AF83" s="722" t="s">
        <v>290</v>
      </c>
      <c r="AG83" s="722"/>
      <c r="AH83" s="722" t="s">
        <v>289</v>
      </c>
      <c r="AI83" s="722"/>
      <c r="AJ83" s="722" t="s">
        <v>290</v>
      </c>
      <c r="AK83" s="722"/>
      <c r="AL83" s="722" t="s">
        <v>289</v>
      </c>
      <c r="AM83" s="729"/>
      <c r="AN83" s="721" t="s">
        <v>290</v>
      </c>
      <c r="AO83" s="721"/>
      <c r="AP83" s="721" t="s">
        <v>289</v>
      </c>
      <c r="AQ83" s="721"/>
      <c r="AR83" s="730" t="s">
        <v>290</v>
      </c>
      <c r="AS83" s="722"/>
      <c r="AT83" s="722" t="s">
        <v>289</v>
      </c>
      <c r="AU83" s="722"/>
      <c r="AV83" s="722" t="s">
        <v>290</v>
      </c>
      <c r="AW83" s="722"/>
      <c r="AX83" s="722" t="s">
        <v>289</v>
      </c>
      <c r="AY83" s="722"/>
      <c r="AZ83" s="722" t="s">
        <v>290</v>
      </c>
      <c r="BA83" s="722"/>
      <c r="BB83" s="722" t="s">
        <v>289</v>
      </c>
      <c r="BC83" s="729"/>
      <c r="BD83" s="721" t="s">
        <v>290</v>
      </c>
      <c r="BE83" s="721"/>
      <c r="BF83" s="721" t="s">
        <v>289</v>
      </c>
      <c r="BG83" s="721"/>
      <c r="BH83" s="730" t="s">
        <v>290</v>
      </c>
      <c r="BI83" s="722"/>
      <c r="BJ83" s="722" t="s">
        <v>289</v>
      </c>
      <c r="BK83" s="722"/>
      <c r="BL83" s="722" t="s">
        <v>290</v>
      </c>
      <c r="BM83" s="722"/>
      <c r="BN83" s="722" t="s">
        <v>289</v>
      </c>
      <c r="BO83" s="722"/>
      <c r="BP83" s="722" t="s">
        <v>290</v>
      </c>
      <c r="BQ83" s="722"/>
      <c r="BR83" s="722" t="s">
        <v>289</v>
      </c>
      <c r="BS83" s="729"/>
      <c r="BT83" s="721" t="s">
        <v>290</v>
      </c>
      <c r="BU83" s="721"/>
      <c r="BV83" s="721" t="s">
        <v>289</v>
      </c>
      <c r="BW83" s="721"/>
    </row>
    <row r="84" spans="2:75" ht="13.5" customHeight="1" thickBot="1" x14ac:dyDescent="0.25">
      <c r="B84" s="783"/>
      <c r="C84" s="766" t="s">
        <v>40</v>
      </c>
      <c r="D84" s="779"/>
      <c r="E84" s="784" t="s">
        <v>247</v>
      </c>
      <c r="F84" s="778"/>
      <c r="G84" s="784" t="s">
        <v>40</v>
      </c>
      <c r="H84" s="785"/>
      <c r="I84" s="786" t="s">
        <v>247</v>
      </c>
      <c r="J84" s="785"/>
      <c r="L84" s="269" t="s">
        <v>40</v>
      </c>
      <c r="M84" s="266" t="s">
        <v>247</v>
      </c>
      <c r="N84" s="266" t="s">
        <v>40</v>
      </c>
      <c r="O84" s="266" t="s">
        <v>247</v>
      </c>
      <c r="P84" s="266" t="s">
        <v>40</v>
      </c>
      <c r="Q84" s="266" t="s">
        <v>247</v>
      </c>
      <c r="R84" s="266" t="s">
        <v>40</v>
      </c>
      <c r="S84" s="266" t="s">
        <v>247</v>
      </c>
      <c r="T84" s="266" t="s">
        <v>40</v>
      </c>
      <c r="U84" s="266" t="s">
        <v>247</v>
      </c>
      <c r="V84" s="266" t="s">
        <v>40</v>
      </c>
      <c r="W84" s="267" t="s">
        <v>247</v>
      </c>
      <c r="X84" s="270" t="s">
        <v>40</v>
      </c>
      <c r="Y84" s="270" t="s">
        <v>247</v>
      </c>
      <c r="Z84" s="270" t="s">
        <v>40</v>
      </c>
      <c r="AA84" s="270" t="s">
        <v>247</v>
      </c>
      <c r="AB84" s="269" t="s">
        <v>40</v>
      </c>
      <c r="AC84" s="266" t="s">
        <v>247</v>
      </c>
      <c r="AD84" s="266" t="s">
        <v>40</v>
      </c>
      <c r="AE84" s="266" t="s">
        <v>247</v>
      </c>
      <c r="AF84" s="266" t="s">
        <v>40</v>
      </c>
      <c r="AG84" s="266" t="s">
        <v>247</v>
      </c>
      <c r="AH84" s="266" t="s">
        <v>40</v>
      </c>
      <c r="AI84" s="266" t="s">
        <v>247</v>
      </c>
      <c r="AJ84" s="266" t="s">
        <v>40</v>
      </c>
      <c r="AK84" s="266" t="s">
        <v>247</v>
      </c>
      <c r="AL84" s="266" t="s">
        <v>40</v>
      </c>
      <c r="AM84" s="267" t="s">
        <v>247</v>
      </c>
      <c r="AN84" s="270" t="s">
        <v>40</v>
      </c>
      <c r="AO84" s="270" t="s">
        <v>247</v>
      </c>
      <c r="AP84" s="270" t="s">
        <v>40</v>
      </c>
      <c r="AQ84" s="270" t="s">
        <v>247</v>
      </c>
      <c r="AR84" s="269" t="s">
        <v>40</v>
      </c>
      <c r="AS84" s="266" t="s">
        <v>247</v>
      </c>
      <c r="AT84" s="266" t="s">
        <v>40</v>
      </c>
      <c r="AU84" s="266" t="s">
        <v>247</v>
      </c>
      <c r="AV84" s="266" t="s">
        <v>40</v>
      </c>
      <c r="AW84" s="266" t="s">
        <v>247</v>
      </c>
      <c r="AX84" s="266" t="s">
        <v>40</v>
      </c>
      <c r="AY84" s="266" t="s">
        <v>247</v>
      </c>
      <c r="AZ84" s="266" t="s">
        <v>40</v>
      </c>
      <c r="BA84" s="266" t="s">
        <v>247</v>
      </c>
      <c r="BB84" s="266" t="s">
        <v>40</v>
      </c>
      <c r="BC84" s="267" t="s">
        <v>247</v>
      </c>
      <c r="BD84" s="270" t="s">
        <v>40</v>
      </c>
      <c r="BE84" s="270" t="s">
        <v>247</v>
      </c>
      <c r="BF84" s="270" t="s">
        <v>40</v>
      </c>
      <c r="BG84" s="270" t="s">
        <v>247</v>
      </c>
      <c r="BH84" s="269" t="s">
        <v>40</v>
      </c>
      <c r="BI84" s="266" t="s">
        <v>247</v>
      </c>
      <c r="BJ84" s="266" t="s">
        <v>40</v>
      </c>
      <c r="BK84" s="266" t="s">
        <v>247</v>
      </c>
      <c r="BL84" s="266" t="s">
        <v>40</v>
      </c>
      <c r="BM84" s="266" t="s">
        <v>247</v>
      </c>
      <c r="BN84" s="266" t="s">
        <v>40</v>
      </c>
      <c r="BO84" s="266" t="s">
        <v>247</v>
      </c>
      <c r="BP84" s="266" t="s">
        <v>40</v>
      </c>
      <c r="BQ84" s="266" t="s">
        <v>247</v>
      </c>
      <c r="BR84" s="266" t="s">
        <v>40</v>
      </c>
      <c r="BS84" s="267" t="s">
        <v>247</v>
      </c>
      <c r="BT84" s="270" t="s">
        <v>40</v>
      </c>
      <c r="BU84" s="270" t="s">
        <v>247</v>
      </c>
      <c r="BV84" s="270" t="s">
        <v>40</v>
      </c>
      <c r="BW84" s="270" t="s">
        <v>247</v>
      </c>
    </row>
    <row r="85" spans="2:75" ht="13.5" thickBot="1" x14ac:dyDescent="0.25">
      <c r="B85" s="91" t="s">
        <v>246</v>
      </c>
      <c r="C85" s="105">
        <f>ПП!B73</f>
        <v>0</v>
      </c>
      <c r="D85" s="449" t="e">
        <f>ПП!C73</f>
        <v>#DIV/0!</v>
      </c>
      <c r="E85" s="67">
        <f>COUNTIFS('Отчет РПЗ(ПЗ)_ПЗИП'!H:H,Справочно!$E16,'Отчет РПЗ(ПЗ)_ПЗИП'!AG:AG, "&gt;0")</f>
        <v>0</v>
      </c>
      <c r="F85" s="419" t="e">
        <f>E85/$E$52</f>
        <v>#DIV/0!</v>
      </c>
      <c r="G85" s="434">
        <f>ПП!D73</f>
        <v>0</v>
      </c>
      <c r="H85" s="450" t="e">
        <f>ПП!E73</f>
        <v>#DIV/0!</v>
      </c>
      <c r="I85" s="422">
        <f>SUMIF(РПЗ!$R:$R,Справочно!$E16,'Отчет РПЗ(ПЗ)_ПЗИП'!$AG:$AG)</f>
        <v>0</v>
      </c>
      <c r="J85" s="419" t="e">
        <f>I85/$I$52</f>
        <v>#DIV/0!</v>
      </c>
      <c r="L85" s="165">
        <f>ПП!G73</f>
        <v>0</v>
      </c>
      <c r="M85" s="151">
        <f>COUNTIFS(РПЗ!$R:$R,Справочно!$E16,'Отчет РПЗ(ПЗ)_ПЗИП'!$AQ:$AQ,1,'Отчет РПЗ(ПЗ)_ПЗИП'!$AG:$AG,"&gt;0")</f>
        <v>0</v>
      </c>
      <c r="N85" s="429">
        <f>ПП!H73</f>
        <v>0</v>
      </c>
      <c r="O85" s="342">
        <f>SUMIFS('Отчет РПЗ(ПЗ)_ПЗИП'!$AG:$AG,РПЗ!$R:$R,Справочно!$E16,'Отчет РПЗ(ПЗ)_ПЗИП'!$AQ:$AQ,1,'Отчет РПЗ(ПЗ)_ПЗИП'!$AG:$AG,"&gt;0")</f>
        <v>0</v>
      </c>
      <c r="P85" s="167">
        <f>ПП!I73</f>
        <v>0</v>
      </c>
      <c r="Q85" s="151">
        <f>COUNTIFS(РПЗ!$R:$R,Справочно!$E16,'Отчет РПЗ(ПЗ)_ПЗИП'!$AQ:$AQ,2,'Отчет РПЗ(ПЗ)_ПЗИП'!$AG:$AG,"&gt;0")</f>
        <v>0</v>
      </c>
      <c r="R85" s="429">
        <f>ПП!J73</f>
        <v>0</v>
      </c>
      <c r="S85" s="342">
        <f>SUMIFS('Отчет РПЗ(ПЗ)_ПЗИП'!$AG:$AG,РПЗ!$R:$R,Справочно!$E16,'Отчет РПЗ(ПЗ)_ПЗИП'!$AQ:$AQ,2,'Отчет РПЗ(ПЗ)_ПЗИП'!$AG:$AG,"&gt;0")</f>
        <v>0</v>
      </c>
      <c r="T85" s="167">
        <f>ПП!K73</f>
        <v>0</v>
      </c>
      <c r="U85" s="151">
        <f>COUNTIFS(РПЗ!$R:$R,Справочно!$E16,'Отчет РПЗ(ПЗ)_ПЗИП'!$AQ:$AQ,3,'Отчет РПЗ(ПЗ)_ПЗИП'!$AG:$AG,"&gt;0")</f>
        <v>0</v>
      </c>
      <c r="V85" s="429">
        <f>ПП!L73</f>
        <v>0</v>
      </c>
      <c r="W85" s="375">
        <f>SUMIFS('Отчет РПЗ(ПЗ)_ПЗИП'!$AG:$AG,РПЗ!$R:$R,Справочно!$E16,'Отчет РПЗ(ПЗ)_ПЗИП'!$AQ:$AQ,3,'Отчет РПЗ(ПЗ)_ПЗИП'!$AG:$AG,"&gt;0")</f>
        <v>0</v>
      </c>
      <c r="X85" s="175">
        <f>ПП!M73</f>
        <v>0</v>
      </c>
      <c r="Y85" s="176">
        <f>SUM(M85,Q85,U85)</f>
        <v>0</v>
      </c>
      <c r="Z85" s="430">
        <f>ПП!N73</f>
        <v>0</v>
      </c>
      <c r="AA85" s="335">
        <f>SUM(O85,S85,W85)</f>
        <v>0</v>
      </c>
      <c r="AB85" s="167">
        <f>ПП!O73</f>
        <v>0</v>
      </c>
      <c r="AC85" s="187">
        <f>COUNTIFS(РПЗ!$R:$R,Справочно!$E16,'Отчет РПЗ(ПЗ)_ПЗИП'!$AQ:$AQ,4,'Отчет РПЗ(ПЗ)_ПЗИП'!$AG:$AG,"&gt;0")</f>
        <v>0</v>
      </c>
      <c r="AD85" s="429">
        <f>ПП!P73</f>
        <v>0</v>
      </c>
      <c r="AE85" s="376">
        <f>SUMIFS('Отчет РПЗ(ПЗ)_ПЗИП'!$AG:$AG,РПЗ!$R:$R,Справочно!$E16,'Отчет РПЗ(ПЗ)_ПЗИП'!$AQ:$AQ,4,'Отчет РПЗ(ПЗ)_ПЗИП'!$AG:$AG,"&gt;0")</f>
        <v>0</v>
      </c>
      <c r="AF85" s="167">
        <f>ПП!Q73</f>
        <v>0</v>
      </c>
      <c r="AG85" s="187">
        <f>COUNTIFS(РПЗ!$R:$R,Справочно!$E16,'Отчет РПЗ(ПЗ)_ПЗИП'!$AQ:$AQ,5,'Отчет РПЗ(ПЗ)_ПЗИП'!$AG:$AG,"&gt;0")</f>
        <v>0</v>
      </c>
      <c r="AH85" s="429">
        <f>ПП!R73</f>
        <v>0</v>
      </c>
      <c r="AI85" s="376">
        <f>SUMIFS('Отчет РПЗ(ПЗ)_ПЗИП'!$AG:$AG,РПЗ!$R:$R,Справочно!$E16,'Отчет РПЗ(ПЗ)_ПЗИП'!$AQ:$AQ,5,'Отчет РПЗ(ПЗ)_ПЗИП'!$AG:$AG,"&gt;0")</f>
        <v>0</v>
      </c>
      <c r="AJ85" s="167">
        <f>ПП!S73</f>
        <v>0</v>
      </c>
      <c r="AK85" s="187">
        <f>COUNTIFS(РПЗ!$R:$R,Справочно!$E16,'Отчет РПЗ(ПЗ)_ПЗИП'!$AQ:$AQ,6,'Отчет РПЗ(ПЗ)_ПЗИП'!$AG:$AG,"&gt;0")</f>
        <v>0</v>
      </c>
      <c r="AL85" s="429">
        <f>ПП!T73</f>
        <v>0</v>
      </c>
      <c r="AM85" s="377">
        <f>SUMIFS('Отчет РПЗ(ПЗ)_ПЗИП'!$AG:$AG,РПЗ!$R:$R,Справочно!$E16,'Отчет РПЗ(ПЗ)_ПЗИП'!$AQ:$AQ,6,'Отчет РПЗ(ПЗ)_ПЗИП'!$AG:$AG,"&gt;0")</f>
        <v>0</v>
      </c>
      <c r="AN85" s="175">
        <f>ПП!U73</f>
        <v>0</v>
      </c>
      <c r="AO85" s="189">
        <f>SUM(AC85,AG85,AK85)</f>
        <v>0</v>
      </c>
      <c r="AP85" s="430">
        <f>ПП!V73</f>
        <v>0</v>
      </c>
      <c r="AQ85" s="337">
        <f>SUM(AE85,AI85,AM85)</f>
        <v>0</v>
      </c>
      <c r="AR85" s="284">
        <f>ПП!W73</f>
        <v>0</v>
      </c>
      <c r="AS85" s="148">
        <f>COUNTIFS(РПЗ!$R:$R,Справочно!$E16,'Отчет РПЗ(ПЗ)_ПЗИП'!$AQ:$AQ,7,'Отчет РПЗ(ПЗ)_ПЗИП'!$AG:$AG,"&gt;0")</f>
        <v>0</v>
      </c>
      <c r="AT85" s="429">
        <f>ПП!X73</f>
        <v>0</v>
      </c>
      <c r="AU85" s="378">
        <f>SUMIFS('Отчет РПЗ(ПЗ)_ПЗИП'!$AG:$AG,РПЗ!$R:$R,Справочно!$E16,'Отчет РПЗ(ПЗ)_ПЗИП'!$AQ:$AQ,7,'Отчет РПЗ(ПЗ)_ПЗИП'!$AG:$AG,"&gt;0")</f>
        <v>0</v>
      </c>
      <c r="AV85" s="167">
        <f>ПП!Y73</f>
        <v>0</v>
      </c>
      <c r="AW85" s="148">
        <f>COUNTIFS(РПЗ!$R:$R,Справочно!$E16,'Отчет РПЗ(ПЗ)_ПЗИП'!$AQ:$AQ,8,'Отчет РПЗ(ПЗ)_ПЗИП'!$AG:$AG,"&gt;0")</f>
        <v>0</v>
      </c>
      <c r="AX85" s="429">
        <f>ПП!Z73</f>
        <v>0</v>
      </c>
      <c r="AY85" s="378">
        <f>SUMIFS('Отчет РПЗ(ПЗ)_ПЗИП'!$AG:$AG,РПЗ!$R:$R,Справочно!$E16,'Отчет РПЗ(ПЗ)_ПЗИП'!$AQ:$AQ,8,'Отчет РПЗ(ПЗ)_ПЗИП'!$AG:$AG,"&gt;0")</f>
        <v>0</v>
      </c>
      <c r="AZ85" s="167">
        <f>ПП!AA73</f>
        <v>0</v>
      </c>
      <c r="BA85" s="148">
        <f>COUNTIFS(РПЗ!$R:$R,Справочно!$E16,'Отчет РПЗ(ПЗ)_ПЗИП'!$AQ:$AQ,9,'Отчет РПЗ(ПЗ)_ПЗИП'!$AG:$AG,"&gt;0")</f>
        <v>0</v>
      </c>
      <c r="BB85" s="429">
        <f>ПП!AB73</f>
        <v>0</v>
      </c>
      <c r="BC85" s="379">
        <f>SUMIFS('Отчет РПЗ(ПЗ)_ПЗИП'!$AG:$AG,РПЗ!$R:$R,Справочно!$E16,'Отчет РПЗ(ПЗ)_ПЗИП'!$AQ:$AQ,9,'Отчет РПЗ(ПЗ)_ПЗИП'!$AG:$AG,"&gt;0")</f>
        <v>0</v>
      </c>
      <c r="BD85" s="175">
        <f>ПП!AC73</f>
        <v>0</v>
      </c>
      <c r="BE85" s="184">
        <f>SUM(AS85,AW85,BA85)</f>
        <v>0</v>
      </c>
      <c r="BF85" s="430">
        <f>ПП!AD73</f>
        <v>0</v>
      </c>
      <c r="BG85" s="339">
        <f>SUM(AU85,AY85,BC85)</f>
        <v>0</v>
      </c>
      <c r="BH85" s="284">
        <f>ПП!AE73</f>
        <v>0</v>
      </c>
      <c r="BI85" s="181">
        <f>COUNTIFS(РПЗ!$R:$R,Справочно!$E16,'Отчет РПЗ(ПЗ)_ПЗИП'!$AQ:$AQ,10,'Отчет РПЗ(ПЗ)_ПЗИП'!$AG:$AG,"&gt;0")</f>
        <v>0</v>
      </c>
      <c r="BJ85" s="429">
        <f>ПП!AF73</f>
        <v>0</v>
      </c>
      <c r="BK85" s="380">
        <f>SUMIFS('Отчет РПЗ(ПЗ)_ПЗИП'!$AG:$AG,РПЗ!$R:$R,Справочно!$E16,'Отчет РПЗ(ПЗ)_ПЗИП'!$AQ:$AQ,10,'Отчет РПЗ(ПЗ)_ПЗИП'!$AG:$AG,"&gt;0")</f>
        <v>0</v>
      </c>
      <c r="BL85" s="167">
        <f>ПП!AG73</f>
        <v>0</v>
      </c>
      <c r="BM85" s="181">
        <f>COUNTIFS(РПЗ!$R:$R,Справочно!$E16,'Отчет РПЗ(ПЗ)_ПЗИП'!$AQ:$AQ,11,'Отчет РПЗ(ПЗ)_ПЗИП'!$AG:$AG,"&gt;0")</f>
        <v>0</v>
      </c>
      <c r="BN85" s="429">
        <f>ПП!AH73</f>
        <v>0</v>
      </c>
      <c r="BO85" s="380">
        <f>SUMIFS('Отчет РПЗ(ПЗ)_ПЗИП'!$AG:$AG,РПЗ!$R:$R,Справочно!$E16,'Отчет РПЗ(ПЗ)_ПЗИП'!$AQ:$AQ,11,'Отчет РПЗ(ПЗ)_ПЗИП'!$AG:$AG,"&gt;0")</f>
        <v>0</v>
      </c>
      <c r="BP85" s="167">
        <f>ПП!AI73</f>
        <v>0</v>
      </c>
      <c r="BQ85" s="181">
        <f>COUNTIFS(РПЗ!$R:$R,Справочно!$E16,'Отчет РПЗ(ПЗ)_ПЗИП'!$AQ:$AQ,12,'Отчет РПЗ(ПЗ)_ПЗИП'!$AG:$AG,"&gt;0")</f>
        <v>0</v>
      </c>
      <c r="BR85" s="429">
        <f>ПП!AJ73</f>
        <v>0</v>
      </c>
      <c r="BS85" s="381">
        <f>SUMIFS('Отчет РПЗ(ПЗ)_ПЗИП'!$AG:$AG,РПЗ!$R:$R,Справочно!$E16,'Отчет РПЗ(ПЗ)_ПЗИП'!$AQ:$AQ,12,'Отчет РПЗ(ПЗ)_ПЗИП'!$AG:$AG,"&gt;0")</f>
        <v>0</v>
      </c>
      <c r="BT85" s="175">
        <f>ПП!AK73</f>
        <v>0</v>
      </c>
      <c r="BU85" s="183">
        <f>SUM(BI85,BM85,BQ85)</f>
        <v>0</v>
      </c>
      <c r="BV85" s="430">
        <f>ПП!AL73</f>
        <v>0</v>
      </c>
      <c r="BW85" s="341">
        <f>SUM(BK85,BO85,BS85)</f>
        <v>0</v>
      </c>
    </row>
    <row r="86" spans="2:75" ht="13.5" thickBot="1" x14ac:dyDescent="0.25">
      <c r="B86" s="92" t="s">
        <v>978</v>
      </c>
      <c r="C86" s="105">
        <f>ПП!B74</f>
        <v>0</v>
      </c>
      <c r="D86" s="449" t="e">
        <f>ПП!C74</f>
        <v>#DIV/0!</v>
      </c>
      <c r="E86" s="67">
        <f>COUNTIFS('Отчет РПЗ(ПЗ)_ПЗИП'!H:H,Справочно!$E17,'Отчет РПЗ(ПЗ)_ПЗИП'!AG:AG, "&gt;0")</f>
        <v>0</v>
      </c>
      <c r="F86" s="419" t="e">
        <f>E86/$E$52</f>
        <v>#DIV/0!</v>
      </c>
      <c r="G86" s="451">
        <f>ПП!D74</f>
        <v>0</v>
      </c>
      <c r="H86" s="452" t="e">
        <f>ПП!E74</f>
        <v>#DIV/0!</v>
      </c>
      <c r="I86" s="422">
        <f>SUMIF(РПЗ!$R:$R,Справочно!$E17,'Отчет РПЗ(ПЗ)_ПЗИП'!$AG:$AG)</f>
        <v>0</v>
      </c>
      <c r="J86" s="419" t="e">
        <f>I86/$I$52</f>
        <v>#DIV/0!</v>
      </c>
      <c r="L86" s="168">
        <f>ПП!G74</f>
        <v>0</v>
      </c>
      <c r="M86" s="151">
        <f>COUNTIFS(РПЗ!$R:$R,Справочно!$E17,'Отчет РПЗ(ПЗ)_ПЗИП'!$AQ:$AQ,1,'Отчет РПЗ(ПЗ)_ПЗИП'!$AG:$AG,"&gt;0")</f>
        <v>0</v>
      </c>
      <c r="N86" s="432">
        <f>ПП!H74</f>
        <v>0</v>
      </c>
      <c r="O86" s="342">
        <f>SUMIFS('Отчет РПЗ(ПЗ)_ПЗИП'!$AG:$AG,РПЗ!$R:$R,Справочно!$E17,'Отчет РПЗ(ПЗ)_ПЗИП'!$AQ:$AQ,1,'Отчет РПЗ(ПЗ)_ПЗИП'!$AG:$AG,"&gt;0")</f>
        <v>0</v>
      </c>
      <c r="P86" s="170">
        <f>ПП!I74</f>
        <v>0</v>
      </c>
      <c r="Q86" s="151">
        <f>COUNTIFS(РПЗ!$R:$R,Справочно!$E17,'Отчет РПЗ(ПЗ)_ПЗИП'!$AQ:$AQ,2,'Отчет РПЗ(ПЗ)_ПЗИП'!$AG:$AG,"&gt;0")</f>
        <v>0</v>
      </c>
      <c r="R86" s="432">
        <f>ПП!J74</f>
        <v>0</v>
      </c>
      <c r="S86" s="342">
        <f>SUMIFS('Отчет РПЗ(ПЗ)_ПЗИП'!$AG:$AG,РПЗ!$R:$R,Справочно!$E17,'Отчет РПЗ(ПЗ)_ПЗИП'!$AQ:$AQ,2,'Отчет РПЗ(ПЗ)_ПЗИП'!$AG:$AG,"&gt;0")</f>
        <v>0</v>
      </c>
      <c r="T86" s="170">
        <f>ПП!K74</f>
        <v>0</v>
      </c>
      <c r="U86" s="151">
        <f>COUNTIFS(РПЗ!$R:$R,Справочно!$E17,'Отчет РПЗ(ПЗ)_ПЗИП'!$AQ:$AQ,3,'Отчет РПЗ(ПЗ)_ПЗИП'!$AG:$AG,"&gt;0")</f>
        <v>0</v>
      </c>
      <c r="V86" s="432">
        <f>ПП!L74</f>
        <v>0</v>
      </c>
      <c r="W86" s="375">
        <f>SUMIFS('Отчет РПЗ(ПЗ)_ПЗИП'!$AG:$AG,РПЗ!$R:$R,Справочно!$E17,'Отчет РПЗ(ПЗ)_ПЗИП'!$AQ:$AQ,3,'Отчет РПЗ(ПЗ)_ПЗИП'!$AG:$AG,"&gt;0")</f>
        <v>0</v>
      </c>
      <c r="X86" s="175">
        <f>ПП!M74</f>
        <v>0</v>
      </c>
      <c r="Y86" s="176">
        <f>SUM(M86,Q86,U86)</f>
        <v>0</v>
      </c>
      <c r="Z86" s="430">
        <f>ПП!N74</f>
        <v>0</v>
      </c>
      <c r="AA86" s="335">
        <f>SUM(O86,S86,W86)</f>
        <v>0</v>
      </c>
      <c r="AB86" s="170">
        <f>ПП!O74</f>
        <v>0</v>
      </c>
      <c r="AC86" s="187">
        <f>COUNTIFS(РПЗ!$R:$R,Справочно!$E17,'Отчет РПЗ(ПЗ)_ПЗИП'!$AQ:$AQ,4,'Отчет РПЗ(ПЗ)_ПЗИП'!$AG:$AG,"&gt;0")</f>
        <v>0</v>
      </c>
      <c r="AD86" s="432">
        <f>ПП!P74</f>
        <v>0</v>
      </c>
      <c r="AE86" s="376">
        <f>SUMIFS('Отчет РПЗ(ПЗ)_ПЗИП'!$AG:$AG,РПЗ!$R:$R,Справочно!$E17,'Отчет РПЗ(ПЗ)_ПЗИП'!$AQ:$AQ,4,'Отчет РПЗ(ПЗ)_ПЗИП'!$AG:$AG,"&gt;0")</f>
        <v>0</v>
      </c>
      <c r="AF86" s="170">
        <f>ПП!Q74</f>
        <v>0</v>
      </c>
      <c r="AG86" s="187">
        <f>COUNTIFS(РПЗ!$R:$R,Справочно!$E17,'Отчет РПЗ(ПЗ)_ПЗИП'!$AQ:$AQ,5,'Отчет РПЗ(ПЗ)_ПЗИП'!$AG:$AG,"&gt;0")</f>
        <v>0</v>
      </c>
      <c r="AH86" s="432">
        <f>ПП!R74</f>
        <v>0</v>
      </c>
      <c r="AI86" s="376">
        <f>SUMIFS('Отчет РПЗ(ПЗ)_ПЗИП'!$AG:$AG,РПЗ!$R:$R,Справочно!$E17,'Отчет РПЗ(ПЗ)_ПЗИП'!$AQ:$AQ,5,'Отчет РПЗ(ПЗ)_ПЗИП'!$AG:$AG,"&gt;0")</f>
        <v>0</v>
      </c>
      <c r="AJ86" s="170">
        <f>ПП!S74</f>
        <v>0</v>
      </c>
      <c r="AK86" s="187">
        <f>COUNTIFS(РПЗ!$R:$R,Справочно!$E17,'Отчет РПЗ(ПЗ)_ПЗИП'!$AQ:$AQ,6,'Отчет РПЗ(ПЗ)_ПЗИП'!$AG:$AG,"&gt;0")</f>
        <v>0</v>
      </c>
      <c r="AL86" s="432">
        <f>ПП!T74</f>
        <v>0</v>
      </c>
      <c r="AM86" s="377">
        <f>SUMIFS('Отчет РПЗ(ПЗ)_ПЗИП'!$AG:$AG,РПЗ!$R:$R,Справочно!$E17,'Отчет РПЗ(ПЗ)_ПЗИП'!$AQ:$AQ,6,'Отчет РПЗ(ПЗ)_ПЗИП'!$AG:$AG,"&gt;0")</f>
        <v>0</v>
      </c>
      <c r="AN86" s="175">
        <f>ПП!U74</f>
        <v>0</v>
      </c>
      <c r="AO86" s="189">
        <f>SUM(AC86,AG86,AK86)</f>
        <v>0</v>
      </c>
      <c r="AP86" s="430">
        <f>ПП!V74</f>
        <v>0</v>
      </c>
      <c r="AQ86" s="337">
        <f>SUM(AE86,AI86,AM86)</f>
        <v>0</v>
      </c>
      <c r="AR86" s="285">
        <f>ПП!W74</f>
        <v>0</v>
      </c>
      <c r="AS86" s="148">
        <f>COUNTIFS(РПЗ!$R:$R,Справочно!$E17,'Отчет РПЗ(ПЗ)_ПЗИП'!$AQ:$AQ,7,'Отчет РПЗ(ПЗ)_ПЗИП'!$AG:$AG,"&gt;0")</f>
        <v>0</v>
      </c>
      <c r="AT86" s="432">
        <f>ПП!X74</f>
        <v>0</v>
      </c>
      <c r="AU86" s="378">
        <f>SUMIFS('Отчет РПЗ(ПЗ)_ПЗИП'!$AG:$AG,РПЗ!$R:$R,Справочно!$E17,'Отчет РПЗ(ПЗ)_ПЗИП'!$AQ:$AQ,7,'Отчет РПЗ(ПЗ)_ПЗИП'!$AG:$AG,"&gt;0")</f>
        <v>0</v>
      </c>
      <c r="AV86" s="170">
        <f>ПП!Y74</f>
        <v>0</v>
      </c>
      <c r="AW86" s="148">
        <f>COUNTIFS(РПЗ!$R:$R,Справочно!$E17,'Отчет РПЗ(ПЗ)_ПЗИП'!$AQ:$AQ,8,'Отчет РПЗ(ПЗ)_ПЗИП'!$AG:$AG,"&gt;0")</f>
        <v>0</v>
      </c>
      <c r="AX86" s="432">
        <f>ПП!Z74</f>
        <v>0</v>
      </c>
      <c r="AY86" s="378">
        <f>SUMIFS('Отчет РПЗ(ПЗ)_ПЗИП'!$AG:$AG,РПЗ!$R:$R,Справочно!$E17,'Отчет РПЗ(ПЗ)_ПЗИП'!$AQ:$AQ,8,'Отчет РПЗ(ПЗ)_ПЗИП'!$AG:$AG,"&gt;0")</f>
        <v>0</v>
      </c>
      <c r="AZ86" s="170">
        <f>ПП!AA74</f>
        <v>0</v>
      </c>
      <c r="BA86" s="148">
        <f>COUNTIFS(РПЗ!$R:$R,Справочно!$E17,'Отчет РПЗ(ПЗ)_ПЗИП'!$AQ:$AQ,9,'Отчет РПЗ(ПЗ)_ПЗИП'!$AG:$AG,"&gt;0")</f>
        <v>0</v>
      </c>
      <c r="BB86" s="432">
        <f>ПП!AB74</f>
        <v>0</v>
      </c>
      <c r="BC86" s="379">
        <f>SUMIFS('Отчет РПЗ(ПЗ)_ПЗИП'!$AG:$AG,РПЗ!$R:$R,Справочно!$E17,'Отчет РПЗ(ПЗ)_ПЗИП'!$AQ:$AQ,9,'Отчет РПЗ(ПЗ)_ПЗИП'!$AG:$AG,"&gt;0")</f>
        <v>0</v>
      </c>
      <c r="BD86" s="175">
        <f>ПП!AC74</f>
        <v>0</v>
      </c>
      <c r="BE86" s="184">
        <f>SUM(AS86,AW86,BA86)</f>
        <v>0</v>
      </c>
      <c r="BF86" s="430">
        <f>ПП!AD74</f>
        <v>0</v>
      </c>
      <c r="BG86" s="339">
        <f>SUM(AU86,AY86,BC86)</f>
        <v>0</v>
      </c>
      <c r="BH86" s="285">
        <f>ПП!AE74</f>
        <v>0</v>
      </c>
      <c r="BI86" s="181">
        <f>COUNTIFS(РПЗ!$R:$R,Справочно!$E17,'Отчет РПЗ(ПЗ)_ПЗИП'!$AQ:$AQ,10,'Отчет РПЗ(ПЗ)_ПЗИП'!$AG:$AG,"&gt;0")</f>
        <v>0</v>
      </c>
      <c r="BJ86" s="432">
        <f>ПП!AF74</f>
        <v>0</v>
      </c>
      <c r="BK86" s="380">
        <f>SUMIFS('Отчет РПЗ(ПЗ)_ПЗИП'!$AG:$AG,РПЗ!$R:$R,Справочно!$E17,'Отчет РПЗ(ПЗ)_ПЗИП'!$AQ:$AQ,10,'Отчет РПЗ(ПЗ)_ПЗИП'!$AG:$AG,"&gt;0")</f>
        <v>0</v>
      </c>
      <c r="BL86" s="170">
        <f>ПП!AG74</f>
        <v>0</v>
      </c>
      <c r="BM86" s="181">
        <f>COUNTIFS(РПЗ!$R:$R,Справочно!$E17,'Отчет РПЗ(ПЗ)_ПЗИП'!$AQ:$AQ,11,'Отчет РПЗ(ПЗ)_ПЗИП'!$AG:$AG,"&gt;0")</f>
        <v>0</v>
      </c>
      <c r="BN86" s="432">
        <f>ПП!AH74</f>
        <v>0</v>
      </c>
      <c r="BO86" s="380">
        <f>SUMIFS('Отчет РПЗ(ПЗ)_ПЗИП'!$AG:$AG,РПЗ!$R:$R,Справочно!$E17,'Отчет РПЗ(ПЗ)_ПЗИП'!$AQ:$AQ,11,'Отчет РПЗ(ПЗ)_ПЗИП'!$AG:$AG,"&gt;0")</f>
        <v>0</v>
      </c>
      <c r="BP86" s="170">
        <f>ПП!AI74</f>
        <v>0</v>
      </c>
      <c r="BQ86" s="181">
        <f>COUNTIFS(РПЗ!$R:$R,Справочно!$E17,'Отчет РПЗ(ПЗ)_ПЗИП'!$AQ:$AQ,12,'Отчет РПЗ(ПЗ)_ПЗИП'!$AG:$AG,"&gt;0")</f>
        <v>0</v>
      </c>
      <c r="BR86" s="432">
        <f>ПП!AJ74</f>
        <v>0</v>
      </c>
      <c r="BS86" s="381">
        <f>SUMIFS('Отчет РПЗ(ПЗ)_ПЗИП'!$AG:$AG,РПЗ!$R:$R,Справочно!$E17,'Отчет РПЗ(ПЗ)_ПЗИП'!$AQ:$AQ,12,'Отчет РПЗ(ПЗ)_ПЗИП'!$AG:$AG,"&gt;0")</f>
        <v>0</v>
      </c>
      <c r="BT86" s="175">
        <f>ПП!AK74</f>
        <v>0</v>
      </c>
      <c r="BU86" s="183">
        <f>SUM(BI86,BM86,BQ86)</f>
        <v>0</v>
      </c>
      <c r="BV86" s="430">
        <f>ПП!AL74</f>
        <v>0</v>
      </c>
      <c r="BW86" s="341">
        <f>SUM(BK86,BO86,BS86)</f>
        <v>0</v>
      </c>
    </row>
    <row r="87" spans="2:75" ht="13.5" thickBot="1" x14ac:dyDescent="0.25">
      <c r="B87" s="74" t="s">
        <v>260</v>
      </c>
      <c r="C87" s="321">
        <f>ПП!B75</f>
        <v>0</v>
      </c>
      <c r="D87" s="453" t="e">
        <f>ПП!C75</f>
        <v>#DIV/0!</v>
      </c>
      <c r="E87" s="97">
        <f>SUM(E85:E86)</f>
        <v>0</v>
      </c>
      <c r="F87" s="401" t="e">
        <f>SUM(F85:F86)</f>
        <v>#DIV/0!</v>
      </c>
      <c r="G87" s="454">
        <f>ПП!D75</f>
        <v>0</v>
      </c>
      <c r="H87" s="453" t="e">
        <f>ПП!E75</f>
        <v>#DIV/0!</v>
      </c>
      <c r="I87" s="425">
        <f>SUM(I85:I86)</f>
        <v>0</v>
      </c>
      <c r="J87" s="401" t="e">
        <f>SUM(J85:J86)</f>
        <v>#DIV/0!</v>
      </c>
      <c r="L87" s="157">
        <f>ПП!G75</f>
        <v>0</v>
      </c>
      <c r="M87" s="143">
        <f>SUM(M85:M86)</f>
        <v>0</v>
      </c>
      <c r="N87" s="433">
        <f>ПП!H75</f>
        <v>0</v>
      </c>
      <c r="O87" s="344">
        <f>SUM(O85:O86)</f>
        <v>0</v>
      </c>
      <c r="P87" s="160">
        <f>ПП!I75</f>
        <v>0</v>
      </c>
      <c r="Q87" s="143">
        <f>SUM(Q85:Q86)</f>
        <v>0</v>
      </c>
      <c r="R87" s="433">
        <f>ПП!J75</f>
        <v>0</v>
      </c>
      <c r="S87" s="344">
        <f>SUM(S85:S86)</f>
        <v>0</v>
      </c>
      <c r="T87" s="160">
        <f>ПП!K75</f>
        <v>0</v>
      </c>
      <c r="U87" s="143">
        <f>SUM(U85:U86)</f>
        <v>0</v>
      </c>
      <c r="V87" s="433">
        <f>ПП!L75</f>
        <v>0</v>
      </c>
      <c r="W87" s="345">
        <f>SUM(W85:W86)</f>
        <v>0</v>
      </c>
      <c r="X87" s="175">
        <f>ПП!M75</f>
        <v>0</v>
      </c>
      <c r="Y87" s="179">
        <f>SUM(M87,Q87,U87)</f>
        <v>0</v>
      </c>
      <c r="Z87" s="430">
        <f>ПП!N75</f>
        <v>0</v>
      </c>
      <c r="AA87" s="346">
        <f>SUM(O87,S87,W87)</f>
        <v>0</v>
      </c>
      <c r="AB87" s="286">
        <f>ПП!O75</f>
        <v>0</v>
      </c>
      <c r="AC87" s="143">
        <f>SUM(AC85:AC86)</f>
        <v>0</v>
      </c>
      <c r="AD87" s="433">
        <f>ПП!P75</f>
        <v>0</v>
      </c>
      <c r="AE87" s="344">
        <f>SUM(AE85:AE86)</f>
        <v>0</v>
      </c>
      <c r="AF87" s="160">
        <f>ПП!Q75</f>
        <v>0</v>
      </c>
      <c r="AG87" s="143">
        <f>SUM(AG85:AG86)</f>
        <v>0</v>
      </c>
      <c r="AH87" s="433">
        <f>ПП!R75</f>
        <v>0</v>
      </c>
      <c r="AI87" s="344">
        <f>SUM(AI85:AI86)</f>
        <v>0</v>
      </c>
      <c r="AJ87" s="160">
        <f>ПП!S75</f>
        <v>0</v>
      </c>
      <c r="AK87" s="143">
        <f>SUM(AK85:AK86)</f>
        <v>0</v>
      </c>
      <c r="AL87" s="433">
        <f>ПП!T75</f>
        <v>0</v>
      </c>
      <c r="AM87" s="344">
        <f>SUM(AM85:AM86)</f>
        <v>0</v>
      </c>
      <c r="AN87" s="175">
        <f>ПП!U75</f>
        <v>0</v>
      </c>
      <c r="AO87" s="179">
        <f>SUM(AC87,AG87,AK87)</f>
        <v>0</v>
      </c>
      <c r="AP87" s="430">
        <f>ПП!V75</f>
        <v>0</v>
      </c>
      <c r="AQ87" s="346">
        <f>SUM(AE87,AI87,AM87)</f>
        <v>0</v>
      </c>
      <c r="AR87" s="286">
        <f>ПП!W75</f>
        <v>0</v>
      </c>
      <c r="AS87" s="143">
        <f>SUM(AS85:AS86)</f>
        <v>0</v>
      </c>
      <c r="AT87" s="433">
        <f>ПП!X75</f>
        <v>0</v>
      </c>
      <c r="AU87" s="344">
        <f>SUM(AU85:AU86)</f>
        <v>0</v>
      </c>
      <c r="AV87" s="160">
        <f>ПП!Y75</f>
        <v>0</v>
      </c>
      <c r="AW87" s="143">
        <f>SUM(AW85:AW86)</f>
        <v>0</v>
      </c>
      <c r="AX87" s="433">
        <f>ПП!Z75</f>
        <v>0</v>
      </c>
      <c r="AY87" s="344">
        <f>SUM(AY85:AY86)</f>
        <v>0</v>
      </c>
      <c r="AZ87" s="160">
        <f>ПП!AA75</f>
        <v>0</v>
      </c>
      <c r="BA87" s="143">
        <f>SUM(BA85:BA86)</f>
        <v>0</v>
      </c>
      <c r="BB87" s="433">
        <f>ПП!AB75</f>
        <v>0</v>
      </c>
      <c r="BC87" s="344">
        <f>SUM(BC85:BC86)</f>
        <v>0</v>
      </c>
      <c r="BD87" s="175">
        <f>ПП!AC75</f>
        <v>0</v>
      </c>
      <c r="BE87" s="179">
        <f>SUM(AS87,AW87,BA87)</f>
        <v>0</v>
      </c>
      <c r="BF87" s="430">
        <f>ПП!AD75</f>
        <v>0</v>
      </c>
      <c r="BG87" s="346">
        <f>SUM(AU87,AY87,BC87)</f>
        <v>0</v>
      </c>
      <c r="BH87" s="286">
        <f>ПП!AE75</f>
        <v>0</v>
      </c>
      <c r="BI87" s="143">
        <f>SUM(BI85:BI86)</f>
        <v>0</v>
      </c>
      <c r="BJ87" s="433">
        <f>ПП!AF75</f>
        <v>0</v>
      </c>
      <c r="BK87" s="344">
        <f>SUM(BK85:BK86)</f>
        <v>0</v>
      </c>
      <c r="BL87" s="160">
        <f>ПП!AG75</f>
        <v>0</v>
      </c>
      <c r="BM87" s="143">
        <f>SUM(BM85:BM86)</f>
        <v>0</v>
      </c>
      <c r="BN87" s="433">
        <f>ПП!AH75</f>
        <v>0</v>
      </c>
      <c r="BO87" s="344">
        <f>SUM(BO85:BO86)</f>
        <v>0</v>
      </c>
      <c r="BP87" s="160">
        <f>ПП!AI75</f>
        <v>0</v>
      </c>
      <c r="BQ87" s="143">
        <f>SUM(BQ85:BQ86)</f>
        <v>0</v>
      </c>
      <c r="BR87" s="433">
        <f>ПП!AJ75</f>
        <v>0</v>
      </c>
      <c r="BS87" s="344">
        <f>SUM(BS85:BS86)</f>
        <v>0</v>
      </c>
      <c r="BT87" s="175">
        <f>ПП!AK75</f>
        <v>0</v>
      </c>
      <c r="BU87" s="179">
        <f>SUM(BI87,BM87,BQ87)</f>
        <v>0</v>
      </c>
      <c r="BV87" s="430">
        <f>ПП!AL75</f>
        <v>0</v>
      </c>
      <c r="BW87" s="346">
        <f>SUM(BK87,BO87,BS87)</f>
        <v>0</v>
      </c>
    </row>
    <row r="88" spans="2:75" ht="13.5" thickBot="1" x14ac:dyDescent="0.25"/>
    <row r="89" spans="2:75" ht="13.5" customHeight="1" thickBot="1" x14ac:dyDescent="0.25">
      <c r="B89" s="685" t="s">
        <v>980</v>
      </c>
      <c r="C89" s="720"/>
      <c r="D89" s="686"/>
    </row>
    <row r="90" spans="2:75" ht="15.75" customHeight="1" thickBot="1" x14ac:dyDescent="0.25">
      <c r="B90" s="718" t="s">
        <v>258</v>
      </c>
      <c r="C90" s="309" t="s">
        <v>40</v>
      </c>
      <c r="D90" s="309" t="s">
        <v>981</v>
      </c>
    </row>
    <row r="91" spans="2:75" ht="13.5" thickBot="1" x14ac:dyDescent="0.25">
      <c r="B91" s="719"/>
      <c r="C91" s="310">
        <f>ПП!B79</f>
        <v>0</v>
      </c>
      <c r="D91" s="311">
        <f>COUNTIF('Отчет РПЗ(ПЗ)_ПЗИП'!G:G,Справочно!$C32)</f>
        <v>0</v>
      </c>
    </row>
    <row r="92" spans="2:75" ht="13.5" thickBot="1" x14ac:dyDescent="0.25"/>
    <row r="93" spans="2:75" ht="13.5" thickBot="1" x14ac:dyDescent="0.25">
      <c r="B93" s="61" t="s">
        <v>154</v>
      </c>
      <c r="C93" s="101" t="s">
        <v>115</v>
      </c>
    </row>
    <row r="94" spans="2:75" x14ac:dyDescent="0.2">
      <c r="B94" s="71" t="s">
        <v>47</v>
      </c>
      <c r="C94" s="102">
        <f>COUNTIF('Отчет РПЗ(ПЗ)_ПЗИП'!$E:$E,Справочно!$E3)</f>
        <v>0</v>
      </c>
    </row>
    <row r="95" spans="2:75" ht="13.5" customHeight="1" x14ac:dyDescent="0.2">
      <c r="B95" s="71" t="s">
        <v>46</v>
      </c>
      <c r="C95" s="103">
        <f>COUNTIF('Отчет РПЗ(ПЗ)_ПЗИП'!$E:$E,Справочно!$E4)</f>
        <v>0</v>
      </c>
    </row>
    <row r="96" spans="2:75" x14ac:dyDescent="0.2">
      <c r="B96" s="71" t="s">
        <v>935</v>
      </c>
      <c r="C96" s="103">
        <f>COUNTIF('Отчет РПЗ(ПЗ)_ПЗИП'!$E:$E,Справочно!$E5)</f>
        <v>0</v>
      </c>
    </row>
    <row r="97" spans="2:75" x14ac:dyDescent="0.2">
      <c r="B97" s="71" t="s">
        <v>52</v>
      </c>
      <c r="C97" s="103">
        <f>COUNTIF('Отчет РПЗ(ПЗ)_ПЗИП'!$E:$E,Справочно!$E6)</f>
        <v>0</v>
      </c>
    </row>
    <row r="98" spans="2:75" x14ac:dyDescent="0.2">
      <c r="B98" s="71" t="s">
        <v>62</v>
      </c>
      <c r="C98" s="103">
        <f>COUNTIF('Отчет РПЗ(ПЗ)_ПЗИП'!$E:$E,Справочно!$E7)</f>
        <v>0</v>
      </c>
    </row>
    <row r="99" spans="2:75" x14ac:dyDescent="0.2">
      <c r="B99" s="71" t="s">
        <v>59</v>
      </c>
      <c r="C99" s="103">
        <f>COUNTIF('Отчет РПЗ(ПЗ)_ПЗИП'!$E:$E,Справочно!$E8)</f>
        <v>0</v>
      </c>
    </row>
    <row r="100" spans="2:75" x14ac:dyDescent="0.2">
      <c r="B100" s="71" t="s">
        <v>60</v>
      </c>
      <c r="C100" s="103">
        <f>COUNTIF('Отчет РПЗ(ПЗ)_ПЗИП'!$E:$E,Справочно!$E9)</f>
        <v>0</v>
      </c>
    </row>
    <row r="101" spans="2:75" ht="13.5" thickBot="1" x14ac:dyDescent="0.25">
      <c r="B101" s="72" t="s">
        <v>61</v>
      </c>
      <c r="C101" s="104">
        <f>COUNTIF('Отчет РПЗ(ПЗ)_ПЗИП'!$E:$E,Справочно!$E10)</f>
        <v>0</v>
      </c>
    </row>
    <row r="102" spans="2:75" ht="15.75" customHeight="1" thickBot="1" x14ac:dyDescent="0.25">
      <c r="B102" s="415" t="s">
        <v>979</v>
      </c>
      <c r="C102" s="416">
        <f>SUM(C94:C101)</f>
        <v>0</v>
      </c>
    </row>
    <row r="104" spans="2:75" ht="15.75" thickBot="1" x14ac:dyDescent="0.3">
      <c r="B104" s="683" t="s">
        <v>1282</v>
      </c>
      <c r="C104" s="683"/>
      <c r="D104" s="683"/>
      <c r="E104" s="683"/>
      <c r="F104" s="683"/>
      <c r="G104" s="683"/>
      <c r="H104" s="683"/>
      <c r="I104" s="787"/>
      <c r="J104" s="787"/>
      <c r="L104" s="683" t="s">
        <v>1282</v>
      </c>
      <c r="M104" s="683"/>
      <c r="N104" s="683"/>
      <c r="O104" s="683"/>
      <c r="P104" s="683"/>
      <c r="Q104" s="683"/>
      <c r="R104" s="683"/>
      <c r="S104" s="683"/>
      <c r="T104" s="683"/>
      <c r="U104" s="683"/>
      <c r="V104" s="683"/>
      <c r="W104" s="683"/>
      <c r="X104" s="683"/>
      <c r="Y104" s="683"/>
      <c r="Z104" s="683"/>
      <c r="AA104" s="683"/>
      <c r="AB104" s="683" t="s">
        <v>1282</v>
      </c>
      <c r="AC104" s="683"/>
      <c r="AD104" s="683"/>
      <c r="AE104" s="683"/>
      <c r="AF104" s="683"/>
      <c r="AG104" s="683"/>
      <c r="AH104" s="683"/>
      <c r="AI104" s="683"/>
      <c r="AJ104" s="683"/>
      <c r="AK104" s="683"/>
      <c r="AL104" s="683"/>
      <c r="AM104" s="683"/>
      <c r="AN104" s="683"/>
      <c r="AO104" s="683"/>
      <c r="AP104" s="683"/>
      <c r="AQ104" s="683"/>
      <c r="AR104" s="683" t="s">
        <v>1282</v>
      </c>
      <c r="AS104" s="683"/>
      <c r="AT104" s="683"/>
      <c r="AU104" s="683"/>
      <c r="AV104" s="683"/>
      <c r="AW104" s="683"/>
      <c r="AX104" s="683"/>
      <c r="AY104" s="683"/>
      <c r="AZ104" s="683"/>
      <c r="BA104" s="683"/>
      <c r="BB104" s="683"/>
      <c r="BC104" s="683"/>
      <c r="BD104" s="683"/>
      <c r="BE104" s="683"/>
      <c r="BF104" s="683"/>
      <c r="BG104" s="683"/>
      <c r="BH104" s="683" t="s">
        <v>1282</v>
      </c>
      <c r="BI104" s="683"/>
      <c r="BJ104" s="683"/>
      <c r="BK104" s="683"/>
      <c r="BL104" s="683"/>
      <c r="BM104" s="683"/>
      <c r="BN104" s="683"/>
      <c r="BO104" s="683"/>
      <c r="BP104" s="683"/>
      <c r="BQ104" s="683"/>
      <c r="BR104" s="683"/>
      <c r="BS104" s="683"/>
      <c r="BT104" s="683"/>
      <c r="BU104" s="683"/>
      <c r="BV104" s="683"/>
      <c r="BW104" s="683"/>
    </row>
    <row r="105" spans="2:75" ht="77.25" thickBot="1" x14ac:dyDescent="0.25">
      <c r="B105" s="490" t="s">
        <v>1273</v>
      </c>
      <c r="C105" s="495" t="s">
        <v>290</v>
      </c>
      <c r="D105" s="66" t="s">
        <v>1283</v>
      </c>
      <c r="E105" s="496" t="s">
        <v>289</v>
      </c>
      <c r="F105" s="495" t="s">
        <v>974</v>
      </c>
      <c r="G105" s="66" t="s">
        <v>1284</v>
      </c>
      <c r="H105" s="490" t="s">
        <v>976</v>
      </c>
      <c r="I105" s="766" t="s">
        <v>1285</v>
      </c>
      <c r="J105" s="779"/>
      <c r="L105" s="492" t="s">
        <v>289</v>
      </c>
      <c r="M105" s="493" t="s">
        <v>225</v>
      </c>
      <c r="N105" s="766" t="s">
        <v>1285</v>
      </c>
      <c r="O105" s="779"/>
      <c r="P105" s="493" t="s">
        <v>289</v>
      </c>
      <c r="Q105" s="493" t="s">
        <v>225</v>
      </c>
      <c r="R105" s="766" t="s">
        <v>1285</v>
      </c>
      <c r="S105" s="779"/>
      <c r="T105" s="493" t="s">
        <v>289</v>
      </c>
      <c r="U105" s="493" t="s">
        <v>225</v>
      </c>
      <c r="V105" s="766" t="s">
        <v>1285</v>
      </c>
      <c r="W105" s="779"/>
      <c r="X105" s="494" t="s">
        <v>289</v>
      </c>
      <c r="Y105" s="494" t="s">
        <v>225</v>
      </c>
      <c r="Z105" s="766" t="s">
        <v>1285</v>
      </c>
      <c r="AA105" s="779"/>
      <c r="AB105" s="492" t="s">
        <v>289</v>
      </c>
      <c r="AC105" s="493" t="s">
        <v>225</v>
      </c>
      <c r="AD105" s="766" t="s">
        <v>1285</v>
      </c>
      <c r="AE105" s="779"/>
      <c r="AF105" s="493" t="s">
        <v>289</v>
      </c>
      <c r="AG105" s="493" t="s">
        <v>225</v>
      </c>
      <c r="AH105" s="766" t="s">
        <v>1285</v>
      </c>
      <c r="AI105" s="779"/>
      <c r="AJ105" s="493" t="s">
        <v>289</v>
      </c>
      <c r="AK105" s="493" t="s">
        <v>225</v>
      </c>
      <c r="AL105" s="766" t="s">
        <v>1285</v>
      </c>
      <c r="AM105" s="779"/>
      <c r="AN105" s="494" t="s">
        <v>289</v>
      </c>
      <c r="AO105" s="494" t="s">
        <v>225</v>
      </c>
      <c r="AP105" s="766" t="s">
        <v>1285</v>
      </c>
      <c r="AQ105" s="779"/>
      <c r="AR105" s="492" t="s">
        <v>289</v>
      </c>
      <c r="AS105" s="493" t="s">
        <v>225</v>
      </c>
      <c r="AT105" s="766" t="s">
        <v>1285</v>
      </c>
      <c r="AU105" s="779"/>
      <c r="AV105" s="493" t="s">
        <v>289</v>
      </c>
      <c r="AW105" s="493" t="s">
        <v>225</v>
      </c>
      <c r="AX105" s="766" t="s">
        <v>1285</v>
      </c>
      <c r="AY105" s="779"/>
      <c r="AZ105" s="493" t="s">
        <v>289</v>
      </c>
      <c r="BA105" s="493" t="s">
        <v>225</v>
      </c>
      <c r="BB105" s="766" t="s">
        <v>1285</v>
      </c>
      <c r="BC105" s="779"/>
      <c r="BD105" s="494" t="s">
        <v>289</v>
      </c>
      <c r="BE105" s="494" t="s">
        <v>225</v>
      </c>
      <c r="BF105" s="766" t="s">
        <v>1285</v>
      </c>
      <c r="BG105" s="779"/>
      <c r="BH105" s="492" t="s">
        <v>289</v>
      </c>
      <c r="BI105" s="493" t="s">
        <v>225</v>
      </c>
      <c r="BJ105" s="766" t="s">
        <v>1285</v>
      </c>
      <c r="BK105" s="779"/>
      <c r="BL105" s="493" t="s">
        <v>289</v>
      </c>
      <c r="BM105" s="493" t="s">
        <v>225</v>
      </c>
      <c r="BN105" s="722" t="s">
        <v>261</v>
      </c>
      <c r="BO105" s="722"/>
      <c r="BP105" s="493" t="s">
        <v>289</v>
      </c>
      <c r="BQ105" s="493" t="s">
        <v>225</v>
      </c>
      <c r="BR105" s="766" t="s">
        <v>1285</v>
      </c>
      <c r="BS105" s="779"/>
      <c r="BT105" s="494" t="s">
        <v>289</v>
      </c>
      <c r="BU105" s="494" t="s">
        <v>225</v>
      </c>
      <c r="BV105" s="766" t="s">
        <v>1285</v>
      </c>
      <c r="BW105" s="779"/>
    </row>
    <row r="106" spans="2:75" ht="13.5" thickBot="1" x14ac:dyDescent="0.25">
      <c r="B106" s="491"/>
      <c r="C106" s="768" t="s">
        <v>40</v>
      </c>
      <c r="D106" s="768"/>
      <c r="E106" s="307"/>
      <c r="F106" s="766" t="s">
        <v>247</v>
      </c>
      <c r="G106" s="779"/>
      <c r="H106" s="308"/>
      <c r="I106" s="488" t="s">
        <v>222</v>
      </c>
      <c r="J106" s="496" t="s">
        <v>116</v>
      </c>
      <c r="L106" s="499" t="s">
        <v>40</v>
      </c>
      <c r="M106" s="489" t="s">
        <v>247</v>
      </c>
      <c r="N106" s="489" t="s">
        <v>222</v>
      </c>
      <c r="O106" s="489" t="s">
        <v>116</v>
      </c>
      <c r="P106" s="489" t="s">
        <v>40</v>
      </c>
      <c r="Q106" s="489" t="s">
        <v>247</v>
      </c>
      <c r="R106" s="489" t="s">
        <v>222</v>
      </c>
      <c r="S106" s="489" t="s">
        <v>116</v>
      </c>
      <c r="T106" s="489" t="s">
        <v>40</v>
      </c>
      <c r="U106" s="489" t="s">
        <v>247</v>
      </c>
      <c r="V106" s="489" t="s">
        <v>222</v>
      </c>
      <c r="W106" s="498" t="s">
        <v>116</v>
      </c>
      <c r="X106" s="494" t="s">
        <v>40</v>
      </c>
      <c r="Y106" s="494" t="s">
        <v>247</v>
      </c>
      <c r="Z106" s="494" t="s">
        <v>222</v>
      </c>
      <c r="AA106" s="494" t="s">
        <v>116</v>
      </c>
      <c r="AB106" s="499" t="s">
        <v>40</v>
      </c>
      <c r="AC106" s="489" t="s">
        <v>247</v>
      </c>
      <c r="AD106" s="489" t="s">
        <v>222</v>
      </c>
      <c r="AE106" s="489" t="s">
        <v>116</v>
      </c>
      <c r="AF106" s="489" t="s">
        <v>40</v>
      </c>
      <c r="AG106" s="489" t="s">
        <v>247</v>
      </c>
      <c r="AH106" s="489" t="s">
        <v>222</v>
      </c>
      <c r="AI106" s="489" t="s">
        <v>116</v>
      </c>
      <c r="AJ106" s="489" t="s">
        <v>40</v>
      </c>
      <c r="AK106" s="489" t="s">
        <v>247</v>
      </c>
      <c r="AL106" s="489" t="s">
        <v>222</v>
      </c>
      <c r="AM106" s="498" t="s">
        <v>116</v>
      </c>
      <c r="AN106" s="494" t="s">
        <v>40</v>
      </c>
      <c r="AO106" s="494" t="s">
        <v>247</v>
      </c>
      <c r="AP106" s="494" t="s">
        <v>222</v>
      </c>
      <c r="AQ106" s="494" t="s">
        <v>116</v>
      </c>
      <c r="AR106" s="499" t="s">
        <v>40</v>
      </c>
      <c r="AS106" s="489" t="s">
        <v>247</v>
      </c>
      <c r="AT106" s="489" t="s">
        <v>222</v>
      </c>
      <c r="AU106" s="489" t="s">
        <v>116</v>
      </c>
      <c r="AV106" s="489" t="s">
        <v>40</v>
      </c>
      <c r="AW106" s="489" t="s">
        <v>247</v>
      </c>
      <c r="AX106" s="489" t="s">
        <v>222</v>
      </c>
      <c r="AY106" s="489" t="s">
        <v>116</v>
      </c>
      <c r="AZ106" s="489" t="s">
        <v>40</v>
      </c>
      <c r="BA106" s="489" t="s">
        <v>247</v>
      </c>
      <c r="BB106" s="489" t="s">
        <v>222</v>
      </c>
      <c r="BC106" s="498" t="s">
        <v>116</v>
      </c>
      <c r="BD106" s="494" t="s">
        <v>40</v>
      </c>
      <c r="BE106" s="494" t="s">
        <v>247</v>
      </c>
      <c r="BF106" s="494" t="s">
        <v>222</v>
      </c>
      <c r="BG106" s="494" t="s">
        <v>116</v>
      </c>
      <c r="BH106" s="499" t="s">
        <v>40</v>
      </c>
      <c r="BI106" s="489" t="s">
        <v>247</v>
      </c>
      <c r="BJ106" s="489" t="s">
        <v>222</v>
      </c>
      <c r="BK106" s="489" t="s">
        <v>116</v>
      </c>
      <c r="BL106" s="489" t="s">
        <v>40</v>
      </c>
      <c r="BM106" s="489" t="s">
        <v>247</v>
      </c>
      <c r="BN106" s="489" t="s">
        <v>222</v>
      </c>
      <c r="BO106" s="489" t="s">
        <v>116</v>
      </c>
      <c r="BP106" s="489" t="s">
        <v>40</v>
      </c>
      <c r="BQ106" s="489" t="s">
        <v>247</v>
      </c>
      <c r="BR106" s="489" t="s">
        <v>222</v>
      </c>
      <c r="BS106" s="498" t="s">
        <v>116</v>
      </c>
      <c r="BT106" s="494" t="s">
        <v>40</v>
      </c>
      <c r="BU106" s="494" t="s">
        <v>247</v>
      </c>
      <c r="BV106" s="494" t="s">
        <v>222</v>
      </c>
      <c r="BW106" s="494" t="s">
        <v>116</v>
      </c>
    </row>
    <row r="107" spans="2:75" ht="13.5" thickBot="1" x14ac:dyDescent="0.25">
      <c r="B107" s="93" t="s">
        <v>1279</v>
      </c>
      <c r="C107" s="96">
        <f>ПП!B84</f>
        <v>0</v>
      </c>
      <c r="D107" s="418" t="e">
        <f>ПП!C84</f>
        <v>#DIV/0!</v>
      </c>
      <c r="E107" s="443">
        <f>ПП!D84</f>
        <v>0</v>
      </c>
      <c r="F107" s="302">
        <f>COUNTIFS('Отчет РПЗ(ПЗ)_ПЗИП'!$AG:$AG,"&gt;0",'Отчет РПЗ(ПЗ)_ПЗИП'!$AO:$AO,Справочно!$E16,'Отчет РПЗ(ПЗ)_ПЗИП'!$G:$G,"&lt;&gt;ЕП",'Отчет РПЗ(ПЗ)_ПЗИП'!$W:$W,"&lt;50000000")</f>
        <v>0</v>
      </c>
      <c r="G107" s="444" t="e">
        <f>F107/$E$48</f>
        <v>#DIV/0!</v>
      </c>
      <c r="H107" s="445">
        <f>SUMIFS('Отчет РПЗ(ПЗ)_ПЗИП'!$AG:$AG,'Отчет РПЗ(ПЗ)_ПЗИП'!$AO:$AO,Справочно!$E16,'Отчет РПЗ(ПЗ)_ПЗИП'!$G:$G,"&lt;&gt;ЕП",'Отчет РПЗ(ПЗ)_ПЗИП'!$W:$W,"&lt;50000000")</f>
        <v>0</v>
      </c>
      <c r="I107" s="520">
        <f>(IF($D$3=1,Z107,0)+IF($D$3=2,Z107+AP107,0)+IF($D$3=3,Z107+AP107+BF107,0)+IF($D$3=4,Z107+AP107+BF107+BV107,0))</f>
        <v>0</v>
      </c>
      <c r="J107" s="521" t="e">
        <f>I107/(X107+AN107+BD107+BT107)</f>
        <v>#DIV/0!</v>
      </c>
      <c r="L107" s="420">
        <f>SUMIFS('Отчет РПЗ(ПЗ)_ПЗИП'!$W:$W,'Отчет РПЗ(ПЗ)_ПЗИП'!$AO:$AO,Справочно!$E16,'Отчет РПЗ(ПЗ)_ПЗИП'!$N:$N,"&gt;=01.01.2017",'Отчет РПЗ(ПЗ)_ПЗИП'!$N:$N,"&lt;=31.01.2017",'Отчет РПЗ(ПЗ)_ПЗИП'!$AG:$AG,"&gt;0",'Отчет РПЗ(ПЗ)_ПЗИП'!$G:$G,"&lt;&gt;ЕП",'Отчет РПЗ(ПЗ)_ПЗИП'!$W:$W,"&lt;50000000")</f>
        <v>0</v>
      </c>
      <c r="M107" s="334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РПЗ(ПЗ)_ПЗИП'!$AQ:$AQ,1)</f>
        <v>0</v>
      </c>
      <c r="N107" s="334" t="str">
        <f>IF(M107=0,"НД",L107-M107)</f>
        <v>НД</v>
      </c>
      <c r="O107" s="545" t="str">
        <f>IF(M107=0, "НД", IF((N107="НД"),"НД",N107/L107))</f>
        <v>НД</v>
      </c>
      <c r="P107" s="435">
        <f>SUMIFS('Отчет РПЗ(ПЗ)_ПЗИП'!$W:$W,'Отчет РПЗ(ПЗ)_ПЗИП'!$AO:$AO,Справочно!$E16,'Отчет РПЗ(ПЗ)_ПЗИП'!$N:$N,"&gt;=01.02.2017",'Отчет РПЗ(ПЗ)_ПЗИП'!$N:$N,"&lt;=28.02.2017",'Отчет РПЗ(ПЗ)_ПЗИП'!$AG:$AG,"&gt;0",'Отчет РПЗ(ПЗ)_ПЗИП'!$G:$G,"&lt;&gt;ЕП",'Отчет РПЗ(ПЗ)_ПЗИП'!$W:$W,"&lt;50000000")</f>
        <v>0</v>
      </c>
      <c r="Q107" s="334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РПЗ(ПЗ)_ПЗИП'!$AQ:$AQ,2)</f>
        <v>0</v>
      </c>
      <c r="R107" s="334" t="str">
        <f>IF(Q107=0,"НД",P107-Q107)</f>
        <v>НД</v>
      </c>
      <c r="S107" s="545" t="str">
        <f>IF(Q107=0, "НД", IF((R107="НД"),"НД",R107/P107))</f>
        <v>НД</v>
      </c>
      <c r="T107" s="435">
        <f>SUMIFS('Отчет РПЗ(ПЗ)_ПЗИП'!$W:$W,'Отчет РПЗ(ПЗ)_ПЗИП'!$AO:$AO,Справочно!$E16,'Отчет РПЗ(ПЗ)_ПЗИП'!$N:$N,"&gt;=01.03.2017",'Отчет РПЗ(ПЗ)_ПЗИП'!$N:$N,"&lt;=31.03.2017",'Отчет РПЗ(ПЗ)_ПЗИП'!$AG:$AG,"&gt;0",'Отчет РПЗ(ПЗ)_ПЗИП'!$G:$G,"&lt;&gt;ЕП",'Отчет РПЗ(ПЗ)_ПЗИП'!$W:$W,"&lt;50000000")</f>
        <v>0</v>
      </c>
      <c r="U107" s="334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РПЗ(ПЗ)_ПЗИП'!$AQ:$AQ,3)</f>
        <v>0</v>
      </c>
      <c r="V107" s="334" t="str">
        <f>IF(U107=0,"НД",T107-U107)</f>
        <v>НД</v>
      </c>
      <c r="W107" s="545" t="str">
        <f t="shared" ref="W107:W110" si="70">IF(U107=0, "НД", IF((V107="НД"),"НД",V107/T107))</f>
        <v>НД</v>
      </c>
      <c r="X107" s="546">
        <f>SUM(L107,P107,T107)</f>
        <v>0</v>
      </c>
      <c r="Y107" s="547">
        <f>SUM(M107,Q107,U107)</f>
        <v>0</v>
      </c>
      <c r="Z107" s="547">
        <f t="shared" ref="Z107:Z110" si="71">IF(Y107=0,0,X107-Y107)</f>
        <v>0</v>
      </c>
      <c r="AA107" s="548">
        <f t="shared" ref="AA107:AA110" si="72">IF(Y107=0, 0, IF((Z107="НД"),"НД",Z107/X107))</f>
        <v>0</v>
      </c>
      <c r="AB107" s="435">
        <f>SUMIFS('Отчет РПЗ(ПЗ)_ПЗИП'!$W:$W,'Отчет РПЗ(ПЗ)_ПЗИП'!$AO:$AO,Справочно!$E16,'Отчет РПЗ(ПЗ)_ПЗИП'!$N:$N,"&gt;=01.04.2017",'Отчет РПЗ(ПЗ)_ПЗИП'!$N:$N,"&lt;=30.04.2017",'Отчет РПЗ(ПЗ)_ПЗИП'!$AG:$AG,"&gt;0",'Отчет РПЗ(ПЗ)_ПЗИП'!$G:$G,"&lt;&gt;ЕП",'Отчет РПЗ(ПЗ)_ПЗИП'!$W:$W,"&lt;50000000")</f>
        <v>0</v>
      </c>
      <c r="AC107" s="336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РПЗ(ПЗ)_ПЗИП'!$AQ:$AQ,4)</f>
        <v>0</v>
      </c>
      <c r="AD107" s="336" t="str">
        <f>IF(AC107=0,"НД",AB107-AC107)</f>
        <v>НД</v>
      </c>
      <c r="AE107" s="549" t="str">
        <f t="shared" ref="AE107:AE110" si="73">IF(AC107=0, "НД", IF((AD107="НД"),"НД",AD107/AB107))</f>
        <v>НД</v>
      </c>
      <c r="AF107" s="435">
        <f>SUMIFS('Отчет РПЗ(ПЗ)_ПЗИП'!$W:$W,'Отчет РПЗ(ПЗ)_ПЗИП'!$AO:$AO,Справочно!$E16,'Отчет РПЗ(ПЗ)_ПЗИП'!$N:$N,"&gt;=01.05.2017",'Отчет РПЗ(ПЗ)_ПЗИП'!$N:$N,"&lt;=31.05.2017",'Отчет РПЗ(ПЗ)_ПЗИП'!$AG:$AG,"&gt;0",'Отчет РПЗ(ПЗ)_ПЗИП'!$G:$G,"&lt;&gt;ЕП",'Отчет РПЗ(ПЗ)_ПЗИП'!$W:$W,"&lt;50000000")</f>
        <v>0</v>
      </c>
      <c r="AG107" s="336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РПЗ(ПЗ)_ПЗИП'!$AQ:$AQ,5)</f>
        <v>0</v>
      </c>
      <c r="AH107" s="336" t="str">
        <f>IF(AG107=0,"НД",AF107-AG107)</f>
        <v>НД</v>
      </c>
      <c r="AI107" s="549" t="str">
        <f t="shared" ref="AI107:AI110" si="74">IF(AG107=0, "НД", IF((AH107="НД"),"НД",AH107/AF107))</f>
        <v>НД</v>
      </c>
      <c r="AJ107" s="435">
        <f>SUMIFS('Отчет РПЗ(ПЗ)_ПЗИП'!$W:$W,'Отчет РПЗ(ПЗ)_ПЗИП'!$AO:$AO,Справочно!$E16,'Отчет РПЗ(ПЗ)_ПЗИП'!$N:$N,"&gt;=01.06.2017",'Отчет РПЗ(ПЗ)_ПЗИП'!$N:$N,"&lt;=30.06.2017",'Отчет РПЗ(ПЗ)_ПЗИП'!$AG:$AG,"&gt;0",'Отчет РПЗ(ПЗ)_ПЗИП'!$G:$G,"&lt;&gt;ЕП",'Отчет РПЗ(ПЗ)_ПЗИП'!$W:$W,"&lt;50000000")</f>
        <v>0</v>
      </c>
      <c r="AK107" s="336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РПЗ(ПЗ)_ПЗИП'!$AQ:$AQ,6)</f>
        <v>0</v>
      </c>
      <c r="AL107" s="336" t="str">
        <f>IF(AK107=0,"НД",AJ107-AK107)</f>
        <v>НД</v>
      </c>
      <c r="AM107" s="549" t="str">
        <f t="shared" ref="AM107:AM110" si="75">IF(AK107=0, "НД", IF((AL107="НД"),"НД",AL107/AJ107))</f>
        <v>НД</v>
      </c>
      <c r="AN107" s="546">
        <f>SUM(AB107,AF107,AJ107)</f>
        <v>0</v>
      </c>
      <c r="AO107" s="550">
        <f>SUM(AC107,AG107,AK107)</f>
        <v>0</v>
      </c>
      <c r="AP107" s="550">
        <f t="shared" ref="AP107:AP110" si="76">IF(AO107=0,0,AN107-AO107)</f>
        <v>0</v>
      </c>
      <c r="AQ107" s="551">
        <f t="shared" ref="AQ107:AQ110" si="77">IF(AO107=0, 0, IF((AP107="НД"),"НД",AP107/AN107))</f>
        <v>0</v>
      </c>
      <c r="AR107" s="435">
        <f>SUMIFS('Отчет РПЗ(ПЗ)_ПЗИП'!$W:$W,'Отчет РПЗ(ПЗ)_ПЗИП'!$AO:$AO,Справочно!$E16,'Отчет РПЗ(ПЗ)_ПЗИП'!$N:$N,"&gt;=01.07.2017",'Отчет РПЗ(ПЗ)_ПЗИП'!$N:$N,"&lt;=31.07.2017",'Отчет РПЗ(ПЗ)_ПЗИП'!$AG:$AG,"&gt;0",'Отчет РПЗ(ПЗ)_ПЗИП'!$G:$G,"&lt;&gt;ЕП",'Отчет РПЗ(ПЗ)_ПЗИП'!$W:$W,"&lt;50000000")</f>
        <v>0</v>
      </c>
      <c r="AS107" s="338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РПЗ(ПЗ)_ПЗИП'!$AQ:$AQ,7)</f>
        <v>0</v>
      </c>
      <c r="AT107" s="338" t="str">
        <f>IF(AS107=0,"НД",AR107-AS107)</f>
        <v>НД</v>
      </c>
      <c r="AU107" s="254" t="str">
        <f t="shared" ref="AU107:AU110" si="78">IF(AS107=0, "НД", IF((AT107="НД"),"НД",AT107/AR107))</f>
        <v>НД</v>
      </c>
      <c r="AV107" s="435">
        <f>SUMIFS('Отчет РПЗ(ПЗ)_ПЗИП'!$W:$W,'Отчет РПЗ(ПЗ)_ПЗИП'!$AO:$AO,Справочно!$E16,'Отчет РПЗ(ПЗ)_ПЗИП'!$N:$N,"&gt;=01.08.2017",'Отчет РПЗ(ПЗ)_ПЗИП'!$N:$N,"&lt;=31.08.2017",'Отчет РПЗ(ПЗ)_ПЗИП'!$AG:$AG,"&gt;0",'Отчет РПЗ(ПЗ)_ПЗИП'!$G:$G,"&lt;&gt;ЕП",'Отчет РПЗ(ПЗ)_ПЗИП'!$W:$W,"&lt;50000000")</f>
        <v>0</v>
      </c>
      <c r="AW107" s="338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РПЗ(ПЗ)_ПЗИП'!$AQ:$AQ,8)</f>
        <v>0</v>
      </c>
      <c r="AX107" s="338" t="str">
        <f>IF(AW107=0,"НД",AV107-AW107)</f>
        <v>НД</v>
      </c>
      <c r="AY107" s="256" t="str">
        <f t="shared" ref="AY107:AY110" si="79">IF(AW107=0, "НД", IF((AX107="НД"),"НД",AX107/AV107))</f>
        <v>НД</v>
      </c>
      <c r="AZ107" s="435">
        <f>SUMIFS('Отчет РПЗ(ПЗ)_ПЗИП'!$W:$W,'Отчет РПЗ(ПЗ)_ПЗИП'!$AO:$AO,Справочно!$E16,'Отчет РПЗ(ПЗ)_ПЗИП'!$N:$N,"&gt;=01.09.2017",'Отчет РПЗ(ПЗ)_ПЗИП'!$N:$N,"&lt;=30.09.2017",'Отчет РПЗ(ПЗ)_ПЗИП'!$AG:$AG,"&gt;0",'Отчет РПЗ(ПЗ)_ПЗИП'!$G:$G,"&lt;&gt;ЕП",'Отчет РПЗ(ПЗ)_ПЗИП'!$W:$W,"&lt;50000000")</f>
        <v>0</v>
      </c>
      <c r="BA107" s="338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РПЗ(ПЗ)_ПЗИП'!$AQ:$AQ,9)</f>
        <v>0</v>
      </c>
      <c r="BB107" s="338" t="str">
        <f>IF(BA107=0,"НД",AZ107-BA107)</f>
        <v>НД</v>
      </c>
      <c r="BC107" s="256" t="str">
        <f t="shared" ref="BC107:BC110" si="80">IF(BA107=0, "НД", IF((BB107="НД"),"НД",BB107/AZ107))</f>
        <v>НД</v>
      </c>
      <c r="BD107" s="546">
        <f>SUM(AR107,AV107,AZ107)</f>
        <v>0</v>
      </c>
      <c r="BE107" s="552">
        <f>SUM(AS107,AW107,BA107)</f>
        <v>0</v>
      </c>
      <c r="BF107" s="552">
        <f t="shared" ref="BF107:BF110" si="81">IF(BE107=0,0,BD107-BE107)</f>
        <v>0</v>
      </c>
      <c r="BG107" s="553">
        <f t="shared" ref="BG107:BG110" si="82">IF(BE107=0, 0, IF((BF107="НД"),"НД",BF107/BD107))</f>
        <v>0</v>
      </c>
      <c r="BH107" s="435">
        <f>SUMIFS('Отчет РПЗ(ПЗ)_ПЗИП'!$W:$W,'Отчет РПЗ(ПЗ)_ПЗИП'!$AO:$AO,Справочно!$E16,'Отчет РПЗ(ПЗ)_ПЗИП'!$N:$N,"&gt;=01.10.2017",'Отчет РПЗ(ПЗ)_ПЗИП'!$N:$N,"&lt;=30.10.2017",'Отчет РПЗ(ПЗ)_ПЗИП'!$AG:$AG,"&gt;0",'Отчет РПЗ(ПЗ)_ПЗИП'!$G:$G,"&lt;&gt;ЕП",'Отчет РПЗ(ПЗ)_ПЗИП'!$W:$W,"&lt;50000000")</f>
        <v>0</v>
      </c>
      <c r="BI107" s="340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РПЗ(ПЗ)_ПЗИП'!$AQ:$AQ,10)</f>
        <v>0</v>
      </c>
      <c r="BJ107" s="340" t="str">
        <f>IF(BI107=0,"НД",BH107-BI107)</f>
        <v>НД</v>
      </c>
      <c r="BK107" s="258" t="str">
        <f t="shared" ref="BK107:BK110" si="83">IF(BI107=0, "НД", IF((BJ107="НД"),"НД",BJ107/BH107))</f>
        <v>НД</v>
      </c>
      <c r="BL107" s="435">
        <f>SUMIFS('Отчет РПЗ(ПЗ)_ПЗИП'!$W:$W,'Отчет РПЗ(ПЗ)_ПЗИП'!$AO:$AO,Справочно!$E16,'Отчет РПЗ(ПЗ)_ПЗИП'!$N:$N,"&gt;=01.11.2017",'Отчет РПЗ(ПЗ)_ПЗИП'!$N:$N,"&lt;=30.11.2017",'Отчет РПЗ(ПЗ)_ПЗИП'!$AG:$AG,"&gt;0",'Отчет РПЗ(ПЗ)_ПЗИП'!$G:$G,"&lt;&gt;ЕП",'Отчет РПЗ(ПЗ)_ПЗИП'!$W:$W,"&lt;50000000")</f>
        <v>0</v>
      </c>
      <c r="BM107" s="340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РПЗ(ПЗ)_ПЗИП'!$AQ:$AQ,11)</f>
        <v>0</v>
      </c>
      <c r="BN107" s="340" t="str">
        <f>IF(BM107=0,"НД",BL107-BM107)</f>
        <v>НД</v>
      </c>
      <c r="BO107" s="258" t="str">
        <f t="shared" ref="BO107:BO110" si="84">IF(BM107=0, "НД", IF((BN107="НД"),"НД",BN107/BL107))</f>
        <v>НД</v>
      </c>
      <c r="BP107" s="435">
        <f>SUMIFS('Отчет РПЗ(ПЗ)_ПЗИП'!$W:$W,'Отчет РПЗ(ПЗ)_ПЗИП'!$AO:$AO,Справочно!$E16,'Отчет РПЗ(ПЗ)_ПЗИП'!$N:$N,"&gt;=01.12.2017",'Отчет РПЗ(ПЗ)_ПЗИП'!$N:$N,"&lt;=31.12.2017",'Отчет РПЗ(ПЗ)_ПЗИП'!$AG:$AG,"&gt;0",'Отчет РПЗ(ПЗ)_ПЗИП'!$G:$G,"&lt;&gt;ЕП",'Отчет РПЗ(ПЗ)_ПЗИП'!$W:$W,"&lt;50000000")</f>
        <v>0</v>
      </c>
      <c r="BQ107" s="340">
        <f>SUMIFS('Отчет РПЗ(ПЗ)_ПЗИП'!$AG:$AG,'Отчет РПЗ(ПЗ)_ПЗИП'!$AO:$AO,Справочно!$E16,'Отчет РПЗ(ПЗ)_ПЗИП'!$G:$G,"&lt;&gt;ЕП",'Отчет РПЗ(ПЗ)_ПЗИП'!$W:$W,"&lt;50000000",'Отчет РПЗ(ПЗ)_ПЗИП'!$AQ:$AQ,12)</f>
        <v>0</v>
      </c>
      <c r="BR107" s="340" t="str">
        <f>IF(BQ107=0,"НД",BP107-BQ107)</f>
        <v>НД</v>
      </c>
      <c r="BS107" s="260" t="str">
        <f t="shared" ref="BS107:BS110" si="85">IF(BQ107=0, "НД", IF((BR107="НД"),"НД",BR107/BP107))</f>
        <v>НД</v>
      </c>
      <c r="BT107" s="546">
        <f>SUM(BH107,BL107,BP107)</f>
        <v>0</v>
      </c>
      <c r="BU107" s="554">
        <f>SUM(BI107,BM107,BQ107)</f>
        <v>0</v>
      </c>
      <c r="BV107" s="554">
        <f t="shared" ref="BV107:BV110" si="86">IF(BU107=0,0,BT107-BU107)</f>
        <v>0</v>
      </c>
      <c r="BW107" s="555">
        <f t="shared" ref="BW107:BW110" si="87">IF(BU107=0, 0, IF((BV107="НД"),"НД",BV107/BT107))</f>
        <v>0</v>
      </c>
    </row>
    <row r="108" spans="2:75" ht="13.5" thickBot="1" x14ac:dyDescent="0.25">
      <c r="B108" s="500" t="s">
        <v>1274</v>
      </c>
      <c r="C108" s="96">
        <f>ПП!B85</f>
        <v>0</v>
      </c>
      <c r="D108" s="418" t="e">
        <f>ПП!C85</f>
        <v>#DIV/0!</v>
      </c>
      <c r="E108" s="443">
        <f>ПП!D85</f>
        <v>0</v>
      </c>
      <c r="F108" s="302">
        <f>COUNTIFS('Отчет РПЗ(ПЗ)_ПЗИП'!$AG:$AG,"&gt;0",'Отчет РПЗ(ПЗ)_ПЗИП'!$AO:$AO,Справочно!$E16,'Отчет РПЗ(ПЗ)_ПЗИП'!$G:$G,"&lt;&gt;ЕП",'Отчет РПЗ(ПЗ)_ПЗИП'!$W:$W,"&gt;=50000000")</f>
        <v>0</v>
      </c>
      <c r="G108" s="444" t="e">
        <f>F108/$E$48</f>
        <v>#DIV/0!</v>
      </c>
      <c r="H108" s="445">
        <f>SUMIFS('Отчет РПЗ(ПЗ)_ПЗИП'!$AG:$AG,'Отчет РПЗ(ПЗ)_ПЗИП'!$AO:$AO,Справочно!$E16,'Отчет РПЗ(ПЗ)_ПЗИП'!$G:$G,"&lt;&gt;ЕП",'Отчет РПЗ(ПЗ)_ПЗИП'!$W:$W,"&gt;=50000000")</f>
        <v>0</v>
      </c>
      <c r="I108" s="519">
        <f>(IF($D$3=1,Z108,0)+IF($D$3=2,Z108+AP108,0)+IF($D$3=3,Z108+AP108+BF108,0)+IF($D$3=4,Z108+AP108+BF108+BV108,0))</f>
        <v>0</v>
      </c>
      <c r="J108" s="521" t="e">
        <f>I108/(X108+AN108+BD108+BT108)</f>
        <v>#DIV/0!</v>
      </c>
      <c r="L108" s="559">
        <f>SUMIFS('Отчет РПЗ(ПЗ)_ПЗИП'!$W:$W,'Отчет РПЗ(ПЗ)_ПЗИП'!$AO:$AO,Справочно!$E16,'Отчет РПЗ(ПЗ)_ПЗИП'!$N:$N,"&gt;=01.01.2017",'Отчет РПЗ(ПЗ)_ПЗИП'!$N:$N,"&lt;=31.01.2017",'Отчет РПЗ(ПЗ)_ПЗИП'!$AG:$AG,"&gt;0",'Отчет РПЗ(ПЗ)_ПЗИП'!$G:$G,"&lt;&gt;ЕП",'Отчет РПЗ(ПЗ)_ПЗИП'!$W:$W,"&gt;=50000000")</f>
        <v>0</v>
      </c>
      <c r="M108" s="527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РПЗ(ПЗ)_ПЗИП'!$AQ:$AQ,1)</f>
        <v>0</v>
      </c>
      <c r="N108" s="343" t="str">
        <f t="shared" ref="N108:N110" si="88">IF(M108=0,"НД",L108-M108)</f>
        <v>НД</v>
      </c>
      <c r="O108" s="528" t="str">
        <f t="shared" ref="O108:O110" si="89">IF(M108=0, "НД", IF((N108="НД"),"НД",N108/L108))</f>
        <v>НД</v>
      </c>
      <c r="P108" s="437">
        <f>SUMIFS('Отчет РПЗ(ПЗ)_ПЗИП'!$W:$W,'Отчет РПЗ(ПЗ)_ПЗИП'!$AO:$AO,Справочно!$E16,'Отчет РПЗ(ПЗ)_ПЗИП'!$N:$N,"&gt;=01.02.2017",'Отчет РПЗ(ПЗ)_ПЗИП'!$N:$N,"&lt;=28.02.2017",'Отчет РПЗ(ПЗ)_ПЗИП'!$AG:$AG,"&gt;0",'Отчет РПЗ(ПЗ)_ПЗИП'!$G:$G,"&lt;&gt;ЕП",'Отчет РПЗ(ПЗ)_ПЗИП'!$W:$W,"&gt;=50000000")</f>
        <v>0</v>
      </c>
      <c r="Q108" s="527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РПЗ(ПЗ)_ПЗИП'!$AQ:$AQ,2)</f>
        <v>0</v>
      </c>
      <c r="R108" s="343" t="str">
        <f t="shared" ref="R108:R110" si="90">IF(Q108=0,"НД",P108-Q108)</f>
        <v>НД</v>
      </c>
      <c r="S108" s="528" t="str">
        <f t="shared" ref="S108:S110" si="91">IF(Q108=0, "НД", IF((R108="НД"),"НД",R108/P108))</f>
        <v>НД</v>
      </c>
      <c r="T108" s="437">
        <f>SUMIFS('Отчет РПЗ(ПЗ)_ПЗИП'!$W:$W,'Отчет РПЗ(ПЗ)_ПЗИП'!$AO:$AO,Справочно!$E16,'Отчет РПЗ(ПЗ)_ПЗИП'!$N:$N,"&gt;=01.03.2017",'Отчет РПЗ(ПЗ)_ПЗИП'!$N:$N,"&lt;=31.03.2017",'Отчет РПЗ(ПЗ)_ПЗИП'!$AG:$AG,"&gt;0",'Отчет РПЗ(ПЗ)_ПЗИП'!$G:$G,"&lt;&gt;ЕП",'Отчет РПЗ(ПЗ)_ПЗИП'!$W:$W,"&gt;=50000000")</f>
        <v>0</v>
      </c>
      <c r="U108" s="527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РПЗ(ПЗ)_ПЗИП'!$AQ:$AQ,3)</f>
        <v>0</v>
      </c>
      <c r="V108" s="343" t="str">
        <f t="shared" ref="V108:V110" si="92">IF(U108=0,"НД",T108-U108)</f>
        <v>НД</v>
      </c>
      <c r="W108" s="528" t="str">
        <f t="shared" si="70"/>
        <v>НД</v>
      </c>
      <c r="X108" s="529">
        <f t="shared" ref="X108:X110" si="93">SUM(L108,P108,T108)</f>
        <v>0</v>
      </c>
      <c r="Y108" s="530">
        <f t="shared" ref="Y108:Y110" si="94">SUM(M108,Q108,U108)</f>
        <v>0</v>
      </c>
      <c r="Z108" s="530">
        <f t="shared" si="71"/>
        <v>0</v>
      </c>
      <c r="AA108" s="531">
        <f t="shared" si="72"/>
        <v>0</v>
      </c>
      <c r="AB108" s="437">
        <f>SUMIFS('Отчет РПЗ(ПЗ)_ПЗИП'!$W:$W,'Отчет РПЗ(ПЗ)_ПЗИП'!$AO:$AO,Справочно!$E16,'Отчет РПЗ(ПЗ)_ПЗИП'!$N:$N,"&gt;=01.04.2017",'Отчет РПЗ(ПЗ)_ПЗИП'!$N:$N,"&lt;=30.04.2017",'Отчет РПЗ(ПЗ)_ПЗИП'!$AG:$AG,"&gt;0",'Отчет РПЗ(ПЗ)_ПЗИП'!$G:$G,"&lt;&gt;ЕП",'Отчет РПЗ(ПЗ)_ПЗИП'!$W:$W,"&gt;=50000000")</f>
        <v>0</v>
      </c>
      <c r="AC108" s="532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РПЗ(ПЗ)_ПЗИП'!$AQ:$AQ,4)</f>
        <v>0</v>
      </c>
      <c r="AD108" s="532" t="str">
        <f t="shared" ref="AD108:AD110" si="95">IF(AC108=0,"НД",AB108-AC108)</f>
        <v>НД</v>
      </c>
      <c r="AE108" s="533" t="str">
        <f t="shared" si="73"/>
        <v>НД</v>
      </c>
      <c r="AF108" s="437">
        <f>SUMIFS('Отчет РПЗ(ПЗ)_ПЗИП'!$W:$W,'Отчет РПЗ(ПЗ)_ПЗИП'!$AO:$AO,Справочно!$E16,'Отчет РПЗ(ПЗ)_ПЗИП'!$N:$N,"&gt;=01.05.2017",'Отчет РПЗ(ПЗ)_ПЗИП'!$N:$N,"&lt;=31.05.2017",'Отчет РПЗ(ПЗ)_ПЗИП'!$AG:$AG,"&gt;0",'Отчет РПЗ(ПЗ)_ПЗИП'!$G:$G,"&lt;&gt;ЕП",'Отчет РПЗ(ПЗ)_ПЗИП'!$W:$W,"&gt;=50000000")</f>
        <v>0</v>
      </c>
      <c r="AG108" s="532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РПЗ(ПЗ)_ПЗИП'!$AQ:$AQ,5)</f>
        <v>0</v>
      </c>
      <c r="AH108" s="532" t="str">
        <f t="shared" ref="AH108:AH110" si="96">IF(AG108=0,"НД",AF108-AG108)</f>
        <v>НД</v>
      </c>
      <c r="AI108" s="533" t="str">
        <f t="shared" si="74"/>
        <v>НД</v>
      </c>
      <c r="AJ108" s="437">
        <f>SUMIFS('Отчет РПЗ(ПЗ)_ПЗИП'!$W:$W,'Отчет РПЗ(ПЗ)_ПЗИП'!$AO:$AO,Справочно!$E16,'Отчет РПЗ(ПЗ)_ПЗИП'!$N:$N,"&gt;=01.06.2017",'Отчет РПЗ(ПЗ)_ПЗИП'!$N:$N,"&lt;=30.06.2017",'Отчет РПЗ(ПЗ)_ПЗИП'!$AG:$AG,"&gt;0",'Отчет РПЗ(ПЗ)_ПЗИП'!$G:$G,"&lt;&gt;ЕП",'Отчет РПЗ(ПЗ)_ПЗИП'!$W:$W,"&gt;=50000000")</f>
        <v>0</v>
      </c>
      <c r="AK108" s="532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РПЗ(ПЗ)_ПЗИП'!$AQ:$AQ,6)</f>
        <v>0</v>
      </c>
      <c r="AL108" s="532" t="str">
        <f t="shared" ref="AL108:AL110" si="97">IF(AK108=0,"НД",AJ108-AK108)</f>
        <v>НД</v>
      </c>
      <c r="AM108" s="533" t="str">
        <f t="shared" si="75"/>
        <v>НД</v>
      </c>
      <c r="AN108" s="529">
        <f t="shared" ref="AN108:AN110" si="98">SUM(AB108,AF108,AJ108)</f>
        <v>0</v>
      </c>
      <c r="AO108" s="534">
        <f>SUM(AC108,AG108,AK108)</f>
        <v>0</v>
      </c>
      <c r="AP108" s="534">
        <f t="shared" si="76"/>
        <v>0</v>
      </c>
      <c r="AQ108" s="535">
        <f t="shared" si="77"/>
        <v>0</v>
      </c>
      <c r="AR108" s="437">
        <f>SUMIFS('Отчет РПЗ(ПЗ)_ПЗИП'!$W:$W,'Отчет РПЗ(ПЗ)_ПЗИП'!$AO:$AO,Справочно!$E16,'Отчет РПЗ(ПЗ)_ПЗИП'!$N:$N,"&gt;=01.07.2017",'Отчет РПЗ(ПЗ)_ПЗИП'!$N:$N,"&lt;=31.07.2017",'Отчет РПЗ(ПЗ)_ПЗИП'!$AG:$AG,"&gt;0",'Отчет РПЗ(ПЗ)_ПЗИП'!$G:$G,"&lt;&gt;ЕП",'Отчет РПЗ(ПЗ)_ПЗИП'!$W:$W,"&gt;=50000000")</f>
        <v>0</v>
      </c>
      <c r="AS108" s="536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РПЗ(ПЗ)_ПЗИП'!$AQ:$AQ,7)</f>
        <v>0</v>
      </c>
      <c r="AT108" s="383" t="str">
        <f t="shared" ref="AT108:AT110" si="99">IF(AS108=0,"НД",AR108-AS108)</f>
        <v>НД</v>
      </c>
      <c r="AU108" s="537" t="str">
        <f t="shared" si="78"/>
        <v>НД</v>
      </c>
      <c r="AV108" s="437">
        <f>SUMIFS('Отчет РПЗ(ПЗ)_ПЗИП'!$W:$W,'Отчет РПЗ(ПЗ)_ПЗИП'!$AO:$AO,Справочно!$E16,'Отчет РПЗ(ПЗ)_ПЗИП'!$N:$N,"&gt;=01.08.2017",'Отчет РПЗ(ПЗ)_ПЗИП'!$N:$N,"&lt;=31.08.2017",'Отчет РПЗ(ПЗ)_ПЗИП'!$AG:$AG,"&gt;0",'Отчет РПЗ(ПЗ)_ПЗИП'!$G:$G,"&lt;&gt;ЕП",'Отчет РПЗ(ПЗ)_ПЗИП'!$W:$W,"&gt;=50000000")</f>
        <v>0</v>
      </c>
      <c r="AW108" s="536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РПЗ(ПЗ)_ПЗИП'!$AQ:$AQ,8)</f>
        <v>0</v>
      </c>
      <c r="AX108" s="383" t="str">
        <f t="shared" ref="AX108:AX110" si="100">IF(AW108=0,"НД",AV108-AW108)</f>
        <v>НД</v>
      </c>
      <c r="AY108" s="537" t="str">
        <f t="shared" si="79"/>
        <v>НД</v>
      </c>
      <c r="AZ108" s="437">
        <f>SUMIFS('Отчет РПЗ(ПЗ)_ПЗИП'!$W:$W,'Отчет РПЗ(ПЗ)_ПЗИП'!$AO:$AO,Справочно!$E16,'Отчет РПЗ(ПЗ)_ПЗИП'!$N:$N,"&gt;=01.09.2017",'Отчет РПЗ(ПЗ)_ПЗИП'!$N:$N,"&lt;=30.09.2017",'Отчет РПЗ(ПЗ)_ПЗИП'!$AG:$AG,"&gt;0",'Отчет РПЗ(ПЗ)_ПЗИП'!$G:$G,"&lt;&gt;ЕП",'Отчет РПЗ(ПЗ)_ПЗИП'!$W:$W,"&gt;=50000000")</f>
        <v>0</v>
      </c>
      <c r="BA108" s="536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РПЗ(ПЗ)_ПЗИП'!$AQ:$AQ,9)</f>
        <v>0</v>
      </c>
      <c r="BB108" s="383" t="str">
        <f t="shared" ref="BB108:BB110" si="101">IF(BA108=0,"НД",AZ108-BA108)</f>
        <v>НД</v>
      </c>
      <c r="BC108" s="537" t="str">
        <f t="shared" si="80"/>
        <v>НД</v>
      </c>
      <c r="BD108" s="529">
        <f t="shared" ref="BD108:BD110" si="102">SUM(AR108,AV108,AZ108)</f>
        <v>0</v>
      </c>
      <c r="BE108" s="538">
        <f t="shared" ref="BE108:BE110" si="103">SUM(AS108,AW108,BA108)</f>
        <v>0</v>
      </c>
      <c r="BF108" s="538">
        <f t="shared" si="81"/>
        <v>0</v>
      </c>
      <c r="BG108" s="539">
        <f t="shared" si="82"/>
        <v>0</v>
      </c>
      <c r="BH108" s="437">
        <f>SUMIFS('Отчет РПЗ(ПЗ)_ПЗИП'!$W:$W,'Отчет РПЗ(ПЗ)_ПЗИП'!$AO:$AO,Справочно!$E16,'Отчет РПЗ(ПЗ)_ПЗИП'!$N:$N,"&gt;=01.10.2017",'Отчет РПЗ(ПЗ)_ПЗИП'!$N:$N,"&lt;=30.10.2017",'Отчет РПЗ(ПЗ)_ПЗИП'!$AG:$AG,"&gt;0",'Отчет РПЗ(ПЗ)_ПЗИП'!$G:$G,"&lt;&gt;ЕП",'Отчет РПЗ(ПЗ)_ПЗИП'!$W:$W,"&gt;=50000000")</f>
        <v>0</v>
      </c>
      <c r="BI108" s="540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РПЗ(ПЗ)_ПЗИП'!$AQ:$AQ,10)</f>
        <v>0</v>
      </c>
      <c r="BJ108" s="384" t="str">
        <f t="shared" ref="BJ108:BJ110" si="104">IF(BI108=0,"НД",BH108-BI108)</f>
        <v>НД</v>
      </c>
      <c r="BK108" s="541" t="str">
        <f t="shared" si="83"/>
        <v>НД</v>
      </c>
      <c r="BL108" s="437">
        <f>SUMIFS('Отчет РПЗ(ПЗ)_ПЗИП'!$W:$W,'Отчет РПЗ(ПЗ)_ПЗИП'!$AO:$AO,Справочно!$E16,'Отчет РПЗ(ПЗ)_ПЗИП'!$N:$N,"&gt;=01.11.2017",'Отчет РПЗ(ПЗ)_ПЗИП'!$N:$N,"&lt;=30.11.2017",'Отчет РПЗ(ПЗ)_ПЗИП'!$AG:$AG,"&gt;0",'Отчет РПЗ(ПЗ)_ПЗИП'!$G:$G,"&lt;&gt;ЕП",'Отчет РПЗ(ПЗ)_ПЗИП'!$W:$W,"&gt;=50000000")</f>
        <v>0</v>
      </c>
      <c r="BM108" s="540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РПЗ(ПЗ)_ПЗИП'!$AQ:$AQ,11)</f>
        <v>0</v>
      </c>
      <c r="BN108" s="384" t="str">
        <f t="shared" ref="BN108:BN110" si="105">IF(BM108=0,"НД",BL108-BM108)</f>
        <v>НД</v>
      </c>
      <c r="BO108" s="541" t="str">
        <f t="shared" si="84"/>
        <v>НД</v>
      </c>
      <c r="BP108" s="437">
        <f>SUMIFS('Отчет РПЗ(ПЗ)_ПЗИП'!$W:$W,'Отчет РПЗ(ПЗ)_ПЗИП'!$AO:$AO,Справочно!$E16,'Отчет РПЗ(ПЗ)_ПЗИП'!$N:$N,"&gt;=01.12.2017",'Отчет РПЗ(ПЗ)_ПЗИП'!$N:$N,"&lt;=31.12.2017",'Отчет РПЗ(ПЗ)_ПЗИП'!$AG:$AG,"&gt;0",'Отчет РПЗ(ПЗ)_ПЗИП'!$G:$G,"&lt;&gt;ЕП",'Отчет РПЗ(ПЗ)_ПЗИП'!$W:$W,"&gt;=50000000")</f>
        <v>0</v>
      </c>
      <c r="BQ108" s="540">
        <f>SUMIFS('Отчет РПЗ(ПЗ)_ПЗИП'!$AG:$AG,'Отчет РПЗ(ПЗ)_ПЗИП'!$AO:$AO,Справочно!$E16,'Отчет РПЗ(ПЗ)_ПЗИП'!$G:$G,"&lt;&gt;ЕП",'Отчет РПЗ(ПЗ)_ПЗИП'!$W:$W,"&gt;=50000000",'Отчет РПЗ(ПЗ)_ПЗИП'!$AQ:$AQ,12)</f>
        <v>0</v>
      </c>
      <c r="BR108" s="384" t="str">
        <f t="shared" ref="BR108:BR110" si="106">IF(BQ108=0,"НД",BP108-BQ108)</f>
        <v>НД</v>
      </c>
      <c r="BS108" s="542" t="str">
        <f t="shared" si="85"/>
        <v>НД</v>
      </c>
      <c r="BT108" s="529">
        <f t="shared" ref="BT108:BT110" si="107">SUM(BH108,BL108,BP108)</f>
        <v>0</v>
      </c>
      <c r="BU108" s="543">
        <f t="shared" ref="BU108:BU110" si="108">SUM(BI108,BM108,BQ108)</f>
        <v>0</v>
      </c>
      <c r="BV108" s="543">
        <f t="shared" si="86"/>
        <v>0</v>
      </c>
      <c r="BW108" s="544">
        <f t="shared" si="87"/>
        <v>0</v>
      </c>
    </row>
    <row r="109" spans="2:75" ht="13.5" thickBot="1" x14ac:dyDescent="0.25">
      <c r="B109" s="74" t="s">
        <v>1275</v>
      </c>
      <c r="C109" s="96">
        <f>ПП!B86</f>
        <v>0</v>
      </c>
      <c r="D109" s="418" t="e">
        <f>ПП!C86</f>
        <v>#DIV/0!</v>
      </c>
      <c r="E109" s="443">
        <f>ПП!D86</f>
        <v>0</v>
      </c>
      <c r="F109" s="143">
        <f>SUM(F107:F108)</f>
        <v>0</v>
      </c>
      <c r="G109" s="515" t="e">
        <f>SUM(G107:G108)</f>
        <v>#DIV/0!</v>
      </c>
      <c r="H109" s="345">
        <f>SUM(H107:H108)</f>
        <v>0</v>
      </c>
      <c r="I109" s="516">
        <f>SUM(I107:I108)</f>
        <v>0</v>
      </c>
      <c r="J109" s="275" t="e">
        <f>I109/(X109+AN109+BD109+BT109)</f>
        <v>#DIV/0!</v>
      </c>
      <c r="L109" s="402">
        <f>SUM(L107:L108)</f>
        <v>0</v>
      </c>
      <c r="M109" s="440">
        <f>SUM(M107:M108)</f>
        <v>0</v>
      </c>
      <c r="N109" s="440">
        <f>SUM(N107:N108)</f>
        <v>0</v>
      </c>
      <c r="O109" s="556" t="str">
        <f t="shared" si="89"/>
        <v>НД</v>
      </c>
      <c r="P109" s="440">
        <f>SUM(P107:P108)</f>
        <v>0</v>
      </c>
      <c r="Q109" s="440">
        <f>SUM(Q107:Q108)</f>
        <v>0</v>
      </c>
      <c r="R109" s="344" t="str">
        <f t="shared" si="90"/>
        <v>НД</v>
      </c>
      <c r="S109" s="556" t="str">
        <f t="shared" si="91"/>
        <v>НД</v>
      </c>
      <c r="T109" s="440">
        <f>SUM(T107:T108)</f>
        <v>0</v>
      </c>
      <c r="U109" s="440">
        <f>SUM(U107:U108)</f>
        <v>0</v>
      </c>
      <c r="V109" s="344" t="str">
        <f t="shared" si="92"/>
        <v>НД</v>
      </c>
      <c r="W109" s="556" t="str">
        <f t="shared" si="70"/>
        <v>НД</v>
      </c>
      <c r="X109" s="346">
        <f t="shared" si="93"/>
        <v>0</v>
      </c>
      <c r="Y109" s="346">
        <f t="shared" si="94"/>
        <v>0</v>
      </c>
      <c r="Z109" s="346">
        <f t="shared" si="71"/>
        <v>0</v>
      </c>
      <c r="AA109" s="517">
        <f t="shared" si="72"/>
        <v>0</v>
      </c>
      <c r="AB109" s="440">
        <f>SUM(AB107:AB108)</f>
        <v>0</v>
      </c>
      <c r="AC109" s="440">
        <f>SUM(AC107:AC108)</f>
        <v>0</v>
      </c>
      <c r="AD109" s="344" t="str">
        <f t="shared" si="95"/>
        <v>НД</v>
      </c>
      <c r="AE109" s="557" t="str">
        <f t="shared" si="73"/>
        <v>НД</v>
      </c>
      <c r="AF109" s="440">
        <f>SUM(AF107:AF108)</f>
        <v>0</v>
      </c>
      <c r="AG109" s="440">
        <f>SUM(AG107:AG108)</f>
        <v>0</v>
      </c>
      <c r="AH109" s="344" t="str">
        <f t="shared" si="96"/>
        <v>НД</v>
      </c>
      <c r="AI109" s="557" t="str">
        <f t="shared" si="74"/>
        <v>НД</v>
      </c>
      <c r="AJ109" s="440">
        <f>SUM(AJ107:AJ108)</f>
        <v>0</v>
      </c>
      <c r="AK109" s="440">
        <f>SUM(AK107:AK108)</f>
        <v>0</v>
      </c>
      <c r="AL109" s="344" t="str">
        <f t="shared" si="97"/>
        <v>НД</v>
      </c>
      <c r="AM109" s="557" t="str">
        <f t="shared" si="75"/>
        <v>НД</v>
      </c>
      <c r="AN109" s="346">
        <f t="shared" si="98"/>
        <v>0</v>
      </c>
      <c r="AO109" s="346">
        <f t="shared" ref="AO109:AO110" si="109">SUM(AC109,AG109,AK109)</f>
        <v>0</v>
      </c>
      <c r="AP109" s="346">
        <f t="shared" si="76"/>
        <v>0</v>
      </c>
      <c r="AQ109" s="518">
        <f t="shared" si="77"/>
        <v>0</v>
      </c>
      <c r="AR109" s="440">
        <f>SUM(AR107:AR108)</f>
        <v>0</v>
      </c>
      <c r="AS109" s="440">
        <f>SUM(AS107:AS108)</f>
        <v>0</v>
      </c>
      <c r="AT109" s="344" t="str">
        <f t="shared" si="99"/>
        <v>НД</v>
      </c>
      <c r="AU109" s="557" t="str">
        <f t="shared" si="78"/>
        <v>НД</v>
      </c>
      <c r="AV109" s="440">
        <f>SUM(AV107:AV108)</f>
        <v>0</v>
      </c>
      <c r="AW109" s="440">
        <f>SUM(AW107:AW108)</f>
        <v>0</v>
      </c>
      <c r="AX109" s="344" t="str">
        <f t="shared" si="100"/>
        <v>НД</v>
      </c>
      <c r="AY109" s="557" t="str">
        <f t="shared" si="79"/>
        <v>НД</v>
      </c>
      <c r="AZ109" s="440">
        <f>SUM(AZ107:AZ108)</f>
        <v>0</v>
      </c>
      <c r="BA109" s="440">
        <f>SUM(BA107:BA108)</f>
        <v>0</v>
      </c>
      <c r="BB109" s="344" t="str">
        <f t="shared" si="101"/>
        <v>НД</v>
      </c>
      <c r="BC109" s="557" t="str">
        <f t="shared" si="80"/>
        <v>НД</v>
      </c>
      <c r="BD109" s="346">
        <f t="shared" si="102"/>
        <v>0</v>
      </c>
      <c r="BE109" s="346">
        <f t="shared" si="103"/>
        <v>0</v>
      </c>
      <c r="BF109" s="346">
        <f t="shared" si="81"/>
        <v>0</v>
      </c>
      <c r="BG109" s="518">
        <f t="shared" si="82"/>
        <v>0</v>
      </c>
      <c r="BH109" s="440">
        <f>SUM(BH107:BH108)</f>
        <v>0</v>
      </c>
      <c r="BI109" s="440">
        <f>SUM(BI107:BI108)</f>
        <v>0</v>
      </c>
      <c r="BJ109" s="344" t="str">
        <f t="shared" si="104"/>
        <v>НД</v>
      </c>
      <c r="BK109" s="557" t="str">
        <f t="shared" si="83"/>
        <v>НД</v>
      </c>
      <c r="BL109" s="440">
        <f>SUM(BL107:BL108)</f>
        <v>0</v>
      </c>
      <c r="BM109" s="440">
        <f>SUM(BM107:BM108)</f>
        <v>0</v>
      </c>
      <c r="BN109" s="344" t="str">
        <f t="shared" si="105"/>
        <v>НД</v>
      </c>
      <c r="BO109" s="557" t="str">
        <f t="shared" si="84"/>
        <v>НД</v>
      </c>
      <c r="BP109" s="440">
        <f>SUM(BP107:BP108)</f>
        <v>0</v>
      </c>
      <c r="BQ109" s="440">
        <f>SUM(BQ107:BQ108)</f>
        <v>0</v>
      </c>
      <c r="BR109" s="344" t="str">
        <f t="shared" si="106"/>
        <v>НД</v>
      </c>
      <c r="BS109" s="558" t="str">
        <f t="shared" si="85"/>
        <v>НД</v>
      </c>
      <c r="BT109" s="346">
        <f t="shared" si="107"/>
        <v>0</v>
      </c>
      <c r="BU109" s="346">
        <f t="shared" si="108"/>
        <v>0</v>
      </c>
      <c r="BV109" s="346">
        <f t="shared" si="86"/>
        <v>0</v>
      </c>
      <c r="BW109" s="518">
        <f t="shared" si="87"/>
        <v>0</v>
      </c>
    </row>
    <row r="110" spans="2:75" ht="13.5" thickBot="1" x14ac:dyDescent="0.25">
      <c r="B110" s="587" t="s">
        <v>1276</v>
      </c>
      <c r="C110" s="96">
        <f>ПП!B87</f>
        <v>0</v>
      </c>
      <c r="D110" s="418" t="e">
        <f>ПП!C87</f>
        <v>#DIV/0!</v>
      </c>
      <c r="E110" s="443">
        <f>ПП!D87</f>
        <v>0</v>
      </c>
      <c r="F110" s="302">
        <f>COUNTIFS('Отчет РПЗ(ПЗ)_ПЗИП'!$AG:$AG,"&gt;0",'Отчет РПЗ(ПЗ)_ПЗИП'!$AO:$AO,Справочно!$E17,'Отчет РПЗ(ПЗ)_ПЗИП'!$G:$G,"&lt;&gt;ЕП",'Отчет РПЗ(ПЗ)_ПЗИП'!$W:$W,"&gt;=50000000")</f>
        <v>0</v>
      </c>
      <c r="G110" s="444" t="e">
        <f>F110/$E$48</f>
        <v>#DIV/0!</v>
      </c>
      <c r="H110" s="445">
        <f>SUMIFS('Отчет РПЗ(ПЗ)_ПЗИП'!$AG:$AG,'Отчет РПЗ(ПЗ)_ПЗИП'!$AO:$AO,Справочно!$E17,'Отчет РПЗ(ПЗ)_ПЗИП'!$G:$G,"&lt;&gt;ЕП",'Отчет РПЗ(ПЗ)_ПЗИП'!$W:$W,"&gt;=50000000")</f>
        <v>0</v>
      </c>
      <c r="I110" s="588">
        <f>(IF($D$3=1,Z110,0)+IF($D$3=2,Z110+AP110,0)+IF($D$3=3,Z110+AP110+BF110,0)+IF($D$3=4,Z110+AP110+BF110+BV110,0))</f>
        <v>0</v>
      </c>
      <c r="J110" s="589" t="e">
        <f>I110/(X110+AN110+BD110+BT110)</f>
        <v>#DIV/0!</v>
      </c>
      <c r="L110" s="451">
        <f>SUMIFS('Отчет РПЗ(ПЗ)_ПЗИП'!$W:$W,'Отчет РПЗ(ПЗ)_ПЗИП'!$AO:$AO,Справочно!$E17,'Отчет РПЗ(ПЗ)_ПЗИП'!$N:$N,"&gt;=01.01.2017",'Отчет РПЗ(ПЗ)_ПЗИП'!$N:$N,"&lt;=31.01.2017",'Отчет РПЗ(ПЗ)_ПЗИП'!$AG:$AG,"&gt;0",'Отчет РПЗ(ПЗ)_ПЗИП'!$G:$G,"&lt;&gt;ЕП",'Отчет РПЗ(ПЗ)_ПЗИП'!$W:$W,"&gt;=50000000")</f>
        <v>0</v>
      </c>
      <c r="M110" s="560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РПЗ(ПЗ)_ПЗИП'!$AQ:$AQ,1)</f>
        <v>0</v>
      </c>
      <c r="N110" s="560" t="str">
        <f t="shared" si="88"/>
        <v>НД</v>
      </c>
      <c r="O110" s="561" t="str">
        <f t="shared" si="89"/>
        <v>НД</v>
      </c>
      <c r="P110" s="562">
        <f>SUMIFS('Отчет РПЗ(ПЗ)_ПЗИП'!$W:$W,'Отчет РПЗ(ПЗ)_ПЗИП'!$AO:$AO,Справочно!$E17,'Отчет РПЗ(ПЗ)_ПЗИП'!$N:$N,"&gt;=01.02.2017",'Отчет РПЗ(ПЗ)_ПЗИП'!$N:$N,"&lt;=28.02.2017",'Отчет РПЗ(ПЗ)_ПЗИП'!$AG:$AG,"&gt;0",'Отчет РПЗ(ПЗ)_ПЗИП'!$G:$G,"&lt;&gt;ЕП",'Отчет РПЗ(ПЗ)_ПЗИП'!$W:$W,"&gt;=50000000")</f>
        <v>0</v>
      </c>
      <c r="Q110" s="560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РПЗ(ПЗ)_ПЗИП'!$AQ:$AQ,2)</f>
        <v>0</v>
      </c>
      <c r="R110" s="560" t="str">
        <f t="shared" si="90"/>
        <v>НД</v>
      </c>
      <c r="S110" s="561" t="str">
        <f t="shared" si="91"/>
        <v>НД</v>
      </c>
      <c r="T110" s="562">
        <f>SUMIFS('Отчет РПЗ(ПЗ)_ПЗИП'!$W:$W,'Отчет РПЗ(ПЗ)_ПЗИП'!$AO:$AO,Справочно!$E17,'Отчет РПЗ(ПЗ)_ПЗИП'!$N:$N,"&gt;=01.03.2017",'Отчет РПЗ(ПЗ)_ПЗИП'!$N:$N,"&lt;=31.03.2017",'Отчет РПЗ(ПЗ)_ПЗИП'!$AG:$AG,"&gt;0",'Отчет РПЗ(ПЗ)_ПЗИП'!$G:$G,"&lt;&gt;ЕП",'Отчет РПЗ(ПЗ)_ПЗИП'!$W:$W,"&gt;=50000000")</f>
        <v>0</v>
      </c>
      <c r="U110" s="560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РПЗ(ПЗ)_ПЗИП'!$AQ:$AQ,3)</f>
        <v>0</v>
      </c>
      <c r="V110" s="560" t="str">
        <f t="shared" si="92"/>
        <v>НД</v>
      </c>
      <c r="W110" s="561" t="str">
        <f t="shared" si="70"/>
        <v>НД</v>
      </c>
      <c r="X110" s="546">
        <f t="shared" si="93"/>
        <v>0</v>
      </c>
      <c r="Y110" s="547">
        <f t="shared" si="94"/>
        <v>0</v>
      </c>
      <c r="Z110" s="547">
        <f t="shared" si="71"/>
        <v>0</v>
      </c>
      <c r="AA110" s="548">
        <f t="shared" si="72"/>
        <v>0</v>
      </c>
      <c r="AB110" s="562">
        <f>SUMIFS('Отчет РПЗ(ПЗ)_ПЗИП'!$W:$W,'Отчет РПЗ(ПЗ)_ПЗИП'!$AO:$AO,Справочно!$E17,'Отчет РПЗ(ПЗ)_ПЗИП'!$N:$N,"&gt;=01.04.2017",'Отчет РПЗ(ПЗ)_ПЗИП'!$N:$N,"&lt;=30.04.2017",'Отчет РПЗ(ПЗ)_ПЗИП'!$AG:$AG,"&gt;0",'Отчет РПЗ(ПЗ)_ПЗИП'!$G:$G,"&lt;&gt;ЕП",'Отчет РПЗ(ПЗ)_ПЗИП'!$W:$W,"&gt;=50000000")</f>
        <v>0</v>
      </c>
      <c r="AC110" s="563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РПЗ(ПЗ)_ПЗИП'!$AQ:$AQ,4)</f>
        <v>0</v>
      </c>
      <c r="AD110" s="563" t="str">
        <f t="shared" si="95"/>
        <v>НД</v>
      </c>
      <c r="AE110" s="564" t="str">
        <f t="shared" si="73"/>
        <v>НД</v>
      </c>
      <c r="AF110" s="562">
        <f>SUMIFS('Отчет РПЗ(ПЗ)_ПЗИП'!$W:$W,'Отчет РПЗ(ПЗ)_ПЗИП'!$AO:$AO,Справочно!$E17,'Отчет РПЗ(ПЗ)_ПЗИП'!$N:$N,"&gt;=01.05.2017",'Отчет РПЗ(ПЗ)_ПЗИП'!$N:$N,"&lt;=31.05.2017",'Отчет РПЗ(ПЗ)_ПЗИП'!$AG:$AG,"&gt;0",'Отчет РПЗ(ПЗ)_ПЗИП'!$G:$G,"&lt;&gt;ЕП",'Отчет РПЗ(ПЗ)_ПЗИП'!$W:$W,"&gt;=50000000")</f>
        <v>0</v>
      </c>
      <c r="AG110" s="563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РПЗ(ПЗ)_ПЗИП'!$AQ:$AQ,5)</f>
        <v>0</v>
      </c>
      <c r="AH110" s="563" t="str">
        <f t="shared" si="96"/>
        <v>НД</v>
      </c>
      <c r="AI110" s="564" t="str">
        <f t="shared" si="74"/>
        <v>НД</v>
      </c>
      <c r="AJ110" s="562">
        <f>SUMIFS('Отчет РПЗ(ПЗ)_ПЗИП'!$W:$W,'Отчет РПЗ(ПЗ)_ПЗИП'!$AO:$AO,Справочно!$E17,'Отчет РПЗ(ПЗ)_ПЗИП'!$N:$N,"&gt;=01.06.2017",'Отчет РПЗ(ПЗ)_ПЗИП'!$N:$N,"&lt;=30.06.2017",'Отчет РПЗ(ПЗ)_ПЗИП'!$AG:$AG,"&gt;0",'Отчет РПЗ(ПЗ)_ПЗИП'!$G:$G,"&lt;&gt;ЕП",'Отчет РПЗ(ПЗ)_ПЗИП'!$W:$W,"&gt;=50000000")</f>
        <v>0</v>
      </c>
      <c r="AK110" s="563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РПЗ(ПЗ)_ПЗИП'!$AQ:$AQ,6)</f>
        <v>0</v>
      </c>
      <c r="AL110" s="563" t="str">
        <f t="shared" si="97"/>
        <v>НД</v>
      </c>
      <c r="AM110" s="564" t="str">
        <f t="shared" si="75"/>
        <v>НД</v>
      </c>
      <c r="AN110" s="546">
        <f t="shared" si="98"/>
        <v>0</v>
      </c>
      <c r="AO110" s="550">
        <f t="shared" si="109"/>
        <v>0</v>
      </c>
      <c r="AP110" s="550">
        <f t="shared" si="76"/>
        <v>0</v>
      </c>
      <c r="AQ110" s="551">
        <f t="shared" si="77"/>
        <v>0</v>
      </c>
      <c r="AR110" s="562">
        <f>SUMIFS('Отчет РПЗ(ПЗ)_ПЗИП'!$W:$W,'Отчет РПЗ(ПЗ)_ПЗИП'!$AO:$AO,Справочно!$E17,'Отчет РПЗ(ПЗ)_ПЗИП'!$N:$N,"&gt;=01.07.2017",'Отчет РПЗ(ПЗ)_ПЗИП'!$N:$N,"&lt;=31.07.2017",'Отчет РПЗ(ПЗ)_ПЗИП'!$AG:$AG,"&gt;0",'Отчет РПЗ(ПЗ)_ПЗИП'!$G:$G,"&lt;&gt;ЕП",'Отчет РПЗ(ПЗ)_ПЗИП'!$W:$W,"&gt;=50000000")</f>
        <v>0</v>
      </c>
      <c r="AS110" s="565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РПЗ(ПЗ)_ПЗИП'!$AQ:$AQ,7)</f>
        <v>0</v>
      </c>
      <c r="AT110" s="565" t="str">
        <f t="shared" si="99"/>
        <v>НД</v>
      </c>
      <c r="AU110" s="566" t="str">
        <f t="shared" si="78"/>
        <v>НД</v>
      </c>
      <c r="AV110" s="562">
        <f>SUMIFS('Отчет РПЗ(ПЗ)_ПЗИП'!$W:$W,'Отчет РПЗ(ПЗ)_ПЗИП'!$AO:$AO,Справочно!$E17,'Отчет РПЗ(ПЗ)_ПЗИП'!$N:$N,"&gt;=01.08.2017",'Отчет РПЗ(ПЗ)_ПЗИП'!$N:$N,"&lt;=31.08.2017",'Отчет РПЗ(ПЗ)_ПЗИП'!$AG:$AG,"&gt;0",'Отчет РПЗ(ПЗ)_ПЗИП'!$G:$G,"&lt;&gt;ЕП",'Отчет РПЗ(ПЗ)_ПЗИП'!$W:$W,"&gt;=50000000")</f>
        <v>0</v>
      </c>
      <c r="AW110" s="565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РПЗ(ПЗ)_ПЗИП'!$AQ:$AQ,8)</f>
        <v>0</v>
      </c>
      <c r="AX110" s="565" t="str">
        <f t="shared" si="100"/>
        <v>НД</v>
      </c>
      <c r="AY110" s="566" t="str">
        <f t="shared" si="79"/>
        <v>НД</v>
      </c>
      <c r="AZ110" s="562">
        <f>SUMIFS('Отчет РПЗ(ПЗ)_ПЗИП'!$W:$W,'Отчет РПЗ(ПЗ)_ПЗИП'!$AO:$AO,Справочно!$E17,'Отчет РПЗ(ПЗ)_ПЗИП'!$N:$N,"&gt;=01.09.2017",'Отчет РПЗ(ПЗ)_ПЗИП'!$N:$N,"&lt;=30.09.2017",'Отчет РПЗ(ПЗ)_ПЗИП'!$AG:$AG,"&gt;0",'Отчет РПЗ(ПЗ)_ПЗИП'!$G:$G,"&lt;&gt;ЕП",'Отчет РПЗ(ПЗ)_ПЗИП'!$W:$W,"&gt;=50000000")</f>
        <v>0</v>
      </c>
      <c r="BA110" s="565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РПЗ(ПЗ)_ПЗИП'!$AQ:$AQ,9)</f>
        <v>0</v>
      </c>
      <c r="BB110" s="565" t="str">
        <f t="shared" si="101"/>
        <v>НД</v>
      </c>
      <c r="BC110" s="566" t="str">
        <f t="shared" si="80"/>
        <v>НД</v>
      </c>
      <c r="BD110" s="546">
        <f t="shared" si="102"/>
        <v>0</v>
      </c>
      <c r="BE110" s="552">
        <f t="shared" si="103"/>
        <v>0</v>
      </c>
      <c r="BF110" s="552">
        <f t="shared" si="81"/>
        <v>0</v>
      </c>
      <c r="BG110" s="553">
        <f t="shared" si="82"/>
        <v>0</v>
      </c>
      <c r="BH110" s="562">
        <f>SUMIFS('Отчет РПЗ(ПЗ)_ПЗИП'!$W:$W,'Отчет РПЗ(ПЗ)_ПЗИП'!$AO:$AO,Справочно!$E17,'Отчет РПЗ(ПЗ)_ПЗИП'!$N:$N,"&gt;=01.10.2017",'Отчет РПЗ(ПЗ)_ПЗИП'!$N:$N,"&lt;=30.10.2017",'Отчет РПЗ(ПЗ)_ПЗИП'!$AG:$AG,"&gt;0",'Отчет РПЗ(ПЗ)_ПЗИП'!$G:$G,"&lt;&gt;ЕП",'Отчет РПЗ(ПЗ)_ПЗИП'!$W:$W,"&gt;=50000000")</f>
        <v>0</v>
      </c>
      <c r="BI110" s="567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РПЗ(ПЗ)_ПЗИП'!$AQ:$AQ,10)</f>
        <v>0</v>
      </c>
      <c r="BJ110" s="567" t="str">
        <f t="shared" si="104"/>
        <v>НД</v>
      </c>
      <c r="BK110" s="568" t="str">
        <f t="shared" si="83"/>
        <v>НД</v>
      </c>
      <c r="BL110" s="562">
        <f>SUMIFS('Отчет РПЗ(ПЗ)_ПЗИП'!$W:$W,'Отчет РПЗ(ПЗ)_ПЗИП'!$AO:$AO,Справочно!$E17,'Отчет РПЗ(ПЗ)_ПЗИП'!$N:$N,"&gt;=01.11.2017",'Отчет РПЗ(ПЗ)_ПЗИП'!$N:$N,"&lt;=30.11.2017",'Отчет РПЗ(ПЗ)_ПЗИП'!$AG:$AG,"&gt;0",'Отчет РПЗ(ПЗ)_ПЗИП'!$G:$G,"&lt;&gt;ЕП",'Отчет РПЗ(ПЗ)_ПЗИП'!$W:$W,"&gt;=50000000")</f>
        <v>0</v>
      </c>
      <c r="BM110" s="567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РПЗ(ПЗ)_ПЗИП'!$AQ:$AQ,11)</f>
        <v>0</v>
      </c>
      <c r="BN110" s="567" t="str">
        <f t="shared" si="105"/>
        <v>НД</v>
      </c>
      <c r="BO110" s="568" t="str">
        <f t="shared" si="84"/>
        <v>НД</v>
      </c>
      <c r="BP110" s="562">
        <f>SUMIFS('Отчет РПЗ(ПЗ)_ПЗИП'!$W:$W,'Отчет РПЗ(ПЗ)_ПЗИП'!$AO:$AO,Справочно!$E17,'Отчет РПЗ(ПЗ)_ПЗИП'!$N:$N,"&gt;=01.12.2017",'Отчет РПЗ(ПЗ)_ПЗИП'!$N:$N,"&lt;=31.12.2017",'Отчет РПЗ(ПЗ)_ПЗИП'!$AG:$AG,"&gt;0",'Отчет РПЗ(ПЗ)_ПЗИП'!$G:$G,"&lt;&gt;ЕП",'Отчет РПЗ(ПЗ)_ПЗИП'!$W:$W,"&gt;=50000000")</f>
        <v>0</v>
      </c>
      <c r="BQ110" s="567">
        <f>SUMIFS('Отчет РПЗ(ПЗ)_ПЗИП'!$AG:$AG,'Отчет РПЗ(ПЗ)_ПЗИП'!$AO:$AO,Справочно!$E17,'Отчет РПЗ(ПЗ)_ПЗИП'!$G:$G,"&lt;&gt;ЕП",'Отчет РПЗ(ПЗ)_ПЗИП'!$W:$W,"&gt;=50000000",'Отчет РПЗ(ПЗ)_ПЗИП'!$AQ:$AQ,12)</f>
        <v>0</v>
      </c>
      <c r="BR110" s="567" t="str">
        <f t="shared" si="106"/>
        <v>НД</v>
      </c>
      <c r="BS110" s="569" t="str">
        <f t="shared" si="85"/>
        <v>НД</v>
      </c>
      <c r="BT110" s="546">
        <f t="shared" si="107"/>
        <v>0</v>
      </c>
      <c r="BU110" s="554">
        <f t="shared" si="108"/>
        <v>0</v>
      </c>
      <c r="BV110" s="554">
        <f t="shared" si="86"/>
        <v>0</v>
      </c>
      <c r="BW110" s="555">
        <f t="shared" si="87"/>
        <v>0</v>
      </c>
    </row>
  </sheetData>
  <mergeCells count="215">
    <mergeCell ref="B104:J104"/>
    <mergeCell ref="I105:J105"/>
    <mergeCell ref="C106:D106"/>
    <mergeCell ref="F106:G106"/>
    <mergeCell ref="L104:AA104"/>
    <mergeCell ref="AB104:AQ104"/>
    <mergeCell ref="AR104:BG104"/>
    <mergeCell ref="BH104:BW104"/>
    <mergeCell ref="N105:O105"/>
    <mergeCell ref="R105:S105"/>
    <mergeCell ref="V105:W105"/>
    <mergeCell ref="Z105:AA105"/>
    <mergeCell ref="AD105:AE105"/>
    <mergeCell ref="AH105:AI105"/>
    <mergeCell ref="AL105:AM105"/>
    <mergeCell ref="AP105:AQ105"/>
    <mergeCell ref="AT105:AU105"/>
    <mergeCell ref="AX105:AY105"/>
    <mergeCell ref="BB105:BC105"/>
    <mergeCell ref="BF105:BG105"/>
    <mergeCell ref="BJ105:BK105"/>
    <mergeCell ref="BN105:BO105"/>
    <mergeCell ref="BR105:BS105"/>
    <mergeCell ref="BV105:BW105"/>
    <mergeCell ref="H15:I15"/>
    <mergeCell ref="E15:E16"/>
    <mergeCell ref="C55:D55"/>
    <mergeCell ref="I54:J54"/>
    <mergeCell ref="F55:G55"/>
    <mergeCell ref="B83:B84"/>
    <mergeCell ref="AR83:AS83"/>
    <mergeCell ref="AT83:AU83"/>
    <mergeCell ref="AV83:AW83"/>
    <mergeCell ref="N83:O83"/>
    <mergeCell ref="P83:Q83"/>
    <mergeCell ref="R83:S83"/>
    <mergeCell ref="T83:U83"/>
    <mergeCell ref="V83:W83"/>
    <mergeCell ref="X83:Y83"/>
    <mergeCell ref="Z83:AA83"/>
    <mergeCell ref="AP83:AQ83"/>
    <mergeCell ref="N54:O54"/>
    <mergeCell ref="AL83:AM83"/>
    <mergeCell ref="AN83:AO83"/>
    <mergeCell ref="C84:D84"/>
    <mergeCell ref="E84:F84"/>
    <mergeCell ref="G84:H84"/>
    <mergeCell ref="I84:J84"/>
    <mergeCell ref="D15:D16"/>
    <mergeCell ref="C5:D5"/>
    <mergeCell ref="C6:D6"/>
    <mergeCell ref="C7:D7"/>
    <mergeCell ref="C8:D8"/>
    <mergeCell ref="C9:D9"/>
    <mergeCell ref="C10:D10"/>
    <mergeCell ref="C11:D11"/>
    <mergeCell ref="C12:D12"/>
    <mergeCell ref="AA17:AA19"/>
    <mergeCell ref="M17:M19"/>
    <mergeCell ref="N17:N19"/>
    <mergeCell ref="O17:O19"/>
    <mergeCell ref="P17:P19"/>
    <mergeCell ref="U17:U19"/>
    <mergeCell ref="B51:J51"/>
    <mergeCell ref="C19:E19"/>
    <mergeCell ref="G27:H27"/>
    <mergeCell ref="I27:J27"/>
    <mergeCell ref="C27:D27"/>
    <mergeCell ref="E27:F27"/>
    <mergeCell ref="G24:G26"/>
    <mergeCell ref="H24:H26"/>
    <mergeCell ref="I24:I26"/>
    <mergeCell ref="J24:J26"/>
    <mergeCell ref="B24:B27"/>
    <mergeCell ref="B2:J2"/>
    <mergeCell ref="B49:J49"/>
    <mergeCell ref="L15:O15"/>
    <mergeCell ref="L17:L19"/>
    <mergeCell ref="K15:K19"/>
    <mergeCell ref="B15:B16"/>
    <mergeCell ref="C15:C16"/>
    <mergeCell ref="C24:C26"/>
    <mergeCell ref="D24:D26"/>
    <mergeCell ref="E24:E26"/>
    <mergeCell ref="F24:F26"/>
    <mergeCell ref="L25:O25"/>
    <mergeCell ref="L24:AA24"/>
    <mergeCell ref="P25:S25"/>
    <mergeCell ref="X25:AA25"/>
    <mergeCell ref="T25:W25"/>
    <mergeCell ref="R26:S26"/>
    <mergeCell ref="V26:W26"/>
    <mergeCell ref="X26:Y26"/>
    <mergeCell ref="W17:W19"/>
    <mergeCell ref="T26:U26"/>
    <mergeCell ref="X17:X19"/>
    <mergeCell ref="Y17:Y19"/>
    <mergeCell ref="Z17:Z19"/>
    <mergeCell ref="AB16:AC16"/>
    <mergeCell ref="AD16:AE16"/>
    <mergeCell ref="AB17:AB19"/>
    <mergeCell ref="AC17:AC19"/>
    <mergeCell ref="AD17:AD19"/>
    <mergeCell ref="AE17:AE19"/>
    <mergeCell ref="K14:AA14"/>
    <mergeCell ref="X15:AA15"/>
    <mergeCell ref="L16:M16"/>
    <mergeCell ref="N16:O16"/>
    <mergeCell ref="P16:Q16"/>
    <mergeCell ref="R16:S16"/>
    <mergeCell ref="T16:U16"/>
    <mergeCell ref="V16:W16"/>
    <mergeCell ref="X16:Y16"/>
    <mergeCell ref="Z16:AA16"/>
    <mergeCell ref="AC15:AD15"/>
    <mergeCell ref="Q17:Q19"/>
    <mergeCell ref="R17:R19"/>
    <mergeCell ref="S17:S19"/>
    <mergeCell ref="T17:T19"/>
    <mergeCell ref="P15:S15"/>
    <mergeCell ref="T15:W15"/>
    <mergeCell ref="V17:V19"/>
    <mergeCell ref="AB24:AQ24"/>
    <mergeCell ref="AB25:AE25"/>
    <mergeCell ref="AF25:AI25"/>
    <mergeCell ref="AJ25:AM25"/>
    <mergeCell ref="AN25:AQ25"/>
    <mergeCell ref="AB49:AQ49"/>
    <mergeCell ref="AB51:AQ51"/>
    <mergeCell ref="BH24:BW24"/>
    <mergeCell ref="BH25:BK25"/>
    <mergeCell ref="BP26:BQ26"/>
    <mergeCell ref="AR24:BG24"/>
    <mergeCell ref="AR25:AU25"/>
    <mergeCell ref="AV25:AY25"/>
    <mergeCell ref="AZ25:BC25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BL25:BO25"/>
    <mergeCell ref="BP25:BS25"/>
    <mergeCell ref="BT25:BW25"/>
    <mergeCell ref="AR53:BG53"/>
    <mergeCell ref="AT54:AU54"/>
    <mergeCell ref="AX54:AY54"/>
    <mergeCell ref="BB54:BC54"/>
    <mergeCell ref="BF54:BG54"/>
    <mergeCell ref="BB26:BC26"/>
    <mergeCell ref="BD26:BE26"/>
    <mergeCell ref="BF26:BG26"/>
    <mergeCell ref="AR49:BG49"/>
    <mergeCell ref="AR51:BG51"/>
    <mergeCell ref="AR26:AS26"/>
    <mergeCell ref="AT26:AU26"/>
    <mergeCell ref="AV26:AW26"/>
    <mergeCell ref="AX26:AY26"/>
    <mergeCell ref="AZ26:BA26"/>
    <mergeCell ref="BD25:BG25"/>
    <mergeCell ref="BR26:BS26"/>
    <mergeCell ref="BT26:BU26"/>
    <mergeCell ref="BH26:BI26"/>
    <mergeCell ref="BN26:BO26"/>
    <mergeCell ref="BJ26:BK26"/>
    <mergeCell ref="L83:M83"/>
    <mergeCell ref="Z26:AA26"/>
    <mergeCell ref="BH49:BW49"/>
    <mergeCell ref="BV26:BW26"/>
    <mergeCell ref="BH51:BW51"/>
    <mergeCell ref="B53:J53"/>
    <mergeCell ref="B82:J82"/>
    <mergeCell ref="BH53:BW53"/>
    <mergeCell ref="BJ54:BK54"/>
    <mergeCell ref="BN54:BO54"/>
    <mergeCell ref="BR54:BS54"/>
    <mergeCell ref="BV54:BW54"/>
    <mergeCell ref="AD54:AE54"/>
    <mergeCell ref="AH54:AI54"/>
    <mergeCell ref="AL54:AM54"/>
    <mergeCell ref="AP54:AQ54"/>
    <mergeCell ref="L49:AA49"/>
    <mergeCell ref="BL26:BM26"/>
    <mergeCell ref="AB53:AQ53"/>
    <mergeCell ref="L26:M26"/>
    <mergeCell ref="N26:O26"/>
    <mergeCell ref="P26:Q26"/>
    <mergeCell ref="AX83:AY83"/>
    <mergeCell ref="B90:B91"/>
    <mergeCell ref="B89:D89"/>
    <mergeCell ref="BT83:BU83"/>
    <mergeCell ref="BV83:BW83"/>
    <mergeCell ref="BJ83:BK83"/>
    <mergeCell ref="L51:AA51"/>
    <mergeCell ref="L53:AA53"/>
    <mergeCell ref="R54:S54"/>
    <mergeCell ref="V54:W54"/>
    <mergeCell ref="Z54:AA54"/>
    <mergeCell ref="BL83:BM83"/>
    <mergeCell ref="BN83:BO83"/>
    <mergeCell ref="BP83:BQ83"/>
    <mergeCell ref="BR83:BS83"/>
    <mergeCell ref="AZ83:BA83"/>
    <mergeCell ref="BB83:BC83"/>
    <mergeCell ref="BD83:BE83"/>
    <mergeCell ref="AB83:AC83"/>
    <mergeCell ref="AD83:AE83"/>
    <mergeCell ref="AF83:AG83"/>
    <mergeCell ref="AH83:AI83"/>
    <mergeCell ref="AJ83:AK83"/>
    <mergeCell ref="BF83:BG83"/>
    <mergeCell ref="BH83:BI83"/>
  </mergeCells>
  <conditionalFormatting sqref="E17:F17">
    <cfRule type="cellIs" dxfId="9" priority="258" operator="equal">
      <formula>#REF!</formula>
    </cfRule>
    <cfRule type="cellIs" dxfId="8" priority="259" operator="lessThan">
      <formula>#REF!</formula>
    </cfRule>
  </conditionalFormatting>
  <conditionalFormatting sqref="G17:H17">
    <cfRule type="iconSet" priority="254">
      <iconSet iconSet="3Symbols">
        <cfvo type="percent" val="0"/>
        <cfvo type="percent" val="33"/>
        <cfvo type="num" val="&quot;сумм($D$4:$D$9)&quot;"/>
      </iconSet>
    </cfRule>
  </conditionalFormatting>
  <conditionalFormatting sqref="G17">
    <cfRule type="cellIs" dxfId="7" priority="243" operator="lessThan">
      <formula>$I$52</formula>
    </cfRule>
    <cfRule type="cellIs" dxfId="6" priority="244" operator="greaterThan">
      <formula>$I$52</formula>
    </cfRule>
    <cfRule type="cellIs" dxfId="5" priority="248" operator="equal">
      <formula>$I$52</formula>
    </cfRule>
  </conditionalFormatting>
  <conditionalFormatting sqref="I56:J80">
    <cfRule type="containsErrors" dxfId="4" priority="329">
      <formula>ISERROR(I56)</formula>
    </cfRule>
  </conditionalFormatting>
  <conditionalFormatting sqref="I107:J107">
    <cfRule type="containsErrors" dxfId="3" priority="4">
      <formula>ISERROR(I107)</formula>
    </cfRule>
  </conditionalFormatting>
  <conditionalFormatting sqref="I108:J108">
    <cfRule type="containsErrors" dxfId="2" priority="3">
      <formula>ISERROR(I108)</formula>
    </cfRule>
  </conditionalFormatting>
  <conditionalFormatting sqref="I110:J110">
    <cfRule type="containsErrors" dxfId="1" priority="2">
      <formula>ISERROR(I110)</formula>
    </cfRule>
  </conditionalFormatting>
  <conditionalFormatting sqref="I109">
    <cfRule type="containsErrors" dxfId="0" priority="1">
      <formula>ISERROR(I109)</formula>
    </cfRule>
  </conditionalFormatting>
  <pageMargins left="0.51181102362204722" right="0.51181102362204722" top="0.55118110236220474" bottom="0.55118110236220474" header="0.31496062992125984" footer="0.31496062992125984"/>
  <pageSetup paperSize="8" scale="44" fitToWidth="2" fitToHeight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7" id="{A40F470C-591E-4C05-A0E4-CE794992D6D5}">
            <x14:iconSet iconSet="5Boxes">
              <x14:cfvo type="percent">
                <xm:f>0</xm:f>
              </x14:cfvo>
              <x14:cfvo type="num">
                <xm:f>20</xm:f>
              </x14:cfvo>
              <x14:cfvo type="num">
                <xm:f>40</xm:f>
              </x14:cfvo>
              <x14:cfvo type="num">
                <xm:f>60</xm:f>
              </x14:cfvo>
              <x14:cfvo type="num">
                <xm:f>80</xm:f>
              </x14:cfvo>
            </x14:iconSet>
          </x14:cfRule>
          <xm:sqref>F19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B1" zoomScaleNormal="100" workbookViewId="0">
      <selection activeCell="J9" sqref="J9"/>
    </sheetView>
  </sheetViews>
  <sheetFormatPr defaultRowHeight="15" x14ac:dyDescent="0.25"/>
  <cols>
    <col min="1" max="1" width="3.85546875" style="212" customWidth="1"/>
    <col min="2" max="2" width="29.7109375" style="212" customWidth="1"/>
    <col min="3" max="3" width="5.5703125" style="213" customWidth="1"/>
    <col min="4" max="4" width="27.85546875" style="212" customWidth="1"/>
    <col min="5" max="5" width="5.5703125" style="212" customWidth="1"/>
    <col min="6" max="6" width="27.85546875" style="212" customWidth="1"/>
    <col min="7" max="7" width="5.5703125" style="212" customWidth="1"/>
    <col min="8" max="8" width="27.85546875" style="212" customWidth="1"/>
    <col min="9" max="9" width="5.5703125" style="212" customWidth="1"/>
    <col min="10" max="10" width="27.85546875" style="212" customWidth="1"/>
    <col min="11" max="11" width="5.5703125" style="212" customWidth="1"/>
    <col min="12" max="12" width="27.85546875" style="212" customWidth="1"/>
    <col min="13" max="13" width="5.5703125" style="212" customWidth="1"/>
    <col min="14" max="14" width="27.85546875" style="212" customWidth="1"/>
    <col min="15" max="15" width="5.5703125" style="212" customWidth="1"/>
    <col min="16" max="16" width="27.85546875" style="212" customWidth="1"/>
    <col min="17" max="17" width="5.5703125" style="212" customWidth="1"/>
    <col min="18" max="18" width="27.85546875" style="212" customWidth="1"/>
    <col min="19" max="19" width="5.5703125" style="212" customWidth="1"/>
    <col min="20" max="20" width="27.85546875" style="212" customWidth="1"/>
    <col min="21" max="21" width="5.5703125" style="212" customWidth="1"/>
    <col min="22" max="22" width="27.85546875" style="212" customWidth="1"/>
    <col min="23" max="23" width="5.5703125" style="212" customWidth="1"/>
    <col min="24" max="24" width="27.85546875" style="212" customWidth="1"/>
    <col min="25" max="25" width="5.5703125" style="212" customWidth="1"/>
    <col min="26" max="26" width="29.5703125" style="212" customWidth="1"/>
    <col min="27" max="27" width="5.5703125" style="212" customWidth="1"/>
    <col min="28" max="28" width="27.85546875" style="212" customWidth="1"/>
    <col min="29" max="29" width="5.5703125" style="212" customWidth="1"/>
    <col min="30" max="30" width="27.85546875" style="212" customWidth="1"/>
    <col min="31" max="31" width="5.5703125" style="212" customWidth="1"/>
    <col min="32" max="32" width="27.85546875" style="212" customWidth="1"/>
    <col min="33" max="33" width="6.85546875" style="212" customWidth="1"/>
    <col min="34" max="34" width="27.85546875" style="212" customWidth="1"/>
    <col min="35" max="35" width="5.5703125" style="212" customWidth="1"/>
    <col min="36" max="36" width="27.85546875" style="212" customWidth="1"/>
    <col min="37" max="37" width="6.85546875" style="212" customWidth="1"/>
    <col min="38" max="16384" width="9.140625" style="212"/>
  </cols>
  <sheetData>
    <row r="1" spans="1:37" ht="15.75" thickBot="1" x14ac:dyDescent="0.3">
      <c r="A1" s="291"/>
      <c r="B1" s="623">
        <f>SUM(B6:AJ6)</f>
        <v>463</v>
      </c>
      <c r="C1" s="292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H1" s="291"/>
      <c r="AI1" s="291"/>
      <c r="AJ1" s="291"/>
    </row>
    <row r="2" spans="1:37" ht="15.75" customHeight="1" thickBot="1" x14ac:dyDescent="0.3">
      <c r="A2" s="291"/>
      <c r="B2" s="214" t="s">
        <v>323</v>
      </c>
      <c r="C2" s="293"/>
      <c r="D2" s="788" t="s">
        <v>619</v>
      </c>
      <c r="E2" s="788"/>
      <c r="F2" s="788"/>
      <c r="G2" s="788"/>
      <c r="H2" s="788"/>
      <c r="I2" s="788"/>
      <c r="J2" s="788"/>
      <c r="K2" s="788"/>
      <c r="L2" s="788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H2" s="291"/>
      <c r="AI2" s="291"/>
      <c r="AJ2" s="291"/>
    </row>
    <row r="3" spans="1:37" ht="15.75" thickBot="1" x14ac:dyDescent="0.3">
      <c r="A3" s="291"/>
      <c r="B3" s="215" t="s">
        <v>324</v>
      </c>
      <c r="C3" s="292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H3" s="291"/>
      <c r="AI3" s="291"/>
      <c r="AJ3" s="291"/>
    </row>
    <row r="4" spans="1:37" ht="15.75" thickBot="1" x14ac:dyDescent="0.3">
      <c r="A4" s="291"/>
      <c r="B4" s="216" t="s">
        <v>325</v>
      </c>
      <c r="C4" s="292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H4" s="291"/>
      <c r="AI4" s="291"/>
      <c r="AJ4" s="291"/>
    </row>
    <row r="5" spans="1:37" ht="15.75" thickBot="1" x14ac:dyDescent="0.3">
      <c r="A5" s="291"/>
      <c r="B5" s="294" t="s">
        <v>610</v>
      </c>
      <c r="C5" s="292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H5" s="291"/>
      <c r="AI5" s="291"/>
      <c r="AJ5" s="291"/>
    </row>
    <row r="6" spans="1:37" ht="15.75" thickBot="1" x14ac:dyDescent="0.3">
      <c r="A6" s="291"/>
      <c r="B6" s="458">
        <v>67</v>
      </c>
      <c r="C6" s="459"/>
      <c r="D6" s="458">
        <v>12</v>
      </c>
      <c r="E6" s="458"/>
      <c r="F6" s="458">
        <v>8</v>
      </c>
      <c r="G6" s="458"/>
      <c r="H6" s="458">
        <v>15</v>
      </c>
      <c r="I6" s="458"/>
      <c r="J6" s="458">
        <v>74</v>
      </c>
      <c r="K6" s="458"/>
      <c r="L6" s="458">
        <v>57</v>
      </c>
      <c r="M6" s="458"/>
      <c r="N6" s="458">
        <v>5</v>
      </c>
      <c r="O6" s="458"/>
      <c r="P6" s="458">
        <v>47</v>
      </c>
      <c r="Q6" s="458"/>
      <c r="R6" s="458">
        <v>7</v>
      </c>
      <c r="S6" s="458"/>
      <c r="T6" s="458">
        <v>42</v>
      </c>
      <c r="U6" s="458"/>
      <c r="V6" s="458">
        <v>19</v>
      </c>
      <c r="W6" s="458"/>
      <c r="X6" s="458">
        <v>46</v>
      </c>
      <c r="Y6" s="458"/>
      <c r="Z6" s="458">
        <v>4</v>
      </c>
      <c r="AA6" s="458"/>
      <c r="AB6" s="458">
        <v>20</v>
      </c>
      <c r="AC6" s="458"/>
      <c r="AD6" s="458">
        <v>18</v>
      </c>
      <c r="AE6" s="458"/>
      <c r="AF6" s="458">
        <v>8</v>
      </c>
      <c r="AG6" s="460"/>
      <c r="AH6" s="458">
        <v>11</v>
      </c>
      <c r="AI6" s="458"/>
      <c r="AJ6" s="458">
        <v>3</v>
      </c>
    </row>
    <row r="7" spans="1:37" ht="51.75" thickBot="1" x14ac:dyDescent="0.3">
      <c r="A7" s="291"/>
      <c r="B7" s="572" t="s">
        <v>681</v>
      </c>
      <c r="C7" s="571" t="s">
        <v>326</v>
      </c>
      <c r="D7" s="457" t="s">
        <v>1163</v>
      </c>
      <c r="E7" s="236" t="s">
        <v>327</v>
      </c>
      <c r="F7" s="295" t="s">
        <v>1164</v>
      </c>
      <c r="G7" s="217" t="s">
        <v>328</v>
      </c>
      <c r="H7" s="295" t="s">
        <v>1165</v>
      </c>
      <c r="I7" s="323" t="s">
        <v>329</v>
      </c>
      <c r="J7" s="295" t="s">
        <v>1166</v>
      </c>
      <c r="K7" s="217" t="s">
        <v>330</v>
      </c>
      <c r="L7" s="295" t="s">
        <v>1168</v>
      </c>
      <c r="M7" s="323" t="s">
        <v>331</v>
      </c>
      <c r="N7" s="324" t="s">
        <v>1167</v>
      </c>
      <c r="O7" s="325" t="s">
        <v>332</v>
      </c>
      <c r="P7" s="591" t="s">
        <v>1169</v>
      </c>
      <c r="Q7" s="325" t="s">
        <v>333</v>
      </c>
      <c r="R7" s="295" t="s">
        <v>1170</v>
      </c>
      <c r="S7" s="613" t="s">
        <v>334</v>
      </c>
      <c r="T7" s="614" t="s">
        <v>1171</v>
      </c>
      <c r="U7" s="615" t="s">
        <v>335</v>
      </c>
      <c r="V7" s="322" t="s">
        <v>1172</v>
      </c>
      <c r="W7" s="323" t="s">
        <v>336</v>
      </c>
      <c r="X7" s="295" t="s">
        <v>1173</v>
      </c>
      <c r="Y7" s="217" t="s">
        <v>337</v>
      </c>
      <c r="Z7" s="322" t="s">
        <v>1174</v>
      </c>
      <c r="AA7" s="323" t="s">
        <v>338</v>
      </c>
      <c r="AB7" s="603" t="s">
        <v>1191</v>
      </c>
      <c r="AC7" s="592" t="s">
        <v>339</v>
      </c>
      <c r="AD7" s="614" t="s">
        <v>1175</v>
      </c>
      <c r="AE7" s="615">
        <v>1700</v>
      </c>
      <c r="AF7" s="621" t="s">
        <v>1131</v>
      </c>
      <c r="AG7" s="590">
        <v>1800</v>
      </c>
      <c r="AH7" s="614" t="s">
        <v>1192</v>
      </c>
      <c r="AI7" s="615">
        <v>1900</v>
      </c>
      <c r="AJ7" s="322" t="s">
        <v>832</v>
      </c>
      <c r="AK7" s="217">
        <v>2000</v>
      </c>
    </row>
    <row r="8" spans="1:37" ht="78.75" customHeight="1" x14ac:dyDescent="0.25">
      <c r="A8" s="291"/>
      <c r="B8" s="622" t="s">
        <v>1393</v>
      </c>
      <c r="C8" s="600">
        <v>1101</v>
      </c>
      <c r="D8" s="296" t="s">
        <v>1162</v>
      </c>
      <c r="E8" s="218" t="s">
        <v>340</v>
      </c>
      <c r="F8" s="297" t="s">
        <v>682</v>
      </c>
      <c r="G8" s="218" t="s">
        <v>341</v>
      </c>
      <c r="H8" s="297" t="s">
        <v>683</v>
      </c>
      <c r="I8" s="219" t="s">
        <v>342</v>
      </c>
      <c r="J8" s="297" t="s">
        <v>684</v>
      </c>
      <c r="K8" s="326" t="s">
        <v>343</v>
      </c>
      <c r="L8" s="297" t="s">
        <v>1193</v>
      </c>
      <c r="M8" s="219" t="s">
        <v>344</v>
      </c>
      <c r="N8" s="299" t="s">
        <v>685</v>
      </c>
      <c r="O8" s="220" t="s">
        <v>345</v>
      </c>
      <c r="P8" s="298" t="s">
        <v>686</v>
      </c>
      <c r="Q8" s="220" t="s">
        <v>346</v>
      </c>
      <c r="R8" s="297" t="s">
        <v>687</v>
      </c>
      <c r="S8" s="594" t="s">
        <v>347</v>
      </c>
      <c r="T8" s="607" t="s">
        <v>688</v>
      </c>
      <c r="U8" s="595" t="s">
        <v>348</v>
      </c>
      <c r="V8" s="296" t="s">
        <v>689</v>
      </c>
      <c r="W8" s="219" t="s">
        <v>349</v>
      </c>
      <c r="X8" s="297" t="s">
        <v>690</v>
      </c>
      <c r="Y8" s="218" t="s">
        <v>350</v>
      </c>
      <c r="Z8" s="296" t="s">
        <v>691</v>
      </c>
      <c r="AA8" s="219" t="s">
        <v>351</v>
      </c>
      <c r="AB8" s="604" t="s">
        <v>1176</v>
      </c>
      <c r="AC8" s="593" t="s">
        <v>352</v>
      </c>
      <c r="AD8" s="607" t="s">
        <v>1248</v>
      </c>
      <c r="AE8" s="600">
        <v>1701</v>
      </c>
      <c r="AF8" s="606" t="s">
        <v>703</v>
      </c>
      <c r="AG8" s="596" t="s">
        <v>674</v>
      </c>
      <c r="AH8" s="607" t="s">
        <v>1115</v>
      </c>
      <c r="AI8" s="595" t="s">
        <v>1247</v>
      </c>
      <c r="AJ8" s="296" t="s">
        <v>843</v>
      </c>
      <c r="AK8" s="218" t="s">
        <v>1129</v>
      </c>
    </row>
    <row r="9" spans="1:37" ht="99.75" customHeight="1" thickBot="1" x14ac:dyDescent="0.3">
      <c r="A9" s="291"/>
      <c r="B9" s="605" t="s">
        <v>1394</v>
      </c>
      <c r="C9" s="600">
        <v>1102</v>
      </c>
      <c r="D9" s="298" t="s">
        <v>1161</v>
      </c>
      <c r="E9" s="220" t="s">
        <v>353</v>
      </c>
      <c r="F9" s="299" t="s">
        <v>693</v>
      </c>
      <c r="G9" s="220" t="s">
        <v>354</v>
      </c>
      <c r="H9" s="299" t="s">
        <v>694</v>
      </c>
      <c r="I9" s="221" t="s">
        <v>355</v>
      </c>
      <c r="J9" s="299" t="s">
        <v>695</v>
      </c>
      <c r="K9" s="220" t="s">
        <v>356</v>
      </c>
      <c r="L9" s="299" t="s">
        <v>1194</v>
      </c>
      <c r="M9" s="221" t="s">
        <v>357</v>
      </c>
      <c r="N9" s="299" t="s">
        <v>696</v>
      </c>
      <c r="O9" s="220" t="s">
        <v>358</v>
      </c>
      <c r="P9" s="298" t="s">
        <v>697</v>
      </c>
      <c r="Q9" s="220" t="s">
        <v>359</v>
      </c>
      <c r="R9" s="299" t="s">
        <v>698</v>
      </c>
      <c r="S9" s="596" t="s">
        <v>360</v>
      </c>
      <c r="T9" s="607" t="s">
        <v>699</v>
      </c>
      <c r="U9" s="595" t="s">
        <v>361</v>
      </c>
      <c r="V9" s="298" t="s">
        <v>701</v>
      </c>
      <c r="W9" s="221" t="s">
        <v>362</v>
      </c>
      <c r="X9" s="299" t="s">
        <v>702</v>
      </c>
      <c r="Y9" s="220" t="s">
        <v>363</v>
      </c>
      <c r="Z9" s="298" t="s">
        <v>1151</v>
      </c>
      <c r="AA9" s="221" t="s">
        <v>364</v>
      </c>
      <c r="AB9" s="607" t="s">
        <v>1177</v>
      </c>
      <c r="AC9" s="595" t="s">
        <v>365</v>
      </c>
      <c r="AD9" s="607" t="s">
        <v>1261</v>
      </c>
      <c r="AE9" s="602">
        <v>1702</v>
      </c>
      <c r="AF9" s="606" t="s">
        <v>845</v>
      </c>
      <c r="AG9" s="596">
        <v>1804</v>
      </c>
      <c r="AH9" s="616" t="s">
        <v>700</v>
      </c>
      <c r="AI9" s="595" t="s">
        <v>1120</v>
      </c>
      <c r="AJ9" s="300" t="s">
        <v>864</v>
      </c>
      <c r="AK9" s="222" t="s">
        <v>1130</v>
      </c>
    </row>
    <row r="10" spans="1:37" ht="153.75" thickBot="1" x14ac:dyDescent="0.3">
      <c r="A10" s="291"/>
      <c r="B10" s="608" t="s">
        <v>1389</v>
      </c>
      <c r="C10" s="600">
        <v>1103</v>
      </c>
      <c r="D10" s="298" t="s">
        <v>1160</v>
      </c>
      <c r="E10" s="220" t="s">
        <v>366</v>
      </c>
      <c r="F10" s="299" t="s">
        <v>704</v>
      </c>
      <c r="G10" s="220" t="s">
        <v>367</v>
      </c>
      <c r="H10" s="299" t="s">
        <v>705</v>
      </c>
      <c r="I10" s="221" t="s">
        <v>368</v>
      </c>
      <c r="J10" s="299" t="s">
        <v>1385</v>
      </c>
      <c r="K10" s="220" t="s">
        <v>1384</v>
      </c>
      <c r="L10" s="299" t="s">
        <v>1195</v>
      </c>
      <c r="M10" s="221" t="s">
        <v>369</v>
      </c>
      <c r="N10" s="299" t="s">
        <v>706</v>
      </c>
      <c r="O10" s="220" t="s">
        <v>370</v>
      </c>
      <c r="P10" s="298" t="s">
        <v>717</v>
      </c>
      <c r="Q10" s="220" t="s">
        <v>380</v>
      </c>
      <c r="R10" s="299" t="s">
        <v>707</v>
      </c>
      <c r="S10" s="596" t="s">
        <v>371</v>
      </c>
      <c r="T10" s="607" t="s">
        <v>708</v>
      </c>
      <c r="U10" s="595" t="s">
        <v>372</v>
      </c>
      <c r="V10" s="298" t="s">
        <v>710</v>
      </c>
      <c r="W10" s="221" t="s">
        <v>373</v>
      </c>
      <c r="X10" s="299" t="s">
        <v>712</v>
      </c>
      <c r="Y10" s="220" t="s">
        <v>374</v>
      </c>
      <c r="Z10" s="300" t="s">
        <v>986</v>
      </c>
      <c r="AA10" s="224" t="s">
        <v>385</v>
      </c>
      <c r="AB10" s="607" t="s">
        <v>1178</v>
      </c>
      <c r="AC10" s="595" t="s">
        <v>375</v>
      </c>
      <c r="AD10" s="607" t="s">
        <v>1249</v>
      </c>
      <c r="AE10" s="595" t="s">
        <v>676</v>
      </c>
      <c r="AF10" s="606" t="s">
        <v>894</v>
      </c>
      <c r="AG10" s="596">
        <v>1805</v>
      </c>
      <c r="AH10" s="607" t="s">
        <v>709</v>
      </c>
      <c r="AI10" s="595" t="s">
        <v>1121</v>
      </c>
      <c r="AJ10" s="233"/>
      <c r="AK10" s="235"/>
    </row>
    <row r="11" spans="1:37" ht="64.5" thickBot="1" x14ac:dyDescent="0.3">
      <c r="A11" s="291"/>
      <c r="B11" s="607" t="s">
        <v>1390</v>
      </c>
      <c r="C11" s="600">
        <v>1104</v>
      </c>
      <c r="D11" s="298" t="s">
        <v>1159</v>
      </c>
      <c r="E11" s="220" t="s">
        <v>376</v>
      </c>
      <c r="F11" s="299" t="s">
        <v>714</v>
      </c>
      <c r="G11" s="220" t="s">
        <v>670</v>
      </c>
      <c r="H11" s="299" t="s">
        <v>715</v>
      </c>
      <c r="I11" s="221" t="s">
        <v>377</v>
      </c>
      <c r="J11" s="299" t="s">
        <v>716</v>
      </c>
      <c r="K11" s="220" t="s">
        <v>378</v>
      </c>
      <c r="L11" s="299" t="s">
        <v>1196</v>
      </c>
      <c r="M11" s="221" t="s">
        <v>379</v>
      </c>
      <c r="N11" s="301" t="s">
        <v>1388</v>
      </c>
      <c r="O11" s="222" t="s">
        <v>1387</v>
      </c>
      <c r="P11" s="298" t="s">
        <v>726</v>
      </c>
      <c r="Q11" s="220" t="s">
        <v>391</v>
      </c>
      <c r="R11" s="299" t="s">
        <v>727</v>
      </c>
      <c r="S11" s="596" t="s">
        <v>392</v>
      </c>
      <c r="T11" s="607" t="s">
        <v>719</v>
      </c>
      <c r="U11" s="595" t="s">
        <v>382</v>
      </c>
      <c r="V11" s="298" t="s">
        <v>721</v>
      </c>
      <c r="W11" s="221" t="s">
        <v>383</v>
      </c>
      <c r="X11" s="299" t="s">
        <v>722</v>
      </c>
      <c r="Y11" s="220" t="s">
        <v>384</v>
      </c>
      <c r="Z11" s="233"/>
      <c r="AA11" s="235"/>
      <c r="AB11" s="607" t="s">
        <v>1179</v>
      </c>
      <c r="AC11" s="595" t="s">
        <v>386</v>
      </c>
      <c r="AD11" s="607" t="s">
        <v>1250</v>
      </c>
      <c r="AE11" s="595" t="s">
        <v>677</v>
      </c>
      <c r="AF11" s="606" t="s">
        <v>971</v>
      </c>
      <c r="AG11" s="596">
        <v>1806</v>
      </c>
      <c r="AH11" s="607" t="s">
        <v>720</v>
      </c>
      <c r="AI11" s="595" t="s">
        <v>1122</v>
      </c>
      <c r="AJ11" s="291"/>
    </row>
    <row r="12" spans="1:37" ht="102" x14ac:dyDescent="0.25">
      <c r="A12" s="291"/>
      <c r="B12" s="607" t="s">
        <v>1391</v>
      </c>
      <c r="C12" s="600">
        <v>1105</v>
      </c>
      <c r="D12" s="298" t="s">
        <v>1158</v>
      </c>
      <c r="E12" s="220" t="s">
        <v>387</v>
      </c>
      <c r="F12" s="299" t="s">
        <v>723</v>
      </c>
      <c r="G12" s="220" t="s">
        <v>671</v>
      </c>
      <c r="H12" s="299" t="s">
        <v>724</v>
      </c>
      <c r="I12" s="221" t="s">
        <v>388</v>
      </c>
      <c r="J12" s="299" t="s">
        <v>725</v>
      </c>
      <c r="K12" s="220" t="s">
        <v>389</v>
      </c>
      <c r="L12" s="299" t="s">
        <v>1197</v>
      </c>
      <c r="M12" s="220" t="s">
        <v>390</v>
      </c>
      <c r="N12" s="233"/>
      <c r="O12" s="235"/>
      <c r="P12" s="299" t="s">
        <v>735</v>
      </c>
      <c r="Q12" s="220" t="s">
        <v>401</v>
      </c>
      <c r="R12" s="299" t="s">
        <v>736</v>
      </c>
      <c r="S12" s="596" t="s">
        <v>402</v>
      </c>
      <c r="T12" s="607" t="s">
        <v>728</v>
      </c>
      <c r="U12" s="595" t="s">
        <v>393</v>
      </c>
      <c r="V12" s="298" t="s">
        <v>730</v>
      </c>
      <c r="W12" s="221" t="s">
        <v>394</v>
      </c>
      <c r="X12" s="327" t="s">
        <v>731</v>
      </c>
      <c r="Y12" s="328" t="s">
        <v>395</v>
      </c>
      <c r="Z12" s="223"/>
      <c r="AA12" s="223"/>
      <c r="AB12" s="616" t="s">
        <v>1180</v>
      </c>
      <c r="AC12" s="617" t="s">
        <v>396</v>
      </c>
      <c r="AD12" s="607" t="s">
        <v>1262</v>
      </c>
      <c r="AE12" s="602">
        <v>1705</v>
      </c>
      <c r="AF12" s="606" t="s">
        <v>1132</v>
      </c>
      <c r="AG12" s="596">
        <v>1807</v>
      </c>
      <c r="AH12" s="607" t="s">
        <v>729</v>
      </c>
      <c r="AI12" s="595" t="s">
        <v>1123</v>
      </c>
      <c r="AJ12" s="291"/>
    </row>
    <row r="13" spans="1:37" ht="90" thickBot="1" x14ac:dyDescent="0.3">
      <c r="A13" s="291"/>
      <c r="B13" s="607" t="s">
        <v>1392</v>
      </c>
      <c r="C13" s="600">
        <v>1106</v>
      </c>
      <c r="D13" s="298" t="s">
        <v>1157</v>
      </c>
      <c r="E13" s="220" t="s">
        <v>397</v>
      </c>
      <c r="F13" s="299" t="s">
        <v>732</v>
      </c>
      <c r="G13" s="220" t="s">
        <v>672</v>
      </c>
      <c r="H13" s="299" t="s">
        <v>733</v>
      </c>
      <c r="I13" s="221" t="s">
        <v>398</v>
      </c>
      <c r="J13" s="299" t="s">
        <v>734</v>
      </c>
      <c r="K13" s="220" t="s">
        <v>399</v>
      </c>
      <c r="L13" s="299" t="s">
        <v>1198</v>
      </c>
      <c r="M13" s="220" t="s">
        <v>400</v>
      </c>
      <c r="N13" s="233"/>
      <c r="O13" s="235"/>
      <c r="P13" s="299" t="s">
        <v>745</v>
      </c>
      <c r="Q13" s="220" t="s">
        <v>411</v>
      </c>
      <c r="R13" s="301" t="s">
        <v>942</v>
      </c>
      <c r="S13" s="598" t="s">
        <v>943</v>
      </c>
      <c r="T13" s="607" t="s">
        <v>737</v>
      </c>
      <c r="U13" s="595" t="s">
        <v>403</v>
      </c>
      <c r="V13" s="298" t="s">
        <v>739</v>
      </c>
      <c r="W13" s="221" t="s">
        <v>404</v>
      </c>
      <c r="X13" s="299" t="s">
        <v>740</v>
      </c>
      <c r="Y13" s="220" t="s">
        <v>405</v>
      </c>
      <c r="Z13" s="223"/>
      <c r="AA13" s="223"/>
      <c r="AB13" s="607" t="s">
        <v>1181</v>
      </c>
      <c r="AC13" s="595" t="s">
        <v>406</v>
      </c>
      <c r="AD13" s="607" t="s">
        <v>1251</v>
      </c>
      <c r="AE13" s="600">
        <v>1706</v>
      </c>
      <c r="AF13" s="606" t="s">
        <v>1133</v>
      </c>
      <c r="AG13" s="596">
        <v>1808</v>
      </c>
      <c r="AH13" s="607" t="s">
        <v>738</v>
      </c>
      <c r="AI13" s="595" t="s">
        <v>1124</v>
      </c>
      <c r="AJ13" s="291"/>
    </row>
    <row r="14" spans="1:37" ht="64.5" thickBot="1" x14ac:dyDescent="0.3">
      <c r="A14" s="291"/>
      <c r="B14" s="607" t="s">
        <v>741</v>
      </c>
      <c r="C14" s="600">
        <v>1107</v>
      </c>
      <c r="D14" s="298" t="s">
        <v>1156</v>
      </c>
      <c r="E14" s="220" t="s">
        <v>407</v>
      </c>
      <c r="F14" s="301" t="s">
        <v>742</v>
      </c>
      <c r="G14" s="222" t="s">
        <v>673</v>
      </c>
      <c r="H14" s="299" t="s">
        <v>743</v>
      </c>
      <c r="I14" s="221" t="s">
        <v>408</v>
      </c>
      <c r="J14" s="299" t="s">
        <v>744</v>
      </c>
      <c r="K14" s="220" t="s">
        <v>409</v>
      </c>
      <c r="L14" s="299" t="s">
        <v>1199</v>
      </c>
      <c r="M14" s="220" t="s">
        <v>410</v>
      </c>
      <c r="N14" s="223"/>
      <c r="O14" s="223"/>
      <c r="P14" s="299" t="s">
        <v>753</v>
      </c>
      <c r="Q14" s="220" t="s">
        <v>420</v>
      </c>
      <c r="R14" s="233"/>
      <c r="S14" s="235"/>
      <c r="T14" s="607" t="s">
        <v>746</v>
      </c>
      <c r="U14" s="595" t="s">
        <v>412</v>
      </c>
      <c r="V14" s="298" t="s">
        <v>748</v>
      </c>
      <c r="W14" s="221" t="s">
        <v>413</v>
      </c>
      <c r="X14" s="299" t="s">
        <v>749</v>
      </c>
      <c r="Y14" s="220" t="s">
        <v>414</v>
      </c>
      <c r="Z14" s="223"/>
      <c r="AA14" s="223"/>
      <c r="AB14" s="607" t="s">
        <v>1152</v>
      </c>
      <c r="AC14" s="595" t="s">
        <v>415</v>
      </c>
      <c r="AD14" s="607" t="s">
        <v>1252</v>
      </c>
      <c r="AE14" s="602">
        <v>1707</v>
      </c>
      <c r="AF14" s="609" t="s">
        <v>1134</v>
      </c>
      <c r="AG14" s="598">
        <v>1809</v>
      </c>
      <c r="AH14" s="607" t="s">
        <v>747</v>
      </c>
      <c r="AI14" s="595" t="s">
        <v>1125</v>
      </c>
      <c r="AJ14" s="291"/>
    </row>
    <row r="15" spans="1:37" ht="63.75" x14ac:dyDescent="0.25">
      <c r="A15" s="291"/>
      <c r="B15" s="608" t="s">
        <v>750</v>
      </c>
      <c r="C15" s="600">
        <v>1108</v>
      </c>
      <c r="D15" s="298" t="s">
        <v>1098</v>
      </c>
      <c r="E15" s="220" t="s">
        <v>416</v>
      </c>
      <c r="F15" s="223"/>
      <c r="G15" s="223"/>
      <c r="H15" s="299" t="s">
        <v>751</v>
      </c>
      <c r="I15" s="221" t="s">
        <v>417</v>
      </c>
      <c r="J15" s="299" t="s">
        <v>752</v>
      </c>
      <c r="K15" s="220" t="s">
        <v>418</v>
      </c>
      <c r="L15" s="299" t="s">
        <v>1200</v>
      </c>
      <c r="M15" s="220" t="s">
        <v>419</v>
      </c>
      <c r="N15" s="223"/>
      <c r="O15" s="223"/>
      <c r="P15" s="299" t="s">
        <v>759</v>
      </c>
      <c r="Q15" s="220" t="s">
        <v>428</v>
      </c>
      <c r="R15" s="233"/>
      <c r="S15" s="235"/>
      <c r="T15" s="607" t="s">
        <v>754</v>
      </c>
      <c r="U15" s="595" t="s">
        <v>421</v>
      </c>
      <c r="V15" s="298" t="s">
        <v>756</v>
      </c>
      <c r="W15" s="221" t="s">
        <v>422</v>
      </c>
      <c r="X15" s="299" t="s">
        <v>757</v>
      </c>
      <c r="Y15" s="220" t="s">
        <v>423</v>
      </c>
      <c r="Z15" s="223"/>
      <c r="AA15" s="223"/>
      <c r="AB15" s="607" t="s">
        <v>1182</v>
      </c>
      <c r="AC15" s="595" t="s">
        <v>424</v>
      </c>
      <c r="AD15" s="607" t="s">
        <v>1253</v>
      </c>
      <c r="AE15" s="595" t="s">
        <v>678</v>
      </c>
      <c r="AF15" s="599"/>
      <c r="AG15" s="601"/>
      <c r="AH15" s="607" t="s">
        <v>755</v>
      </c>
      <c r="AI15" s="595" t="s">
        <v>1126</v>
      </c>
      <c r="AJ15" s="291"/>
    </row>
    <row r="16" spans="1:37" ht="63.75" x14ac:dyDescent="0.25">
      <c r="A16" s="291"/>
      <c r="B16" s="607" t="s">
        <v>1395</v>
      </c>
      <c r="C16" s="600">
        <v>1109</v>
      </c>
      <c r="D16" s="298" t="s">
        <v>1099</v>
      </c>
      <c r="E16" s="220" t="s">
        <v>425</v>
      </c>
      <c r="F16" s="223"/>
      <c r="G16" s="223"/>
      <c r="H16" s="299" t="s">
        <v>758</v>
      </c>
      <c r="I16" s="221" t="s">
        <v>426</v>
      </c>
      <c r="J16" s="299" t="s">
        <v>771</v>
      </c>
      <c r="K16" s="220" t="s">
        <v>443</v>
      </c>
      <c r="L16" s="299" t="s">
        <v>1201</v>
      </c>
      <c r="M16" s="220" t="s">
        <v>427</v>
      </c>
      <c r="N16" s="223"/>
      <c r="O16" s="223"/>
      <c r="P16" s="299" t="s">
        <v>765</v>
      </c>
      <c r="Q16" s="220" t="s">
        <v>436</v>
      </c>
      <c r="R16" s="233"/>
      <c r="S16" s="235"/>
      <c r="T16" s="607" t="s">
        <v>760</v>
      </c>
      <c r="U16" s="595" t="s">
        <v>429</v>
      </c>
      <c r="V16" s="298" t="s">
        <v>762</v>
      </c>
      <c r="W16" s="221" t="s">
        <v>430</v>
      </c>
      <c r="X16" s="299" t="s">
        <v>763</v>
      </c>
      <c r="Y16" s="220" t="s">
        <v>431</v>
      </c>
      <c r="Z16" s="223"/>
      <c r="AA16" s="223"/>
      <c r="AB16" s="607" t="s">
        <v>1183</v>
      </c>
      <c r="AC16" s="595" t="s">
        <v>432</v>
      </c>
      <c r="AD16" s="607" t="s">
        <v>1254</v>
      </c>
      <c r="AE16" s="600">
        <v>1712</v>
      </c>
      <c r="AF16" s="599"/>
      <c r="AG16" s="601"/>
      <c r="AH16" s="607" t="s">
        <v>761</v>
      </c>
      <c r="AI16" s="595" t="s">
        <v>1127</v>
      </c>
      <c r="AJ16" s="291"/>
    </row>
    <row r="17" spans="1:36" ht="51.75" thickBot="1" x14ac:dyDescent="0.3">
      <c r="A17" s="291"/>
      <c r="B17" s="607" t="s">
        <v>1396</v>
      </c>
      <c r="C17" s="600">
        <v>1110</v>
      </c>
      <c r="D17" s="298" t="s">
        <v>1100</v>
      </c>
      <c r="E17" s="220" t="s">
        <v>433</v>
      </c>
      <c r="F17" s="223"/>
      <c r="G17" s="223"/>
      <c r="H17" s="299" t="s">
        <v>764</v>
      </c>
      <c r="I17" s="221" t="s">
        <v>434</v>
      </c>
      <c r="J17" s="299" t="s">
        <v>777</v>
      </c>
      <c r="K17" s="220" t="s">
        <v>451</v>
      </c>
      <c r="L17" s="299" t="s">
        <v>1202</v>
      </c>
      <c r="M17" s="220" t="s">
        <v>435</v>
      </c>
      <c r="N17" s="223"/>
      <c r="O17" s="223"/>
      <c r="P17" s="299" t="s">
        <v>772</v>
      </c>
      <c r="Q17" s="220" t="s">
        <v>445</v>
      </c>
      <c r="R17" s="223"/>
      <c r="S17" s="223"/>
      <c r="T17" s="607" t="s">
        <v>766</v>
      </c>
      <c r="U17" s="595" t="s">
        <v>437</v>
      </c>
      <c r="V17" s="298" t="s">
        <v>767</v>
      </c>
      <c r="W17" s="221" t="s">
        <v>438</v>
      </c>
      <c r="X17" s="299" t="s">
        <v>768</v>
      </c>
      <c r="Y17" s="220" t="s">
        <v>439</v>
      </c>
      <c r="Z17" s="223"/>
      <c r="AA17" s="223"/>
      <c r="AB17" s="607" t="s">
        <v>1185</v>
      </c>
      <c r="AC17" s="595" t="s">
        <v>440</v>
      </c>
      <c r="AD17" s="607" t="s">
        <v>1255</v>
      </c>
      <c r="AE17" s="602" t="s">
        <v>679</v>
      </c>
      <c r="AF17" s="233"/>
      <c r="AG17" s="235"/>
      <c r="AH17" s="610" t="s">
        <v>1114</v>
      </c>
      <c r="AI17" s="597" t="s">
        <v>1128</v>
      </c>
      <c r="AJ17" s="291"/>
    </row>
    <row r="18" spans="1:36" ht="77.25" thickBot="1" x14ac:dyDescent="0.3">
      <c r="A18" s="291"/>
      <c r="B18" s="607" t="s">
        <v>769</v>
      </c>
      <c r="C18" s="600">
        <v>1111</v>
      </c>
      <c r="D18" s="300" t="s">
        <v>1102</v>
      </c>
      <c r="E18" s="222" t="s">
        <v>465</v>
      </c>
      <c r="F18" s="223"/>
      <c r="G18" s="223"/>
      <c r="H18" s="299" t="s">
        <v>770</v>
      </c>
      <c r="I18" s="221" t="s">
        <v>442</v>
      </c>
      <c r="J18" s="299" t="s">
        <v>789</v>
      </c>
      <c r="K18" s="220" t="s">
        <v>467</v>
      </c>
      <c r="L18" s="299" t="s">
        <v>1203</v>
      </c>
      <c r="M18" s="220" t="s">
        <v>444</v>
      </c>
      <c r="N18" s="223"/>
      <c r="O18" s="223"/>
      <c r="P18" s="299" t="s">
        <v>778</v>
      </c>
      <c r="Q18" s="220" t="s">
        <v>453</v>
      </c>
      <c r="R18" s="223"/>
      <c r="S18" s="223"/>
      <c r="T18" s="607" t="s">
        <v>773</v>
      </c>
      <c r="U18" s="595" t="s">
        <v>446</v>
      </c>
      <c r="V18" s="298" t="s">
        <v>774</v>
      </c>
      <c r="W18" s="221" t="s">
        <v>447</v>
      </c>
      <c r="X18" s="299" t="s">
        <v>775</v>
      </c>
      <c r="Y18" s="220" t="s">
        <v>448</v>
      </c>
      <c r="Z18" s="223"/>
      <c r="AA18" s="223"/>
      <c r="AB18" s="607" t="s">
        <v>1184</v>
      </c>
      <c r="AC18" s="595" t="s">
        <v>449</v>
      </c>
      <c r="AD18" s="607" t="s">
        <v>1257</v>
      </c>
      <c r="AE18" s="595">
        <v>1716</v>
      </c>
      <c r="AF18" s="291"/>
      <c r="AH18" s="233"/>
      <c r="AI18" s="235"/>
      <c r="AJ18" s="291"/>
    </row>
    <row r="19" spans="1:36" ht="51" x14ac:dyDescent="0.25">
      <c r="A19" s="291"/>
      <c r="B19" s="608" t="s">
        <v>1397</v>
      </c>
      <c r="C19" s="600">
        <v>1113</v>
      </c>
      <c r="F19" s="223"/>
      <c r="G19" s="223"/>
      <c r="H19" s="299" t="s">
        <v>776</v>
      </c>
      <c r="I19" s="221" t="s">
        <v>450</v>
      </c>
      <c r="J19" s="299" t="s">
        <v>794</v>
      </c>
      <c r="K19" s="220" t="s">
        <v>474</v>
      </c>
      <c r="L19" s="299" t="s">
        <v>1204</v>
      </c>
      <c r="M19" s="220" t="s">
        <v>452</v>
      </c>
      <c r="N19" s="223"/>
      <c r="O19" s="223"/>
      <c r="P19" s="299" t="s">
        <v>783</v>
      </c>
      <c r="Q19" s="220" t="s">
        <v>460</v>
      </c>
      <c r="R19" s="223"/>
      <c r="S19" s="223"/>
      <c r="T19" s="607" t="s">
        <v>779</v>
      </c>
      <c r="U19" s="595" t="s">
        <v>454</v>
      </c>
      <c r="V19" s="298" t="s">
        <v>780</v>
      </c>
      <c r="W19" s="221" t="s">
        <v>455</v>
      </c>
      <c r="X19" s="299" t="s">
        <v>781</v>
      </c>
      <c r="Y19" s="220" t="s">
        <v>456</v>
      </c>
      <c r="Z19" s="223"/>
      <c r="AA19" s="223"/>
      <c r="AB19" s="607" t="s">
        <v>1186</v>
      </c>
      <c r="AC19" s="595" t="s">
        <v>457</v>
      </c>
      <c r="AD19" s="607" t="s">
        <v>1256</v>
      </c>
      <c r="AE19" s="595">
        <v>1717</v>
      </c>
      <c r="AF19" s="291"/>
      <c r="AH19" s="233"/>
      <c r="AI19" s="235"/>
      <c r="AJ19" s="291"/>
    </row>
    <row r="20" spans="1:36" ht="63.75" x14ac:dyDescent="0.25">
      <c r="A20" s="291"/>
      <c r="B20" s="607" t="s">
        <v>787</v>
      </c>
      <c r="C20" s="600">
        <v>1114</v>
      </c>
      <c r="D20" s="233"/>
      <c r="E20" s="235"/>
      <c r="F20" s="223"/>
      <c r="G20" s="223"/>
      <c r="H20" s="299" t="s">
        <v>782</v>
      </c>
      <c r="I20" s="221" t="s">
        <v>458</v>
      </c>
      <c r="J20" s="299" t="s">
        <v>801</v>
      </c>
      <c r="K20" s="220" t="s">
        <v>483</v>
      </c>
      <c r="L20" s="299" t="s">
        <v>1205</v>
      </c>
      <c r="M20" s="220" t="s">
        <v>459</v>
      </c>
      <c r="N20" s="223"/>
      <c r="O20" s="223"/>
      <c r="P20" s="299" t="s">
        <v>790</v>
      </c>
      <c r="Q20" s="220" t="s">
        <v>469</v>
      </c>
      <c r="R20" s="223"/>
      <c r="S20" s="223"/>
      <c r="T20" s="607" t="s">
        <v>784</v>
      </c>
      <c r="U20" s="595" t="s">
        <v>461</v>
      </c>
      <c r="V20" s="298" t="s">
        <v>785</v>
      </c>
      <c r="W20" s="221" t="s">
        <v>462</v>
      </c>
      <c r="X20" s="299" t="s">
        <v>786</v>
      </c>
      <c r="Y20" s="220" t="s">
        <v>463</v>
      </c>
      <c r="Z20" s="223"/>
      <c r="AA20" s="223"/>
      <c r="AB20" s="607" t="s">
        <v>1187</v>
      </c>
      <c r="AC20" s="595" t="s">
        <v>464</v>
      </c>
      <c r="AD20" s="607" t="s">
        <v>1258</v>
      </c>
      <c r="AE20" s="602" t="s">
        <v>680</v>
      </c>
      <c r="AF20" s="291"/>
      <c r="AH20" s="233"/>
      <c r="AI20" s="235"/>
      <c r="AJ20" s="291"/>
    </row>
    <row r="21" spans="1:36" ht="64.5" thickBot="1" x14ac:dyDescent="0.3">
      <c r="A21" s="291"/>
      <c r="B21" s="608" t="s">
        <v>1398</v>
      </c>
      <c r="C21" s="600">
        <v>1116</v>
      </c>
      <c r="D21" s="233"/>
      <c r="E21" s="235"/>
      <c r="F21" s="223"/>
      <c r="G21" s="223"/>
      <c r="H21" s="301" t="s">
        <v>788</v>
      </c>
      <c r="I21" s="224" t="s">
        <v>466</v>
      </c>
      <c r="J21" s="299" t="s">
        <v>806</v>
      </c>
      <c r="K21" s="220" t="s">
        <v>490</v>
      </c>
      <c r="L21" s="299" t="s">
        <v>1206</v>
      </c>
      <c r="M21" s="220" t="s">
        <v>468</v>
      </c>
      <c r="N21" s="223"/>
      <c r="O21" s="223"/>
      <c r="P21" s="299" t="s">
        <v>795</v>
      </c>
      <c r="Q21" s="220" t="s">
        <v>476</v>
      </c>
      <c r="R21" s="223"/>
      <c r="S21" s="223"/>
      <c r="T21" s="607" t="s">
        <v>791</v>
      </c>
      <c r="U21" s="595" t="s">
        <v>470</v>
      </c>
      <c r="V21" s="298" t="s">
        <v>792</v>
      </c>
      <c r="W21" s="221" t="s">
        <v>471</v>
      </c>
      <c r="X21" s="299" t="s">
        <v>793</v>
      </c>
      <c r="Y21" s="220" t="s">
        <v>472</v>
      </c>
      <c r="Z21" s="223"/>
      <c r="AA21" s="223"/>
      <c r="AB21" s="607" t="s">
        <v>1188</v>
      </c>
      <c r="AC21" s="595" t="s">
        <v>473</v>
      </c>
      <c r="AD21" s="607" t="s">
        <v>1259</v>
      </c>
      <c r="AE21" s="600" t="s">
        <v>957</v>
      </c>
      <c r="AF21" s="291"/>
      <c r="AH21" s="233"/>
      <c r="AI21" s="235"/>
      <c r="AJ21" s="291"/>
    </row>
    <row r="22" spans="1:36" ht="51" x14ac:dyDescent="0.25">
      <c r="A22" s="291"/>
      <c r="B22" s="607" t="s">
        <v>1399</v>
      </c>
      <c r="C22" s="600">
        <v>1117</v>
      </c>
      <c r="D22" s="233"/>
      <c r="E22" s="235"/>
      <c r="F22" s="223"/>
      <c r="G22" s="223"/>
      <c r="H22" s="233"/>
      <c r="I22" s="235"/>
      <c r="J22" s="299" t="s">
        <v>812</v>
      </c>
      <c r="K22" s="220" t="s">
        <v>498</v>
      </c>
      <c r="L22" s="299" t="s">
        <v>1207</v>
      </c>
      <c r="M22" s="220" t="s">
        <v>475</v>
      </c>
      <c r="N22" s="223"/>
      <c r="O22" s="223"/>
      <c r="P22" s="299" t="s">
        <v>798</v>
      </c>
      <c r="Q22" s="220" t="s">
        <v>480</v>
      </c>
      <c r="R22" s="223"/>
      <c r="S22" s="223"/>
      <c r="T22" s="607" t="s">
        <v>947</v>
      </c>
      <c r="U22" s="595" t="s">
        <v>948</v>
      </c>
      <c r="V22" s="298" t="s">
        <v>796</v>
      </c>
      <c r="W22" s="221" t="s">
        <v>477</v>
      </c>
      <c r="X22" s="299" t="s">
        <v>797</v>
      </c>
      <c r="Y22" s="220" t="s">
        <v>478</v>
      </c>
      <c r="Z22" s="223"/>
      <c r="AA22" s="223"/>
      <c r="AB22" s="607" t="s">
        <v>1189</v>
      </c>
      <c r="AC22" s="595" t="s">
        <v>606</v>
      </c>
      <c r="AD22" s="607" t="s">
        <v>1260</v>
      </c>
      <c r="AE22" s="602" t="s">
        <v>987</v>
      </c>
      <c r="AF22" s="291"/>
      <c r="AH22" s="233"/>
      <c r="AI22" s="235"/>
      <c r="AJ22" s="291"/>
    </row>
    <row r="23" spans="1:36" ht="51" x14ac:dyDescent="0.25">
      <c r="A23" s="291"/>
      <c r="B23" s="608" t="s">
        <v>1149</v>
      </c>
      <c r="C23" s="600">
        <v>1121</v>
      </c>
      <c r="D23" s="233"/>
      <c r="E23" s="235"/>
      <c r="F23" s="223"/>
      <c r="G23" s="223"/>
      <c r="H23" s="233"/>
      <c r="I23" s="235"/>
      <c r="J23" s="299" t="s">
        <v>816</v>
      </c>
      <c r="K23" s="220" t="s">
        <v>502</v>
      </c>
      <c r="L23" s="299" t="s">
        <v>1208</v>
      </c>
      <c r="M23" s="220" t="s">
        <v>479</v>
      </c>
      <c r="N23" s="223"/>
      <c r="O23" s="223"/>
      <c r="P23" s="299" t="s">
        <v>802</v>
      </c>
      <c r="Q23" s="220" t="s">
        <v>485</v>
      </c>
      <c r="R23" s="223"/>
      <c r="S23" s="223"/>
      <c r="T23" s="607" t="s">
        <v>949</v>
      </c>
      <c r="U23" s="595" t="s">
        <v>950</v>
      </c>
      <c r="V23" s="298" t="s">
        <v>799</v>
      </c>
      <c r="W23" s="221" t="s">
        <v>481</v>
      </c>
      <c r="X23" s="299" t="s">
        <v>800</v>
      </c>
      <c r="Y23" s="220" t="s">
        <v>482</v>
      </c>
      <c r="Z23" s="223"/>
      <c r="AA23" s="223"/>
      <c r="AB23" s="607" t="s">
        <v>1153</v>
      </c>
      <c r="AC23" s="595" t="s">
        <v>607</v>
      </c>
      <c r="AD23" s="607" t="s">
        <v>1264</v>
      </c>
      <c r="AE23" s="602">
        <v>1721</v>
      </c>
      <c r="AF23" s="291"/>
      <c r="AH23" s="233"/>
      <c r="AI23" s="235"/>
      <c r="AJ23" s="291"/>
    </row>
    <row r="24" spans="1:36" ht="79.5" customHeight="1" thickBot="1" x14ac:dyDescent="0.3">
      <c r="A24" s="291"/>
      <c r="B24" s="607" t="s">
        <v>815</v>
      </c>
      <c r="C24" s="600">
        <v>1122</v>
      </c>
      <c r="D24" s="233"/>
      <c r="E24" s="235"/>
      <c r="F24" s="223"/>
      <c r="G24" s="223"/>
      <c r="H24" s="223"/>
      <c r="I24" s="223"/>
      <c r="J24" s="299" t="s">
        <v>820</v>
      </c>
      <c r="K24" s="220" t="s">
        <v>506</v>
      </c>
      <c r="L24" s="299" t="s">
        <v>1209</v>
      </c>
      <c r="M24" s="220" t="s">
        <v>484</v>
      </c>
      <c r="N24" s="223"/>
      <c r="O24" s="223"/>
      <c r="P24" s="299" t="s">
        <v>804</v>
      </c>
      <c r="Q24" s="220" t="s">
        <v>488</v>
      </c>
      <c r="R24" s="223"/>
      <c r="S24" s="223"/>
      <c r="T24" s="607" t="s">
        <v>951</v>
      </c>
      <c r="U24" s="595" t="s">
        <v>952</v>
      </c>
      <c r="V24" s="298" t="s">
        <v>803</v>
      </c>
      <c r="W24" s="221" t="s">
        <v>486</v>
      </c>
      <c r="X24" s="299" t="s">
        <v>805</v>
      </c>
      <c r="Y24" s="220" t="s">
        <v>489</v>
      </c>
      <c r="Z24" s="223"/>
      <c r="AA24" s="223"/>
      <c r="AB24" s="607" t="s">
        <v>1190</v>
      </c>
      <c r="AC24" s="595" t="s">
        <v>608</v>
      </c>
      <c r="AD24" s="610" t="s">
        <v>1288</v>
      </c>
      <c r="AE24" s="597" t="s">
        <v>1287</v>
      </c>
      <c r="AF24" s="291"/>
      <c r="AH24" s="233"/>
      <c r="AI24" s="235"/>
      <c r="AJ24" s="291"/>
    </row>
    <row r="25" spans="1:36" ht="64.5" thickBot="1" x14ac:dyDescent="0.3">
      <c r="A25" s="291"/>
      <c r="B25" s="607" t="s">
        <v>819</v>
      </c>
      <c r="C25" s="600">
        <v>1123</v>
      </c>
      <c r="D25" s="233"/>
      <c r="E25" s="235"/>
      <c r="F25" s="223"/>
      <c r="G25" s="223"/>
      <c r="H25" s="223"/>
      <c r="I25" s="223"/>
      <c r="J25" s="299" t="s">
        <v>823</v>
      </c>
      <c r="K25" s="220" t="s">
        <v>510</v>
      </c>
      <c r="L25" s="299" t="s">
        <v>1210</v>
      </c>
      <c r="M25" s="220" t="s">
        <v>487</v>
      </c>
      <c r="N25" s="223"/>
      <c r="O25" s="223"/>
      <c r="P25" s="299" t="s">
        <v>807</v>
      </c>
      <c r="Q25" s="220" t="s">
        <v>492</v>
      </c>
      <c r="R25" s="223"/>
      <c r="S25" s="223"/>
      <c r="T25" s="607" t="s">
        <v>953</v>
      </c>
      <c r="U25" s="595" t="s">
        <v>954</v>
      </c>
      <c r="V25" s="300" t="s">
        <v>808</v>
      </c>
      <c r="W25" s="224" t="s">
        <v>493</v>
      </c>
      <c r="X25" s="299" t="s">
        <v>809</v>
      </c>
      <c r="Y25" s="220" t="s">
        <v>494</v>
      </c>
      <c r="Z25" s="223"/>
      <c r="AA25" s="223"/>
      <c r="AB25" s="611" t="s">
        <v>1154</v>
      </c>
      <c r="AC25" s="620" t="s">
        <v>609</v>
      </c>
      <c r="AD25" s="599"/>
      <c r="AE25" s="599"/>
      <c r="AF25" s="291"/>
      <c r="AH25" s="223"/>
      <c r="AI25" s="223"/>
      <c r="AJ25" s="291"/>
    </row>
    <row r="26" spans="1:36" ht="62.25" customHeight="1" thickBot="1" x14ac:dyDescent="0.3">
      <c r="A26" s="291"/>
      <c r="B26" s="612" t="s">
        <v>1400</v>
      </c>
      <c r="C26" s="600">
        <v>1129</v>
      </c>
      <c r="D26" s="233"/>
      <c r="E26" s="235"/>
      <c r="F26" s="223"/>
      <c r="G26" s="223"/>
      <c r="H26" s="223"/>
      <c r="I26" s="223"/>
      <c r="J26" s="299" t="s">
        <v>826</v>
      </c>
      <c r="K26" s="220" t="s">
        <v>514</v>
      </c>
      <c r="L26" s="299" t="s">
        <v>1211</v>
      </c>
      <c r="M26" s="220" t="s">
        <v>491</v>
      </c>
      <c r="N26" s="223"/>
      <c r="O26" s="223"/>
      <c r="P26" s="299" t="s">
        <v>810</v>
      </c>
      <c r="Q26" s="220" t="s">
        <v>496</v>
      </c>
      <c r="R26" s="223"/>
      <c r="S26" s="223"/>
      <c r="T26" s="607" t="s">
        <v>955</v>
      </c>
      <c r="U26" s="595" t="s">
        <v>956</v>
      </c>
      <c r="V26" s="233"/>
      <c r="W26" s="235"/>
      <c r="X26" s="299" t="s">
        <v>811</v>
      </c>
      <c r="Y26" s="220" t="s">
        <v>497</v>
      </c>
      <c r="Z26" s="223"/>
      <c r="AA26" s="223"/>
      <c r="AB26" s="610" t="s">
        <v>1155</v>
      </c>
      <c r="AC26" s="597" t="s">
        <v>643</v>
      </c>
      <c r="AD26" s="599"/>
      <c r="AE26" s="601"/>
      <c r="AF26" s="291"/>
      <c r="AH26" s="223"/>
      <c r="AI26" s="223"/>
      <c r="AJ26" s="291"/>
    </row>
    <row r="27" spans="1:36" ht="51" x14ac:dyDescent="0.25">
      <c r="A27" s="291"/>
      <c r="B27" s="612" t="s">
        <v>1401</v>
      </c>
      <c r="C27" s="600">
        <v>1130</v>
      </c>
      <c r="D27" s="233"/>
      <c r="E27" s="235"/>
      <c r="F27" s="223"/>
      <c r="G27" s="223"/>
      <c r="H27" s="223"/>
      <c r="I27" s="223"/>
      <c r="J27" s="299" t="s">
        <v>828</v>
      </c>
      <c r="K27" s="220" t="s">
        <v>517</v>
      </c>
      <c r="L27" s="299" t="s">
        <v>1212</v>
      </c>
      <c r="M27" s="220" t="s">
        <v>495</v>
      </c>
      <c r="N27" s="223"/>
      <c r="O27" s="223"/>
      <c r="P27" s="299" t="s">
        <v>813</v>
      </c>
      <c r="Q27" s="220" t="s">
        <v>500</v>
      </c>
      <c r="R27" s="223"/>
      <c r="S27" s="223"/>
      <c r="T27" s="607" t="s">
        <v>958</v>
      </c>
      <c r="U27" s="595" t="s">
        <v>959</v>
      </c>
      <c r="V27" s="233"/>
      <c r="W27" s="235"/>
      <c r="X27" s="299" t="s">
        <v>814</v>
      </c>
      <c r="Y27" s="220" t="s">
        <v>501</v>
      </c>
      <c r="Z27" s="223"/>
      <c r="AA27" s="223"/>
      <c r="AB27" s="223"/>
      <c r="AC27" s="223"/>
      <c r="AD27" s="233"/>
      <c r="AE27" s="235"/>
      <c r="AF27" s="291"/>
      <c r="AH27" s="223"/>
      <c r="AI27" s="223"/>
      <c r="AJ27" s="291"/>
    </row>
    <row r="28" spans="1:36" ht="49.5" customHeight="1" x14ac:dyDescent="0.25">
      <c r="A28" s="291"/>
      <c r="B28" s="612" t="s">
        <v>1402</v>
      </c>
      <c r="C28" s="600">
        <v>1131</v>
      </c>
      <c r="D28" s="223"/>
      <c r="E28" s="223"/>
      <c r="F28" s="223"/>
      <c r="G28" s="223"/>
      <c r="H28" s="223"/>
      <c r="I28" s="223"/>
      <c r="J28" s="299" t="s">
        <v>831</v>
      </c>
      <c r="K28" s="220" t="s">
        <v>521</v>
      </c>
      <c r="L28" s="299" t="s">
        <v>1213</v>
      </c>
      <c r="M28" s="220" t="s">
        <v>499</v>
      </c>
      <c r="N28" s="223"/>
      <c r="O28" s="223"/>
      <c r="P28" s="299" t="s">
        <v>817</v>
      </c>
      <c r="Q28" s="220" t="s">
        <v>504</v>
      </c>
      <c r="R28" s="223"/>
      <c r="S28" s="223"/>
      <c r="T28" s="607" t="s">
        <v>960</v>
      </c>
      <c r="U28" s="595" t="s">
        <v>961</v>
      </c>
      <c r="V28" s="233"/>
      <c r="W28" s="235"/>
      <c r="X28" s="299" t="s">
        <v>818</v>
      </c>
      <c r="Y28" s="220" t="s">
        <v>505</v>
      </c>
      <c r="Z28" s="223"/>
      <c r="AA28" s="223"/>
      <c r="AB28" s="223"/>
      <c r="AC28" s="223"/>
      <c r="AD28" s="233"/>
      <c r="AE28" s="235"/>
      <c r="AF28" s="291"/>
      <c r="AH28" s="223"/>
      <c r="AI28" s="223"/>
      <c r="AJ28" s="291"/>
    </row>
    <row r="29" spans="1:36" ht="35.25" customHeight="1" x14ac:dyDescent="0.25">
      <c r="A29" s="291"/>
      <c r="B29" s="612" t="s">
        <v>849</v>
      </c>
      <c r="C29" s="600">
        <v>1133</v>
      </c>
      <c r="D29" s="223"/>
      <c r="E29" s="223"/>
      <c r="F29" s="223"/>
      <c r="G29" s="223"/>
      <c r="H29" s="223"/>
      <c r="I29" s="223"/>
      <c r="J29" s="299" t="s">
        <v>833</v>
      </c>
      <c r="K29" s="220" t="s">
        <v>523</v>
      </c>
      <c r="L29" s="299" t="s">
        <v>1214</v>
      </c>
      <c r="M29" s="220" t="s">
        <v>503</v>
      </c>
      <c r="N29" s="223"/>
      <c r="O29" s="223"/>
      <c r="P29" s="299" t="s">
        <v>821</v>
      </c>
      <c r="Q29" s="220" t="s">
        <v>508</v>
      </c>
      <c r="R29" s="223"/>
      <c r="S29" s="223"/>
      <c r="T29" s="607" t="s">
        <v>962</v>
      </c>
      <c r="U29" s="595" t="s">
        <v>963</v>
      </c>
      <c r="V29" s="233"/>
      <c r="W29" s="235"/>
      <c r="X29" s="299" t="s">
        <v>822</v>
      </c>
      <c r="Y29" s="220" t="s">
        <v>509</v>
      </c>
      <c r="Z29" s="223"/>
      <c r="AA29" s="223"/>
      <c r="AB29" s="223"/>
      <c r="AC29" s="223"/>
      <c r="AD29" s="233"/>
      <c r="AE29" s="235"/>
      <c r="AF29" s="291"/>
      <c r="AH29" s="223"/>
      <c r="AI29" s="223"/>
      <c r="AJ29" s="291"/>
    </row>
    <row r="30" spans="1:36" ht="38.25" x14ac:dyDescent="0.25">
      <c r="A30" s="291"/>
      <c r="B30" s="612" t="s">
        <v>1403</v>
      </c>
      <c r="C30" s="600">
        <v>1134</v>
      </c>
      <c r="D30" s="223"/>
      <c r="E30" s="223"/>
      <c r="F30" s="223"/>
      <c r="G30" s="223"/>
      <c r="H30" s="223"/>
      <c r="I30" s="223"/>
      <c r="J30" s="299" t="s">
        <v>836</v>
      </c>
      <c r="K30" s="220" t="s">
        <v>527</v>
      </c>
      <c r="L30" s="299" t="s">
        <v>1215</v>
      </c>
      <c r="M30" s="220" t="s">
        <v>507</v>
      </c>
      <c r="N30" s="223"/>
      <c r="O30" s="223"/>
      <c r="P30" s="299" t="s">
        <v>824</v>
      </c>
      <c r="Q30" s="220" t="s">
        <v>512</v>
      </c>
      <c r="R30" s="223"/>
      <c r="S30" s="223"/>
      <c r="T30" s="607" t="s">
        <v>964</v>
      </c>
      <c r="U30" s="595" t="s">
        <v>965</v>
      </c>
      <c r="V30" s="233"/>
      <c r="W30" s="235"/>
      <c r="X30" s="299" t="s">
        <v>825</v>
      </c>
      <c r="Y30" s="220" t="s">
        <v>513</v>
      </c>
      <c r="Z30" s="223"/>
      <c r="AA30" s="223"/>
      <c r="AB30" s="223"/>
      <c r="AC30" s="223"/>
      <c r="AD30" s="233"/>
      <c r="AE30" s="235"/>
      <c r="AF30" s="291"/>
      <c r="AH30" s="223"/>
      <c r="AI30" s="223"/>
      <c r="AJ30" s="291"/>
    </row>
    <row r="31" spans="1:36" ht="51" x14ac:dyDescent="0.25">
      <c r="A31" s="291"/>
      <c r="B31" s="612" t="s">
        <v>1404</v>
      </c>
      <c r="C31" s="600">
        <v>1135</v>
      </c>
      <c r="D31" s="223"/>
      <c r="E31" s="223"/>
      <c r="F31" s="223"/>
      <c r="G31" s="223"/>
      <c r="H31" s="223"/>
      <c r="I31" s="223"/>
      <c r="J31" s="299" t="s">
        <v>839</v>
      </c>
      <c r="K31" s="220" t="s">
        <v>531</v>
      </c>
      <c r="L31" s="299" t="s">
        <v>1216</v>
      </c>
      <c r="M31" s="220" t="s">
        <v>511</v>
      </c>
      <c r="N31" s="223"/>
      <c r="O31" s="223"/>
      <c r="P31" s="299" t="s">
        <v>827</v>
      </c>
      <c r="Q31" s="220" t="s">
        <v>516</v>
      </c>
      <c r="R31" s="223"/>
      <c r="S31" s="223"/>
      <c r="T31" s="607" t="s">
        <v>966</v>
      </c>
      <c r="U31" s="595" t="s">
        <v>967</v>
      </c>
      <c r="V31" s="233"/>
      <c r="W31" s="235"/>
      <c r="X31" s="299" t="s">
        <v>830</v>
      </c>
      <c r="Y31" s="220" t="s">
        <v>520</v>
      </c>
      <c r="Z31" s="223"/>
      <c r="AA31" s="223"/>
      <c r="AB31" s="223"/>
      <c r="AC31" s="223"/>
      <c r="AD31" s="233"/>
      <c r="AE31" s="235"/>
      <c r="AF31" s="291"/>
      <c r="AH31" s="223"/>
      <c r="AI31" s="223"/>
      <c r="AJ31" s="291"/>
    </row>
    <row r="32" spans="1:36" ht="38.25" x14ac:dyDescent="0.25">
      <c r="A32" s="291"/>
      <c r="B32" s="612" t="s">
        <v>862</v>
      </c>
      <c r="C32" s="600">
        <v>1137</v>
      </c>
      <c r="D32" s="223"/>
      <c r="E32" s="223"/>
      <c r="F32" s="223"/>
      <c r="G32" s="223"/>
      <c r="H32" s="223"/>
      <c r="I32" s="223"/>
      <c r="J32" s="299" t="s">
        <v>842</v>
      </c>
      <c r="K32" s="220" t="s">
        <v>535</v>
      </c>
      <c r="L32" s="299" t="s">
        <v>1217</v>
      </c>
      <c r="M32" s="220" t="s">
        <v>515</v>
      </c>
      <c r="N32" s="223"/>
      <c r="O32" s="223"/>
      <c r="P32" s="299" t="s">
        <v>829</v>
      </c>
      <c r="Q32" s="220" t="s">
        <v>519</v>
      </c>
      <c r="R32" s="223"/>
      <c r="S32" s="223"/>
      <c r="T32" s="607" t="s">
        <v>1418</v>
      </c>
      <c r="U32" s="595" t="s">
        <v>1434</v>
      </c>
      <c r="V32" s="233"/>
      <c r="W32" s="235"/>
      <c r="X32" s="299" t="s">
        <v>835</v>
      </c>
      <c r="Y32" s="220" t="s">
        <v>526</v>
      </c>
      <c r="Z32" s="223"/>
      <c r="AA32" s="223"/>
      <c r="AB32" s="223"/>
      <c r="AC32" s="223"/>
      <c r="AD32" s="233"/>
      <c r="AE32" s="235"/>
      <c r="AF32" s="291"/>
      <c r="AH32" s="223"/>
      <c r="AI32" s="223"/>
      <c r="AJ32" s="291"/>
    </row>
    <row r="33" spans="1:36" ht="63.75" x14ac:dyDescent="0.25">
      <c r="A33" s="291"/>
      <c r="B33" s="612" t="s">
        <v>1405</v>
      </c>
      <c r="C33" s="600">
        <v>1138</v>
      </c>
      <c r="D33" s="223"/>
      <c r="E33" s="223"/>
      <c r="F33" s="223"/>
      <c r="G33" s="223"/>
      <c r="H33" s="223"/>
      <c r="I33" s="223"/>
      <c r="J33" s="299" t="s">
        <v>846</v>
      </c>
      <c r="K33" s="220" t="s">
        <v>538</v>
      </c>
      <c r="L33" s="299" t="s">
        <v>1218</v>
      </c>
      <c r="M33" s="220" t="s">
        <v>518</v>
      </c>
      <c r="N33" s="223"/>
      <c r="O33" s="223"/>
      <c r="P33" s="299" t="s">
        <v>834</v>
      </c>
      <c r="Q33" s="220" t="s">
        <v>525</v>
      </c>
      <c r="R33" s="223"/>
      <c r="S33" s="223"/>
      <c r="T33" s="607" t="s">
        <v>1419</v>
      </c>
      <c r="U33" s="595" t="s">
        <v>1435</v>
      </c>
      <c r="V33" s="233"/>
      <c r="W33" s="235"/>
      <c r="X33" s="299" t="s">
        <v>838</v>
      </c>
      <c r="Y33" s="220" t="s">
        <v>530</v>
      </c>
      <c r="Z33" s="223"/>
      <c r="AA33" s="223"/>
      <c r="AB33" s="223"/>
      <c r="AC33" s="223"/>
      <c r="AD33" s="233"/>
      <c r="AE33" s="235"/>
      <c r="AF33" s="291"/>
      <c r="AH33" s="223"/>
      <c r="AI33" s="223"/>
      <c r="AJ33" s="291"/>
    </row>
    <row r="34" spans="1:36" ht="51" x14ac:dyDescent="0.25">
      <c r="A34" s="291"/>
      <c r="B34" s="612" t="s">
        <v>1406</v>
      </c>
      <c r="C34" s="618">
        <v>1139</v>
      </c>
      <c r="D34" s="223"/>
      <c r="E34" s="223"/>
      <c r="F34" s="223"/>
      <c r="G34" s="223"/>
      <c r="H34" s="223"/>
      <c r="I34" s="223"/>
      <c r="J34" s="299" t="s">
        <v>850</v>
      </c>
      <c r="K34" s="220" t="s">
        <v>542</v>
      </c>
      <c r="L34" s="299" t="s">
        <v>1219</v>
      </c>
      <c r="M34" s="220" t="s">
        <v>522</v>
      </c>
      <c r="N34" s="223"/>
      <c r="O34" s="223"/>
      <c r="P34" s="299" t="s">
        <v>837</v>
      </c>
      <c r="Q34" s="220" t="s">
        <v>529</v>
      </c>
      <c r="R34" s="223"/>
      <c r="S34" s="223"/>
      <c r="T34" s="607" t="s">
        <v>1420</v>
      </c>
      <c r="U34" s="595" t="s">
        <v>1436</v>
      </c>
      <c r="V34" s="233"/>
      <c r="W34" s="235"/>
      <c r="X34" s="299" t="s">
        <v>841</v>
      </c>
      <c r="Y34" s="220" t="s">
        <v>534</v>
      </c>
      <c r="Z34" s="223"/>
      <c r="AA34" s="223"/>
      <c r="AB34" s="223"/>
      <c r="AC34" s="223"/>
      <c r="AD34" s="233"/>
      <c r="AE34" s="235"/>
      <c r="AF34" s="291"/>
      <c r="AH34" s="223"/>
      <c r="AI34" s="223"/>
      <c r="AJ34" s="291"/>
    </row>
    <row r="35" spans="1:36" ht="51" x14ac:dyDescent="0.25">
      <c r="A35" s="291"/>
      <c r="B35" s="612" t="s">
        <v>1407</v>
      </c>
      <c r="C35" s="600">
        <v>1141</v>
      </c>
      <c r="D35" s="223"/>
      <c r="E35" s="223"/>
      <c r="F35" s="223"/>
      <c r="G35" s="223"/>
      <c r="H35" s="223"/>
      <c r="I35" s="223"/>
      <c r="J35" s="299" t="s">
        <v>853</v>
      </c>
      <c r="K35" s="220" t="s">
        <v>546</v>
      </c>
      <c r="L35" s="299" t="s">
        <v>1220</v>
      </c>
      <c r="M35" s="220" t="s">
        <v>524</v>
      </c>
      <c r="N35" s="223"/>
      <c r="O35" s="223"/>
      <c r="P35" s="299" t="s">
        <v>840</v>
      </c>
      <c r="Q35" s="220" t="s">
        <v>533</v>
      </c>
      <c r="R35" s="223"/>
      <c r="S35" s="223"/>
      <c r="T35" s="607" t="s">
        <v>1421</v>
      </c>
      <c r="U35" s="595" t="s">
        <v>1437</v>
      </c>
      <c r="V35" s="233"/>
      <c r="W35" s="235"/>
      <c r="X35" s="299" t="s">
        <v>844</v>
      </c>
      <c r="Y35" s="220" t="s">
        <v>537</v>
      </c>
      <c r="Z35" s="223"/>
      <c r="AA35" s="223"/>
      <c r="AB35" s="223"/>
      <c r="AC35" s="223"/>
      <c r="AD35" s="233"/>
      <c r="AE35" s="235"/>
      <c r="AF35" s="291"/>
      <c r="AH35" s="223"/>
      <c r="AI35" s="223"/>
      <c r="AJ35" s="291"/>
    </row>
    <row r="36" spans="1:36" ht="89.25" customHeight="1" x14ac:dyDescent="0.25">
      <c r="A36" s="291"/>
      <c r="B36" s="612" t="s">
        <v>885</v>
      </c>
      <c r="C36" s="600">
        <v>1145</v>
      </c>
      <c r="D36" s="223"/>
      <c r="E36" s="223"/>
      <c r="F36" s="223"/>
      <c r="G36" s="223"/>
      <c r="H36" s="223"/>
      <c r="I36" s="223"/>
      <c r="J36" s="299" t="s">
        <v>856</v>
      </c>
      <c r="K36" s="220" t="s">
        <v>550</v>
      </c>
      <c r="L36" s="299" t="s">
        <v>1221</v>
      </c>
      <c r="M36" s="220" t="s">
        <v>528</v>
      </c>
      <c r="N36" s="223"/>
      <c r="O36" s="223"/>
      <c r="P36" s="299" t="s">
        <v>847</v>
      </c>
      <c r="Q36" s="220" t="s">
        <v>540</v>
      </c>
      <c r="R36" s="223"/>
      <c r="S36" s="223"/>
      <c r="T36" s="607" t="s">
        <v>1422</v>
      </c>
      <c r="U36" s="595" t="s">
        <v>1438</v>
      </c>
      <c r="V36" s="233"/>
      <c r="W36" s="235"/>
      <c r="X36" s="299" t="s">
        <v>848</v>
      </c>
      <c r="Y36" s="220" t="s">
        <v>541</v>
      </c>
      <c r="Z36" s="223"/>
      <c r="AA36" s="223"/>
      <c r="AB36" s="223"/>
      <c r="AC36" s="223"/>
      <c r="AD36" s="233"/>
      <c r="AE36" s="235"/>
      <c r="AF36" s="291"/>
      <c r="AH36" s="223"/>
      <c r="AI36" s="223"/>
      <c r="AJ36" s="291"/>
    </row>
    <row r="37" spans="1:36" ht="51" x14ac:dyDescent="0.25">
      <c r="A37" s="291"/>
      <c r="B37" s="612" t="s">
        <v>887</v>
      </c>
      <c r="C37" s="600">
        <v>1146</v>
      </c>
      <c r="D37" s="223"/>
      <c r="E37" s="223"/>
      <c r="F37" s="223"/>
      <c r="G37" s="223"/>
      <c r="H37" s="223"/>
      <c r="I37" s="223"/>
      <c r="J37" s="299" t="s">
        <v>859</v>
      </c>
      <c r="K37" s="220" t="s">
        <v>554</v>
      </c>
      <c r="L37" s="299" t="s">
        <v>1222</v>
      </c>
      <c r="M37" s="220" t="s">
        <v>532</v>
      </c>
      <c r="N37" s="223"/>
      <c r="O37" s="223"/>
      <c r="P37" s="299" t="s">
        <v>851</v>
      </c>
      <c r="Q37" s="220" t="s">
        <v>544</v>
      </c>
      <c r="R37" s="223"/>
      <c r="S37" s="223"/>
      <c r="T37" s="607" t="s">
        <v>1423</v>
      </c>
      <c r="U37" s="595" t="s">
        <v>1439</v>
      </c>
      <c r="V37" s="233"/>
      <c r="W37" s="235"/>
      <c r="X37" s="299" t="s">
        <v>852</v>
      </c>
      <c r="Y37" s="220" t="s">
        <v>545</v>
      </c>
      <c r="Z37" s="223"/>
      <c r="AA37" s="223"/>
      <c r="AB37" s="223"/>
      <c r="AC37" s="223"/>
      <c r="AD37" s="233"/>
      <c r="AE37" s="235"/>
      <c r="AF37" s="291"/>
      <c r="AH37" s="223"/>
      <c r="AI37" s="223"/>
      <c r="AJ37" s="291"/>
    </row>
    <row r="38" spans="1:36" ht="63.75" x14ac:dyDescent="0.25">
      <c r="A38" s="291"/>
      <c r="B38" s="612" t="s">
        <v>890</v>
      </c>
      <c r="C38" s="600">
        <v>1148</v>
      </c>
      <c r="D38" s="223"/>
      <c r="E38" s="223"/>
      <c r="F38" s="223"/>
      <c r="G38" s="223"/>
      <c r="H38" s="223"/>
      <c r="I38" s="223"/>
      <c r="J38" s="299" t="s">
        <v>863</v>
      </c>
      <c r="K38" s="220" t="s">
        <v>558</v>
      </c>
      <c r="L38" s="299" t="s">
        <v>1223</v>
      </c>
      <c r="M38" s="220" t="s">
        <v>536</v>
      </c>
      <c r="N38" s="223"/>
      <c r="O38" s="223"/>
      <c r="P38" s="299" t="s">
        <v>854</v>
      </c>
      <c r="Q38" s="220" t="s">
        <v>548</v>
      </c>
      <c r="R38" s="223"/>
      <c r="S38" s="223"/>
      <c r="T38" s="607" t="s">
        <v>1424</v>
      </c>
      <c r="U38" s="595" t="s">
        <v>1440</v>
      </c>
      <c r="V38" s="233"/>
      <c r="W38" s="235"/>
      <c r="X38" s="299" t="s">
        <v>855</v>
      </c>
      <c r="Y38" s="220" t="s">
        <v>549</v>
      </c>
      <c r="Z38" s="223"/>
      <c r="AA38" s="223"/>
      <c r="AB38" s="223"/>
      <c r="AC38" s="223"/>
      <c r="AD38" s="233"/>
      <c r="AE38" s="235"/>
      <c r="AF38" s="291"/>
      <c r="AH38" s="223"/>
      <c r="AI38" s="223"/>
      <c r="AJ38" s="291"/>
    </row>
    <row r="39" spans="1:36" ht="51" x14ac:dyDescent="0.25">
      <c r="A39" s="291"/>
      <c r="B39" s="612" t="s">
        <v>1408</v>
      </c>
      <c r="C39" s="600">
        <v>1149</v>
      </c>
      <c r="D39" s="223"/>
      <c r="E39" s="223"/>
      <c r="F39" s="223"/>
      <c r="G39" s="223"/>
      <c r="H39" s="223"/>
      <c r="I39" s="223"/>
      <c r="J39" s="299" t="s">
        <v>866</v>
      </c>
      <c r="K39" s="220" t="s">
        <v>561</v>
      </c>
      <c r="L39" s="299" t="s">
        <v>1224</v>
      </c>
      <c r="M39" s="220" t="s">
        <v>539</v>
      </c>
      <c r="N39" s="223"/>
      <c r="O39" s="223"/>
      <c r="P39" s="299" t="s">
        <v>857</v>
      </c>
      <c r="Q39" s="220" t="s">
        <v>552</v>
      </c>
      <c r="R39" s="223"/>
      <c r="S39" s="223"/>
      <c r="T39" s="607" t="s">
        <v>1425</v>
      </c>
      <c r="U39" s="595" t="s">
        <v>1441</v>
      </c>
      <c r="V39" s="233"/>
      <c r="W39" s="235"/>
      <c r="X39" s="299" t="s">
        <v>858</v>
      </c>
      <c r="Y39" s="220" t="s">
        <v>553</v>
      </c>
      <c r="Z39" s="223"/>
      <c r="AA39" s="223"/>
      <c r="AB39" s="223"/>
      <c r="AC39" s="223"/>
      <c r="AD39" s="233"/>
      <c r="AE39" s="235"/>
      <c r="AF39" s="291"/>
      <c r="AH39" s="223"/>
      <c r="AI39" s="223"/>
      <c r="AJ39" s="291"/>
    </row>
    <row r="40" spans="1:36" ht="51" x14ac:dyDescent="0.25">
      <c r="A40" s="291"/>
      <c r="B40" s="612" t="s">
        <v>896</v>
      </c>
      <c r="C40" s="600">
        <v>1151</v>
      </c>
      <c r="D40" s="223"/>
      <c r="E40" s="223"/>
      <c r="F40" s="223"/>
      <c r="G40" s="223"/>
      <c r="H40" s="223"/>
      <c r="I40" s="223"/>
      <c r="J40" s="299" t="s">
        <v>869</v>
      </c>
      <c r="K40" s="220" t="s">
        <v>565</v>
      </c>
      <c r="L40" s="299" t="s">
        <v>1225</v>
      </c>
      <c r="M40" s="220" t="s">
        <v>543</v>
      </c>
      <c r="N40" s="223"/>
      <c r="O40" s="223"/>
      <c r="P40" s="299" t="s">
        <v>860</v>
      </c>
      <c r="Q40" s="220" t="s">
        <v>556</v>
      </c>
      <c r="R40" s="223"/>
      <c r="S40" s="223"/>
      <c r="T40" s="607" t="s">
        <v>1426</v>
      </c>
      <c r="U40" s="595" t="s">
        <v>1442</v>
      </c>
      <c r="V40" s="233"/>
      <c r="W40" s="235"/>
      <c r="X40" s="299" t="s">
        <v>861</v>
      </c>
      <c r="Y40" s="220" t="s">
        <v>557</v>
      </c>
      <c r="Z40" s="223"/>
      <c r="AA40" s="223"/>
      <c r="AB40" s="223"/>
      <c r="AC40" s="223"/>
      <c r="AD40" s="233"/>
      <c r="AE40" s="235"/>
      <c r="AF40" s="291"/>
      <c r="AH40" s="223"/>
      <c r="AI40" s="223"/>
      <c r="AJ40" s="291"/>
    </row>
    <row r="41" spans="1:36" ht="63.75" x14ac:dyDescent="0.25">
      <c r="A41" s="291"/>
      <c r="B41" s="612" t="s">
        <v>898</v>
      </c>
      <c r="C41" s="600">
        <v>1152</v>
      </c>
      <c r="D41" s="223"/>
      <c r="E41" s="223"/>
      <c r="F41" s="223"/>
      <c r="G41" s="223"/>
      <c r="H41" s="223"/>
      <c r="I41" s="223"/>
      <c r="J41" s="299" t="s">
        <v>872</v>
      </c>
      <c r="K41" s="220" t="s">
        <v>569</v>
      </c>
      <c r="L41" s="299" t="s">
        <v>1226</v>
      </c>
      <c r="M41" s="220" t="s">
        <v>547</v>
      </c>
      <c r="N41" s="223"/>
      <c r="O41" s="223"/>
      <c r="P41" s="299" t="s">
        <v>867</v>
      </c>
      <c r="Q41" s="220" t="s">
        <v>563</v>
      </c>
      <c r="R41" s="223"/>
      <c r="S41" s="223"/>
      <c r="T41" s="607" t="s">
        <v>1427</v>
      </c>
      <c r="U41" s="595" t="s">
        <v>1443</v>
      </c>
      <c r="V41" s="233"/>
      <c r="W41" s="235"/>
      <c r="X41" s="299" t="s">
        <v>865</v>
      </c>
      <c r="Y41" s="220" t="s">
        <v>560</v>
      </c>
      <c r="Z41" s="223"/>
      <c r="AA41" s="223"/>
      <c r="AB41" s="223"/>
      <c r="AC41" s="223"/>
      <c r="AD41" s="291"/>
      <c r="AE41" s="291"/>
      <c r="AF41" s="291"/>
      <c r="AH41" s="223"/>
      <c r="AI41" s="223"/>
      <c r="AJ41" s="291"/>
    </row>
    <row r="42" spans="1:36" ht="38.25" x14ac:dyDescent="0.25">
      <c r="A42" s="291"/>
      <c r="B42" s="612" t="s">
        <v>1409</v>
      </c>
      <c r="C42" s="600">
        <v>1153</v>
      </c>
      <c r="D42" s="223"/>
      <c r="E42" s="223"/>
      <c r="F42" s="223"/>
      <c r="G42" s="223"/>
      <c r="H42" s="223"/>
      <c r="I42" s="223"/>
      <c r="J42" s="299" t="s">
        <v>875</v>
      </c>
      <c r="K42" s="220" t="s">
        <v>573</v>
      </c>
      <c r="L42" s="299" t="s">
        <v>1227</v>
      </c>
      <c r="M42" s="220" t="s">
        <v>551</v>
      </c>
      <c r="N42" s="223"/>
      <c r="O42" s="223"/>
      <c r="P42" s="299" t="s">
        <v>870</v>
      </c>
      <c r="Q42" s="220" t="s">
        <v>567</v>
      </c>
      <c r="R42" s="223"/>
      <c r="S42" s="223"/>
      <c r="T42" s="607" t="s">
        <v>1428</v>
      </c>
      <c r="U42" s="595" t="s">
        <v>1444</v>
      </c>
      <c r="V42" s="233"/>
      <c r="W42" s="235"/>
      <c r="X42" s="299" t="s">
        <v>868</v>
      </c>
      <c r="Y42" s="220" t="s">
        <v>564</v>
      </c>
      <c r="Z42" s="223"/>
      <c r="AA42" s="223"/>
      <c r="AB42" s="223"/>
      <c r="AC42" s="223"/>
      <c r="AD42" s="291"/>
      <c r="AE42" s="291"/>
      <c r="AF42" s="291"/>
      <c r="AH42" s="223"/>
      <c r="AI42" s="223"/>
      <c r="AJ42" s="291"/>
    </row>
    <row r="43" spans="1:36" ht="38.25" x14ac:dyDescent="0.25">
      <c r="A43" s="291"/>
      <c r="B43" s="612" t="s">
        <v>1410</v>
      </c>
      <c r="C43" s="600">
        <v>1154</v>
      </c>
      <c r="D43" s="223"/>
      <c r="E43" s="223"/>
      <c r="F43" s="223"/>
      <c r="G43" s="223"/>
      <c r="H43" s="223"/>
      <c r="I43" s="223"/>
      <c r="J43" s="299" t="s">
        <v>878</v>
      </c>
      <c r="K43" s="220" t="s">
        <v>577</v>
      </c>
      <c r="L43" s="299" t="s">
        <v>1228</v>
      </c>
      <c r="M43" s="220" t="s">
        <v>555</v>
      </c>
      <c r="N43" s="223"/>
      <c r="O43" s="223"/>
      <c r="P43" s="299" t="s">
        <v>873</v>
      </c>
      <c r="Q43" s="220" t="s">
        <v>571</v>
      </c>
      <c r="R43" s="223"/>
      <c r="S43" s="223"/>
      <c r="T43" s="607" t="s">
        <v>1428</v>
      </c>
      <c r="U43" s="595" t="s">
        <v>1445</v>
      </c>
      <c r="V43" s="233"/>
      <c r="W43" s="235"/>
      <c r="X43" s="299" t="s">
        <v>871</v>
      </c>
      <c r="Y43" s="220" t="s">
        <v>568</v>
      </c>
      <c r="Z43" s="223"/>
      <c r="AA43" s="223"/>
      <c r="AB43" s="223"/>
      <c r="AC43" s="223"/>
      <c r="AD43" s="291"/>
      <c r="AE43" s="291"/>
      <c r="AF43" s="291"/>
      <c r="AH43" s="223"/>
      <c r="AI43" s="223"/>
      <c r="AJ43" s="291"/>
    </row>
    <row r="44" spans="1:36" ht="51" x14ac:dyDescent="0.25">
      <c r="A44" s="291"/>
      <c r="B44" s="612" t="s">
        <v>1411</v>
      </c>
      <c r="C44" s="600">
        <v>1155</v>
      </c>
      <c r="D44" s="223"/>
      <c r="E44" s="223"/>
      <c r="F44" s="223"/>
      <c r="G44" s="223"/>
      <c r="H44" s="223"/>
      <c r="I44" s="223"/>
      <c r="J44" s="299" t="s">
        <v>883</v>
      </c>
      <c r="K44" s="220" t="s">
        <v>584</v>
      </c>
      <c r="L44" s="299" t="s">
        <v>1229</v>
      </c>
      <c r="M44" s="220" t="s">
        <v>559</v>
      </c>
      <c r="N44" s="223"/>
      <c r="O44" s="223"/>
      <c r="P44" s="299" t="s">
        <v>876</v>
      </c>
      <c r="Q44" s="220" t="s">
        <v>575</v>
      </c>
      <c r="R44" s="223"/>
      <c r="S44" s="223"/>
      <c r="T44" s="607" t="s">
        <v>1429</v>
      </c>
      <c r="U44" s="595" t="s">
        <v>1446</v>
      </c>
      <c r="V44" s="233"/>
      <c r="W44" s="235"/>
      <c r="X44" s="299" t="s">
        <v>874</v>
      </c>
      <c r="Y44" s="220" t="s">
        <v>572</v>
      </c>
      <c r="Z44" s="223"/>
      <c r="AA44" s="223"/>
      <c r="AB44" s="223"/>
      <c r="AC44" s="223"/>
      <c r="AD44" s="291"/>
      <c r="AE44" s="291"/>
      <c r="AF44" s="291"/>
      <c r="AH44" s="223"/>
      <c r="AI44" s="223"/>
      <c r="AJ44" s="291"/>
    </row>
    <row r="45" spans="1:36" ht="76.5" x14ac:dyDescent="0.25">
      <c r="A45" s="291"/>
      <c r="B45" s="612" t="s">
        <v>1412</v>
      </c>
      <c r="C45" s="600">
        <v>1156</v>
      </c>
      <c r="D45" s="223"/>
      <c r="E45" s="223"/>
      <c r="F45" s="223"/>
      <c r="G45" s="223"/>
      <c r="H45" s="223"/>
      <c r="I45" s="223"/>
      <c r="J45" s="299" t="s">
        <v>886</v>
      </c>
      <c r="K45" s="220" t="s">
        <v>587</v>
      </c>
      <c r="L45" s="299" t="s">
        <v>1230</v>
      </c>
      <c r="M45" s="220" t="s">
        <v>562</v>
      </c>
      <c r="N45" s="223"/>
      <c r="O45" s="223"/>
      <c r="P45" s="299" t="s">
        <v>879</v>
      </c>
      <c r="Q45" s="220" t="s">
        <v>579</v>
      </c>
      <c r="R45" s="223"/>
      <c r="S45" s="223"/>
      <c r="T45" s="607" t="s">
        <v>1430</v>
      </c>
      <c r="U45" s="595" t="s">
        <v>1447</v>
      </c>
      <c r="V45" s="233"/>
      <c r="W45" s="235"/>
      <c r="X45" s="299" t="s">
        <v>877</v>
      </c>
      <c r="Y45" s="220" t="s">
        <v>576</v>
      </c>
      <c r="Z45" s="223"/>
      <c r="AA45" s="223"/>
      <c r="AB45" s="223"/>
      <c r="AC45" s="223"/>
      <c r="AD45" s="291"/>
      <c r="AE45" s="291"/>
      <c r="AF45" s="291"/>
      <c r="AH45" s="223"/>
      <c r="AI45" s="223"/>
      <c r="AJ45" s="291"/>
    </row>
    <row r="46" spans="1:36" ht="51" x14ac:dyDescent="0.25">
      <c r="A46" s="291"/>
      <c r="B46" s="612" t="s">
        <v>1413</v>
      </c>
      <c r="C46" s="600">
        <v>1166</v>
      </c>
      <c r="D46" s="223"/>
      <c r="E46" s="223"/>
      <c r="F46" s="223"/>
      <c r="G46" s="223"/>
      <c r="H46" s="223"/>
      <c r="I46" s="223"/>
      <c r="J46" s="299" t="s">
        <v>891</v>
      </c>
      <c r="K46" s="220" t="s">
        <v>593</v>
      </c>
      <c r="L46" s="299" t="s">
        <v>1231</v>
      </c>
      <c r="M46" s="220" t="s">
        <v>566</v>
      </c>
      <c r="N46" s="223"/>
      <c r="O46" s="223"/>
      <c r="P46" s="299" t="s">
        <v>881</v>
      </c>
      <c r="Q46" s="220" t="s">
        <v>582</v>
      </c>
      <c r="R46" s="223"/>
      <c r="S46" s="223"/>
      <c r="T46" s="607" t="s">
        <v>1431</v>
      </c>
      <c r="U46" s="595" t="s">
        <v>1448</v>
      </c>
      <c r="V46" s="233"/>
      <c r="W46" s="235"/>
      <c r="X46" s="299" t="s">
        <v>880</v>
      </c>
      <c r="Y46" s="220" t="s">
        <v>580</v>
      </c>
      <c r="Z46" s="223"/>
      <c r="AA46" s="223"/>
      <c r="AB46" s="223"/>
      <c r="AC46" s="223"/>
      <c r="AD46" s="291"/>
      <c r="AE46" s="291"/>
      <c r="AF46" s="291"/>
      <c r="AH46" s="223"/>
      <c r="AI46" s="223"/>
      <c r="AJ46" s="291"/>
    </row>
    <row r="47" spans="1:36" ht="51" x14ac:dyDescent="0.25">
      <c r="A47" s="291"/>
      <c r="B47" s="612" t="s">
        <v>1414</v>
      </c>
      <c r="C47" s="600">
        <v>1169</v>
      </c>
      <c r="D47" s="223"/>
      <c r="E47" s="223"/>
      <c r="F47" s="223"/>
      <c r="G47" s="223"/>
      <c r="H47" s="223"/>
      <c r="I47" s="223"/>
      <c r="J47" s="299" t="s">
        <v>893</v>
      </c>
      <c r="K47" s="220" t="s">
        <v>596</v>
      </c>
      <c r="L47" s="299" t="s">
        <v>1232</v>
      </c>
      <c r="M47" s="220" t="s">
        <v>570</v>
      </c>
      <c r="N47" s="223"/>
      <c r="O47" s="223"/>
      <c r="P47" s="299" t="s">
        <v>884</v>
      </c>
      <c r="Q47" s="220" t="s">
        <v>586</v>
      </c>
      <c r="R47" s="223"/>
      <c r="S47" s="223"/>
      <c r="T47" s="607" t="s">
        <v>1432</v>
      </c>
      <c r="U47" s="595" t="s">
        <v>1449</v>
      </c>
      <c r="V47" s="223"/>
      <c r="W47" s="223"/>
      <c r="X47" s="299" t="s">
        <v>882</v>
      </c>
      <c r="Y47" s="220" t="s">
        <v>583</v>
      </c>
      <c r="Z47" s="223"/>
      <c r="AA47" s="223"/>
      <c r="AB47" s="223"/>
      <c r="AC47" s="223"/>
      <c r="AD47" s="291"/>
      <c r="AE47" s="291"/>
      <c r="AF47" s="291"/>
      <c r="AH47" s="223"/>
      <c r="AI47" s="223"/>
      <c r="AJ47" s="291"/>
    </row>
    <row r="48" spans="1:36" ht="51.75" thickBot="1" x14ac:dyDescent="0.3">
      <c r="A48" s="291"/>
      <c r="B48" s="612" t="s">
        <v>908</v>
      </c>
      <c r="C48" s="600">
        <v>1170</v>
      </c>
      <c r="D48" s="223"/>
      <c r="E48" s="223"/>
      <c r="F48" s="223"/>
      <c r="G48" s="223"/>
      <c r="H48" s="223"/>
      <c r="I48" s="223"/>
      <c r="J48" s="299" t="s">
        <v>895</v>
      </c>
      <c r="K48" s="220" t="s">
        <v>644</v>
      </c>
      <c r="L48" s="299" t="s">
        <v>1233</v>
      </c>
      <c r="M48" s="220" t="s">
        <v>574</v>
      </c>
      <c r="N48" s="223"/>
      <c r="O48" s="223"/>
      <c r="P48" s="299" t="s">
        <v>888</v>
      </c>
      <c r="Q48" s="220" t="s">
        <v>590</v>
      </c>
      <c r="R48" s="223"/>
      <c r="S48" s="223"/>
      <c r="T48" s="610" t="s">
        <v>1433</v>
      </c>
      <c r="U48" s="597" t="s">
        <v>1450</v>
      </c>
      <c r="V48" s="223"/>
      <c r="W48" s="223"/>
      <c r="X48" s="299" t="s">
        <v>1143</v>
      </c>
      <c r="Y48" s="220" t="s">
        <v>1138</v>
      </c>
      <c r="Z48" s="223"/>
      <c r="AA48" s="223"/>
      <c r="AB48" s="223"/>
      <c r="AC48" s="223"/>
      <c r="AD48" s="291"/>
      <c r="AE48" s="291"/>
      <c r="AF48" s="291"/>
      <c r="AH48" s="223"/>
      <c r="AI48" s="223"/>
      <c r="AJ48" s="291"/>
    </row>
    <row r="49" spans="1:36" ht="38.25" x14ac:dyDescent="0.25">
      <c r="A49" s="291"/>
      <c r="B49" s="612" t="s">
        <v>910</v>
      </c>
      <c r="C49" s="600">
        <v>1171</v>
      </c>
      <c r="D49" s="223"/>
      <c r="E49" s="223"/>
      <c r="F49" s="223"/>
      <c r="G49" s="223"/>
      <c r="H49" s="223"/>
      <c r="I49" s="223"/>
      <c r="J49" s="299" t="s">
        <v>897</v>
      </c>
      <c r="K49" s="220" t="s">
        <v>645</v>
      </c>
      <c r="L49" s="299" t="s">
        <v>1234</v>
      </c>
      <c r="M49" s="220" t="s">
        <v>578</v>
      </c>
      <c r="N49" s="223"/>
      <c r="O49" s="223"/>
      <c r="P49" s="299" t="s">
        <v>889</v>
      </c>
      <c r="Q49" s="220" t="s">
        <v>592</v>
      </c>
      <c r="R49" s="223"/>
      <c r="S49" s="223"/>
      <c r="T49" s="223"/>
      <c r="U49" s="223"/>
      <c r="V49" s="223"/>
      <c r="W49" s="223"/>
      <c r="X49" s="299" t="s">
        <v>1144</v>
      </c>
      <c r="Y49" s="220" t="s">
        <v>1139</v>
      </c>
      <c r="Z49" s="223"/>
      <c r="AA49" s="223"/>
      <c r="AB49" s="223"/>
      <c r="AC49" s="223"/>
      <c r="AD49" s="291"/>
      <c r="AE49" s="291"/>
      <c r="AF49" s="291"/>
      <c r="AH49" s="223"/>
      <c r="AI49" s="223"/>
      <c r="AJ49" s="291"/>
    </row>
    <row r="50" spans="1:36" ht="64.5" customHeight="1" x14ac:dyDescent="0.25">
      <c r="A50" s="291"/>
      <c r="B50" s="612" t="s">
        <v>913</v>
      </c>
      <c r="C50" s="600">
        <v>1174</v>
      </c>
      <c r="D50" s="223"/>
      <c r="E50" s="223"/>
      <c r="F50" s="223"/>
      <c r="G50" s="223"/>
      <c r="H50" s="223"/>
      <c r="I50" s="223"/>
      <c r="J50" s="299" t="s">
        <v>899</v>
      </c>
      <c r="K50" s="220" t="s">
        <v>646</v>
      </c>
      <c r="L50" s="299" t="s">
        <v>1235</v>
      </c>
      <c r="M50" s="220" t="s">
        <v>581</v>
      </c>
      <c r="N50" s="223"/>
      <c r="O50" s="223"/>
      <c r="P50" s="299" t="s">
        <v>892</v>
      </c>
      <c r="Q50" s="220" t="s">
        <v>595</v>
      </c>
      <c r="R50" s="223"/>
      <c r="S50" s="223"/>
      <c r="T50" s="223"/>
      <c r="U50" s="223"/>
      <c r="V50" s="223"/>
      <c r="W50" s="223"/>
      <c r="X50" s="299" t="s">
        <v>1136</v>
      </c>
      <c r="Y50" s="220" t="s">
        <v>1140</v>
      </c>
      <c r="Z50" s="223"/>
      <c r="AA50" s="223"/>
      <c r="AB50" s="223"/>
      <c r="AC50" s="223"/>
      <c r="AD50" s="291"/>
      <c r="AE50" s="291"/>
      <c r="AF50" s="291"/>
      <c r="AH50" s="223"/>
      <c r="AI50" s="223"/>
      <c r="AJ50" s="291"/>
    </row>
    <row r="51" spans="1:36" ht="38.25" x14ac:dyDescent="0.25">
      <c r="A51" s="291"/>
      <c r="B51" s="612" t="s">
        <v>914</v>
      </c>
      <c r="C51" s="600">
        <v>1176</v>
      </c>
      <c r="D51" s="223"/>
      <c r="E51" s="223"/>
      <c r="F51" s="223"/>
      <c r="G51" s="223"/>
      <c r="H51" s="223"/>
      <c r="I51" s="223"/>
      <c r="J51" s="299" t="s">
        <v>900</v>
      </c>
      <c r="K51" s="220" t="s">
        <v>647</v>
      </c>
      <c r="L51" s="299" t="s">
        <v>1236</v>
      </c>
      <c r="M51" s="220" t="s">
        <v>585</v>
      </c>
      <c r="N51" s="223"/>
      <c r="O51" s="223"/>
      <c r="P51" s="299" t="s">
        <v>968</v>
      </c>
      <c r="Q51" s="220" t="s">
        <v>969</v>
      </c>
      <c r="R51" s="223"/>
      <c r="S51" s="223"/>
      <c r="T51" s="223"/>
      <c r="U51" s="223"/>
      <c r="V51" s="223"/>
      <c r="W51" s="223"/>
      <c r="X51" s="299" t="s">
        <v>1145</v>
      </c>
      <c r="Y51" s="220" t="s">
        <v>1141</v>
      </c>
      <c r="Z51" s="223"/>
      <c r="AA51" s="223"/>
      <c r="AB51" s="223"/>
      <c r="AC51" s="223"/>
      <c r="AD51" s="291"/>
      <c r="AE51" s="291"/>
      <c r="AF51" s="291"/>
      <c r="AH51" s="223"/>
      <c r="AI51" s="223"/>
      <c r="AJ51" s="291"/>
    </row>
    <row r="52" spans="1:36" ht="39" thickBot="1" x14ac:dyDescent="0.3">
      <c r="A52" s="291"/>
      <c r="B52" s="612" t="s">
        <v>916</v>
      </c>
      <c r="C52" s="600">
        <v>1177</v>
      </c>
      <c r="D52" s="223"/>
      <c r="E52" s="223"/>
      <c r="F52" s="223"/>
      <c r="G52" s="223"/>
      <c r="H52" s="223"/>
      <c r="I52" s="223"/>
      <c r="J52" s="299" t="s">
        <v>901</v>
      </c>
      <c r="K52" s="220" t="s">
        <v>648</v>
      </c>
      <c r="L52" s="299" t="s">
        <v>1237</v>
      </c>
      <c r="M52" s="220" t="s">
        <v>588</v>
      </c>
      <c r="N52" s="223"/>
      <c r="O52" s="223"/>
      <c r="P52" s="299" t="s">
        <v>1116</v>
      </c>
      <c r="Q52" s="220" t="s">
        <v>1118</v>
      </c>
      <c r="R52" s="223"/>
      <c r="S52" s="223"/>
      <c r="T52" s="223"/>
      <c r="U52" s="223"/>
      <c r="V52" s="223"/>
      <c r="W52" s="223"/>
      <c r="X52" s="301" t="s">
        <v>1137</v>
      </c>
      <c r="Y52" s="220" t="s">
        <v>1142</v>
      </c>
      <c r="Z52" s="223"/>
      <c r="AA52" s="223"/>
      <c r="AB52" s="223"/>
      <c r="AC52" s="223"/>
      <c r="AD52" s="291"/>
      <c r="AE52" s="291"/>
      <c r="AF52" s="291"/>
      <c r="AH52" s="223"/>
      <c r="AI52" s="223"/>
      <c r="AJ52" s="291"/>
    </row>
    <row r="53" spans="1:36" ht="51.75" thickBot="1" x14ac:dyDescent="0.3">
      <c r="A53" s="291"/>
      <c r="B53" s="612" t="s">
        <v>917</v>
      </c>
      <c r="C53" s="600">
        <v>1178</v>
      </c>
      <c r="D53" s="223"/>
      <c r="E53" s="223"/>
      <c r="F53" s="223"/>
      <c r="G53" s="223"/>
      <c r="H53" s="223"/>
      <c r="I53" s="223"/>
      <c r="J53" s="299" t="s">
        <v>902</v>
      </c>
      <c r="K53" s="220" t="s">
        <v>649</v>
      </c>
      <c r="L53" s="299" t="s">
        <v>1238</v>
      </c>
      <c r="M53" s="220" t="s">
        <v>589</v>
      </c>
      <c r="N53" s="223"/>
      <c r="O53" s="223"/>
      <c r="P53" s="301" t="s">
        <v>1117</v>
      </c>
      <c r="Q53" s="222" t="s">
        <v>1119</v>
      </c>
      <c r="R53" s="223"/>
      <c r="S53" s="223"/>
      <c r="T53" s="223"/>
      <c r="U53" s="223"/>
      <c r="V53" s="223"/>
      <c r="W53" s="223"/>
      <c r="X53" s="233"/>
      <c r="Y53" s="235"/>
      <c r="Z53" s="223"/>
      <c r="AA53" s="223"/>
      <c r="AB53" s="223"/>
      <c r="AC53" s="223"/>
      <c r="AD53" s="291"/>
      <c r="AE53" s="291"/>
      <c r="AF53" s="291"/>
      <c r="AH53" s="223"/>
      <c r="AI53" s="223"/>
      <c r="AJ53" s="291"/>
    </row>
    <row r="54" spans="1:36" ht="38.25" x14ac:dyDescent="0.25">
      <c r="A54" s="291"/>
      <c r="B54" s="612" t="s">
        <v>1150</v>
      </c>
      <c r="C54" s="600">
        <v>1179</v>
      </c>
      <c r="D54" s="223"/>
      <c r="E54" s="223"/>
      <c r="F54" s="223"/>
      <c r="G54" s="223"/>
      <c r="H54" s="223"/>
      <c r="I54" s="223"/>
      <c r="J54" s="299" t="s">
        <v>903</v>
      </c>
      <c r="K54" s="220" t="s">
        <v>650</v>
      </c>
      <c r="L54" s="299" t="s">
        <v>1239</v>
      </c>
      <c r="M54" s="220" t="s">
        <v>591</v>
      </c>
      <c r="N54" s="223"/>
      <c r="O54" s="223"/>
      <c r="R54" s="223"/>
      <c r="S54" s="223"/>
      <c r="T54" s="223"/>
      <c r="U54" s="223"/>
      <c r="V54" s="223"/>
      <c r="W54" s="223"/>
      <c r="X54" s="233"/>
      <c r="Y54" s="235"/>
      <c r="Z54" s="223"/>
      <c r="AA54" s="223"/>
      <c r="AB54" s="223"/>
      <c r="AC54" s="223"/>
      <c r="AD54" s="291"/>
      <c r="AE54" s="291"/>
      <c r="AF54" s="291"/>
      <c r="AH54" s="223"/>
      <c r="AI54" s="223"/>
      <c r="AJ54" s="291"/>
    </row>
    <row r="55" spans="1:36" ht="89.25" x14ac:dyDescent="0.25">
      <c r="A55" s="291"/>
      <c r="B55" s="612" t="s">
        <v>1148</v>
      </c>
      <c r="C55" s="600">
        <v>1180</v>
      </c>
      <c r="D55" s="223"/>
      <c r="E55" s="223"/>
      <c r="F55" s="223"/>
      <c r="G55" s="223"/>
      <c r="H55" s="223"/>
      <c r="I55" s="223"/>
      <c r="J55" s="299" t="s">
        <v>904</v>
      </c>
      <c r="K55" s="220" t="s">
        <v>651</v>
      </c>
      <c r="L55" s="299" t="s">
        <v>1240</v>
      </c>
      <c r="M55" s="220" t="s">
        <v>594</v>
      </c>
      <c r="N55" s="223"/>
      <c r="O55" s="223"/>
      <c r="R55" s="223"/>
      <c r="S55" s="223"/>
      <c r="T55" s="223"/>
      <c r="U55" s="223"/>
      <c r="V55" s="223"/>
      <c r="W55" s="223"/>
      <c r="X55" s="233"/>
      <c r="Y55" s="235"/>
      <c r="Z55" s="223"/>
      <c r="AA55" s="223"/>
      <c r="AB55" s="223"/>
      <c r="AC55" s="223"/>
      <c r="AD55" s="291"/>
      <c r="AE55" s="291"/>
      <c r="AF55" s="291"/>
      <c r="AH55" s="223"/>
      <c r="AI55" s="223"/>
      <c r="AJ55" s="291"/>
    </row>
    <row r="56" spans="1:36" ht="51" x14ac:dyDescent="0.25">
      <c r="A56" s="291"/>
      <c r="B56" s="612" t="s">
        <v>922</v>
      </c>
      <c r="C56" s="600">
        <v>1183</v>
      </c>
      <c r="D56" s="223"/>
      <c r="E56" s="223"/>
      <c r="F56" s="223"/>
      <c r="G56" s="223"/>
      <c r="H56" s="223"/>
      <c r="I56" s="223"/>
      <c r="J56" s="299" t="s">
        <v>905</v>
      </c>
      <c r="K56" s="220" t="s">
        <v>652</v>
      </c>
      <c r="L56" s="299" t="s">
        <v>1241</v>
      </c>
      <c r="M56" s="220" t="s">
        <v>597</v>
      </c>
      <c r="N56" s="223"/>
      <c r="O56" s="223"/>
      <c r="R56" s="223"/>
      <c r="S56" s="223"/>
      <c r="T56" s="223"/>
      <c r="U56" s="223"/>
      <c r="V56" s="223"/>
      <c r="W56" s="223"/>
      <c r="X56" s="233"/>
      <c r="Y56" s="235"/>
      <c r="Z56" s="223"/>
      <c r="AA56" s="223"/>
      <c r="AB56" s="223"/>
      <c r="AC56" s="223"/>
      <c r="AD56" s="291"/>
      <c r="AE56" s="291"/>
      <c r="AF56" s="291"/>
      <c r="AH56" s="223"/>
      <c r="AI56" s="223"/>
      <c r="AJ56" s="291"/>
    </row>
    <row r="57" spans="1:36" ht="51" x14ac:dyDescent="0.25">
      <c r="A57" s="291"/>
      <c r="B57" s="612" t="s">
        <v>930</v>
      </c>
      <c r="C57" s="600">
        <v>1197</v>
      </c>
      <c r="D57" s="223"/>
      <c r="E57" s="223"/>
      <c r="F57" s="223"/>
      <c r="G57" s="223"/>
      <c r="H57" s="223"/>
      <c r="I57" s="223"/>
      <c r="J57" s="299" t="s">
        <v>906</v>
      </c>
      <c r="K57" s="220" t="s">
        <v>653</v>
      </c>
      <c r="L57" s="299" t="s">
        <v>1242</v>
      </c>
      <c r="M57" s="220" t="s">
        <v>598</v>
      </c>
      <c r="N57" s="223"/>
      <c r="O57" s="223"/>
      <c r="R57" s="223"/>
      <c r="S57" s="223"/>
      <c r="T57" s="223"/>
      <c r="U57" s="223"/>
      <c r="V57" s="223"/>
      <c r="W57" s="223"/>
      <c r="X57" s="233"/>
      <c r="Y57" s="235"/>
      <c r="Z57" s="223"/>
      <c r="AA57" s="223"/>
      <c r="AB57" s="223"/>
      <c r="AC57" s="223"/>
      <c r="AD57" s="291"/>
      <c r="AE57" s="291"/>
      <c r="AF57" s="291"/>
      <c r="AH57" s="223"/>
      <c r="AI57" s="223"/>
      <c r="AJ57" s="291"/>
    </row>
    <row r="58" spans="1:36" ht="63.75" x14ac:dyDescent="0.25">
      <c r="A58" s="291"/>
      <c r="B58" s="612" t="s">
        <v>970</v>
      </c>
      <c r="C58" s="600">
        <v>1199</v>
      </c>
      <c r="D58" s="223"/>
      <c r="E58" s="223"/>
      <c r="F58" s="223"/>
      <c r="G58" s="223"/>
      <c r="H58" s="223"/>
      <c r="I58" s="223"/>
      <c r="J58" s="299" t="s">
        <v>907</v>
      </c>
      <c r="K58" s="220" t="s">
        <v>654</v>
      </c>
      <c r="L58" s="299" t="s">
        <v>1243</v>
      </c>
      <c r="M58" s="220" t="s">
        <v>599</v>
      </c>
      <c r="N58" s="223"/>
      <c r="O58" s="223"/>
      <c r="R58" s="223"/>
      <c r="S58" s="223"/>
      <c r="T58" s="223"/>
      <c r="U58" s="223"/>
      <c r="V58" s="223"/>
      <c r="W58" s="223"/>
      <c r="X58" s="233"/>
      <c r="Y58" s="235"/>
      <c r="Z58" s="223"/>
      <c r="AA58" s="223"/>
      <c r="AB58" s="223"/>
      <c r="AC58" s="223"/>
      <c r="AD58" s="291"/>
      <c r="AE58" s="291"/>
      <c r="AF58" s="291"/>
      <c r="AH58" s="223"/>
      <c r="AI58" s="223"/>
      <c r="AJ58" s="291"/>
    </row>
    <row r="59" spans="1:36" ht="38.25" x14ac:dyDescent="0.25">
      <c r="A59" s="291"/>
      <c r="B59" s="612" t="s">
        <v>972</v>
      </c>
      <c r="C59" s="600">
        <v>9201</v>
      </c>
      <c r="D59" s="223"/>
      <c r="E59" s="223"/>
      <c r="F59" s="223"/>
      <c r="G59" s="223"/>
      <c r="H59" s="223"/>
      <c r="I59" s="223"/>
      <c r="J59" s="299" t="s">
        <v>909</v>
      </c>
      <c r="K59" s="220" t="s">
        <v>655</v>
      </c>
      <c r="L59" s="299" t="s">
        <v>1244</v>
      </c>
      <c r="M59" s="220" t="s">
        <v>600</v>
      </c>
      <c r="N59" s="223"/>
      <c r="O59" s="223"/>
      <c r="P59" s="233"/>
      <c r="Q59" s="235"/>
      <c r="R59" s="223"/>
      <c r="S59" s="223"/>
      <c r="T59" s="223"/>
      <c r="U59" s="223"/>
      <c r="V59" s="223"/>
      <c r="W59" s="223"/>
      <c r="X59" s="233"/>
      <c r="Y59" s="235"/>
      <c r="Z59" s="223"/>
      <c r="AA59" s="223"/>
      <c r="AB59" s="223"/>
      <c r="AC59" s="223"/>
      <c r="AD59" s="291"/>
      <c r="AE59" s="291"/>
      <c r="AF59" s="291"/>
      <c r="AH59" s="223"/>
      <c r="AI59" s="223"/>
      <c r="AJ59" s="291"/>
    </row>
    <row r="60" spans="1:36" ht="51" x14ac:dyDescent="0.25">
      <c r="A60" s="291"/>
      <c r="B60" s="612" t="s">
        <v>1417</v>
      </c>
      <c r="C60" s="600">
        <v>9202</v>
      </c>
      <c r="D60" s="223"/>
      <c r="E60" s="223"/>
      <c r="F60" s="223"/>
      <c r="G60" s="223"/>
      <c r="H60" s="223"/>
      <c r="I60" s="223"/>
      <c r="J60" s="299" t="s">
        <v>911</v>
      </c>
      <c r="K60" s="220" t="s">
        <v>656</v>
      </c>
      <c r="L60" s="299" t="s">
        <v>1245</v>
      </c>
      <c r="M60" s="220" t="s">
        <v>601</v>
      </c>
      <c r="N60" s="223"/>
      <c r="O60" s="223"/>
      <c r="P60" s="233"/>
      <c r="Q60" s="235"/>
      <c r="R60" s="223"/>
      <c r="S60" s="223"/>
      <c r="T60" s="223"/>
      <c r="U60" s="223"/>
      <c r="V60" s="223"/>
      <c r="W60" s="223"/>
      <c r="X60" s="233"/>
      <c r="Y60" s="235"/>
      <c r="Z60" s="223"/>
      <c r="AA60" s="223"/>
      <c r="AB60" s="223"/>
      <c r="AC60" s="223"/>
      <c r="AD60" s="291"/>
      <c r="AE60" s="291"/>
      <c r="AF60" s="291"/>
      <c r="AH60" s="223"/>
      <c r="AI60" s="223"/>
      <c r="AJ60" s="291"/>
    </row>
    <row r="61" spans="1:36" ht="51" x14ac:dyDescent="0.25">
      <c r="A61" s="291"/>
      <c r="B61" s="608" t="s">
        <v>1415</v>
      </c>
      <c r="C61" s="600">
        <v>9203</v>
      </c>
      <c r="D61" s="223"/>
      <c r="E61" s="223"/>
      <c r="F61" s="223"/>
      <c r="G61" s="223"/>
      <c r="H61" s="223"/>
      <c r="I61" s="223"/>
      <c r="J61" s="299" t="s">
        <v>912</v>
      </c>
      <c r="K61" s="220" t="s">
        <v>657</v>
      </c>
      <c r="L61" s="299" t="s">
        <v>1113</v>
      </c>
      <c r="M61" s="220" t="s">
        <v>602</v>
      </c>
      <c r="N61" s="223"/>
      <c r="O61" s="223"/>
      <c r="P61" s="233"/>
      <c r="Q61" s="235"/>
      <c r="R61" s="223"/>
      <c r="S61" s="223"/>
      <c r="T61" s="223"/>
      <c r="U61" s="223"/>
      <c r="V61" s="223"/>
      <c r="W61" s="223"/>
      <c r="X61" s="233"/>
      <c r="Y61" s="235"/>
      <c r="Z61" s="223"/>
      <c r="AA61" s="223"/>
      <c r="AB61" s="223"/>
      <c r="AC61" s="223"/>
      <c r="AD61" s="291"/>
      <c r="AE61" s="291"/>
      <c r="AF61" s="291"/>
      <c r="AH61" s="223"/>
      <c r="AI61" s="223"/>
      <c r="AJ61" s="291"/>
    </row>
    <row r="62" spans="1:36" ht="39" thickBot="1" x14ac:dyDescent="0.3">
      <c r="A62" s="291"/>
      <c r="B62" s="622" t="s">
        <v>1416</v>
      </c>
      <c r="C62" s="600">
        <v>9206</v>
      </c>
      <c r="D62" s="223"/>
      <c r="E62" s="223"/>
      <c r="F62" s="223"/>
      <c r="G62" s="223"/>
      <c r="H62" s="223"/>
      <c r="I62" s="223"/>
      <c r="J62" s="299" t="s">
        <v>915</v>
      </c>
      <c r="K62" s="220" t="s">
        <v>658</v>
      </c>
      <c r="L62" s="301" t="s">
        <v>1246</v>
      </c>
      <c r="M62" s="222" t="s">
        <v>603</v>
      </c>
      <c r="N62" s="223"/>
      <c r="O62" s="223"/>
      <c r="P62" s="233"/>
      <c r="Q62" s="235"/>
      <c r="R62" s="223"/>
      <c r="S62" s="223"/>
      <c r="T62" s="223"/>
      <c r="U62" s="223"/>
      <c r="V62" s="223"/>
      <c r="W62" s="223"/>
      <c r="X62" s="233"/>
      <c r="Y62" s="235"/>
      <c r="Z62" s="223"/>
      <c r="AA62" s="223"/>
      <c r="AB62" s="223"/>
      <c r="AC62" s="223"/>
      <c r="AD62" s="291"/>
      <c r="AE62" s="291"/>
      <c r="AF62" s="291"/>
      <c r="AH62" s="223"/>
      <c r="AI62" s="223"/>
      <c r="AJ62" s="291"/>
    </row>
    <row r="63" spans="1:36" ht="77.25" thickBot="1" x14ac:dyDescent="0.3">
      <c r="A63" s="291"/>
      <c r="B63" s="607" t="s">
        <v>941</v>
      </c>
      <c r="C63" s="600">
        <v>9207</v>
      </c>
      <c r="D63" s="570"/>
      <c r="E63" s="223"/>
      <c r="F63" s="223"/>
      <c r="G63" s="223"/>
      <c r="H63" s="223"/>
      <c r="I63" s="223"/>
      <c r="J63" s="299" t="s">
        <v>918</v>
      </c>
      <c r="K63" s="220" t="s">
        <v>659</v>
      </c>
      <c r="L63" s="301" t="s">
        <v>711</v>
      </c>
      <c r="M63" s="222" t="s">
        <v>1386</v>
      </c>
      <c r="N63" s="223"/>
      <c r="O63" s="223"/>
      <c r="P63" s="233"/>
      <c r="Q63" s="235"/>
      <c r="R63" s="223"/>
      <c r="S63" s="223"/>
      <c r="T63" s="223"/>
      <c r="U63" s="223"/>
      <c r="V63" s="223"/>
      <c r="W63" s="223"/>
      <c r="X63" s="233"/>
      <c r="Y63" s="235"/>
      <c r="Z63" s="223"/>
      <c r="AA63" s="223"/>
      <c r="AB63" s="223"/>
      <c r="AC63" s="223"/>
      <c r="AD63" s="291"/>
      <c r="AE63" s="291"/>
      <c r="AF63" s="291"/>
      <c r="AH63" s="223"/>
      <c r="AI63" s="223"/>
      <c r="AJ63" s="291"/>
    </row>
    <row r="64" spans="1:36" ht="51" x14ac:dyDescent="0.25">
      <c r="A64" s="291"/>
      <c r="B64" s="607" t="s">
        <v>944</v>
      </c>
      <c r="C64" s="600">
        <v>9208</v>
      </c>
      <c r="D64" s="223"/>
      <c r="E64" s="223"/>
      <c r="F64" s="223"/>
      <c r="G64" s="223"/>
      <c r="H64" s="223"/>
      <c r="I64" s="223"/>
      <c r="J64" s="299" t="s">
        <v>919</v>
      </c>
      <c r="K64" s="220" t="s">
        <v>660</v>
      </c>
      <c r="L64" s="223"/>
      <c r="M64" s="223"/>
      <c r="N64" s="223"/>
      <c r="O64" s="223"/>
      <c r="P64" s="233"/>
      <c r="Q64" s="235"/>
      <c r="R64" s="223"/>
      <c r="S64" s="223"/>
      <c r="T64" s="223"/>
      <c r="U64" s="223"/>
      <c r="V64" s="223"/>
      <c r="W64" s="223"/>
      <c r="X64" s="233"/>
      <c r="Y64" s="235"/>
      <c r="Z64" s="223"/>
      <c r="AA64" s="223"/>
      <c r="AB64" s="223"/>
      <c r="AC64" s="223"/>
      <c r="AD64" s="291"/>
      <c r="AE64" s="291"/>
      <c r="AF64" s="291"/>
      <c r="AH64" s="223"/>
      <c r="AI64" s="223"/>
      <c r="AJ64" s="291"/>
    </row>
    <row r="65" spans="1:36" ht="38.25" x14ac:dyDescent="0.25">
      <c r="A65" s="291"/>
      <c r="B65" s="607" t="s">
        <v>945</v>
      </c>
      <c r="C65" s="600">
        <v>9209</v>
      </c>
      <c r="D65" s="223"/>
      <c r="E65" s="223"/>
      <c r="F65" s="223"/>
      <c r="G65" s="223"/>
      <c r="H65" s="223"/>
      <c r="I65" s="223"/>
      <c r="J65" s="299" t="s">
        <v>920</v>
      </c>
      <c r="K65" s="220" t="s">
        <v>661</v>
      </c>
      <c r="L65" s="233"/>
      <c r="M65" s="235"/>
      <c r="N65" s="223"/>
      <c r="O65" s="223"/>
      <c r="P65" s="233"/>
      <c r="Q65" s="235"/>
      <c r="R65" s="223"/>
      <c r="S65" s="223"/>
      <c r="T65" s="223"/>
      <c r="U65" s="223"/>
      <c r="V65" s="223"/>
      <c r="W65" s="223"/>
      <c r="X65" s="233"/>
      <c r="Y65" s="235"/>
      <c r="Z65" s="223"/>
      <c r="AA65" s="223"/>
      <c r="AB65" s="223"/>
      <c r="AC65" s="223"/>
      <c r="AD65" s="291"/>
      <c r="AE65" s="291"/>
      <c r="AF65" s="291"/>
      <c r="AH65" s="223"/>
      <c r="AI65" s="223"/>
      <c r="AJ65" s="291"/>
    </row>
    <row r="66" spans="1:36" ht="51" x14ac:dyDescent="0.25">
      <c r="A66" s="291"/>
      <c r="B66" s="607" t="s">
        <v>946</v>
      </c>
      <c r="C66" s="600">
        <v>9210</v>
      </c>
      <c r="D66" s="223"/>
      <c r="E66" s="223"/>
      <c r="F66" s="223"/>
      <c r="G66" s="223"/>
      <c r="H66" s="223"/>
      <c r="I66" s="223"/>
      <c r="J66" s="299" t="s">
        <v>921</v>
      </c>
      <c r="K66" s="220" t="s">
        <v>662</v>
      </c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33"/>
      <c r="Y66" s="235"/>
      <c r="Z66" s="223"/>
      <c r="AA66" s="223"/>
      <c r="AB66" s="223"/>
      <c r="AC66" s="223"/>
      <c r="AD66" s="291"/>
      <c r="AE66" s="291"/>
      <c r="AF66" s="291"/>
      <c r="AH66" s="223"/>
      <c r="AI66" s="223"/>
      <c r="AJ66" s="291"/>
    </row>
    <row r="67" spans="1:36" ht="51" x14ac:dyDescent="0.25">
      <c r="A67" s="291"/>
      <c r="B67" s="612" t="s">
        <v>940</v>
      </c>
      <c r="C67" s="600">
        <v>9211</v>
      </c>
      <c r="D67" s="223"/>
      <c r="E67" s="223"/>
      <c r="F67" s="223"/>
      <c r="G67" s="223"/>
      <c r="H67" s="223"/>
      <c r="I67" s="223"/>
      <c r="J67" s="299" t="s">
        <v>923</v>
      </c>
      <c r="K67" s="220" t="s">
        <v>663</v>
      </c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33"/>
      <c r="Y67" s="235"/>
      <c r="Z67" s="223"/>
      <c r="AA67" s="223"/>
      <c r="AB67" s="223"/>
      <c r="AC67" s="223"/>
      <c r="AD67" s="291"/>
      <c r="AE67" s="291"/>
      <c r="AF67" s="291"/>
      <c r="AH67" s="223"/>
      <c r="AI67" s="223"/>
      <c r="AJ67" s="291"/>
    </row>
    <row r="68" spans="1:36" ht="38.25" x14ac:dyDescent="0.25">
      <c r="A68" s="291"/>
      <c r="B68" s="612" t="s">
        <v>1135</v>
      </c>
      <c r="C68" s="600">
        <v>9212</v>
      </c>
      <c r="D68" s="223"/>
      <c r="E68" s="223"/>
      <c r="F68" s="223"/>
      <c r="G68" s="223"/>
      <c r="H68" s="223"/>
      <c r="I68" s="223"/>
      <c r="J68" s="299" t="s">
        <v>924</v>
      </c>
      <c r="K68" s="220" t="s">
        <v>664</v>
      </c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33"/>
      <c r="Y68" s="235"/>
      <c r="Z68" s="223"/>
      <c r="AA68" s="223"/>
      <c r="AB68" s="223"/>
      <c r="AC68" s="223"/>
      <c r="AD68" s="291"/>
      <c r="AE68" s="291"/>
      <c r="AF68" s="291"/>
      <c r="AH68" s="223"/>
      <c r="AI68" s="223"/>
      <c r="AJ68" s="291"/>
    </row>
    <row r="69" spans="1:36" ht="38.25" x14ac:dyDescent="0.25">
      <c r="A69" s="291"/>
      <c r="B69" s="612" t="s">
        <v>692</v>
      </c>
      <c r="C69" s="600">
        <v>9213</v>
      </c>
      <c r="D69" s="223"/>
      <c r="E69" s="223"/>
      <c r="F69" s="223"/>
      <c r="G69" s="223"/>
      <c r="H69" s="223"/>
      <c r="I69" s="223"/>
      <c r="J69" s="299" t="s">
        <v>925</v>
      </c>
      <c r="K69" s="220" t="s">
        <v>665</v>
      </c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33"/>
      <c r="Y69" s="235"/>
      <c r="Z69" s="223"/>
      <c r="AA69" s="223"/>
      <c r="AB69" s="223"/>
      <c r="AC69" s="223"/>
      <c r="AD69" s="291"/>
      <c r="AE69" s="291"/>
      <c r="AF69" s="291"/>
      <c r="AH69" s="223"/>
      <c r="AI69" s="223"/>
      <c r="AJ69" s="291"/>
    </row>
    <row r="70" spans="1:36" ht="38.25" x14ac:dyDescent="0.25">
      <c r="A70" s="291"/>
      <c r="B70" s="612" t="s">
        <v>1263</v>
      </c>
      <c r="C70" s="600">
        <v>9214</v>
      </c>
      <c r="D70" s="223"/>
      <c r="E70" s="223"/>
      <c r="F70" s="223"/>
      <c r="G70" s="223"/>
      <c r="H70" s="223"/>
      <c r="I70" s="223"/>
      <c r="J70" s="299" t="s">
        <v>926</v>
      </c>
      <c r="K70" s="220" t="s">
        <v>666</v>
      </c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33"/>
      <c r="Y70" s="235"/>
      <c r="Z70" s="223"/>
      <c r="AA70" s="223"/>
      <c r="AB70" s="223"/>
      <c r="AC70" s="223"/>
      <c r="AD70" s="291"/>
      <c r="AE70" s="291"/>
      <c r="AF70" s="291"/>
      <c r="AH70" s="223"/>
      <c r="AI70" s="223"/>
      <c r="AJ70" s="291"/>
    </row>
    <row r="71" spans="1:36" ht="38.25" x14ac:dyDescent="0.25">
      <c r="A71" s="291"/>
      <c r="B71" s="612" t="s">
        <v>718</v>
      </c>
      <c r="C71" s="602" t="s">
        <v>381</v>
      </c>
      <c r="D71" s="223"/>
      <c r="E71" s="223"/>
      <c r="F71" s="223"/>
      <c r="G71" s="223"/>
      <c r="H71" s="223"/>
      <c r="I71" s="223"/>
      <c r="J71" s="299" t="s">
        <v>927</v>
      </c>
      <c r="K71" s="220" t="s">
        <v>667</v>
      </c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33"/>
      <c r="Y71" s="235"/>
      <c r="Z71" s="223"/>
      <c r="AA71" s="223"/>
      <c r="AB71" s="223"/>
      <c r="AC71" s="223"/>
      <c r="AD71" s="291"/>
      <c r="AE71" s="291"/>
      <c r="AF71" s="291"/>
      <c r="AH71" s="223"/>
      <c r="AI71" s="223"/>
      <c r="AJ71" s="291"/>
    </row>
    <row r="72" spans="1:36" ht="63.75" x14ac:dyDescent="0.25">
      <c r="A72" s="291"/>
      <c r="B72" s="612" t="s">
        <v>1101</v>
      </c>
      <c r="C72" s="595" t="s">
        <v>441</v>
      </c>
      <c r="D72" s="223"/>
      <c r="E72" s="223"/>
      <c r="F72" s="223"/>
      <c r="G72" s="223"/>
      <c r="H72" s="223"/>
      <c r="I72" s="223"/>
      <c r="J72" s="299" t="s">
        <v>928</v>
      </c>
      <c r="K72" s="220" t="s">
        <v>668</v>
      </c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33"/>
      <c r="Y72" s="235"/>
      <c r="Z72" s="223"/>
      <c r="AA72" s="223"/>
      <c r="AB72" s="223"/>
      <c r="AC72" s="223"/>
      <c r="AD72" s="291"/>
      <c r="AE72" s="291"/>
      <c r="AF72" s="291"/>
      <c r="AH72" s="223"/>
      <c r="AI72" s="223"/>
      <c r="AJ72" s="291"/>
    </row>
    <row r="73" spans="1:36" ht="39" thickBot="1" x14ac:dyDescent="0.3">
      <c r="A73" s="291"/>
      <c r="B73" s="619" t="s">
        <v>713</v>
      </c>
      <c r="C73" s="597" t="s">
        <v>675</v>
      </c>
      <c r="D73" s="223"/>
      <c r="E73" s="223"/>
      <c r="F73" s="223"/>
      <c r="G73" s="223"/>
      <c r="H73" s="223"/>
      <c r="I73" s="223"/>
      <c r="J73" s="299" t="s">
        <v>929</v>
      </c>
      <c r="K73" s="220" t="s">
        <v>669</v>
      </c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33"/>
      <c r="Y73" s="235"/>
      <c r="Z73" s="223"/>
      <c r="AA73" s="223"/>
      <c r="AB73" s="223"/>
      <c r="AC73" s="223"/>
      <c r="AD73" s="291"/>
      <c r="AE73" s="291"/>
      <c r="AF73" s="291"/>
      <c r="AH73" s="223"/>
      <c r="AI73" s="223"/>
      <c r="AJ73" s="291"/>
    </row>
    <row r="74" spans="1:36" ht="25.5" x14ac:dyDescent="0.25">
      <c r="A74" s="291"/>
      <c r="B74" s="599"/>
      <c r="C74" s="601"/>
      <c r="D74" s="291"/>
      <c r="E74" s="291"/>
      <c r="F74" s="291"/>
      <c r="G74" s="291"/>
      <c r="H74" s="291"/>
      <c r="I74" s="291"/>
      <c r="J74" s="299" t="s">
        <v>996</v>
      </c>
      <c r="K74" s="220" t="s">
        <v>995</v>
      </c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33"/>
      <c r="Y74" s="235"/>
      <c r="Z74" s="291"/>
      <c r="AA74" s="291"/>
      <c r="AB74" s="291"/>
      <c r="AC74" s="291"/>
      <c r="AD74" s="291"/>
      <c r="AE74" s="291"/>
      <c r="AF74" s="291"/>
      <c r="AH74" s="291"/>
      <c r="AI74" s="291"/>
      <c r="AJ74" s="291"/>
    </row>
    <row r="75" spans="1:36" ht="25.5" x14ac:dyDescent="0.25">
      <c r="A75" s="291"/>
      <c r="B75" s="233"/>
      <c r="C75" s="234"/>
      <c r="D75" s="291"/>
      <c r="E75" s="291"/>
      <c r="F75" s="291"/>
      <c r="G75" s="291"/>
      <c r="H75" s="291"/>
      <c r="I75" s="291"/>
      <c r="J75" s="299" t="s">
        <v>1103</v>
      </c>
      <c r="K75" s="220" t="s">
        <v>1104</v>
      </c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91"/>
      <c r="AH75" s="291"/>
      <c r="AI75" s="291"/>
      <c r="AJ75" s="291"/>
    </row>
    <row r="76" spans="1:36" ht="25.5" x14ac:dyDescent="0.25">
      <c r="A76" s="291"/>
      <c r="B76" s="233"/>
      <c r="C76" s="234"/>
      <c r="D76" s="291"/>
      <c r="E76" s="291"/>
      <c r="F76" s="291"/>
      <c r="G76" s="291"/>
      <c r="H76" s="291"/>
      <c r="I76" s="291"/>
      <c r="J76" s="299" t="s">
        <v>1105</v>
      </c>
      <c r="K76" s="220" t="s">
        <v>1106</v>
      </c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91"/>
      <c r="AH76" s="291"/>
      <c r="AI76" s="291"/>
      <c r="AJ76" s="291"/>
    </row>
    <row r="77" spans="1:36" ht="63.75" x14ac:dyDescent="0.25">
      <c r="A77" s="291"/>
      <c r="B77" s="233"/>
      <c r="C77" s="234"/>
      <c r="D77" s="291"/>
      <c r="E77" s="291"/>
      <c r="F77" s="291"/>
      <c r="G77" s="291"/>
      <c r="H77" s="291"/>
      <c r="I77" s="291"/>
      <c r="J77" s="299" t="s">
        <v>1107</v>
      </c>
      <c r="K77" s="220" t="s">
        <v>1108</v>
      </c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91"/>
      <c r="AH77" s="291"/>
      <c r="AI77" s="291"/>
      <c r="AJ77" s="291"/>
    </row>
    <row r="78" spans="1:36" ht="38.25" x14ac:dyDescent="0.25">
      <c r="A78" s="291"/>
      <c r="B78" s="233"/>
      <c r="C78" s="234"/>
      <c r="D78" s="291"/>
      <c r="E78" s="291"/>
      <c r="F78" s="291"/>
      <c r="G78" s="291"/>
      <c r="H78" s="291"/>
      <c r="I78" s="291"/>
      <c r="J78" s="299" t="s">
        <v>1109</v>
      </c>
      <c r="K78" s="220" t="s">
        <v>1111</v>
      </c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91"/>
      <c r="AH78" s="291"/>
      <c r="AI78" s="291"/>
      <c r="AJ78" s="291"/>
    </row>
    <row r="79" spans="1:36" ht="51.75" thickBot="1" x14ac:dyDescent="0.3">
      <c r="A79" s="291"/>
      <c r="B79" s="233"/>
      <c r="C79" s="234"/>
      <c r="D79" s="291"/>
      <c r="E79" s="291"/>
      <c r="F79" s="291"/>
      <c r="G79" s="291"/>
      <c r="H79" s="291"/>
      <c r="I79" s="291"/>
      <c r="J79" s="301" t="s">
        <v>1110</v>
      </c>
      <c r="K79" s="222" t="s">
        <v>1112</v>
      </c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91"/>
      <c r="AH79" s="291"/>
      <c r="AI79" s="291"/>
      <c r="AJ79" s="291"/>
    </row>
    <row r="80" spans="1:36" ht="26.25" thickBot="1" x14ac:dyDescent="0.3">
      <c r="A80" s="291"/>
      <c r="B80" s="233"/>
      <c r="C80" s="234"/>
      <c r="D80" s="291"/>
      <c r="E80" s="291"/>
      <c r="F80" s="291"/>
      <c r="G80" s="291"/>
      <c r="H80" s="291"/>
      <c r="I80" s="291"/>
      <c r="J80" s="301" t="s">
        <v>1146</v>
      </c>
      <c r="K80" s="222" t="s">
        <v>1147</v>
      </c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H80" s="291"/>
      <c r="AI80" s="291"/>
      <c r="AJ80" s="291"/>
    </row>
    <row r="81" spans="1:36" x14ac:dyDescent="0.25">
      <c r="A81" s="291"/>
      <c r="B81" s="233"/>
      <c r="C81" s="234"/>
      <c r="D81" s="291"/>
      <c r="E81" s="291"/>
      <c r="F81" s="291"/>
      <c r="G81" s="291"/>
      <c r="H81" s="291"/>
      <c r="I81" s="291"/>
      <c r="J81" s="233"/>
      <c r="K81" s="235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91"/>
      <c r="AH81" s="291"/>
      <c r="AI81" s="291"/>
      <c r="AJ81" s="291"/>
    </row>
    <row r="82" spans="1:36" x14ac:dyDescent="0.25">
      <c r="A82" s="291"/>
      <c r="B82" s="233"/>
      <c r="C82" s="234"/>
      <c r="D82" s="291"/>
      <c r="E82" s="291"/>
      <c r="F82" s="291"/>
      <c r="G82" s="291"/>
      <c r="H82" s="291"/>
      <c r="I82" s="291"/>
      <c r="J82" s="233"/>
      <c r="K82" s="235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91"/>
      <c r="AH82" s="291"/>
      <c r="AI82" s="291"/>
      <c r="AJ82" s="291"/>
    </row>
    <row r="83" spans="1:36" x14ac:dyDescent="0.25">
      <c r="A83" s="291"/>
      <c r="B83" s="233"/>
      <c r="C83" s="234"/>
      <c r="D83" s="291"/>
      <c r="E83" s="291"/>
      <c r="F83" s="291"/>
      <c r="G83" s="291"/>
      <c r="H83" s="291"/>
      <c r="I83" s="291"/>
      <c r="J83" s="233"/>
      <c r="K83" s="235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H83" s="291"/>
      <c r="AI83" s="291"/>
      <c r="AJ83" s="291"/>
    </row>
    <row r="84" spans="1:36" x14ac:dyDescent="0.25">
      <c r="A84" s="291"/>
      <c r="B84" s="233"/>
      <c r="C84" s="234"/>
      <c r="D84" s="291"/>
      <c r="E84" s="291"/>
      <c r="F84" s="291"/>
      <c r="G84" s="291"/>
      <c r="H84" s="291"/>
      <c r="I84" s="291"/>
      <c r="J84" s="233"/>
      <c r="K84" s="235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91"/>
      <c r="AH84" s="291"/>
      <c r="AI84" s="291"/>
      <c r="AJ84" s="291"/>
    </row>
    <row r="85" spans="1:36" x14ac:dyDescent="0.25">
      <c r="A85" s="291"/>
      <c r="B85" s="233"/>
      <c r="C85" s="234"/>
      <c r="D85" s="291"/>
      <c r="E85" s="291"/>
      <c r="F85" s="291"/>
      <c r="G85" s="291"/>
      <c r="H85" s="291"/>
      <c r="I85" s="291"/>
      <c r="J85" s="233"/>
      <c r="K85" s="235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H85" s="291"/>
      <c r="AI85" s="291"/>
      <c r="AJ85" s="291"/>
    </row>
    <row r="86" spans="1:36" x14ac:dyDescent="0.25">
      <c r="A86" s="291"/>
      <c r="B86" s="233"/>
      <c r="C86" s="234"/>
      <c r="D86" s="291"/>
      <c r="E86" s="291"/>
      <c r="F86" s="291"/>
      <c r="G86" s="291"/>
      <c r="H86" s="291"/>
      <c r="I86" s="291"/>
      <c r="J86" s="233"/>
      <c r="K86" s="235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91"/>
      <c r="AH86" s="291"/>
      <c r="AI86" s="291"/>
      <c r="AJ86" s="291"/>
    </row>
    <row r="87" spans="1:36" x14ac:dyDescent="0.25">
      <c r="A87" s="291"/>
      <c r="B87" s="233"/>
      <c r="C87" s="234"/>
      <c r="D87" s="291"/>
      <c r="E87" s="291"/>
      <c r="F87" s="291"/>
      <c r="G87" s="291"/>
      <c r="H87" s="291"/>
      <c r="I87" s="291"/>
      <c r="J87" s="233"/>
      <c r="K87" s="235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91"/>
      <c r="AH87" s="291"/>
      <c r="AI87" s="291"/>
      <c r="AJ87" s="291"/>
    </row>
    <row r="88" spans="1:36" x14ac:dyDescent="0.25">
      <c r="A88" s="291"/>
      <c r="B88" s="233"/>
      <c r="C88" s="234"/>
      <c r="D88" s="291"/>
      <c r="E88" s="291"/>
      <c r="F88" s="291"/>
      <c r="G88" s="291"/>
      <c r="H88" s="291"/>
      <c r="I88" s="291"/>
      <c r="J88" s="233"/>
      <c r="K88" s="235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91"/>
      <c r="AH88" s="291"/>
      <c r="AI88" s="291"/>
      <c r="AJ88" s="291"/>
    </row>
    <row r="89" spans="1:36" x14ac:dyDescent="0.25">
      <c r="A89" s="291"/>
      <c r="B89" s="233"/>
      <c r="C89" s="234"/>
      <c r="D89" s="291"/>
      <c r="E89" s="291"/>
      <c r="F89" s="291"/>
      <c r="G89" s="291"/>
      <c r="H89" s="291"/>
      <c r="I89" s="291"/>
      <c r="J89" s="233"/>
      <c r="K89" s="235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H89" s="291"/>
      <c r="AI89" s="291"/>
      <c r="AJ89" s="291"/>
    </row>
    <row r="90" spans="1:36" x14ac:dyDescent="0.25">
      <c r="A90" s="291"/>
      <c r="B90" s="233"/>
      <c r="C90" s="234"/>
      <c r="D90" s="291"/>
      <c r="E90" s="291"/>
      <c r="F90" s="291"/>
      <c r="G90" s="291"/>
      <c r="H90" s="291"/>
      <c r="I90" s="291"/>
      <c r="J90" s="233"/>
      <c r="K90" s="235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91"/>
      <c r="AH90" s="291"/>
      <c r="AI90" s="291"/>
      <c r="AJ90" s="291"/>
    </row>
    <row r="91" spans="1:36" x14ac:dyDescent="0.25">
      <c r="A91" s="291"/>
      <c r="B91" s="233"/>
      <c r="C91" s="234"/>
      <c r="D91" s="291"/>
      <c r="E91" s="291"/>
      <c r="F91" s="291"/>
      <c r="G91" s="291"/>
      <c r="H91" s="291"/>
      <c r="I91" s="291"/>
      <c r="J91" s="233"/>
      <c r="K91" s="235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91"/>
      <c r="AH91" s="291"/>
      <c r="AI91" s="291"/>
      <c r="AJ91" s="291"/>
    </row>
    <row r="92" spans="1:36" x14ac:dyDescent="0.25">
      <c r="A92" s="291"/>
      <c r="B92" s="233"/>
      <c r="C92" s="234"/>
      <c r="D92" s="291"/>
      <c r="E92" s="291"/>
      <c r="F92" s="291"/>
      <c r="G92" s="291"/>
      <c r="H92" s="291"/>
      <c r="I92" s="291"/>
      <c r="J92" s="233"/>
      <c r="K92" s="235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91"/>
      <c r="AH92" s="291"/>
      <c r="AI92" s="291"/>
      <c r="AJ92" s="291"/>
    </row>
    <row r="93" spans="1:36" x14ac:dyDescent="0.25">
      <c r="A93" s="291"/>
      <c r="B93" s="233"/>
      <c r="C93" s="234"/>
      <c r="D93" s="291"/>
      <c r="E93" s="291"/>
      <c r="F93" s="291"/>
      <c r="G93" s="291"/>
      <c r="H93" s="291"/>
      <c r="I93" s="291"/>
      <c r="J93" s="233"/>
      <c r="K93" s="235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H93" s="291"/>
      <c r="AI93" s="291"/>
      <c r="AJ93" s="291"/>
    </row>
    <row r="94" spans="1:36" x14ac:dyDescent="0.25">
      <c r="A94" s="291"/>
      <c r="B94" s="233"/>
      <c r="C94" s="234"/>
      <c r="D94" s="291"/>
      <c r="E94" s="291"/>
      <c r="F94" s="291"/>
      <c r="G94" s="291"/>
      <c r="H94" s="291"/>
      <c r="I94" s="291"/>
      <c r="J94" s="233"/>
      <c r="K94" s="235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91"/>
      <c r="AH94" s="291"/>
      <c r="AI94" s="291"/>
      <c r="AJ94" s="291"/>
    </row>
    <row r="95" spans="1:36" x14ac:dyDescent="0.25">
      <c r="A95" s="291"/>
      <c r="B95" s="233"/>
      <c r="C95" s="234"/>
      <c r="D95" s="291"/>
      <c r="E95" s="291"/>
      <c r="F95" s="291"/>
      <c r="G95" s="291"/>
      <c r="H95" s="291"/>
      <c r="I95" s="291"/>
      <c r="J95" s="233"/>
      <c r="K95" s="235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H95" s="291"/>
      <c r="AI95" s="291"/>
      <c r="AJ95" s="291"/>
    </row>
    <row r="96" spans="1:36" x14ac:dyDescent="0.25">
      <c r="A96" s="291"/>
      <c r="B96" s="233"/>
      <c r="C96" s="234"/>
      <c r="D96" s="291"/>
      <c r="E96" s="291"/>
      <c r="F96" s="291"/>
      <c r="G96" s="291"/>
      <c r="H96" s="291"/>
      <c r="I96" s="291"/>
      <c r="J96" s="233"/>
      <c r="K96" s="235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91"/>
      <c r="AH96" s="291"/>
      <c r="AI96" s="291"/>
      <c r="AJ96" s="291"/>
    </row>
    <row r="97" spans="1:36" x14ac:dyDescent="0.25">
      <c r="A97" s="291"/>
      <c r="B97" s="233"/>
      <c r="C97" s="234"/>
      <c r="D97" s="291"/>
      <c r="E97" s="291"/>
      <c r="F97" s="291"/>
      <c r="G97" s="291"/>
      <c r="H97" s="291"/>
      <c r="I97" s="291"/>
      <c r="J97" s="233"/>
      <c r="K97" s="235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91"/>
      <c r="AH97" s="291"/>
      <c r="AI97" s="291"/>
      <c r="AJ97" s="291"/>
    </row>
    <row r="98" spans="1:36" x14ac:dyDescent="0.25">
      <c r="A98" s="291"/>
      <c r="B98" s="233"/>
      <c r="C98" s="234"/>
      <c r="D98" s="291"/>
      <c r="E98" s="291"/>
      <c r="F98" s="291"/>
      <c r="G98" s="291"/>
      <c r="H98" s="291"/>
      <c r="I98" s="291"/>
      <c r="J98" s="233"/>
      <c r="K98" s="235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91"/>
      <c r="AB98" s="291"/>
      <c r="AC98" s="291"/>
      <c r="AD98" s="291"/>
      <c r="AE98" s="291"/>
      <c r="AF98" s="291"/>
      <c r="AH98" s="291"/>
      <c r="AI98" s="291"/>
      <c r="AJ98" s="291"/>
    </row>
    <row r="99" spans="1:36" x14ac:dyDescent="0.25">
      <c r="A99" s="291"/>
      <c r="B99" s="233"/>
      <c r="C99" s="234"/>
      <c r="D99" s="291"/>
      <c r="E99" s="291"/>
      <c r="F99" s="291"/>
      <c r="G99" s="291"/>
      <c r="H99" s="291"/>
      <c r="I99" s="291"/>
      <c r="J99" s="233"/>
      <c r="K99" s="235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AD99" s="291"/>
      <c r="AE99" s="291"/>
      <c r="AF99" s="291"/>
      <c r="AH99" s="291"/>
      <c r="AI99" s="291"/>
      <c r="AJ99" s="291"/>
    </row>
    <row r="100" spans="1:36" x14ac:dyDescent="0.25">
      <c r="A100" s="291"/>
      <c r="B100" s="233"/>
      <c r="C100" s="234"/>
      <c r="D100" s="291"/>
      <c r="E100" s="291"/>
      <c r="F100" s="291"/>
      <c r="G100" s="291"/>
      <c r="H100" s="291"/>
      <c r="I100" s="291"/>
      <c r="J100" s="233"/>
      <c r="K100" s="235"/>
      <c r="L100" s="291"/>
      <c r="M100" s="291"/>
      <c r="N100" s="291"/>
      <c r="O100" s="291"/>
      <c r="P100" s="291"/>
      <c r="Q100" s="291"/>
      <c r="R100" s="291"/>
      <c r="S100" s="291"/>
      <c r="T100" s="291"/>
      <c r="U100" s="291"/>
      <c r="V100" s="291"/>
      <c r="W100" s="291"/>
      <c r="X100" s="291"/>
      <c r="Y100" s="291"/>
      <c r="Z100" s="291"/>
      <c r="AA100" s="291"/>
      <c r="AB100" s="291"/>
      <c r="AC100" s="291"/>
      <c r="AD100" s="291"/>
      <c r="AE100" s="291"/>
      <c r="AF100" s="291"/>
      <c r="AH100" s="291"/>
      <c r="AI100" s="291"/>
      <c r="AJ100" s="291"/>
    </row>
    <row r="101" spans="1:36" x14ac:dyDescent="0.25">
      <c r="A101" s="291"/>
      <c r="B101" s="233"/>
      <c r="C101" s="234"/>
      <c r="D101" s="291"/>
      <c r="E101" s="291"/>
      <c r="F101" s="291"/>
      <c r="G101" s="291"/>
      <c r="H101" s="291"/>
      <c r="I101" s="291"/>
      <c r="J101" s="233"/>
      <c r="K101" s="235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AD101" s="291"/>
      <c r="AE101" s="291"/>
      <c r="AF101" s="291"/>
      <c r="AH101" s="291"/>
      <c r="AI101" s="291"/>
      <c r="AJ101" s="291"/>
    </row>
    <row r="102" spans="1:36" x14ac:dyDescent="0.25">
      <c r="A102" s="291"/>
      <c r="B102" s="233"/>
      <c r="C102" s="234"/>
      <c r="D102" s="291"/>
      <c r="E102" s="291"/>
      <c r="F102" s="291"/>
      <c r="G102" s="291"/>
      <c r="H102" s="291"/>
      <c r="I102" s="291"/>
      <c r="J102" s="233"/>
      <c r="K102" s="235"/>
      <c r="L102" s="291"/>
      <c r="M102" s="291"/>
      <c r="N102" s="291"/>
      <c r="O102" s="291"/>
      <c r="P102" s="291"/>
      <c r="Q102" s="291"/>
      <c r="R102" s="291"/>
      <c r="S102" s="291"/>
      <c r="T102" s="291"/>
      <c r="U102" s="291"/>
      <c r="V102" s="291"/>
      <c r="W102" s="291"/>
      <c r="X102" s="291"/>
      <c r="Y102" s="291"/>
      <c r="Z102" s="291"/>
      <c r="AA102" s="291"/>
      <c r="AB102" s="291"/>
      <c r="AC102" s="291"/>
      <c r="AD102" s="291"/>
      <c r="AE102" s="291"/>
      <c r="AF102" s="291"/>
      <c r="AH102" s="291"/>
      <c r="AI102" s="291"/>
      <c r="AJ102" s="291"/>
    </row>
    <row r="103" spans="1:36" x14ac:dyDescent="0.25">
      <c r="A103" s="291"/>
      <c r="B103" s="233"/>
      <c r="C103" s="234"/>
      <c r="D103" s="291"/>
      <c r="E103" s="291"/>
      <c r="F103" s="291"/>
      <c r="G103" s="291"/>
      <c r="H103" s="291"/>
      <c r="I103" s="291"/>
      <c r="J103" s="233"/>
      <c r="K103" s="235"/>
      <c r="L103" s="291"/>
      <c r="M103" s="291"/>
      <c r="N103" s="291"/>
      <c r="O103" s="291"/>
      <c r="P103" s="291"/>
      <c r="Q103" s="291"/>
      <c r="R103" s="291"/>
      <c r="S103" s="291"/>
      <c r="T103" s="291"/>
      <c r="U103" s="291"/>
      <c r="V103" s="291"/>
      <c r="W103" s="291"/>
      <c r="X103" s="291"/>
      <c r="Y103" s="291"/>
      <c r="Z103" s="291"/>
      <c r="AA103" s="291"/>
      <c r="AB103" s="291"/>
      <c r="AC103" s="291"/>
      <c r="AD103" s="291"/>
      <c r="AE103" s="291"/>
      <c r="AF103" s="291"/>
      <c r="AH103" s="291"/>
      <c r="AI103" s="291"/>
      <c r="AJ103" s="291"/>
    </row>
    <row r="104" spans="1:36" x14ac:dyDescent="0.25">
      <c r="A104" s="291"/>
      <c r="B104" s="233"/>
      <c r="C104" s="234"/>
      <c r="D104" s="291"/>
      <c r="E104" s="291"/>
      <c r="F104" s="291"/>
      <c r="G104" s="291"/>
      <c r="H104" s="291"/>
      <c r="I104" s="291"/>
      <c r="J104" s="233"/>
      <c r="K104" s="235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91"/>
      <c r="AB104" s="291"/>
      <c r="AC104" s="291"/>
      <c r="AD104" s="291"/>
      <c r="AE104" s="291"/>
      <c r="AF104" s="291"/>
      <c r="AH104" s="291"/>
      <c r="AI104" s="291"/>
      <c r="AJ104" s="291"/>
    </row>
    <row r="105" spans="1:36" x14ac:dyDescent="0.25">
      <c r="A105" s="291"/>
      <c r="B105" s="233"/>
      <c r="C105" s="234"/>
      <c r="D105" s="291"/>
      <c r="E105" s="291"/>
      <c r="F105" s="291"/>
      <c r="G105" s="291"/>
      <c r="H105" s="291"/>
      <c r="I105" s="291"/>
      <c r="J105" s="233"/>
      <c r="K105" s="235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91"/>
      <c r="AB105" s="291"/>
      <c r="AC105" s="291"/>
      <c r="AD105" s="291"/>
      <c r="AE105" s="291"/>
      <c r="AF105" s="291"/>
      <c r="AH105" s="291"/>
      <c r="AI105" s="291"/>
      <c r="AJ105" s="291"/>
    </row>
    <row r="106" spans="1:36" x14ac:dyDescent="0.25">
      <c r="A106" s="291"/>
      <c r="B106" s="233"/>
      <c r="C106" s="234"/>
      <c r="D106" s="291"/>
      <c r="E106" s="291"/>
      <c r="F106" s="291"/>
      <c r="G106" s="291"/>
      <c r="H106" s="291"/>
      <c r="I106" s="291"/>
      <c r="J106" s="291"/>
      <c r="K106" s="291"/>
      <c r="L106" s="291"/>
      <c r="M106" s="291"/>
      <c r="N106" s="291"/>
      <c r="O106" s="291"/>
      <c r="P106" s="291"/>
      <c r="Q106" s="291"/>
      <c r="R106" s="291"/>
      <c r="S106" s="291"/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H106" s="291"/>
      <c r="AI106" s="291"/>
      <c r="AJ106" s="291"/>
    </row>
    <row r="107" spans="1:36" x14ac:dyDescent="0.25">
      <c r="A107" s="291"/>
      <c r="B107" s="233"/>
      <c r="C107" s="234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1"/>
      <c r="T107" s="291"/>
      <c r="U107" s="291"/>
      <c r="V107" s="291"/>
      <c r="W107" s="291"/>
      <c r="X107" s="291"/>
      <c r="Y107" s="291"/>
      <c r="Z107" s="291"/>
      <c r="AA107" s="291"/>
      <c r="AB107" s="291"/>
      <c r="AC107" s="291"/>
      <c r="AD107" s="291"/>
      <c r="AE107" s="291"/>
      <c r="AF107" s="291"/>
      <c r="AH107" s="291"/>
      <c r="AI107" s="291"/>
      <c r="AJ107" s="291"/>
    </row>
    <row r="108" spans="1:36" x14ac:dyDescent="0.25">
      <c r="A108" s="291"/>
      <c r="B108" s="233"/>
      <c r="C108" s="234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  <c r="N108" s="291"/>
      <c r="O108" s="291"/>
      <c r="P108" s="291"/>
      <c r="Q108" s="291"/>
      <c r="R108" s="291"/>
      <c r="S108" s="291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H108" s="291"/>
      <c r="AI108" s="291"/>
      <c r="AJ108" s="291"/>
    </row>
    <row r="109" spans="1:36" x14ac:dyDescent="0.25">
      <c r="A109" s="291"/>
      <c r="B109" s="233"/>
      <c r="C109" s="234"/>
      <c r="D109" s="291"/>
      <c r="E109" s="291"/>
      <c r="F109" s="291"/>
      <c r="G109" s="291"/>
      <c r="H109" s="291"/>
      <c r="I109" s="291"/>
      <c r="J109" s="291"/>
      <c r="K109" s="291"/>
      <c r="L109" s="291"/>
      <c r="M109" s="291"/>
      <c r="N109" s="291"/>
      <c r="O109" s="291"/>
      <c r="P109" s="291"/>
      <c r="Q109" s="291"/>
      <c r="R109" s="291"/>
      <c r="S109" s="291"/>
      <c r="T109" s="291"/>
      <c r="U109" s="291"/>
      <c r="V109" s="291"/>
      <c r="W109" s="291"/>
      <c r="X109" s="291"/>
      <c r="Y109" s="291"/>
      <c r="Z109" s="291"/>
      <c r="AA109" s="291"/>
      <c r="AB109" s="291"/>
      <c r="AC109" s="291"/>
      <c r="AD109" s="291"/>
      <c r="AE109" s="291"/>
      <c r="AF109" s="291"/>
      <c r="AH109" s="291"/>
      <c r="AI109" s="291"/>
      <c r="AJ109" s="291"/>
    </row>
    <row r="110" spans="1:36" x14ac:dyDescent="0.25">
      <c r="A110" s="291"/>
      <c r="B110" s="233"/>
      <c r="C110" s="234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1"/>
      <c r="P110" s="291"/>
      <c r="Q110" s="291"/>
      <c r="R110" s="291"/>
      <c r="S110" s="291"/>
      <c r="T110" s="291"/>
      <c r="U110" s="291"/>
      <c r="V110" s="291"/>
      <c r="W110" s="291"/>
      <c r="X110" s="291"/>
      <c r="Y110" s="291"/>
      <c r="Z110" s="291"/>
      <c r="AA110" s="291"/>
      <c r="AB110" s="291"/>
      <c r="AC110" s="291"/>
      <c r="AD110" s="291"/>
      <c r="AE110" s="291"/>
      <c r="AF110" s="291"/>
      <c r="AH110" s="291"/>
      <c r="AI110" s="291"/>
      <c r="AJ110" s="291"/>
    </row>
    <row r="111" spans="1:36" x14ac:dyDescent="0.25">
      <c r="B111" s="233"/>
      <c r="C111" s="234"/>
    </row>
    <row r="112" spans="1:36" x14ac:dyDescent="0.25">
      <c r="B112" s="233"/>
      <c r="C112" s="234"/>
    </row>
    <row r="113" spans="2:3" x14ac:dyDescent="0.25">
      <c r="B113" s="233"/>
      <c r="C113" s="234"/>
    </row>
    <row r="114" spans="2:3" x14ac:dyDescent="0.25">
      <c r="B114" s="233"/>
      <c r="C114" s="234"/>
    </row>
    <row r="115" spans="2:3" x14ac:dyDescent="0.25">
      <c r="B115" s="233"/>
      <c r="C115" s="234"/>
    </row>
    <row r="116" spans="2:3" x14ac:dyDescent="0.25">
      <c r="B116" s="233"/>
      <c r="C116" s="234"/>
    </row>
    <row r="117" spans="2:3" x14ac:dyDescent="0.25">
      <c r="B117" s="233"/>
      <c r="C117" s="234"/>
    </row>
    <row r="118" spans="2:3" x14ac:dyDescent="0.25">
      <c r="B118" s="233"/>
      <c r="C118" s="234"/>
    </row>
    <row r="119" spans="2:3" x14ac:dyDescent="0.25">
      <c r="B119" s="233"/>
      <c r="C119" s="234"/>
    </row>
    <row r="120" spans="2:3" x14ac:dyDescent="0.25">
      <c r="B120" s="233"/>
      <c r="C120" s="234"/>
    </row>
    <row r="121" spans="2:3" x14ac:dyDescent="0.25">
      <c r="B121" s="233"/>
      <c r="C121" s="234"/>
    </row>
    <row r="122" spans="2:3" x14ac:dyDescent="0.25">
      <c r="B122" s="233"/>
      <c r="C122" s="234"/>
    </row>
    <row r="123" spans="2:3" x14ac:dyDescent="0.25">
      <c r="B123" s="233"/>
      <c r="C123" s="234"/>
    </row>
    <row r="124" spans="2:3" x14ac:dyDescent="0.25">
      <c r="B124" s="233"/>
      <c r="C124" s="234"/>
    </row>
    <row r="125" spans="2:3" x14ac:dyDescent="0.25">
      <c r="B125" s="233"/>
      <c r="C125" s="234"/>
    </row>
    <row r="126" spans="2:3" x14ac:dyDescent="0.25">
      <c r="B126" s="233"/>
      <c r="C126" s="234"/>
    </row>
    <row r="127" spans="2:3" x14ac:dyDescent="0.25">
      <c r="B127" s="233"/>
      <c r="C127" s="234"/>
    </row>
    <row r="128" spans="2:3" x14ac:dyDescent="0.25">
      <c r="B128" s="233"/>
      <c r="C128" s="234"/>
    </row>
    <row r="129" spans="2:3" x14ac:dyDescent="0.25">
      <c r="B129" s="233"/>
      <c r="C129" s="234"/>
    </row>
    <row r="130" spans="2:3" x14ac:dyDescent="0.25">
      <c r="B130" s="233"/>
      <c r="C130" s="234"/>
    </row>
    <row r="131" spans="2:3" x14ac:dyDescent="0.25">
      <c r="B131" s="233"/>
      <c r="C131" s="234"/>
    </row>
    <row r="132" spans="2:3" x14ac:dyDescent="0.25">
      <c r="B132" s="233"/>
      <c r="C132" s="234"/>
    </row>
    <row r="133" spans="2:3" x14ac:dyDescent="0.25">
      <c r="B133" s="233"/>
      <c r="C133" s="234"/>
    </row>
    <row r="134" spans="2:3" x14ac:dyDescent="0.25">
      <c r="B134" s="233"/>
      <c r="C134" s="234"/>
    </row>
    <row r="135" spans="2:3" x14ac:dyDescent="0.25">
      <c r="B135" s="233"/>
      <c r="C135" s="234"/>
    </row>
    <row r="136" spans="2:3" x14ac:dyDescent="0.25">
      <c r="B136" s="233"/>
      <c r="C136" s="234"/>
    </row>
    <row r="137" spans="2:3" x14ac:dyDescent="0.25">
      <c r="B137" s="233"/>
      <c r="C137" s="234"/>
    </row>
    <row r="138" spans="2:3" x14ac:dyDescent="0.25">
      <c r="B138" s="233"/>
      <c r="C138" s="234"/>
    </row>
    <row r="139" spans="2:3" x14ac:dyDescent="0.25">
      <c r="B139" s="233"/>
      <c r="C139" s="234"/>
    </row>
    <row r="140" spans="2:3" x14ac:dyDescent="0.25">
      <c r="B140" s="233"/>
      <c r="C140" s="234"/>
    </row>
    <row r="141" spans="2:3" x14ac:dyDescent="0.25">
      <c r="B141" s="233"/>
      <c r="C141" s="234"/>
    </row>
    <row r="142" spans="2:3" x14ac:dyDescent="0.25">
      <c r="B142" s="233"/>
      <c r="C142" s="234"/>
    </row>
    <row r="143" spans="2:3" x14ac:dyDescent="0.25">
      <c r="B143" s="233"/>
      <c r="C143" s="234"/>
    </row>
    <row r="144" spans="2:3" x14ac:dyDescent="0.25">
      <c r="B144" s="233"/>
      <c r="C144" s="234"/>
    </row>
    <row r="145" spans="2:3" x14ac:dyDescent="0.25">
      <c r="B145" s="233"/>
      <c r="C145" s="234"/>
    </row>
    <row r="146" spans="2:3" x14ac:dyDescent="0.25">
      <c r="B146" s="233"/>
      <c r="C146" s="234"/>
    </row>
    <row r="147" spans="2:3" x14ac:dyDescent="0.25">
      <c r="B147" s="233"/>
      <c r="C147" s="234"/>
    </row>
    <row r="148" spans="2:3" x14ac:dyDescent="0.25">
      <c r="B148" s="233"/>
      <c r="C148" s="234"/>
    </row>
    <row r="149" spans="2:3" x14ac:dyDescent="0.25">
      <c r="B149" s="233"/>
      <c r="C149" s="234"/>
    </row>
    <row r="150" spans="2:3" x14ac:dyDescent="0.25">
      <c r="B150" s="233"/>
      <c r="C150" s="234"/>
    </row>
    <row r="151" spans="2:3" x14ac:dyDescent="0.25">
      <c r="B151" s="233"/>
      <c r="C151" s="234"/>
    </row>
    <row r="152" spans="2:3" x14ac:dyDescent="0.25">
      <c r="B152" s="233"/>
      <c r="C152" s="234"/>
    </row>
    <row r="153" spans="2:3" x14ac:dyDescent="0.25">
      <c r="B153" s="233"/>
      <c r="C153" s="234"/>
    </row>
  </sheetData>
  <mergeCells count="1">
    <mergeCell ref="D2:L2"/>
  </mergeCells>
  <pageMargins left="0.7" right="0.7" top="0.75" bottom="0.75" header="0.3" footer="0.3"/>
  <pageSetup paperSize="9" scale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2:O100"/>
  <sheetViews>
    <sheetView workbookViewId="0">
      <selection activeCell="L9" sqref="L9"/>
    </sheetView>
  </sheetViews>
  <sheetFormatPr defaultRowHeight="15" x14ac:dyDescent="0.25"/>
  <cols>
    <col min="1" max="1" width="9.140625" style="1"/>
    <col min="2" max="2" width="68" style="1" customWidth="1"/>
    <col min="3" max="3" width="10" style="1" customWidth="1"/>
    <col min="4" max="4" width="5.42578125" style="1" customWidth="1"/>
    <col min="5" max="5" width="32.7109375" style="1" bestFit="1" customWidth="1"/>
    <col min="6" max="6" width="5.85546875" style="1" customWidth="1"/>
    <col min="7" max="7" width="16.140625" style="1" customWidth="1"/>
    <col min="8" max="8" width="9.140625" style="1"/>
    <col min="9" max="9" width="9.7109375" style="1" customWidth="1"/>
    <col min="10" max="10" width="9.140625" style="1"/>
    <col min="11" max="11" width="8.7109375" style="1" customWidth="1"/>
    <col min="12" max="12" width="59.7109375" style="1" customWidth="1"/>
    <col min="13" max="14" width="9.140625" style="1"/>
    <col min="15" max="15" width="11.140625" style="1" customWidth="1"/>
    <col min="16" max="16384" width="9.140625" style="1"/>
  </cols>
  <sheetData>
    <row r="2" spans="2:15" ht="25.5" x14ac:dyDescent="0.25">
      <c r="B2" s="46" t="s">
        <v>41</v>
      </c>
      <c r="C2" s="46" t="s">
        <v>42</v>
      </c>
      <c r="D2" s="47"/>
      <c r="E2" s="46" t="s">
        <v>43</v>
      </c>
      <c r="F2" s="47"/>
      <c r="G2" s="46" t="s">
        <v>991</v>
      </c>
      <c r="I2" s="46" t="s">
        <v>305</v>
      </c>
      <c r="K2" s="46" t="s">
        <v>1000</v>
      </c>
      <c r="L2" s="46" t="s">
        <v>1001</v>
      </c>
    </row>
    <row r="3" spans="2:15" ht="38.25" x14ac:dyDescent="0.25">
      <c r="B3" s="48" t="s">
        <v>44</v>
      </c>
      <c r="C3" s="49" t="s">
        <v>45</v>
      </c>
      <c r="D3" s="50"/>
      <c r="E3" s="51" t="s">
        <v>47</v>
      </c>
      <c r="F3" s="50"/>
      <c r="G3" s="51" t="s">
        <v>64</v>
      </c>
      <c r="I3" s="51" t="s">
        <v>306</v>
      </c>
      <c r="K3" s="48" t="s">
        <v>997</v>
      </c>
      <c r="L3" s="51" t="s">
        <v>1289</v>
      </c>
      <c r="O3" s="312"/>
    </row>
    <row r="4" spans="2:15" ht="25.5" x14ac:dyDescent="0.25">
      <c r="B4" s="48" t="s">
        <v>48</v>
      </c>
      <c r="C4" s="49" t="s">
        <v>49</v>
      </c>
      <c r="D4" s="50"/>
      <c r="E4" s="271" t="s">
        <v>46</v>
      </c>
      <c r="F4" s="50"/>
      <c r="G4" s="51" t="s">
        <v>65</v>
      </c>
      <c r="I4" s="51" t="s">
        <v>307</v>
      </c>
      <c r="K4" s="48" t="s">
        <v>998</v>
      </c>
      <c r="L4" s="51" t="s">
        <v>1290</v>
      </c>
    </row>
    <row r="5" spans="2:15" ht="25.5" x14ac:dyDescent="0.25">
      <c r="B5" s="48" t="s">
        <v>50</v>
      </c>
      <c r="C5" s="49" t="s">
        <v>51</v>
      </c>
      <c r="D5" s="50"/>
      <c r="E5" s="271" t="s">
        <v>935</v>
      </c>
      <c r="F5" s="50"/>
      <c r="G5" s="51" t="s">
        <v>66</v>
      </c>
      <c r="I5" s="51" t="s">
        <v>308</v>
      </c>
      <c r="K5" s="48" t="s">
        <v>999</v>
      </c>
      <c r="L5" s="51" t="s">
        <v>1291</v>
      </c>
    </row>
    <row r="6" spans="2:15" ht="25.5" x14ac:dyDescent="0.25">
      <c r="B6" s="48" t="s">
        <v>53</v>
      </c>
      <c r="C6" s="49" t="s">
        <v>54</v>
      </c>
      <c r="D6" s="50"/>
      <c r="E6" s="51" t="s">
        <v>52</v>
      </c>
      <c r="F6" s="50"/>
      <c r="G6" s="51" t="s">
        <v>67</v>
      </c>
      <c r="I6" s="51" t="s">
        <v>309</v>
      </c>
      <c r="K6" s="48" t="s">
        <v>1002</v>
      </c>
      <c r="L6" s="51" t="s">
        <v>1292</v>
      </c>
    </row>
    <row r="7" spans="2:15" ht="25.5" x14ac:dyDescent="0.25">
      <c r="B7" s="48" t="s">
        <v>55</v>
      </c>
      <c r="C7" s="49" t="s">
        <v>56</v>
      </c>
      <c r="D7" s="50"/>
      <c r="E7" s="51" t="s">
        <v>62</v>
      </c>
      <c r="F7" s="50"/>
      <c r="G7" s="51" t="s">
        <v>68</v>
      </c>
      <c r="I7" s="51" t="s">
        <v>310</v>
      </c>
      <c r="K7" s="48" t="s">
        <v>1003</v>
      </c>
      <c r="L7" s="51" t="s">
        <v>1293</v>
      </c>
    </row>
    <row r="8" spans="2:15" ht="25.5" x14ac:dyDescent="0.25">
      <c r="B8" s="48" t="s">
        <v>57</v>
      </c>
      <c r="C8" s="49" t="s">
        <v>58</v>
      </c>
      <c r="D8" s="50"/>
      <c r="E8" s="51" t="s">
        <v>59</v>
      </c>
      <c r="F8" s="50"/>
      <c r="G8" s="51" t="s">
        <v>69</v>
      </c>
      <c r="I8" s="51" t="s">
        <v>311</v>
      </c>
      <c r="K8" s="48" t="s">
        <v>1004</v>
      </c>
      <c r="L8" s="51" t="s">
        <v>1294</v>
      </c>
    </row>
    <row r="9" spans="2:15" ht="38.25" x14ac:dyDescent="0.25">
      <c r="B9" s="48" t="s">
        <v>1271</v>
      </c>
      <c r="C9" s="49" t="s">
        <v>1272</v>
      </c>
      <c r="D9" s="50"/>
      <c r="E9" s="51" t="s">
        <v>60</v>
      </c>
      <c r="F9" s="50"/>
      <c r="G9" s="51" t="s">
        <v>70</v>
      </c>
      <c r="I9" s="51" t="s">
        <v>312</v>
      </c>
      <c r="K9" s="48" t="s">
        <v>1005</v>
      </c>
      <c r="L9" s="51" t="s">
        <v>1295</v>
      </c>
    </row>
    <row r="10" spans="2:15" ht="25.5" x14ac:dyDescent="0.25">
      <c r="B10" s="455"/>
      <c r="C10" s="50"/>
      <c r="D10" s="50"/>
      <c r="E10" s="51" t="s">
        <v>61</v>
      </c>
      <c r="F10" s="50"/>
      <c r="G10" s="51" t="s">
        <v>71</v>
      </c>
      <c r="I10" s="51" t="s">
        <v>313</v>
      </c>
      <c r="K10" s="48" t="s">
        <v>1006</v>
      </c>
      <c r="L10" s="51" t="s">
        <v>1296</v>
      </c>
    </row>
    <row r="11" spans="2:15" ht="25.5" x14ac:dyDescent="0.25">
      <c r="B11" s="46" t="s">
        <v>990</v>
      </c>
      <c r="C11" s="46" t="s">
        <v>42</v>
      </c>
      <c r="D11" s="50"/>
      <c r="F11" s="50"/>
      <c r="G11" s="51" t="s">
        <v>268</v>
      </c>
      <c r="I11" s="51" t="s">
        <v>314</v>
      </c>
      <c r="K11" s="48" t="s">
        <v>1007</v>
      </c>
      <c r="L11" s="51" t="s">
        <v>1297</v>
      </c>
    </row>
    <row r="12" spans="2:15" ht="25.5" x14ac:dyDescent="0.25">
      <c r="B12" s="48" t="s">
        <v>99</v>
      </c>
      <c r="C12" s="49" t="s">
        <v>100</v>
      </c>
      <c r="D12" s="50"/>
      <c r="F12" s="50"/>
      <c r="G12" s="51" t="s">
        <v>72</v>
      </c>
      <c r="I12" s="51" t="s">
        <v>315</v>
      </c>
      <c r="K12" s="48" t="s">
        <v>1008</v>
      </c>
      <c r="L12" s="51" t="s">
        <v>1298</v>
      </c>
    </row>
    <row r="13" spans="2:15" ht="38.25" x14ac:dyDescent="0.25">
      <c r="B13" s="48" t="s">
        <v>171</v>
      </c>
      <c r="C13" s="49" t="s">
        <v>172</v>
      </c>
      <c r="D13" s="50"/>
      <c r="F13" s="50"/>
      <c r="G13" s="51" t="s">
        <v>73</v>
      </c>
      <c r="I13" s="51" t="s">
        <v>316</v>
      </c>
      <c r="K13" s="48" t="s">
        <v>1009</v>
      </c>
      <c r="L13" s="51" t="s">
        <v>1299</v>
      </c>
    </row>
    <row r="14" spans="2:15" ht="25.5" x14ac:dyDescent="0.25">
      <c r="B14" s="48" t="s">
        <v>101</v>
      </c>
      <c r="C14" s="49" t="s">
        <v>102</v>
      </c>
      <c r="D14" s="50"/>
      <c r="E14" s="47"/>
      <c r="F14" s="50"/>
      <c r="G14" s="51" t="s">
        <v>74</v>
      </c>
      <c r="I14" s="51" t="s">
        <v>317</v>
      </c>
      <c r="K14" s="48" t="s">
        <v>1010</v>
      </c>
      <c r="L14" s="51" t="s">
        <v>1300</v>
      </c>
    </row>
    <row r="15" spans="2:15" ht="38.25" x14ac:dyDescent="0.25">
      <c r="B15" s="48" t="s">
        <v>175</v>
      </c>
      <c r="C15" s="49" t="s">
        <v>173</v>
      </c>
      <c r="D15" s="50"/>
      <c r="E15" s="46" t="s">
        <v>111</v>
      </c>
      <c r="F15" s="50"/>
      <c r="G15" s="51" t="s">
        <v>75</v>
      </c>
      <c r="K15" s="48" t="s">
        <v>1011</v>
      </c>
      <c r="L15" s="51" t="s">
        <v>1301</v>
      </c>
    </row>
    <row r="16" spans="2:15" ht="25.5" x14ac:dyDescent="0.25">
      <c r="B16" s="48" t="s">
        <v>103</v>
      </c>
      <c r="C16" s="49" t="s">
        <v>104</v>
      </c>
      <c r="D16" s="50"/>
      <c r="E16" s="49" t="s">
        <v>112</v>
      </c>
      <c r="F16" s="50"/>
      <c r="G16" s="51" t="s">
        <v>76</v>
      </c>
      <c r="K16" s="48" t="s">
        <v>1012</v>
      </c>
      <c r="L16" s="51" t="s">
        <v>1302</v>
      </c>
    </row>
    <row r="17" spans="2:12" ht="25.5" x14ac:dyDescent="0.25">
      <c r="B17" s="48" t="s">
        <v>176</v>
      </c>
      <c r="C17" s="49" t="s">
        <v>174</v>
      </c>
      <c r="D17" s="50"/>
      <c r="E17" s="49" t="s">
        <v>113</v>
      </c>
      <c r="F17" s="50"/>
      <c r="G17" s="51" t="s">
        <v>77</v>
      </c>
      <c r="K17" s="48" t="s">
        <v>1013</v>
      </c>
      <c r="L17" s="51" t="s">
        <v>1303</v>
      </c>
    </row>
    <row r="18" spans="2:12" ht="25.5" x14ac:dyDescent="0.25">
      <c r="B18" s="48" t="s">
        <v>105</v>
      </c>
      <c r="C18" s="49" t="s">
        <v>106</v>
      </c>
      <c r="D18" s="50"/>
      <c r="E18" s="49" t="s">
        <v>98</v>
      </c>
      <c r="F18" s="50"/>
      <c r="G18" s="51" t="s">
        <v>78</v>
      </c>
      <c r="K18" s="48" t="s">
        <v>1014</v>
      </c>
      <c r="L18" s="51" t="s">
        <v>1304</v>
      </c>
    </row>
    <row r="19" spans="2:12" ht="25.5" x14ac:dyDescent="0.25">
      <c r="B19" s="48" t="s">
        <v>177</v>
      </c>
      <c r="C19" s="49" t="s">
        <v>178</v>
      </c>
      <c r="D19" s="50"/>
      <c r="E19" s="50"/>
      <c r="F19" s="50"/>
      <c r="G19" s="51" t="s">
        <v>79</v>
      </c>
      <c r="K19" s="48" t="s">
        <v>1015</v>
      </c>
      <c r="L19" s="51" t="s">
        <v>1305</v>
      </c>
    </row>
    <row r="20" spans="2:12" ht="25.5" x14ac:dyDescent="0.25">
      <c r="B20" s="48" t="s">
        <v>107</v>
      </c>
      <c r="C20" s="49" t="s">
        <v>108</v>
      </c>
      <c r="D20" s="50"/>
      <c r="E20" s="46" t="s">
        <v>198</v>
      </c>
      <c r="F20" s="50"/>
      <c r="G20" s="51" t="s">
        <v>80</v>
      </c>
      <c r="K20" s="48" t="s">
        <v>1016</v>
      </c>
      <c r="L20" s="51" t="s">
        <v>1306</v>
      </c>
    </row>
    <row r="21" spans="2:12" ht="25.5" x14ac:dyDescent="0.25">
      <c r="B21" s="48" t="s">
        <v>180</v>
      </c>
      <c r="C21" s="49" t="s">
        <v>179</v>
      </c>
      <c r="D21" s="50"/>
      <c r="E21" s="231" t="s">
        <v>264</v>
      </c>
      <c r="F21" s="50"/>
      <c r="G21" s="51" t="s">
        <v>81</v>
      </c>
      <c r="K21" s="48" t="s">
        <v>1017</v>
      </c>
      <c r="L21" s="51" t="s">
        <v>1307</v>
      </c>
    </row>
    <row r="22" spans="2:12" ht="25.5" x14ac:dyDescent="0.25">
      <c r="B22" s="48" t="s">
        <v>166</v>
      </c>
      <c r="C22" s="49" t="s">
        <v>186</v>
      </c>
      <c r="D22" s="50"/>
      <c r="E22" s="231" t="s">
        <v>620</v>
      </c>
      <c r="F22" s="50"/>
      <c r="G22" s="51" t="s">
        <v>82</v>
      </c>
      <c r="K22" s="48" t="s">
        <v>1018</v>
      </c>
      <c r="L22" s="51" t="s">
        <v>1308</v>
      </c>
    </row>
    <row r="23" spans="2:12" ht="25.5" x14ac:dyDescent="0.25">
      <c r="B23" s="48" t="s">
        <v>181</v>
      </c>
      <c r="C23" s="49" t="s">
        <v>187</v>
      </c>
      <c r="D23" s="50"/>
      <c r="E23" s="231" t="s">
        <v>1268</v>
      </c>
      <c r="F23" s="50"/>
      <c r="G23" s="51" t="s">
        <v>83</v>
      </c>
      <c r="K23" s="48" t="s">
        <v>1019</v>
      </c>
      <c r="L23" s="51" t="s">
        <v>1309</v>
      </c>
    </row>
    <row r="24" spans="2:12" ht="25.5" x14ac:dyDescent="0.25">
      <c r="B24" s="48" t="s">
        <v>167</v>
      </c>
      <c r="C24" s="49" t="s">
        <v>188</v>
      </c>
      <c r="D24" s="50"/>
      <c r="E24" s="231" t="s">
        <v>199</v>
      </c>
      <c r="F24" s="50"/>
      <c r="G24" s="51" t="s">
        <v>84</v>
      </c>
      <c r="K24" s="48" t="s">
        <v>1020</v>
      </c>
      <c r="L24" s="51" t="s">
        <v>1310</v>
      </c>
    </row>
    <row r="25" spans="2:12" ht="25.5" x14ac:dyDescent="0.25">
      <c r="B25" s="48" t="s">
        <v>182</v>
      </c>
      <c r="C25" s="49" t="s">
        <v>189</v>
      </c>
      <c r="D25" s="50"/>
      <c r="E25" s="231" t="s">
        <v>200</v>
      </c>
      <c r="F25" s="50"/>
      <c r="G25" s="51" t="s">
        <v>85</v>
      </c>
      <c r="K25" s="48" t="s">
        <v>1021</v>
      </c>
      <c r="L25" s="51" t="s">
        <v>1311</v>
      </c>
    </row>
    <row r="26" spans="2:12" ht="25.5" x14ac:dyDescent="0.25">
      <c r="B26" s="48" t="s">
        <v>168</v>
      </c>
      <c r="C26" s="49" t="s">
        <v>191</v>
      </c>
      <c r="D26" s="50"/>
      <c r="E26" s="231" t="s">
        <v>621</v>
      </c>
      <c r="F26" s="50"/>
      <c r="G26" s="51" t="s">
        <v>86</v>
      </c>
      <c r="K26" s="48" t="s">
        <v>1022</v>
      </c>
      <c r="L26" s="51" t="s">
        <v>1312</v>
      </c>
    </row>
    <row r="27" spans="2:12" ht="25.5" x14ac:dyDescent="0.25">
      <c r="B27" s="48" t="s">
        <v>183</v>
      </c>
      <c r="C27" s="49" t="s">
        <v>190</v>
      </c>
      <c r="D27" s="50"/>
      <c r="E27" s="231" t="s">
        <v>616</v>
      </c>
      <c r="F27" s="50"/>
      <c r="G27" s="51" t="s">
        <v>87</v>
      </c>
      <c r="K27" s="48" t="s">
        <v>1023</v>
      </c>
      <c r="L27" s="51" t="s">
        <v>1313</v>
      </c>
    </row>
    <row r="28" spans="2:12" ht="25.5" x14ac:dyDescent="0.25">
      <c r="B28" s="48" t="s">
        <v>169</v>
      </c>
      <c r="C28" s="49" t="s">
        <v>192</v>
      </c>
      <c r="D28" s="50"/>
      <c r="E28" s="231" t="s">
        <v>985</v>
      </c>
      <c r="F28" s="50"/>
      <c r="G28" s="51" t="s">
        <v>88</v>
      </c>
      <c r="K28" s="48" t="s">
        <v>1024</v>
      </c>
      <c r="L28" s="51" t="s">
        <v>1314</v>
      </c>
    </row>
    <row r="29" spans="2:12" ht="25.5" x14ac:dyDescent="0.25">
      <c r="B29" s="48" t="s">
        <v>184</v>
      </c>
      <c r="C29" s="49" t="s">
        <v>193</v>
      </c>
      <c r="D29" s="50"/>
      <c r="E29" s="231" t="s">
        <v>622</v>
      </c>
      <c r="F29" s="50"/>
      <c r="G29" s="51" t="s">
        <v>89</v>
      </c>
      <c r="K29" s="48" t="s">
        <v>1025</v>
      </c>
      <c r="L29" s="51" t="s">
        <v>1315</v>
      </c>
    </row>
    <row r="30" spans="2:12" ht="25.5" x14ac:dyDescent="0.25">
      <c r="B30" s="48" t="s">
        <v>170</v>
      </c>
      <c r="C30" s="49" t="s">
        <v>195</v>
      </c>
      <c r="D30" s="50"/>
      <c r="E30" s="231" t="s">
        <v>201</v>
      </c>
      <c r="F30" s="50"/>
      <c r="G30" s="51" t="s">
        <v>90</v>
      </c>
      <c r="K30" s="48" t="s">
        <v>1026</v>
      </c>
      <c r="L30" s="51" t="s">
        <v>1316</v>
      </c>
    </row>
    <row r="31" spans="2:12" ht="25.5" x14ac:dyDescent="0.25">
      <c r="B31" s="48" t="s">
        <v>185</v>
      </c>
      <c r="C31" s="49" t="s">
        <v>194</v>
      </c>
      <c r="D31" s="50"/>
      <c r="E31" s="231" t="s">
        <v>202</v>
      </c>
      <c r="F31" s="50"/>
      <c r="G31" s="51" t="s">
        <v>91</v>
      </c>
      <c r="K31" s="48" t="s">
        <v>1027</v>
      </c>
      <c r="L31" s="51" t="s">
        <v>1317</v>
      </c>
    </row>
    <row r="32" spans="2:12" ht="25.5" x14ac:dyDescent="0.25">
      <c r="B32" s="48" t="s">
        <v>196</v>
      </c>
      <c r="C32" s="49" t="s">
        <v>197</v>
      </c>
      <c r="D32" s="50"/>
      <c r="E32" s="231" t="s">
        <v>203</v>
      </c>
      <c r="F32" s="50"/>
      <c r="G32" s="51" t="s">
        <v>92</v>
      </c>
      <c r="K32" s="48" t="s">
        <v>1028</v>
      </c>
      <c r="L32" s="51" t="s">
        <v>1318</v>
      </c>
    </row>
    <row r="33" spans="2:12" ht="25.5" x14ac:dyDescent="0.25">
      <c r="B33" s="48" t="s">
        <v>109</v>
      </c>
      <c r="C33" s="49" t="s">
        <v>110</v>
      </c>
      <c r="D33" s="50"/>
      <c r="E33" s="231" t="s">
        <v>617</v>
      </c>
      <c r="F33" s="50"/>
      <c r="G33" s="51" t="s">
        <v>266</v>
      </c>
      <c r="K33" s="48" t="s">
        <v>1029</v>
      </c>
      <c r="L33" s="51" t="s">
        <v>1319</v>
      </c>
    </row>
    <row r="34" spans="2:12" ht="38.25" x14ac:dyDescent="0.25">
      <c r="B34" s="48" t="s">
        <v>98</v>
      </c>
      <c r="C34" s="49"/>
      <c r="D34" s="50"/>
      <c r="E34" s="231" t="s">
        <v>623</v>
      </c>
      <c r="F34" s="50"/>
      <c r="G34" s="51" t="s">
        <v>265</v>
      </c>
      <c r="K34" s="48" t="s">
        <v>1030</v>
      </c>
      <c r="L34" s="51" t="s">
        <v>1320</v>
      </c>
    </row>
    <row r="35" spans="2:12" ht="38.25" x14ac:dyDescent="0.25">
      <c r="B35" s="455"/>
      <c r="C35" s="456"/>
      <c r="D35" s="50"/>
      <c r="E35" s="231" t="s">
        <v>624</v>
      </c>
      <c r="F35" s="50"/>
      <c r="G35" s="51" t="s">
        <v>93</v>
      </c>
      <c r="K35" s="48" t="s">
        <v>1031</v>
      </c>
      <c r="L35" s="51" t="s">
        <v>1321</v>
      </c>
    </row>
    <row r="36" spans="2:12" ht="25.5" x14ac:dyDescent="0.25">
      <c r="B36" s="50"/>
      <c r="C36" s="50"/>
      <c r="D36" s="50"/>
      <c r="E36" s="231" t="s">
        <v>618</v>
      </c>
      <c r="F36" s="50"/>
      <c r="G36" s="51" t="s">
        <v>94</v>
      </c>
      <c r="K36" s="48" t="s">
        <v>1032</v>
      </c>
      <c r="L36" s="51" t="s">
        <v>1322</v>
      </c>
    </row>
    <row r="37" spans="2:12" ht="25.5" x14ac:dyDescent="0.25">
      <c r="B37" s="46" t="s">
        <v>148</v>
      </c>
      <c r="C37" s="46" t="s">
        <v>42</v>
      </c>
      <c r="D37" s="50"/>
      <c r="E37" s="231" t="s">
        <v>625</v>
      </c>
      <c r="F37" s="50"/>
      <c r="G37" s="51" t="s">
        <v>95</v>
      </c>
      <c r="K37" s="48" t="s">
        <v>1033</v>
      </c>
      <c r="L37" s="51" t="s">
        <v>1323</v>
      </c>
    </row>
    <row r="38" spans="2:12" ht="25.5" x14ac:dyDescent="0.25">
      <c r="B38" s="48" t="s">
        <v>147</v>
      </c>
      <c r="C38" s="51" t="s">
        <v>162</v>
      </c>
      <c r="D38" s="50"/>
      <c r="E38" s="231" t="s">
        <v>626</v>
      </c>
      <c r="F38" s="50"/>
      <c r="G38" s="51" t="s">
        <v>267</v>
      </c>
      <c r="K38" s="48" t="s">
        <v>1034</v>
      </c>
      <c r="L38" s="51" t="s">
        <v>1324</v>
      </c>
    </row>
    <row r="39" spans="2:12" ht="25.5" x14ac:dyDescent="0.25">
      <c r="B39" s="48" t="s">
        <v>149</v>
      </c>
      <c r="C39" s="51" t="s">
        <v>163</v>
      </c>
      <c r="D39" s="50"/>
      <c r="E39" s="231" t="s">
        <v>627</v>
      </c>
      <c r="F39" s="50"/>
      <c r="G39" s="51" t="s">
        <v>96</v>
      </c>
      <c r="K39" s="48" t="s">
        <v>1035</v>
      </c>
      <c r="L39" s="51" t="s">
        <v>1325</v>
      </c>
    </row>
    <row r="40" spans="2:12" ht="32.25" customHeight="1" x14ac:dyDescent="0.25">
      <c r="B40" s="48" t="s">
        <v>150</v>
      </c>
      <c r="C40" s="51" t="s">
        <v>164</v>
      </c>
      <c r="D40" s="50"/>
      <c r="E40" s="231" t="s">
        <v>628</v>
      </c>
      <c r="F40" s="50"/>
      <c r="G40" s="51" t="s">
        <v>97</v>
      </c>
      <c r="K40" s="48" t="s">
        <v>1036</v>
      </c>
      <c r="L40" s="51" t="s">
        <v>1326</v>
      </c>
    </row>
    <row r="41" spans="2:12" ht="25.5" x14ac:dyDescent="0.25">
      <c r="B41" s="50"/>
      <c r="C41" s="50"/>
      <c r="D41" s="50"/>
      <c r="E41" s="231" t="s">
        <v>629</v>
      </c>
      <c r="F41" s="50"/>
      <c r="G41" s="51" t="s">
        <v>631</v>
      </c>
      <c r="K41" s="48" t="s">
        <v>1037</v>
      </c>
      <c r="L41" s="51" t="s">
        <v>1327</v>
      </c>
    </row>
    <row r="42" spans="2:12" ht="25.5" x14ac:dyDescent="0.25">
      <c r="B42" s="50"/>
      <c r="C42" s="50"/>
      <c r="D42" s="50"/>
      <c r="E42" s="231" t="s">
        <v>322</v>
      </c>
      <c r="F42" s="50"/>
      <c r="G42" s="51" t="s">
        <v>632</v>
      </c>
      <c r="K42" s="48" t="s">
        <v>1038</v>
      </c>
      <c r="L42" s="51" t="s">
        <v>1328</v>
      </c>
    </row>
    <row r="43" spans="2:12" ht="38.25" x14ac:dyDescent="0.25">
      <c r="B43" s="50"/>
      <c r="C43" s="50"/>
      <c r="D43" s="50"/>
      <c r="E43" s="231" t="s">
        <v>630</v>
      </c>
      <c r="F43" s="50"/>
      <c r="G43" s="51" t="s">
        <v>633</v>
      </c>
      <c r="K43" s="48" t="s">
        <v>1039</v>
      </c>
      <c r="L43" s="51" t="s">
        <v>1329</v>
      </c>
    </row>
    <row r="44" spans="2:12" ht="38.25" x14ac:dyDescent="0.25">
      <c r="B44" s="50"/>
      <c r="C44" s="50"/>
      <c r="D44" s="50"/>
      <c r="E44" s="231" t="s">
        <v>615</v>
      </c>
      <c r="F44" s="50"/>
      <c r="G44" s="51" t="s">
        <v>634</v>
      </c>
      <c r="K44" s="48" t="s">
        <v>1040</v>
      </c>
      <c r="L44" s="51" t="s">
        <v>1330</v>
      </c>
    </row>
    <row r="45" spans="2:12" ht="25.5" x14ac:dyDescent="0.25">
      <c r="B45" s="50"/>
      <c r="C45" s="50"/>
      <c r="D45" s="50"/>
      <c r="E45" s="52" t="s">
        <v>263</v>
      </c>
      <c r="F45" s="50"/>
      <c r="G45" s="51" t="s">
        <v>635</v>
      </c>
      <c r="K45" s="48" t="s">
        <v>1041</v>
      </c>
      <c r="L45" s="51" t="s">
        <v>1331</v>
      </c>
    </row>
    <row r="46" spans="2:12" ht="25.5" x14ac:dyDescent="0.25">
      <c r="B46" s="50"/>
      <c r="C46" s="50"/>
      <c r="D46" s="50"/>
      <c r="F46" s="50"/>
      <c r="G46" s="51" t="s">
        <v>636</v>
      </c>
      <c r="K46" s="48" t="s">
        <v>1042</v>
      </c>
      <c r="L46" s="51" t="s">
        <v>1332</v>
      </c>
    </row>
    <row r="47" spans="2:12" ht="25.5" x14ac:dyDescent="0.25">
      <c r="B47" s="50"/>
      <c r="C47" s="50"/>
      <c r="D47" s="50"/>
      <c r="E47" s="50"/>
      <c r="F47" s="50"/>
      <c r="G47" s="51" t="s">
        <v>637</v>
      </c>
      <c r="K47" s="48" t="s">
        <v>1043</v>
      </c>
      <c r="L47" s="51" t="s">
        <v>1333</v>
      </c>
    </row>
    <row r="48" spans="2:12" ht="25.5" x14ac:dyDescent="0.25">
      <c r="B48" s="50"/>
      <c r="C48" s="50"/>
      <c r="D48" s="50"/>
      <c r="E48" s="50"/>
      <c r="F48" s="50"/>
      <c r="G48" s="51" t="s">
        <v>638</v>
      </c>
      <c r="K48" s="48" t="s">
        <v>1044</v>
      </c>
      <c r="L48" s="51" t="s">
        <v>1334</v>
      </c>
    </row>
    <row r="49" spans="2:12" ht="25.5" x14ac:dyDescent="0.25">
      <c r="B49" s="50"/>
      <c r="C49" s="50"/>
      <c r="D49" s="50"/>
      <c r="E49" s="50"/>
      <c r="F49" s="50"/>
      <c r="G49" s="51" t="s">
        <v>639</v>
      </c>
      <c r="K49" s="48" t="s">
        <v>1045</v>
      </c>
      <c r="L49" s="51" t="s">
        <v>1335</v>
      </c>
    </row>
    <row r="50" spans="2:12" ht="25.5" x14ac:dyDescent="0.25">
      <c r="B50" s="50"/>
      <c r="C50" s="50"/>
      <c r="D50" s="50"/>
      <c r="E50" s="50"/>
      <c r="F50" s="50"/>
      <c r="G50" s="51" t="s">
        <v>640</v>
      </c>
      <c r="K50" s="48" t="s">
        <v>1046</v>
      </c>
      <c r="L50" s="51" t="s">
        <v>1336</v>
      </c>
    </row>
    <row r="51" spans="2:12" ht="25.5" x14ac:dyDescent="0.25">
      <c r="B51" s="50"/>
      <c r="C51" s="50"/>
      <c r="D51" s="50"/>
      <c r="E51" s="50"/>
      <c r="F51" s="50"/>
      <c r="G51" s="51" t="s">
        <v>641</v>
      </c>
      <c r="K51" s="48" t="s">
        <v>1047</v>
      </c>
      <c r="L51" s="51" t="s">
        <v>1337</v>
      </c>
    </row>
    <row r="52" spans="2:12" ht="25.5" x14ac:dyDescent="0.25">
      <c r="B52" s="50"/>
      <c r="C52" s="50"/>
      <c r="D52" s="50"/>
      <c r="E52" s="50"/>
      <c r="F52" s="50"/>
      <c r="G52" s="51" t="s">
        <v>642</v>
      </c>
      <c r="K52" s="48" t="s">
        <v>1048</v>
      </c>
      <c r="L52" s="51" t="s">
        <v>1338</v>
      </c>
    </row>
    <row r="53" spans="2:12" ht="25.5" x14ac:dyDescent="0.25">
      <c r="B53" s="50"/>
      <c r="C53" s="50"/>
      <c r="E53" s="50"/>
      <c r="G53" s="51" t="s">
        <v>98</v>
      </c>
      <c r="K53" s="48" t="s">
        <v>1049</v>
      </c>
      <c r="L53" s="51" t="s">
        <v>1339</v>
      </c>
    </row>
    <row r="54" spans="2:12" ht="25.5" x14ac:dyDescent="0.25">
      <c r="E54" s="50"/>
      <c r="G54" s="51" t="s">
        <v>992</v>
      </c>
      <c r="K54" s="48" t="s">
        <v>1050</v>
      </c>
      <c r="L54" s="51" t="s">
        <v>1051</v>
      </c>
    </row>
    <row r="55" spans="2:12" ht="25.5" x14ac:dyDescent="0.25">
      <c r="E55" s="50"/>
      <c r="K55" s="48" t="s">
        <v>1052</v>
      </c>
      <c r="L55" s="51" t="s">
        <v>1340</v>
      </c>
    </row>
    <row r="56" spans="2:12" ht="40.5" customHeight="1" x14ac:dyDescent="0.25">
      <c r="B56" s="789" t="s">
        <v>989</v>
      </c>
      <c r="C56" s="790"/>
      <c r="D56" s="790"/>
      <c r="E56" s="790"/>
      <c r="F56" s="790"/>
      <c r="G56" s="790"/>
      <c r="K56" s="48" t="s">
        <v>1053</v>
      </c>
      <c r="L56" s="51" t="s">
        <v>1341</v>
      </c>
    </row>
    <row r="57" spans="2:12" ht="31.5" customHeight="1" x14ac:dyDescent="0.25">
      <c r="B57" s="789" t="s">
        <v>993</v>
      </c>
      <c r="C57" s="790"/>
      <c r="D57" s="790"/>
      <c r="E57" s="790"/>
      <c r="F57" s="790"/>
      <c r="G57" s="790"/>
      <c r="K57" s="48" t="s">
        <v>1054</v>
      </c>
      <c r="L57" s="51" t="s">
        <v>1055</v>
      </c>
    </row>
    <row r="58" spans="2:12" ht="38.25" x14ac:dyDescent="0.25">
      <c r="E58" s="50"/>
      <c r="K58" s="48" t="s">
        <v>1056</v>
      </c>
      <c r="L58" s="51" t="s">
        <v>1342</v>
      </c>
    </row>
    <row r="59" spans="2:12" ht="25.5" x14ac:dyDescent="0.25">
      <c r="K59" s="48" t="s">
        <v>1057</v>
      </c>
      <c r="L59" s="51" t="s">
        <v>1343</v>
      </c>
    </row>
    <row r="60" spans="2:12" ht="38.25" x14ac:dyDescent="0.25">
      <c r="K60" s="48" t="s">
        <v>1058</v>
      </c>
      <c r="L60" s="51" t="s">
        <v>1344</v>
      </c>
    </row>
    <row r="61" spans="2:12" ht="38.25" x14ac:dyDescent="0.25">
      <c r="K61" s="48" t="s">
        <v>1059</v>
      </c>
      <c r="L61" s="51" t="s">
        <v>1345</v>
      </c>
    </row>
    <row r="62" spans="2:12" ht="25.5" x14ac:dyDescent="0.25">
      <c r="K62" s="48" t="s">
        <v>1060</v>
      </c>
      <c r="L62" s="51" t="s">
        <v>1346</v>
      </c>
    </row>
    <row r="63" spans="2:12" ht="25.5" x14ac:dyDescent="0.25">
      <c r="K63" s="48" t="s">
        <v>1061</v>
      </c>
      <c r="L63" s="51" t="s">
        <v>1347</v>
      </c>
    </row>
    <row r="64" spans="2:12" ht="25.5" x14ac:dyDescent="0.25">
      <c r="K64" s="48" t="s">
        <v>1062</v>
      </c>
      <c r="L64" s="51" t="s">
        <v>1348</v>
      </c>
    </row>
    <row r="65" spans="11:12" ht="38.25" x14ac:dyDescent="0.25">
      <c r="K65" s="48" t="s">
        <v>1063</v>
      </c>
      <c r="L65" s="51" t="s">
        <v>1349</v>
      </c>
    </row>
    <row r="66" spans="11:12" ht="25.5" x14ac:dyDescent="0.25">
      <c r="K66" s="48" t="s">
        <v>1064</v>
      </c>
      <c r="L66" s="51" t="s">
        <v>1350</v>
      </c>
    </row>
    <row r="67" spans="11:12" ht="38.25" x14ac:dyDescent="0.25">
      <c r="K67" s="48" t="s">
        <v>1065</v>
      </c>
      <c r="L67" s="51" t="s">
        <v>1351</v>
      </c>
    </row>
    <row r="68" spans="11:12" ht="25.5" x14ac:dyDescent="0.25">
      <c r="K68" s="48" t="s">
        <v>1066</v>
      </c>
      <c r="L68" s="51" t="s">
        <v>1352</v>
      </c>
    </row>
    <row r="69" spans="11:12" x14ac:dyDescent="0.25">
      <c r="K69" s="48" t="s">
        <v>1067</v>
      </c>
      <c r="L69" s="51" t="s">
        <v>1353</v>
      </c>
    </row>
    <row r="70" spans="11:12" x14ac:dyDescent="0.25">
      <c r="K70" s="48" t="s">
        <v>1068</v>
      </c>
      <c r="L70" s="51" t="s">
        <v>1354</v>
      </c>
    </row>
    <row r="71" spans="11:12" x14ac:dyDescent="0.25">
      <c r="K71" s="48" t="s">
        <v>1069</v>
      </c>
      <c r="L71" s="51" t="s">
        <v>1355</v>
      </c>
    </row>
    <row r="72" spans="11:12" x14ac:dyDescent="0.25">
      <c r="K72" s="48" t="s">
        <v>1070</v>
      </c>
      <c r="L72" s="51" t="s">
        <v>1356</v>
      </c>
    </row>
    <row r="73" spans="11:12" ht="25.5" x14ac:dyDescent="0.25">
      <c r="K73" s="48" t="s">
        <v>1071</v>
      </c>
      <c r="L73" s="51" t="s">
        <v>1357</v>
      </c>
    </row>
    <row r="74" spans="11:12" ht="25.5" x14ac:dyDescent="0.25">
      <c r="K74" s="48" t="s">
        <v>1072</v>
      </c>
      <c r="L74" s="51" t="s">
        <v>1358</v>
      </c>
    </row>
    <row r="75" spans="11:12" x14ac:dyDescent="0.25">
      <c r="K75" s="48" t="s">
        <v>1073</v>
      </c>
      <c r="L75" s="51" t="s">
        <v>1359</v>
      </c>
    </row>
    <row r="76" spans="11:12" x14ac:dyDescent="0.25">
      <c r="K76" s="48" t="s">
        <v>1074</v>
      </c>
      <c r="L76" s="51" t="s">
        <v>1360</v>
      </c>
    </row>
    <row r="77" spans="11:12" ht="25.5" x14ac:dyDescent="0.25">
      <c r="K77" s="48" t="s">
        <v>1075</v>
      </c>
      <c r="L77" s="51" t="s">
        <v>1361</v>
      </c>
    </row>
    <row r="78" spans="11:12" ht="25.5" x14ac:dyDescent="0.25">
      <c r="K78" s="48" t="s">
        <v>1076</v>
      </c>
      <c r="L78" s="51" t="s">
        <v>1362</v>
      </c>
    </row>
    <row r="79" spans="11:12" x14ac:dyDescent="0.25">
      <c r="K79" s="48" t="s">
        <v>1077</v>
      </c>
      <c r="L79" s="51" t="s">
        <v>1363</v>
      </c>
    </row>
    <row r="80" spans="11:12" ht="38.25" x14ac:dyDescent="0.25">
      <c r="K80" s="48" t="s">
        <v>1078</v>
      </c>
      <c r="L80" s="51" t="s">
        <v>1364</v>
      </c>
    </row>
    <row r="81" spans="11:12" ht="38.25" x14ac:dyDescent="0.25">
      <c r="K81" s="48" t="s">
        <v>1079</v>
      </c>
      <c r="L81" s="51" t="s">
        <v>1365</v>
      </c>
    </row>
    <row r="82" spans="11:12" ht="38.25" x14ac:dyDescent="0.25">
      <c r="K82" s="48" t="s">
        <v>1080</v>
      </c>
      <c r="L82" s="51" t="s">
        <v>1366</v>
      </c>
    </row>
    <row r="83" spans="11:12" ht="38.25" x14ac:dyDescent="0.25">
      <c r="K83" s="48" t="s">
        <v>1081</v>
      </c>
      <c r="L83" s="51" t="s">
        <v>1367</v>
      </c>
    </row>
    <row r="84" spans="11:12" ht="38.25" x14ac:dyDescent="0.25">
      <c r="K84" s="48" t="s">
        <v>1082</v>
      </c>
      <c r="L84" s="51" t="s">
        <v>1368</v>
      </c>
    </row>
    <row r="85" spans="11:12" ht="25.5" x14ac:dyDescent="0.25">
      <c r="K85" s="48" t="s">
        <v>1083</v>
      </c>
      <c r="L85" s="51" t="s">
        <v>1369</v>
      </c>
    </row>
    <row r="86" spans="11:12" ht="38.25" x14ac:dyDescent="0.25">
      <c r="K86" s="48" t="s">
        <v>1084</v>
      </c>
      <c r="L86" s="51" t="s">
        <v>1370</v>
      </c>
    </row>
    <row r="87" spans="11:12" ht="25.5" x14ac:dyDescent="0.25">
      <c r="K87" s="48" t="s">
        <v>1085</v>
      </c>
      <c r="L87" s="51" t="s">
        <v>1371</v>
      </c>
    </row>
    <row r="88" spans="11:12" ht="38.25" x14ac:dyDescent="0.25">
      <c r="K88" s="48" t="s">
        <v>1086</v>
      </c>
      <c r="L88" s="51" t="s">
        <v>1372</v>
      </c>
    </row>
    <row r="89" spans="11:12" ht="38.25" x14ac:dyDescent="0.25">
      <c r="K89" s="48" t="s">
        <v>1087</v>
      </c>
      <c r="L89" s="51" t="s">
        <v>1373</v>
      </c>
    </row>
    <row r="90" spans="11:12" ht="38.25" x14ac:dyDescent="0.25">
      <c r="K90" s="48" t="s">
        <v>1088</v>
      </c>
      <c r="L90" s="51" t="s">
        <v>1374</v>
      </c>
    </row>
    <row r="91" spans="11:12" ht="38.25" x14ac:dyDescent="0.25">
      <c r="K91" s="48" t="s">
        <v>1089</v>
      </c>
      <c r="L91" s="51" t="s">
        <v>1375</v>
      </c>
    </row>
    <row r="92" spans="11:12" ht="38.25" x14ac:dyDescent="0.25">
      <c r="K92" s="48" t="s">
        <v>1090</v>
      </c>
      <c r="L92" s="51" t="s">
        <v>1376</v>
      </c>
    </row>
    <row r="93" spans="11:12" ht="38.25" x14ac:dyDescent="0.25">
      <c r="K93" s="48" t="s">
        <v>1091</v>
      </c>
      <c r="L93" s="51" t="s">
        <v>1377</v>
      </c>
    </row>
    <row r="94" spans="11:12" ht="38.25" x14ac:dyDescent="0.25">
      <c r="K94" s="48" t="s">
        <v>1092</v>
      </c>
      <c r="L94" s="51" t="s">
        <v>1378</v>
      </c>
    </row>
    <row r="95" spans="11:12" ht="38.25" x14ac:dyDescent="0.25">
      <c r="K95" s="48" t="s">
        <v>1093</v>
      </c>
      <c r="L95" s="51" t="s">
        <v>1379</v>
      </c>
    </row>
    <row r="96" spans="11:12" ht="38.25" x14ac:dyDescent="0.25">
      <c r="K96" s="48" t="s">
        <v>1094</v>
      </c>
      <c r="L96" s="51" t="s">
        <v>1380</v>
      </c>
    </row>
    <row r="97" spans="11:12" ht="38.25" x14ac:dyDescent="0.25">
      <c r="K97" s="48" t="s">
        <v>1095</v>
      </c>
      <c r="L97" s="51" t="s">
        <v>1381</v>
      </c>
    </row>
    <row r="98" spans="11:12" ht="38.25" x14ac:dyDescent="0.25">
      <c r="K98" s="48" t="s">
        <v>1096</v>
      </c>
      <c r="L98" s="51" t="s">
        <v>1382</v>
      </c>
    </row>
    <row r="99" spans="11:12" ht="38.25" x14ac:dyDescent="0.25">
      <c r="K99" s="48" t="s">
        <v>1097</v>
      </c>
      <c r="L99" s="51" t="s">
        <v>1383</v>
      </c>
    </row>
    <row r="100" spans="11:12" x14ac:dyDescent="0.25">
      <c r="K100" s="455"/>
      <c r="L100" s="586"/>
    </row>
  </sheetData>
  <mergeCells count="2">
    <mergeCell ref="B56:G56"/>
    <mergeCell ref="B57:G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РПЗ</vt:lpstr>
      <vt:lpstr>РПЦЗ</vt:lpstr>
      <vt:lpstr>ПП</vt:lpstr>
      <vt:lpstr>Отчет РПЗ(ПЗ)_ПЗИП</vt:lpstr>
      <vt:lpstr>Отчет о ПП</vt:lpstr>
      <vt:lpstr>Коды заказчиков</vt:lpstr>
      <vt:lpstr>Справочно</vt:lpstr>
      <vt:lpstr>Диапазон1</vt:lpstr>
      <vt:lpstr>Источник_112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Аксенов Илья Олегович</dc:creator>
  <cp:lastModifiedBy>Муртазова Екатерина Владимировна</cp:lastModifiedBy>
  <cp:lastPrinted>2016-11-28T08:40:29Z</cp:lastPrinted>
  <dcterms:created xsi:type="dcterms:W3CDTF">2015-04-27T08:46:38Z</dcterms:created>
  <dcterms:modified xsi:type="dcterms:W3CDTF">2017-04-21T08:54:21Z</dcterms:modified>
</cp:coreProperties>
</file>