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bookViews>
    <workbookView xWindow="0" yWindow="0" windowWidth="28800" windowHeight="12435" tabRatio="629"/>
  </bookViews>
  <sheets>
    <sheet name="РПЗ" sheetId="1" r:id="rId1"/>
    <sheet name="РПЦЗ" sheetId="7" r:id="rId2"/>
    <sheet name="ПП" sheetId="4" r:id="rId3"/>
    <sheet name="Отчет РПЗ(ПЗ)_ПЗИП" sheetId="2" r:id="rId4"/>
    <sheet name="Закупки до 100-500т.р." sheetId="10" r:id="rId5"/>
    <sheet name="Отчет о ПП" sheetId="5" r:id="rId6"/>
    <sheet name="Коды заказчиков" sheetId="11" r:id="rId7"/>
    <sheet name="Справочно" sheetId="3" r:id="rId8"/>
  </sheets>
  <externalReferences>
    <externalReference r:id="rId9"/>
  </externalReferences>
  <definedNames>
    <definedName name="_xlnm._FilterDatabase" localSheetId="4" hidden="1">'Закупки до 100-500т.р.'!$A$19:$L$25</definedName>
    <definedName name="_xlnm._FilterDatabase" localSheetId="6" hidden="1">'Коды заказчиков'!$A$1:$D$470</definedName>
    <definedName name="_xlnm._FilterDatabase" localSheetId="0" hidden="1">РПЗ!$A$15:$AE$53</definedName>
    <definedName name="Диапазон1" localSheetId="4">[1]РПЗ!$A:$A</definedName>
    <definedName name="Диапазон1">РПЗ!$A:$A</definedName>
    <definedName name="Источник_112" localSheetId="4">[1]Справочно!$K$3:$K$99</definedName>
    <definedName name="Источник_112">Справочно!$K$3:$K$100</definedName>
    <definedName name="п7_1352">Справочно!$N$3:$N$31</definedName>
    <definedName name="сайт" localSheetId="6">'Коды заказчиков'!#REF!</definedName>
  </definedNames>
  <calcPr calcId="152511"/>
</workbook>
</file>

<file path=xl/calcChain.xml><?xml version="1.0" encoding="utf-8"?>
<calcChain xmlns="http://schemas.openxmlformats.org/spreadsheetml/2006/main">
  <c r="G21" i="11" l="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116" i="5"/>
  <c r="C118" i="5" s="1"/>
  <c r="C115" i="5"/>
  <c r="C114" i="5"/>
  <c r="C117" i="5" s="1"/>
  <c r="I110" i="5"/>
  <c r="F110" i="5"/>
  <c r="I108" i="5"/>
  <c r="F108" i="5"/>
  <c r="I107" i="5"/>
  <c r="F107" i="5"/>
  <c r="F109" i="5" s="1"/>
  <c r="C101" i="5"/>
  <c r="C100" i="5"/>
  <c r="C99" i="5"/>
  <c r="C98" i="5"/>
  <c r="C97" i="5"/>
  <c r="C96" i="5"/>
  <c r="C95" i="5"/>
  <c r="C94" i="5"/>
  <c r="C102" i="5" s="1"/>
  <c r="BS86" i="5"/>
  <c r="BQ86" i="5"/>
  <c r="BO86" i="5"/>
  <c r="BM86" i="5"/>
  <c r="BK86" i="5"/>
  <c r="BW86" i="5" s="1"/>
  <c r="BI86" i="5"/>
  <c r="BU86" i="5" s="1"/>
  <c r="BC86" i="5"/>
  <c r="BA86" i="5"/>
  <c r="AY86" i="5"/>
  <c r="AW86" i="5"/>
  <c r="AU86" i="5"/>
  <c r="BG86" i="5" s="1"/>
  <c r="AS86" i="5"/>
  <c r="BE86" i="5" s="1"/>
  <c r="AM86" i="5"/>
  <c r="AK86" i="5"/>
  <c r="AI86" i="5"/>
  <c r="AG86" i="5"/>
  <c r="AE86" i="5"/>
  <c r="AQ86" i="5" s="1"/>
  <c r="AC86" i="5"/>
  <c r="AO86" i="5" s="1"/>
  <c r="W86" i="5"/>
  <c r="U86" i="5"/>
  <c r="S86" i="5"/>
  <c r="Q86" i="5"/>
  <c r="O86" i="5"/>
  <c r="M86" i="5"/>
  <c r="Y86" i="5" s="1"/>
  <c r="I86" i="5"/>
  <c r="BS85" i="5"/>
  <c r="BS87" i="5" s="1"/>
  <c r="BQ85" i="5"/>
  <c r="BQ87" i="5" s="1"/>
  <c r="BO85" i="5"/>
  <c r="BO87" i="5" s="1"/>
  <c r="BM85" i="5"/>
  <c r="BM87" i="5" s="1"/>
  <c r="BK85" i="5"/>
  <c r="BI85" i="5"/>
  <c r="BI87" i="5" s="1"/>
  <c r="BU87" i="5" s="1"/>
  <c r="BC85" i="5"/>
  <c r="BC87" i="5" s="1"/>
  <c r="BA85" i="5"/>
  <c r="BA87" i="5" s="1"/>
  <c r="AY85" i="5"/>
  <c r="AY87" i="5" s="1"/>
  <c r="AW85" i="5"/>
  <c r="AU85" i="5"/>
  <c r="AS85" i="5"/>
  <c r="AS87" i="5" s="1"/>
  <c r="AM85" i="5"/>
  <c r="AM87" i="5" s="1"/>
  <c r="AK85" i="5"/>
  <c r="AK87" i="5" s="1"/>
  <c r="AI85" i="5"/>
  <c r="AI87" i="5" s="1"/>
  <c r="AG85" i="5"/>
  <c r="AE85" i="5"/>
  <c r="AC85" i="5"/>
  <c r="AC87" i="5" s="1"/>
  <c r="W85" i="5"/>
  <c r="W87" i="5" s="1"/>
  <c r="U85" i="5"/>
  <c r="U87" i="5" s="1"/>
  <c r="S85" i="5"/>
  <c r="S87" i="5" s="1"/>
  <c r="Q85" i="5"/>
  <c r="Q87" i="5" s="1"/>
  <c r="O85" i="5"/>
  <c r="M85" i="5"/>
  <c r="M87" i="5" s="1"/>
  <c r="Y87" i="5" s="1"/>
  <c r="I85" i="5"/>
  <c r="I81" i="5"/>
  <c r="I80" i="5"/>
  <c r="F80" i="5"/>
  <c r="B80" i="5"/>
  <c r="I79" i="5"/>
  <c r="F79" i="5"/>
  <c r="B79" i="5"/>
  <c r="I78" i="5"/>
  <c r="F78" i="5"/>
  <c r="B78" i="5"/>
  <c r="I77" i="5"/>
  <c r="F77" i="5"/>
  <c r="B77" i="5"/>
  <c r="I76" i="5"/>
  <c r="F76" i="5"/>
  <c r="B76" i="5"/>
  <c r="I75" i="5"/>
  <c r="F75" i="5"/>
  <c r="B75" i="5"/>
  <c r="I74" i="5"/>
  <c r="F74" i="5"/>
  <c r="B74" i="5"/>
  <c r="I73" i="5"/>
  <c r="F73" i="5"/>
  <c r="B73" i="5"/>
  <c r="I72" i="5"/>
  <c r="F72" i="5"/>
  <c r="B72" i="5"/>
  <c r="I71" i="5"/>
  <c r="F71" i="5"/>
  <c r="B71" i="5"/>
  <c r="I70" i="5"/>
  <c r="F70" i="5"/>
  <c r="B70" i="5"/>
  <c r="I69" i="5"/>
  <c r="F69" i="5"/>
  <c r="B69" i="5"/>
  <c r="I68" i="5"/>
  <c r="F68" i="5"/>
  <c r="B68" i="5"/>
  <c r="I67" i="5"/>
  <c r="F67" i="5"/>
  <c r="B67" i="5"/>
  <c r="I66" i="5"/>
  <c r="F66" i="5"/>
  <c r="B66" i="5"/>
  <c r="I65" i="5"/>
  <c r="F65" i="5"/>
  <c r="B65" i="5"/>
  <c r="I64" i="5"/>
  <c r="F64" i="5"/>
  <c r="B64" i="5"/>
  <c r="I63" i="5"/>
  <c r="F63" i="5"/>
  <c r="B63" i="5"/>
  <c r="I62" i="5"/>
  <c r="F62" i="5"/>
  <c r="B62" i="5"/>
  <c r="I61" i="5"/>
  <c r="F61" i="5"/>
  <c r="B61" i="5"/>
  <c r="I60" i="5"/>
  <c r="F60" i="5"/>
  <c r="B60" i="5"/>
  <c r="I59" i="5"/>
  <c r="F59" i="5"/>
  <c r="B59" i="5"/>
  <c r="I58" i="5"/>
  <c r="F58" i="5"/>
  <c r="B58" i="5"/>
  <c r="I57" i="5"/>
  <c r="F57" i="5"/>
  <c r="B57" i="5"/>
  <c r="I56" i="5"/>
  <c r="F56" i="5"/>
  <c r="B56" i="5"/>
  <c r="AE22" i="5"/>
  <c r="AD22" i="5"/>
  <c r="AC22" i="5"/>
  <c r="AB22" i="5"/>
  <c r="E22" i="5"/>
  <c r="D22" i="5"/>
  <c r="C22" i="5"/>
  <c r="AE21" i="5"/>
  <c r="AD21" i="5"/>
  <c r="AC21" i="5"/>
  <c r="AB21" i="5"/>
  <c r="AE20" i="5"/>
  <c r="AD20" i="5"/>
  <c r="AC20" i="5"/>
  <c r="AB20" i="5"/>
  <c r="G17" i="5"/>
  <c r="F17" i="5"/>
  <c r="H17" i="5" s="1"/>
  <c r="I17" i="5" s="1"/>
  <c r="D17" i="5"/>
  <c r="C17" i="5"/>
  <c r="AC15" i="5"/>
  <c r="C11" i="5"/>
  <c r="C10" i="5"/>
  <c r="C9" i="5"/>
  <c r="C8" i="5"/>
  <c r="C7" i="5"/>
  <c r="C6" i="5"/>
  <c r="C5" i="5"/>
  <c r="A27" i="10"/>
  <c r="A26" i="10"/>
  <c r="A25" i="10"/>
  <c r="A24" i="10"/>
  <c r="A23" i="10"/>
  <c r="A22" i="10"/>
  <c r="F16" i="10"/>
  <c r="F22" i="5" s="1"/>
  <c r="B11" i="10"/>
  <c r="B10" i="10"/>
  <c r="B9" i="10"/>
  <c r="B8" i="10"/>
  <c r="B7" i="10"/>
  <c r="B6" i="10"/>
  <c r="B5" i="10"/>
  <c r="AR53" i="2"/>
  <c r="AP53" i="2"/>
  <c r="AO53" i="2"/>
  <c r="AM53" i="2"/>
  <c r="AI53" i="2"/>
  <c r="AH53" i="2"/>
  <c r="W53" i="2"/>
  <c r="U53" i="2"/>
  <c r="M53" i="2"/>
  <c r="K53" i="2"/>
  <c r="J53" i="2"/>
  <c r="I53" i="2"/>
  <c r="H53" i="2"/>
  <c r="G53" i="2"/>
  <c r="F53" i="2"/>
  <c r="D53" i="2"/>
  <c r="C53" i="2"/>
  <c r="B53" i="2"/>
  <c r="A53" i="2"/>
  <c r="AR52" i="2"/>
  <c r="AP52" i="2"/>
  <c r="AO52" i="2"/>
  <c r="AM52" i="2"/>
  <c r="AH52" i="2"/>
  <c r="W52" i="2"/>
  <c r="AI52" i="2" s="1"/>
  <c r="U52" i="2"/>
  <c r="M52" i="2"/>
  <c r="K52" i="2"/>
  <c r="J52" i="2"/>
  <c r="I52" i="2"/>
  <c r="H52" i="2"/>
  <c r="G52" i="2"/>
  <c r="F52" i="2"/>
  <c r="D52" i="2"/>
  <c r="C52" i="2"/>
  <c r="B52" i="2"/>
  <c r="A52" i="2"/>
  <c r="AR51" i="2"/>
  <c r="AP51" i="2"/>
  <c r="AO51" i="2"/>
  <c r="AM51" i="2"/>
  <c r="AH51" i="2"/>
  <c r="W51" i="2"/>
  <c r="AI51" i="2" s="1"/>
  <c r="U51" i="2"/>
  <c r="M51" i="2"/>
  <c r="K51" i="2"/>
  <c r="J51" i="2"/>
  <c r="I51" i="2"/>
  <c r="H51" i="2"/>
  <c r="G51" i="2"/>
  <c r="F51" i="2"/>
  <c r="D51" i="2"/>
  <c r="C51" i="2"/>
  <c r="B51" i="2"/>
  <c r="A51" i="2"/>
  <c r="AR50" i="2"/>
  <c r="AP50" i="2"/>
  <c r="AO50" i="2"/>
  <c r="AM50" i="2"/>
  <c r="AI50" i="2"/>
  <c r="AH50" i="2"/>
  <c r="W50" i="2"/>
  <c r="U50" i="2"/>
  <c r="M50" i="2"/>
  <c r="K50" i="2"/>
  <c r="J50" i="2"/>
  <c r="I50" i="2"/>
  <c r="H50" i="2"/>
  <c r="G50" i="2"/>
  <c r="F50" i="2"/>
  <c r="D50" i="2"/>
  <c r="C50" i="2"/>
  <c r="B50" i="2"/>
  <c r="A50" i="2"/>
  <c r="AR49" i="2"/>
  <c r="AP49" i="2"/>
  <c r="AO49" i="2"/>
  <c r="AM49" i="2"/>
  <c r="AI49" i="2"/>
  <c r="AH49" i="2"/>
  <c r="W49" i="2"/>
  <c r="U49" i="2"/>
  <c r="M49" i="2"/>
  <c r="K49" i="2"/>
  <c r="J49" i="2"/>
  <c r="I49" i="2"/>
  <c r="H49" i="2"/>
  <c r="G49" i="2"/>
  <c r="F49" i="2"/>
  <c r="D49" i="2"/>
  <c r="C49" i="2"/>
  <c r="B49" i="2"/>
  <c r="A49" i="2"/>
  <c r="AR48" i="2"/>
  <c r="AP48" i="2"/>
  <c r="AO48" i="2"/>
  <c r="AM48" i="2"/>
  <c r="AH48" i="2"/>
  <c r="W48" i="2"/>
  <c r="AI48" i="2" s="1"/>
  <c r="U48" i="2"/>
  <c r="M48" i="2"/>
  <c r="K48" i="2"/>
  <c r="J48" i="2"/>
  <c r="I48" i="2"/>
  <c r="H48" i="2"/>
  <c r="G48" i="2"/>
  <c r="F48" i="2"/>
  <c r="D48" i="2"/>
  <c r="C48" i="2"/>
  <c r="B48" i="2"/>
  <c r="A48" i="2"/>
  <c r="AR47" i="2"/>
  <c r="AP47" i="2"/>
  <c r="AO47" i="2"/>
  <c r="AM47" i="2"/>
  <c r="AH47" i="2"/>
  <c r="W47" i="2"/>
  <c r="AI47" i="2" s="1"/>
  <c r="U47" i="2"/>
  <c r="M47" i="2"/>
  <c r="K47" i="2"/>
  <c r="J47" i="2"/>
  <c r="I47" i="2"/>
  <c r="H47" i="2"/>
  <c r="G47" i="2"/>
  <c r="F47" i="2"/>
  <c r="D47" i="2"/>
  <c r="C47" i="2"/>
  <c r="B47" i="2"/>
  <c r="A47" i="2"/>
  <c r="AR46" i="2"/>
  <c r="AP46" i="2"/>
  <c r="AO46" i="2"/>
  <c r="AM46" i="2"/>
  <c r="AI46" i="2"/>
  <c r="AH46" i="2"/>
  <c r="W46" i="2"/>
  <c r="U46" i="2"/>
  <c r="M46" i="2"/>
  <c r="K46" i="2"/>
  <c r="J46" i="2"/>
  <c r="I46" i="2"/>
  <c r="H46" i="2"/>
  <c r="G46" i="2"/>
  <c r="F46" i="2"/>
  <c r="D46" i="2"/>
  <c r="C46" i="2"/>
  <c r="B46" i="2"/>
  <c r="A46" i="2"/>
  <c r="AR45" i="2"/>
  <c r="AP45" i="2"/>
  <c r="AO45" i="2"/>
  <c r="AM45" i="2"/>
  <c r="AI45" i="2"/>
  <c r="AH45" i="2"/>
  <c r="W45" i="2"/>
  <c r="U45" i="2"/>
  <c r="M45" i="2"/>
  <c r="K45" i="2"/>
  <c r="J45" i="2"/>
  <c r="I45" i="2"/>
  <c r="H45" i="2"/>
  <c r="G45" i="2"/>
  <c r="F45" i="2"/>
  <c r="D45" i="2"/>
  <c r="C45" i="2"/>
  <c r="B45" i="2"/>
  <c r="A45" i="2"/>
  <c r="AR44" i="2"/>
  <c r="AP44" i="2"/>
  <c r="AO44" i="2"/>
  <c r="AM44" i="2"/>
  <c r="AH44" i="2"/>
  <c r="W44" i="2"/>
  <c r="AI44" i="2" s="1"/>
  <c r="U44" i="2"/>
  <c r="M44" i="2"/>
  <c r="K44" i="2"/>
  <c r="J44" i="2"/>
  <c r="I44" i="2"/>
  <c r="H44" i="2"/>
  <c r="G44" i="2"/>
  <c r="F44" i="2"/>
  <c r="D44" i="2"/>
  <c r="C44" i="2"/>
  <c r="B44" i="2"/>
  <c r="A44" i="2"/>
  <c r="AR43" i="2"/>
  <c r="AP43" i="2"/>
  <c r="AO43" i="2"/>
  <c r="AM43" i="2"/>
  <c r="AH43" i="2"/>
  <c r="W43" i="2"/>
  <c r="AI43" i="2" s="1"/>
  <c r="U43" i="2"/>
  <c r="M43" i="2"/>
  <c r="K43" i="2"/>
  <c r="J43" i="2"/>
  <c r="I43" i="2"/>
  <c r="H43" i="2"/>
  <c r="G43" i="2"/>
  <c r="F43" i="2"/>
  <c r="D43" i="2"/>
  <c r="C43" i="2"/>
  <c r="B43" i="2"/>
  <c r="A43" i="2"/>
  <c r="AR42" i="2"/>
  <c r="AP42" i="2"/>
  <c r="AO42" i="2"/>
  <c r="AM42" i="2"/>
  <c r="AI42" i="2"/>
  <c r="AH42" i="2"/>
  <c r="W42" i="2"/>
  <c r="U42" i="2"/>
  <c r="M42" i="2"/>
  <c r="K42" i="2"/>
  <c r="J42" i="2"/>
  <c r="I42" i="2"/>
  <c r="H42" i="2"/>
  <c r="G42" i="2"/>
  <c r="F42" i="2"/>
  <c r="D42" i="2"/>
  <c r="C42" i="2"/>
  <c r="B42" i="2"/>
  <c r="A42" i="2"/>
  <c r="AR41" i="2"/>
  <c r="AP41" i="2"/>
  <c r="AO41" i="2"/>
  <c r="AM41" i="2"/>
  <c r="AI41" i="2"/>
  <c r="AH41" i="2"/>
  <c r="W41" i="2"/>
  <c r="U41" i="2"/>
  <c r="M41" i="2"/>
  <c r="K41" i="2"/>
  <c r="J41" i="2"/>
  <c r="I41" i="2"/>
  <c r="H41" i="2"/>
  <c r="G41" i="2"/>
  <c r="F41" i="2"/>
  <c r="D41" i="2"/>
  <c r="C41" i="2"/>
  <c r="B41" i="2"/>
  <c r="A41" i="2"/>
  <c r="AR40" i="2"/>
  <c r="AP40" i="2"/>
  <c r="AO40" i="2"/>
  <c r="AM40" i="2"/>
  <c r="AH40" i="2"/>
  <c r="W40" i="2"/>
  <c r="AI40" i="2" s="1"/>
  <c r="U40" i="2"/>
  <c r="M40" i="2"/>
  <c r="K40" i="2"/>
  <c r="J40" i="2"/>
  <c r="I40" i="2"/>
  <c r="H40" i="2"/>
  <c r="G40" i="2"/>
  <c r="F40" i="2"/>
  <c r="D40" i="2"/>
  <c r="C40" i="2"/>
  <c r="B40" i="2"/>
  <c r="A40" i="2"/>
  <c r="AR39" i="2"/>
  <c r="AP39" i="2"/>
  <c r="AO39" i="2"/>
  <c r="AM39" i="2"/>
  <c r="AH39" i="2"/>
  <c r="W39" i="2"/>
  <c r="AI39" i="2" s="1"/>
  <c r="U39" i="2"/>
  <c r="M39" i="2"/>
  <c r="K39" i="2"/>
  <c r="J39" i="2"/>
  <c r="I39" i="2"/>
  <c r="H39" i="2"/>
  <c r="G39" i="2"/>
  <c r="F39" i="2"/>
  <c r="D39" i="2"/>
  <c r="C39" i="2"/>
  <c r="B39" i="2"/>
  <c r="A39" i="2"/>
  <c r="AR38" i="2"/>
  <c r="AP38" i="2"/>
  <c r="AO38" i="2"/>
  <c r="AM38" i="2"/>
  <c r="AI38" i="2"/>
  <c r="AH38" i="2"/>
  <c r="W38" i="2"/>
  <c r="U38" i="2"/>
  <c r="M38" i="2"/>
  <c r="K38" i="2"/>
  <c r="J38" i="2"/>
  <c r="I38" i="2"/>
  <c r="H38" i="2"/>
  <c r="G38" i="2"/>
  <c r="F38" i="2"/>
  <c r="D38" i="2"/>
  <c r="C38" i="2"/>
  <c r="B38" i="2"/>
  <c r="A38" i="2"/>
  <c r="AR37" i="2"/>
  <c r="AP37" i="2"/>
  <c r="AO37" i="2"/>
  <c r="AM37" i="2"/>
  <c r="AI37" i="2"/>
  <c r="AH37" i="2"/>
  <c r="W37" i="2"/>
  <c r="U37" i="2"/>
  <c r="M37" i="2"/>
  <c r="K37" i="2"/>
  <c r="J37" i="2"/>
  <c r="I37" i="2"/>
  <c r="H37" i="2"/>
  <c r="G37" i="2"/>
  <c r="F37" i="2"/>
  <c r="D37" i="2"/>
  <c r="C37" i="2"/>
  <c r="B37" i="2"/>
  <c r="A37" i="2"/>
  <c r="AR36" i="2"/>
  <c r="AP36" i="2"/>
  <c r="AO36" i="2"/>
  <c r="AM36" i="2"/>
  <c r="AH36" i="2"/>
  <c r="W36" i="2"/>
  <c r="AI36" i="2" s="1"/>
  <c r="U36" i="2"/>
  <c r="M36" i="2"/>
  <c r="K36" i="2"/>
  <c r="J36" i="2"/>
  <c r="I36" i="2"/>
  <c r="H36" i="2"/>
  <c r="G36" i="2"/>
  <c r="F36" i="2"/>
  <c r="D36" i="2"/>
  <c r="C36" i="2"/>
  <c r="B36" i="2"/>
  <c r="A36" i="2"/>
  <c r="AR35" i="2"/>
  <c r="AP35" i="2"/>
  <c r="AO35" i="2"/>
  <c r="AM35" i="2"/>
  <c r="AH35" i="2"/>
  <c r="W35" i="2"/>
  <c r="AI35" i="2" s="1"/>
  <c r="U35" i="2"/>
  <c r="M35" i="2"/>
  <c r="K35" i="2"/>
  <c r="J35" i="2"/>
  <c r="I35" i="2"/>
  <c r="H35" i="2"/>
  <c r="G35" i="2"/>
  <c r="F35" i="2"/>
  <c r="D35" i="2"/>
  <c r="C35" i="2"/>
  <c r="B35" i="2"/>
  <c r="A35" i="2"/>
  <c r="AR34" i="2"/>
  <c r="AP34" i="2"/>
  <c r="AO34" i="2"/>
  <c r="AM34" i="2"/>
  <c r="AI34" i="2"/>
  <c r="AH34" i="2"/>
  <c r="W34" i="2"/>
  <c r="U34" i="2"/>
  <c r="M34" i="2"/>
  <c r="K34" i="2"/>
  <c r="J34" i="2"/>
  <c r="I34" i="2"/>
  <c r="H34" i="2"/>
  <c r="G34" i="2"/>
  <c r="F34" i="2"/>
  <c r="D34" i="2"/>
  <c r="C34" i="2"/>
  <c r="B34" i="2"/>
  <c r="A34" i="2"/>
  <c r="AR33" i="2"/>
  <c r="AP33" i="2"/>
  <c r="AO33" i="2"/>
  <c r="AM33" i="2"/>
  <c r="AI33" i="2"/>
  <c r="AH33" i="2"/>
  <c r="W33" i="2"/>
  <c r="U33" i="2"/>
  <c r="M33" i="2"/>
  <c r="K33" i="2"/>
  <c r="J33" i="2"/>
  <c r="I33" i="2"/>
  <c r="H33" i="2"/>
  <c r="G33" i="2"/>
  <c r="F33" i="2"/>
  <c r="D33" i="2"/>
  <c r="C33" i="2"/>
  <c r="B33" i="2"/>
  <c r="A33" i="2"/>
  <c r="AR32" i="2"/>
  <c r="AP32" i="2"/>
  <c r="AO32" i="2"/>
  <c r="AM32" i="2"/>
  <c r="AH32" i="2"/>
  <c r="W32" i="2"/>
  <c r="AI32" i="2" s="1"/>
  <c r="U32" i="2"/>
  <c r="M32" i="2"/>
  <c r="K32" i="2"/>
  <c r="J32" i="2"/>
  <c r="I32" i="2"/>
  <c r="H32" i="2"/>
  <c r="G32" i="2"/>
  <c r="F32" i="2"/>
  <c r="D32" i="2"/>
  <c r="C32" i="2"/>
  <c r="B32" i="2"/>
  <c r="A32" i="2"/>
  <c r="AR31" i="2"/>
  <c r="AP31" i="2"/>
  <c r="AO31" i="2"/>
  <c r="AM31" i="2"/>
  <c r="AH31" i="2"/>
  <c r="W31" i="2"/>
  <c r="AI31" i="2" s="1"/>
  <c r="U31" i="2"/>
  <c r="M31" i="2"/>
  <c r="K31" i="2"/>
  <c r="J31" i="2"/>
  <c r="I31" i="2"/>
  <c r="H31" i="2"/>
  <c r="G31" i="2"/>
  <c r="F31" i="2"/>
  <c r="D31" i="2"/>
  <c r="C31" i="2"/>
  <c r="B31" i="2"/>
  <c r="A31" i="2"/>
  <c r="AR30" i="2"/>
  <c r="AP30" i="2"/>
  <c r="AO30" i="2"/>
  <c r="AM30" i="2"/>
  <c r="AI30" i="2"/>
  <c r="AH30" i="2"/>
  <c r="W30" i="2"/>
  <c r="U30" i="2"/>
  <c r="M30" i="2"/>
  <c r="K30" i="2"/>
  <c r="J30" i="2"/>
  <c r="I30" i="2"/>
  <c r="H30" i="2"/>
  <c r="G30" i="2"/>
  <c r="F30" i="2"/>
  <c r="D30" i="2"/>
  <c r="C30" i="2"/>
  <c r="B30" i="2"/>
  <c r="A30" i="2"/>
  <c r="AR29" i="2"/>
  <c r="AP29" i="2"/>
  <c r="AO29" i="2"/>
  <c r="AM29" i="2"/>
  <c r="AI29" i="2"/>
  <c r="AH29" i="2"/>
  <c r="W29" i="2"/>
  <c r="U29" i="2"/>
  <c r="M29" i="2"/>
  <c r="K29" i="2"/>
  <c r="J29" i="2"/>
  <c r="I29" i="2"/>
  <c r="H29" i="2"/>
  <c r="G29" i="2"/>
  <c r="F29" i="2"/>
  <c r="D29" i="2"/>
  <c r="C29" i="2"/>
  <c r="B29" i="2"/>
  <c r="A29" i="2"/>
  <c r="AR28" i="2"/>
  <c r="AP28" i="2"/>
  <c r="AO28" i="2"/>
  <c r="AM28" i="2"/>
  <c r="AH28" i="2"/>
  <c r="W28" i="2"/>
  <c r="AI28" i="2" s="1"/>
  <c r="U28" i="2"/>
  <c r="M28" i="2"/>
  <c r="K28" i="2"/>
  <c r="J28" i="2"/>
  <c r="I28" i="2"/>
  <c r="H28" i="2"/>
  <c r="G28" i="2"/>
  <c r="F28" i="2"/>
  <c r="D28" i="2"/>
  <c r="C28" i="2"/>
  <c r="B28" i="2"/>
  <c r="A28" i="2"/>
  <c r="AR27" i="2"/>
  <c r="AP27" i="2"/>
  <c r="AO27" i="2"/>
  <c r="AM27" i="2"/>
  <c r="AH27" i="2"/>
  <c r="W27" i="2"/>
  <c r="AI27" i="2" s="1"/>
  <c r="U27" i="2"/>
  <c r="M27" i="2"/>
  <c r="K27" i="2"/>
  <c r="J27" i="2"/>
  <c r="I27" i="2"/>
  <c r="H27" i="2"/>
  <c r="G27" i="2"/>
  <c r="F27" i="2"/>
  <c r="D27" i="2"/>
  <c r="C27" i="2"/>
  <c r="B27" i="2"/>
  <c r="A27" i="2"/>
  <c r="AR26" i="2"/>
  <c r="AP26" i="2"/>
  <c r="AO26" i="2"/>
  <c r="AM26" i="2"/>
  <c r="AI26" i="2"/>
  <c r="AH26" i="2"/>
  <c r="W26" i="2"/>
  <c r="U26" i="2"/>
  <c r="M26" i="2"/>
  <c r="K26" i="2"/>
  <c r="J26" i="2"/>
  <c r="I26" i="2"/>
  <c r="H26" i="2"/>
  <c r="G26" i="2"/>
  <c r="F26" i="2"/>
  <c r="D26" i="2"/>
  <c r="C26" i="2"/>
  <c r="B26" i="2"/>
  <c r="A26" i="2"/>
  <c r="AR25" i="2"/>
  <c r="AP25" i="2"/>
  <c r="AO25" i="2"/>
  <c r="AM25" i="2"/>
  <c r="AI25" i="2"/>
  <c r="AH25" i="2"/>
  <c r="W25" i="2"/>
  <c r="U25" i="2"/>
  <c r="M25" i="2"/>
  <c r="K25" i="2"/>
  <c r="J25" i="2"/>
  <c r="I25" i="2"/>
  <c r="H25" i="2"/>
  <c r="G25" i="2"/>
  <c r="F25" i="2"/>
  <c r="D25" i="2"/>
  <c r="C25" i="2"/>
  <c r="B25" i="2"/>
  <c r="A25" i="2"/>
  <c r="AR24" i="2"/>
  <c r="AP24" i="2"/>
  <c r="AO24" i="2"/>
  <c r="AM24" i="2"/>
  <c r="AH24" i="2"/>
  <c r="W24" i="2"/>
  <c r="AI24" i="2" s="1"/>
  <c r="U24" i="2"/>
  <c r="M24" i="2"/>
  <c r="K24" i="2"/>
  <c r="J24" i="2"/>
  <c r="I24" i="2"/>
  <c r="H24" i="2"/>
  <c r="G24" i="2"/>
  <c r="F24" i="2"/>
  <c r="D24" i="2"/>
  <c r="C24" i="2"/>
  <c r="B24" i="2"/>
  <c r="A24" i="2"/>
  <c r="AR23" i="2"/>
  <c r="AP23" i="2"/>
  <c r="AO23" i="2"/>
  <c r="AM23" i="2"/>
  <c r="AH23" i="2"/>
  <c r="W23" i="2"/>
  <c r="AI23" i="2" s="1"/>
  <c r="U23" i="2"/>
  <c r="M23" i="2"/>
  <c r="K23" i="2"/>
  <c r="J23" i="2"/>
  <c r="I23" i="2"/>
  <c r="H23" i="2"/>
  <c r="G23" i="2"/>
  <c r="F23" i="2"/>
  <c r="D23" i="2"/>
  <c r="C23" i="2"/>
  <c r="B23" i="2"/>
  <c r="A23" i="2"/>
  <c r="AR22" i="2"/>
  <c r="AP22" i="2"/>
  <c r="AO22" i="2"/>
  <c r="AM22" i="2"/>
  <c r="AI22" i="2"/>
  <c r="AH22" i="2"/>
  <c r="W22" i="2"/>
  <c r="U22" i="2"/>
  <c r="M22" i="2"/>
  <c r="K22" i="2"/>
  <c r="J22" i="2"/>
  <c r="I22" i="2"/>
  <c r="H22" i="2"/>
  <c r="G22" i="2"/>
  <c r="F22" i="2"/>
  <c r="D22" i="2"/>
  <c r="C22" i="2"/>
  <c r="B22" i="2"/>
  <c r="A22" i="2"/>
  <c r="AR21" i="2"/>
  <c r="AP21" i="2"/>
  <c r="AO21" i="2"/>
  <c r="AM21" i="2"/>
  <c r="AI21" i="2"/>
  <c r="AH21" i="2"/>
  <c r="W21" i="2"/>
  <c r="U21" i="2"/>
  <c r="M21" i="2"/>
  <c r="K21" i="2"/>
  <c r="J21" i="2"/>
  <c r="I21" i="2"/>
  <c r="H21" i="2"/>
  <c r="G21" i="2"/>
  <c r="F21" i="2"/>
  <c r="D21" i="2"/>
  <c r="C21" i="2"/>
  <c r="B21" i="2"/>
  <c r="A21" i="2"/>
  <c r="AR20" i="2"/>
  <c r="AP20" i="2"/>
  <c r="AO20" i="2"/>
  <c r="AM20" i="2"/>
  <c r="AH20" i="2"/>
  <c r="W20" i="2"/>
  <c r="AI20" i="2" s="1"/>
  <c r="U20" i="2"/>
  <c r="M20" i="2"/>
  <c r="K20" i="2"/>
  <c r="J20" i="2"/>
  <c r="I20" i="2"/>
  <c r="H20" i="2"/>
  <c r="G20" i="2"/>
  <c r="F20" i="2"/>
  <c r="D20" i="2"/>
  <c r="C20" i="2"/>
  <c r="B20" i="2"/>
  <c r="A20" i="2"/>
  <c r="AR19" i="2"/>
  <c r="AP19" i="2"/>
  <c r="AO19" i="2"/>
  <c r="AM19" i="2"/>
  <c r="AH19" i="2"/>
  <c r="W19" i="2"/>
  <c r="AI19" i="2" s="1"/>
  <c r="U19" i="2"/>
  <c r="M19" i="2"/>
  <c r="K19" i="2"/>
  <c r="J19" i="2"/>
  <c r="I19" i="2"/>
  <c r="H19" i="2"/>
  <c r="G19" i="2"/>
  <c r="F19" i="2"/>
  <c r="D19" i="2"/>
  <c r="C19" i="2"/>
  <c r="B19" i="2"/>
  <c r="A19" i="2"/>
  <c r="AR18" i="2"/>
  <c r="AP18" i="2"/>
  <c r="AO18" i="2"/>
  <c r="AM18" i="2"/>
  <c r="AI18" i="2"/>
  <c r="AH18" i="2"/>
  <c r="W18" i="2"/>
  <c r="U18" i="2"/>
  <c r="M18" i="2"/>
  <c r="K18" i="2"/>
  <c r="J18" i="2"/>
  <c r="I18" i="2"/>
  <c r="H18" i="2"/>
  <c r="G18" i="2"/>
  <c r="F18" i="2"/>
  <c r="D18" i="2"/>
  <c r="C18" i="2"/>
  <c r="B18" i="2"/>
  <c r="A18" i="2"/>
  <c r="AR17" i="2"/>
  <c r="AP17" i="2"/>
  <c r="AO17" i="2"/>
  <c r="AM17" i="2"/>
  <c r="AI17" i="2"/>
  <c r="AH17" i="2"/>
  <c r="W17" i="2"/>
  <c r="U17" i="2"/>
  <c r="M17" i="2"/>
  <c r="K17" i="2"/>
  <c r="J17" i="2"/>
  <c r="I17" i="2"/>
  <c r="H17" i="2"/>
  <c r="G17" i="2"/>
  <c r="F17" i="2"/>
  <c r="D17" i="2"/>
  <c r="C17" i="2"/>
  <c r="B17" i="2"/>
  <c r="A17" i="2"/>
  <c r="AR16" i="2"/>
  <c r="AP16" i="2"/>
  <c r="AO16" i="2"/>
  <c r="AM16" i="2"/>
  <c r="AH16" i="2"/>
  <c r="W16" i="2"/>
  <c r="AI16" i="2" s="1"/>
  <c r="U16" i="2"/>
  <c r="M16" i="2"/>
  <c r="K16" i="2"/>
  <c r="J16" i="2"/>
  <c r="I16" i="2"/>
  <c r="H16" i="2"/>
  <c r="G16" i="2"/>
  <c r="BK50" i="5" s="1"/>
  <c r="F16" i="2"/>
  <c r="D16" i="2"/>
  <c r="C16" i="2"/>
  <c r="B16" i="2"/>
  <c r="B17" i="5" s="1"/>
  <c r="A16" i="2"/>
  <c r="B9" i="2"/>
  <c r="B8" i="2"/>
  <c r="B7" i="2"/>
  <c r="B6" i="2"/>
  <c r="B5" i="2"/>
  <c r="B4" i="2"/>
  <c r="B3" i="2"/>
  <c r="B95" i="4"/>
  <c r="B94" i="4"/>
  <c r="B96" i="4" s="1"/>
  <c r="AJ87" i="4"/>
  <c r="AI87" i="4"/>
  <c r="AH87" i="4"/>
  <c r="AL87" i="4" s="1"/>
  <c r="AG87" i="4"/>
  <c r="AF87" i="4"/>
  <c r="AE87" i="4"/>
  <c r="AK87" i="4" s="1"/>
  <c r="AB87" i="4"/>
  <c r="AA87" i="4"/>
  <c r="Z87" i="4"/>
  <c r="AD87" i="4" s="1"/>
  <c r="Y87" i="4"/>
  <c r="X87" i="4"/>
  <c r="W87" i="4"/>
  <c r="AC87" i="4" s="1"/>
  <c r="T87" i="4"/>
  <c r="S87" i="4"/>
  <c r="R87" i="4"/>
  <c r="V87" i="4" s="1"/>
  <c r="Q87" i="4"/>
  <c r="P87" i="4"/>
  <c r="O87" i="4"/>
  <c r="U87" i="4" s="1"/>
  <c r="L87" i="4"/>
  <c r="K87" i="4"/>
  <c r="J87" i="4"/>
  <c r="N87" i="4" s="1"/>
  <c r="I87" i="4"/>
  <c r="H87" i="4"/>
  <c r="G87" i="4"/>
  <c r="M87" i="4" s="1"/>
  <c r="D87" i="4"/>
  <c r="E110" i="5" s="1"/>
  <c r="B87" i="4"/>
  <c r="AJ85" i="4"/>
  <c r="AI85" i="4"/>
  <c r="AH85" i="4"/>
  <c r="AL85" i="4" s="1"/>
  <c r="AG85" i="4"/>
  <c r="AF85" i="4"/>
  <c r="AE85" i="4"/>
  <c r="AK85" i="4" s="1"/>
  <c r="AB85" i="4"/>
  <c r="AA85" i="4"/>
  <c r="Z85" i="4"/>
  <c r="AD85" i="4" s="1"/>
  <c r="Y85" i="4"/>
  <c r="X85" i="4"/>
  <c r="W85" i="4"/>
  <c r="AC85" i="4" s="1"/>
  <c r="T85" i="4"/>
  <c r="S85" i="4"/>
  <c r="R85" i="4"/>
  <c r="V85" i="4" s="1"/>
  <c r="Q85" i="4"/>
  <c r="P85" i="4"/>
  <c r="O85" i="4"/>
  <c r="U85" i="4" s="1"/>
  <c r="L85" i="4"/>
  <c r="K85" i="4"/>
  <c r="J85" i="4"/>
  <c r="N85" i="4" s="1"/>
  <c r="I85" i="4"/>
  <c r="H85" i="4"/>
  <c r="G85" i="4"/>
  <c r="M85" i="4" s="1"/>
  <c r="D85" i="4"/>
  <c r="B85" i="4"/>
  <c r="AJ84" i="4"/>
  <c r="AJ86" i="4" s="1"/>
  <c r="AI84" i="4"/>
  <c r="AI86" i="4" s="1"/>
  <c r="AH84" i="4"/>
  <c r="AH86" i="4" s="1"/>
  <c r="AG84" i="4"/>
  <c r="AG86" i="4" s="1"/>
  <c r="AF84" i="4"/>
  <c r="AF86" i="4" s="1"/>
  <c r="AE84" i="4"/>
  <c r="AE86" i="4" s="1"/>
  <c r="AB84" i="4"/>
  <c r="AB86" i="4" s="1"/>
  <c r="AA84" i="4"/>
  <c r="AA86" i="4" s="1"/>
  <c r="Z84" i="4"/>
  <c r="Z86" i="4" s="1"/>
  <c r="Y84" i="4"/>
  <c r="Y86" i="4" s="1"/>
  <c r="X84" i="4"/>
  <c r="X86" i="4" s="1"/>
  <c r="W84" i="4"/>
  <c r="W86" i="4" s="1"/>
  <c r="T84" i="4"/>
  <c r="T86" i="4" s="1"/>
  <c r="S84" i="4"/>
  <c r="S86" i="4" s="1"/>
  <c r="R84" i="4"/>
  <c r="R86" i="4" s="1"/>
  <c r="Q84" i="4"/>
  <c r="Q86" i="4" s="1"/>
  <c r="P84" i="4"/>
  <c r="P86" i="4" s="1"/>
  <c r="O84" i="4"/>
  <c r="U84" i="4" s="1"/>
  <c r="U86" i="4" s="1"/>
  <c r="L84" i="4"/>
  <c r="L86" i="4" s="1"/>
  <c r="K84" i="4"/>
  <c r="K86" i="4" s="1"/>
  <c r="J84" i="4"/>
  <c r="J86" i="4" s="1"/>
  <c r="I84" i="4"/>
  <c r="I86" i="4" s="1"/>
  <c r="H84" i="4"/>
  <c r="H86" i="4" s="1"/>
  <c r="G84" i="4"/>
  <c r="M84" i="4" s="1"/>
  <c r="M86" i="4" s="1"/>
  <c r="D84" i="4"/>
  <c r="B84" i="4"/>
  <c r="B86" i="4" s="1"/>
  <c r="B79" i="4"/>
  <c r="C91" i="5" s="1"/>
  <c r="AH75" i="4"/>
  <c r="BN87" i="5" s="1"/>
  <c r="AL74" i="4"/>
  <c r="BV86" i="5" s="1"/>
  <c r="AJ74" i="4"/>
  <c r="BR86" i="5" s="1"/>
  <c r="AI74" i="4"/>
  <c r="BP86" i="5" s="1"/>
  <c r="AH74" i="4"/>
  <c r="BN86" i="5" s="1"/>
  <c r="AG74" i="4"/>
  <c r="BL86" i="5" s="1"/>
  <c r="AF74" i="4"/>
  <c r="BJ86" i="5" s="1"/>
  <c r="AE74" i="4"/>
  <c r="BH86" i="5" s="1"/>
  <c r="AB74" i="4"/>
  <c r="BB86" i="5" s="1"/>
  <c r="AA74" i="4"/>
  <c r="AZ86" i="5" s="1"/>
  <c r="Z74" i="4"/>
  <c r="AX86" i="5" s="1"/>
  <c r="Y74" i="4"/>
  <c r="AV86" i="5" s="1"/>
  <c r="X74" i="4"/>
  <c r="AT86" i="5" s="1"/>
  <c r="W74" i="4"/>
  <c r="AR86" i="5" s="1"/>
  <c r="V74" i="4"/>
  <c r="AP86" i="5" s="1"/>
  <c r="T74" i="4"/>
  <c r="AL86" i="5" s="1"/>
  <c r="S74" i="4"/>
  <c r="AJ86" i="5" s="1"/>
  <c r="R74" i="4"/>
  <c r="AH86" i="5" s="1"/>
  <c r="Q74" i="4"/>
  <c r="AF86" i="5" s="1"/>
  <c r="P74" i="4"/>
  <c r="AD86" i="5" s="1"/>
  <c r="O74" i="4"/>
  <c r="L74" i="4"/>
  <c r="V86" i="5" s="1"/>
  <c r="K74" i="4"/>
  <c r="T86" i="5" s="1"/>
  <c r="J74" i="4"/>
  <c r="R86" i="5" s="1"/>
  <c r="I74" i="4"/>
  <c r="P86" i="5" s="1"/>
  <c r="H74" i="4"/>
  <c r="N86" i="5" s="1"/>
  <c r="G74" i="4"/>
  <c r="D74" i="4"/>
  <c r="G86" i="5" s="1"/>
  <c r="B74" i="4"/>
  <c r="C86" i="5" s="1"/>
  <c r="AL73" i="4"/>
  <c r="BV85" i="5" s="1"/>
  <c r="AJ73" i="4"/>
  <c r="BR85" i="5" s="1"/>
  <c r="AI73" i="4"/>
  <c r="AH73" i="4"/>
  <c r="BN85" i="5" s="1"/>
  <c r="AG73" i="4"/>
  <c r="BL85" i="5" s="1"/>
  <c r="AF73" i="4"/>
  <c r="BJ85" i="5" s="1"/>
  <c r="AE73" i="4"/>
  <c r="AB73" i="4"/>
  <c r="BB85" i="5" s="1"/>
  <c r="AA73" i="4"/>
  <c r="Z73" i="4"/>
  <c r="AX85" i="5" s="1"/>
  <c r="Y73" i="4"/>
  <c r="AV85" i="5" s="1"/>
  <c r="X73" i="4"/>
  <c r="AT85" i="5" s="1"/>
  <c r="W73" i="4"/>
  <c r="V73" i="4"/>
  <c r="AP85" i="5" s="1"/>
  <c r="T73" i="4"/>
  <c r="AL85" i="5" s="1"/>
  <c r="S73" i="4"/>
  <c r="R73" i="4"/>
  <c r="AH85" i="5" s="1"/>
  <c r="Q73" i="4"/>
  <c r="P73" i="4"/>
  <c r="AD85" i="5" s="1"/>
  <c r="O73" i="4"/>
  <c r="L73" i="4"/>
  <c r="V85" i="5" s="1"/>
  <c r="K73" i="4"/>
  <c r="J73" i="4"/>
  <c r="R85" i="5" s="1"/>
  <c r="I73" i="4"/>
  <c r="H73" i="4"/>
  <c r="N85" i="5" s="1"/>
  <c r="G73" i="4"/>
  <c r="M73" i="4" s="1"/>
  <c r="D73" i="4"/>
  <c r="B73" i="4"/>
  <c r="AJ68" i="4"/>
  <c r="AI68" i="4"/>
  <c r="AH68" i="4"/>
  <c r="AL68" i="4" s="1"/>
  <c r="AG68" i="4"/>
  <c r="AF68" i="4"/>
  <c r="AE68" i="4"/>
  <c r="AK68" i="4" s="1"/>
  <c r="AB68" i="4"/>
  <c r="AA68" i="4"/>
  <c r="Z68" i="4"/>
  <c r="AD68" i="4" s="1"/>
  <c r="Y68" i="4"/>
  <c r="X68" i="4"/>
  <c r="W68" i="4"/>
  <c r="AC68" i="4" s="1"/>
  <c r="T68" i="4"/>
  <c r="S68" i="4"/>
  <c r="R68" i="4"/>
  <c r="V68" i="4" s="1"/>
  <c r="Q68" i="4"/>
  <c r="P68" i="4"/>
  <c r="O68" i="4"/>
  <c r="U68" i="4" s="1"/>
  <c r="L68" i="4"/>
  <c r="K68" i="4"/>
  <c r="J68" i="4"/>
  <c r="N68" i="4" s="1"/>
  <c r="I68" i="4"/>
  <c r="H68" i="4"/>
  <c r="G68" i="4"/>
  <c r="M68" i="4" s="1"/>
  <c r="D68" i="4"/>
  <c r="E80" i="5" s="1"/>
  <c r="B68" i="4"/>
  <c r="C80" i="5" s="1"/>
  <c r="A68" i="4"/>
  <c r="AJ67" i="4"/>
  <c r="AI67" i="4"/>
  <c r="AH67" i="4"/>
  <c r="AG67" i="4"/>
  <c r="AF67" i="4"/>
  <c r="AL67" i="4" s="1"/>
  <c r="AE67" i="4"/>
  <c r="AK67" i="4" s="1"/>
  <c r="AB67" i="4"/>
  <c r="AA67" i="4"/>
  <c r="Z67" i="4"/>
  <c r="Y67" i="4"/>
  <c r="X67" i="4"/>
  <c r="AD67" i="4" s="1"/>
  <c r="W67" i="4"/>
  <c r="AC67" i="4" s="1"/>
  <c r="T67" i="4"/>
  <c r="S67" i="4"/>
  <c r="R67" i="4"/>
  <c r="Q67" i="4"/>
  <c r="P67" i="4"/>
  <c r="V67" i="4" s="1"/>
  <c r="O67" i="4"/>
  <c r="U67" i="4" s="1"/>
  <c r="L67" i="4"/>
  <c r="K67" i="4"/>
  <c r="J67" i="4"/>
  <c r="I67" i="4"/>
  <c r="H67" i="4"/>
  <c r="N67" i="4" s="1"/>
  <c r="G67" i="4"/>
  <c r="M67" i="4" s="1"/>
  <c r="D67" i="4"/>
  <c r="E79" i="5" s="1"/>
  <c r="B67" i="4"/>
  <c r="C79" i="5" s="1"/>
  <c r="A67" i="4"/>
  <c r="AJ66" i="4"/>
  <c r="AI66" i="4"/>
  <c r="AH66" i="4"/>
  <c r="AG66" i="4"/>
  <c r="AK66" i="4" s="1"/>
  <c r="AF66" i="4"/>
  <c r="AL66" i="4" s="1"/>
  <c r="AE66" i="4"/>
  <c r="AB66" i="4"/>
  <c r="AA66" i="4"/>
  <c r="Z66" i="4"/>
  <c r="Y66" i="4"/>
  <c r="AC66" i="4" s="1"/>
  <c r="X66" i="4"/>
  <c r="AD66" i="4" s="1"/>
  <c r="W66" i="4"/>
  <c r="T66" i="4"/>
  <c r="S66" i="4"/>
  <c r="R66" i="4"/>
  <c r="Q66" i="4"/>
  <c r="U66" i="4" s="1"/>
  <c r="P66" i="4"/>
  <c r="V66" i="4" s="1"/>
  <c r="O66" i="4"/>
  <c r="L66" i="4"/>
  <c r="K66" i="4"/>
  <c r="J66" i="4"/>
  <c r="I66" i="4"/>
  <c r="M66" i="4" s="1"/>
  <c r="H66" i="4"/>
  <c r="N66" i="4" s="1"/>
  <c r="G66" i="4"/>
  <c r="D66" i="4"/>
  <c r="E78" i="5" s="1"/>
  <c r="B66" i="4"/>
  <c r="C78" i="5" s="1"/>
  <c r="A66" i="4"/>
  <c r="AJ65" i="4"/>
  <c r="AI65" i="4"/>
  <c r="AH65" i="4"/>
  <c r="AL65" i="4" s="1"/>
  <c r="AG65" i="4"/>
  <c r="AK65" i="4" s="1"/>
  <c r="AF65" i="4"/>
  <c r="AE65" i="4"/>
  <c r="AB65" i="4"/>
  <c r="AA65" i="4"/>
  <c r="Z65" i="4"/>
  <c r="AD65" i="4" s="1"/>
  <c r="Y65" i="4"/>
  <c r="AC65" i="4" s="1"/>
  <c r="X65" i="4"/>
  <c r="W65" i="4"/>
  <c r="T65" i="4"/>
  <c r="S65" i="4"/>
  <c r="R65" i="4"/>
  <c r="V65" i="4" s="1"/>
  <c r="Q65" i="4"/>
  <c r="U65" i="4" s="1"/>
  <c r="P65" i="4"/>
  <c r="O65" i="4"/>
  <c r="L65" i="4"/>
  <c r="K65" i="4"/>
  <c r="J65" i="4"/>
  <c r="N65" i="4" s="1"/>
  <c r="I65" i="4"/>
  <c r="H65" i="4"/>
  <c r="G65" i="4"/>
  <c r="M65" i="4" s="1"/>
  <c r="D65" i="4"/>
  <c r="E77" i="5" s="1"/>
  <c r="B65" i="4"/>
  <c r="C77" i="5" s="1"/>
  <c r="A65" i="4"/>
  <c r="AJ64" i="4"/>
  <c r="AI64" i="4"/>
  <c r="AH64" i="4"/>
  <c r="AL64" i="4" s="1"/>
  <c r="AG64" i="4"/>
  <c r="AF64" i="4"/>
  <c r="AE64" i="4"/>
  <c r="AK64" i="4" s="1"/>
  <c r="AB64" i="4"/>
  <c r="AA64" i="4"/>
  <c r="Z64" i="4"/>
  <c r="AD64" i="4" s="1"/>
  <c r="Y64" i="4"/>
  <c r="X64" i="4"/>
  <c r="W64" i="4"/>
  <c r="AC64" i="4" s="1"/>
  <c r="T64" i="4"/>
  <c r="S64" i="4"/>
  <c r="R64" i="4"/>
  <c r="V64" i="4" s="1"/>
  <c r="Q64" i="4"/>
  <c r="P64" i="4"/>
  <c r="O64" i="4"/>
  <c r="U64" i="4" s="1"/>
  <c r="L64" i="4"/>
  <c r="K64" i="4"/>
  <c r="J64" i="4"/>
  <c r="N64" i="4" s="1"/>
  <c r="I64" i="4"/>
  <c r="H64" i="4"/>
  <c r="G64" i="4"/>
  <c r="M64" i="4" s="1"/>
  <c r="D64" i="4"/>
  <c r="E76" i="5" s="1"/>
  <c r="B64" i="4"/>
  <c r="C76" i="5" s="1"/>
  <c r="A64" i="4"/>
  <c r="AJ63" i="4"/>
  <c r="AI63" i="4"/>
  <c r="AH63" i="4"/>
  <c r="AG63" i="4"/>
  <c r="AF63" i="4"/>
  <c r="AL63" i="4" s="1"/>
  <c r="AE63" i="4"/>
  <c r="AK63" i="4" s="1"/>
  <c r="AB63" i="4"/>
  <c r="AA63" i="4"/>
  <c r="Z63" i="4"/>
  <c r="Y63" i="4"/>
  <c r="X63" i="4"/>
  <c r="AD63" i="4" s="1"/>
  <c r="W63" i="4"/>
  <c r="AC63" i="4" s="1"/>
  <c r="T63" i="4"/>
  <c r="S63" i="4"/>
  <c r="R63" i="4"/>
  <c r="Q63" i="4"/>
  <c r="P63" i="4"/>
  <c r="V63" i="4" s="1"/>
  <c r="O63" i="4"/>
  <c r="U63" i="4" s="1"/>
  <c r="L63" i="4"/>
  <c r="K63" i="4"/>
  <c r="J63" i="4"/>
  <c r="I63" i="4"/>
  <c r="H63" i="4"/>
  <c r="N63" i="4" s="1"/>
  <c r="G63" i="4"/>
  <c r="M63" i="4" s="1"/>
  <c r="D63" i="4"/>
  <c r="E75" i="5" s="1"/>
  <c r="B63" i="4"/>
  <c r="C75" i="5" s="1"/>
  <c r="A63" i="4"/>
  <c r="AJ62" i="4"/>
  <c r="AI62" i="4"/>
  <c r="AH62" i="4"/>
  <c r="AG62" i="4"/>
  <c r="AK62" i="4" s="1"/>
  <c r="AF62" i="4"/>
  <c r="AL62" i="4" s="1"/>
  <c r="AE62" i="4"/>
  <c r="AB62" i="4"/>
  <c r="AA62" i="4"/>
  <c r="Z62" i="4"/>
  <c r="Y62" i="4"/>
  <c r="AC62" i="4" s="1"/>
  <c r="X62" i="4"/>
  <c r="AD62" i="4" s="1"/>
  <c r="W62" i="4"/>
  <c r="T62" i="4"/>
  <c r="S62" i="4"/>
  <c r="R62" i="4"/>
  <c r="Q62" i="4"/>
  <c r="U62" i="4" s="1"/>
  <c r="P62" i="4"/>
  <c r="V62" i="4" s="1"/>
  <c r="O62" i="4"/>
  <c r="L62" i="4"/>
  <c r="K62" i="4"/>
  <c r="J62" i="4"/>
  <c r="I62" i="4"/>
  <c r="M62" i="4" s="1"/>
  <c r="H62" i="4"/>
  <c r="N62" i="4" s="1"/>
  <c r="G62" i="4"/>
  <c r="D62" i="4"/>
  <c r="E74" i="5" s="1"/>
  <c r="B62" i="4"/>
  <c r="C74" i="5" s="1"/>
  <c r="A62" i="4"/>
  <c r="AJ61" i="4"/>
  <c r="AI61" i="4"/>
  <c r="AH61" i="4"/>
  <c r="AL61" i="4" s="1"/>
  <c r="AG61" i="4"/>
  <c r="AK61" i="4" s="1"/>
  <c r="AF61" i="4"/>
  <c r="AE61" i="4"/>
  <c r="AB61" i="4"/>
  <c r="AA61" i="4"/>
  <c r="Z61" i="4"/>
  <c r="AD61" i="4" s="1"/>
  <c r="Y61" i="4"/>
  <c r="AC61" i="4" s="1"/>
  <c r="X61" i="4"/>
  <c r="W61" i="4"/>
  <c r="T61" i="4"/>
  <c r="S61" i="4"/>
  <c r="R61" i="4"/>
  <c r="V61" i="4" s="1"/>
  <c r="Q61" i="4"/>
  <c r="U61" i="4" s="1"/>
  <c r="P61" i="4"/>
  <c r="O61" i="4"/>
  <c r="L61" i="4"/>
  <c r="K61" i="4"/>
  <c r="J61" i="4"/>
  <c r="N61" i="4" s="1"/>
  <c r="I61" i="4"/>
  <c r="H61" i="4"/>
  <c r="G61" i="4"/>
  <c r="M61" i="4" s="1"/>
  <c r="D61" i="4"/>
  <c r="E73" i="5" s="1"/>
  <c r="B61" i="4"/>
  <c r="C73" i="5" s="1"/>
  <c r="AJ60" i="4"/>
  <c r="AI60" i="4"/>
  <c r="AH60" i="4"/>
  <c r="AL60" i="4" s="1"/>
  <c r="AG60" i="4"/>
  <c r="AF60" i="4"/>
  <c r="AE60" i="4"/>
  <c r="AK60" i="4" s="1"/>
  <c r="AB60" i="4"/>
  <c r="AA60" i="4"/>
  <c r="Z60" i="4"/>
  <c r="AD60" i="4" s="1"/>
  <c r="Y60" i="4"/>
  <c r="X60" i="4"/>
  <c r="W60" i="4"/>
  <c r="AC60" i="4" s="1"/>
  <c r="T60" i="4"/>
  <c r="S60" i="4"/>
  <c r="R60" i="4"/>
  <c r="V60" i="4" s="1"/>
  <c r="Q60" i="4"/>
  <c r="P60" i="4"/>
  <c r="O60" i="4"/>
  <c r="U60" i="4" s="1"/>
  <c r="L60" i="4"/>
  <c r="K60" i="4"/>
  <c r="J60" i="4"/>
  <c r="N60" i="4" s="1"/>
  <c r="I60" i="4"/>
  <c r="H60" i="4"/>
  <c r="G60" i="4"/>
  <c r="M60" i="4" s="1"/>
  <c r="D60" i="4"/>
  <c r="E72" i="5" s="1"/>
  <c r="B60" i="4"/>
  <c r="C72" i="5" s="1"/>
  <c r="A60" i="4"/>
  <c r="AJ59" i="4"/>
  <c r="AI59" i="4"/>
  <c r="AH59" i="4"/>
  <c r="AG59" i="4"/>
  <c r="AF59" i="4"/>
  <c r="AL59" i="4" s="1"/>
  <c r="AE59" i="4"/>
  <c r="AK59" i="4" s="1"/>
  <c r="AB59" i="4"/>
  <c r="AA59" i="4"/>
  <c r="Z59" i="4"/>
  <c r="Y59" i="4"/>
  <c r="X59" i="4"/>
  <c r="AD59" i="4" s="1"/>
  <c r="W59" i="4"/>
  <c r="AC59" i="4" s="1"/>
  <c r="T59" i="4"/>
  <c r="S59" i="4"/>
  <c r="R59" i="4"/>
  <c r="Q59" i="4"/>
  <c r="P59" i="4"/>
  <c r="V59" i="4" s="1"/>
  <c r="O59" i="4"/>
  <c r="U59" i="4" s="1"/>
  <c r="L59" i="4"/>
  <c r="K59" i="4"/>
  <c r="J59" i="4"/>
  <c r="I59" i="4"/>
  <c r="H59" i="4"/>
  <c r="N59" i="4" s="1"/>
  <c r="G59" i="4"/>
  <c r="M59" i="4" s="1"/>
  <c r="D59" i="4"/>
  <c r="E71" i="5" s="1"/>
  <c r="B59" i="4"/>
  <c r="C71" i="5" s="1"/>
  <c r="A59" i="4"/>
  <c r="AJ58" i="4"/>
  <c r="AI58" i="4"/>
  <c r="AH58" i="4"/>
  <c r="AG58" i="4"/>
  <c r="AK58" i="4" s="1"/>
  <c r="AF58" i="4"/>
  <c r="AL58" i="4" s="1"/>
  <c r="AE58" i="4"/>
  <c r="AB58" i="4"/>
  <c r="AA58" i="4"/>
  <c r="Z58" i="4"/>
  <c r="Y58" i="4"/>
  <c r="AC58" i="4" s="1"/>
  <c r="X58" i="4"/>
  <c r="AD58" i="4" s="1"/>
  <c r="W58" i="4"/>
  <c r="T58" i="4"/>
  <c r="S58" i="4"/>
  <c r="R58" i="4"/>
  <c r="Q58" i="4"/>
  <c r="P58" i="4"/>
  <c r="V58" i="4" s="1"/>
  <c r="O58" i="4"/>
  <c r="U58" i="4" s="1"/>
  <c r="L58" i="4"/>
  <c r="K58" i="4"/>
  <c r="J58" i="4"/>
  <c r="I58" i="4"/>
  <c r="H58" i="4"/>
  <c r="N58" i="4" s="1"/>
  <c r="G58" i="4"/>
  <c r="M58" i="4" s="1"/>
  <c r="D58" i="4"/>
  <c r="E70" i="5" s="1"/>
  <c r="B58" i="4"/>
  <c r="C70" i="5" s="1"/>
  <c r="A58" i="4"/>
  <c r="AJ57" i="4"/>
  <c r="AI57" i="4"/>
  <c r="AH57" i="4"/>
  <c r="AG57" i="4"/>
  <c r="AK57" i="4" s="1"/>
  <c r="AF57" i="4"/>
  <c r="AL57" i="4" s="1"/>
  <c r="AE57" i="4"/>
  <c r="AB57" i="4"/>
  <c r="AA57" i="4"/>
  <c r="Z57" i="4"/>
  <c r="Y57" i="4"/>
  <c r="AC57" i="4" s="1"/>
  <c r="X57" i="4"/>
  <c r="AD57" i="4" s="1"/>
  <c r="W57" i="4"/>
  <c r="T57" i="4"/>
  <c r="S57" i="4"/>
  <c r="R57" i="4"/>
  <c r="Q57" i="4"/>
  <c r="U57" i="4" s="1"/>
  <c r="P57" i="4"/>
  <c r="V57" i="4" s="1"/>
  <c r="O57" i="4"/>
  <c r="L57" i="4"/>
  <c r="K57" i="4"/>
  <c r="J57" i="4"/>
  <c r="I57" i="4"/>
  <c r="M57" i="4" s="1"/>
  <c r="H57" i="4"/>
  <c r="N57" i="4" s="1"/>
  <c r="G57" i="4"/>
  <c r="D57" i="4"/>
  <c r="E69" i="5" s="1"/>
  <c r="B57" i="4"/>
  <c r="C69" i="5" s="1"/>
  <c r="A57" i="4"/>
  <c r="AJ56" i="4"/>
  <c r="AI56" i="4"/>
  <c r="AH56" i="4"/>
  <c r="AL56" i="4" s="1"/>
  <c r="AG56" i="4"/>
  <c r="AF56" i="4"/>
  <c r="AE56" i="4"/>
  <c r="AK56" i="4" s="1"/>
  <c r="AB56" i="4"/>
  <c r="AA56" i="4"/>
  <c r="Z56" i="4"/>
  <c r="AD56" i="4" s="1"/>
  <c r="Y56" i="4"/>
  <c r="X56" i="4"/>
  <c r="W56" i="4"/>
  <c r="AC56" i="4" s="1"/>
  <c r="T56" i="4"/>
  <c r="S56" i="4"/>
  <c r="R56" i="4"/>
  <c r="V56" i="4" s="1"/>
  <c r="Q56" i="4"/>
  <c r="P56" i="4"/>
  <c r="O56" i="4"/>
  <c r="U56" i="4" s="1"/>
  <c r="L56" i="4"/>
  <c r="K56" i="4"/>
  <c r="J56" i="4"/>
  <c r="N56" i="4" s="1"/>
  <c r="I56" i="4"/>
  <c r="H56" i="4"/>
  <c r="G56" i="4"/>
  <c r="M56" i="4" s="1"/>
  <c r="D56" i="4"/>
  <c r="E68" i="5" s="1"/>
  <c r="B56" i="4"/>
  <c r="C68" i="5" s="1"/>
  <c r="A56" i="4"/>
  <c r="AJ55" i="4"/>
  <c r="AI55" i="4"/>
  <c r="AH55" i="4"/>
  <c r="AG55" i="4"/>
  <c r="AF55" i="4"/>
  <c r="AL55" i="4" s="1"/>
  <c r="AE55" i="4"/>
  <c r="AK55" i="4" s="1"/>
  <c r="AB55" i="4"/>
  <c r="AA55" i="4"/>
  <c r="Z55" i="4"/>
  <c r="Y55" i="4"/>
  <c r="X55" i="4"/>
  <c r="AD55" i="4" s="1"/>
  <c r="W55" i="4"/>
  <c r="AC55" i="4" s="1"/>
  <c r="T55" i="4"/>
  <c r="S55" i="4"/>
  <c r="R55" i="4"/>
  <c r="Q55" i="4"/>
  <c r="P55" i="4"/>
  <c r="V55" i="4" s="1"/>
  <c r="O55" i="4"/>
  <c r="U55" i="4" s="1"/>
  <c r="L55" i="4"/>
  <c r="K55" i="4"/>
  <c r="J55" i="4"/>
  <c r="I55" i="4"/>
  <c r="H55" i="4"/>
  <c r="N55" i="4" s="1"/>
  <c r="G55" i="4"/>
  <c r="M55" i="4" s="1"/>
  <c r="D55" i="4"/>
  <c r="E67" i="5" s="1"/>
  <c r="B55" i="4"/>
  <c r="C67" i="5" s="1"/>
  <c r="A55" i="4"/>
  <c r="AJ54" i="4"/>
  <c r="AI54" i="4"/>
  <c r="AH54" i="4"/>
  <c r="AG54" i="4"/>
  <c r="AK54" i="4" s="1"/>
  <c r="AF54" i="4"/>
  <c r="AL54" i="4" s="1"/>
  <c r="AE54" i="4"/>
  <c r="AB54" i="4"/>
  <c r="AA54" i="4"/>
  <c r="Z54" i="4"/>
  <c r="Y54" i="4"/>
  <c r="AC54" i="4" s="1"/>
  <c r="X54" i="4"/>
  <c r="AD54" i="4" s="1"/>
  <c r="W54" i="4"/>
  <c r="T54" i="4"/>
  <c r="S54" i="4"/>
  <c r="R54" i="4"/>
  <c r="Q54" i="4"/>
  <c r="U54" i="4" s="1"/>
  <c r="P54" i="4"/>
  <c r="V54" i="4" s="1"/>
  <c r="O54" i="4"/>
  <c r="L54" i="4"/>
  <c r="K54" i="4"/>
  <c r="J54" i="4"/>
  <c r="I54" i="4"/>
  <c r="H54" i="4"/>
  <c r="N54" i="4" s="1"/>
  <c r="G54" i="4"/>
  <c r="M54" i="4" s="1"/>
  <c r="D54" i="4"/>
  <c r="E66" i="5" s="1"/>
  <c r="B54" i="4"/>
  <c r="C66" i="5" s="1"/>
  <c r="A54" i="4"/>
  <c r="AJ53" i="4"/>
  <c r="AI53" i="4"/>
  <c r="AH53" i="4"/>
  <c r="AL53" i="4" s="1"/>
  <c r="AG53" i="4"/>
  <c r="AK53" i="4" s="1"/>
  <c r="AF53" i="4"/>
  <c r="AE53" i="4"/>
  <c r="AB53" i="4"/>
  <c r="AA53" i="4"/>
  <c r="Z53" i="4"/>
  <c r="AD53" i="4" s="1"/>
  <c r="Y53" i="4"/>
  <c r="AC53" i="4" s="1"/>
  <c r="X53" i="4"/>
  <c r="W53" i="4"/>
  <c r="T53" i="4"/>
  <c r="S53" i="4"/>
  <c r="R53" i="4"/>
  <c r="V53" i="4" s="1"/>
  <c r="Q53" i="4"/>
  <c r="U53" i="4" s="1"/>
  <c r="P53" i="4"/>
  <c r="O53" i="4"/>
  <c r="L53" i="4"/>
  <c r="K53" i="4"/>
  <c r="J53" i="4"/>
  <c r="N53" i="4" s="1"/>
  <c r="I53" i="4"/>
  <c r="M53" i="4" s="1"/>
  <c r="H53" i="4"/>
  <c r="G53" i="4"/>
  <c r="D53" i="4"/>
  <c r="E65" i="5" s="1"/>
  <c r="B53" i="4"/>
  <c r="C65" i="5" s="1"/>
  <c r="A53" i="4"/>
  <c r="AJ52" i="4"/>
  <c r="AI52" i="4"/>
  <c r="AH52" i="4"/>
  <c r="AL52" i="4" s="1"/>
  <c r="AG52" i="4"/>
  <c r="AF52" i="4"/>
  <c r="AE52" i="4"/>
  <c r="AK52" i="4" s="1"/>
  <c r="AB52" i="4"/>
  <c r="AA52" i="4"/>
  <c r="Z52" i="4"/>
  <c r="AD52" i="4" s="1"/>
  <c r="Y52" i="4"/>
  <c r="X52" i="4"/>
  <c r="W52" i="4"/>
  <c r="AC52" i="4" s="1"/>
  <c r="T52" i="4"/>
  <c r="S52" i="4"/>
  <c r="R52" i="4"/>
  <c r="V52" i="4" s="1"/>
  <c r="Q52" i="4"/>
  <c r="P52" i="4"/>
  <c r="O52" i="4"/>
  <c r="U52" i="4" s="1"/>
  <c r="L52" i="4"/>
  <c r="K52" i="4"/>
  <c r="J52" i="4"/>
  <c r="N52" i="4" s="1"/>
  <c r="I52" i="4"/>
  <c r="H52" i="4"/>
  <c r="G52" i="4"/>
  <c r="M52" i="4" s="1"/>
  <c r="D52" i="4"/>
  <c r="E64" i="5" s="1"/>
  <c r="B52" i="4"/>
  <c r="C64" i="5" s="1"/>
  <c r="A52" i="4"/>
  <c r="AJ51" i="4"/>
  <c r="AI51" i="4"/>
  <c r="AH51" i="4"/>
  <c r="AG51" i="4"/>
  <c r="AF51" i="4"/>
  <c r="AL51" i="4" s="1"/>
  <c r="AE51" i="4"/>
  <c r="AK51" i="4" s="1"/>
  <c r="AB51" i="4"/>
  <c r="AA51" i="4"/>
  <c r="Z51" i="4"/>
  <c r="Y51" i="4"/>
  <c r="X51" i="4"/>
  <c r="AD51" i="4" s="1"/>
  <c r="W51" i="4"/>
  <c r="AC51" i="4" s="1"/>
  <c r="T51" i="4"/>
  <c r="S51" i="4"/>
  <c r="R51" i="4"/>
  <c r="Q51" i="4"/>
  <c r="P51" i="4"/>
  <c r="V51" i="4" s="1"/>
  <c r="O51" i="4"/>
  <c r="U51" i="4" s="1"/>
  <c r="L51" i="4"/>
  <c r="K51" i="4"/>
  <c r="J51" i="4"/>
  <c r="I51" i="4"/>
  <c r="H51" i="4"/>
  <c r="N51" i="4" s="1"/>
  <c r="G51" i="4"/>
  <c r="M51" i="4" s="1"/>
  <c r="D51" i="4"/>
  <c r="E63" i="5" s="1"/>
  <c r="B51" i="4"/>
  <c r="C63" i="5" s="1"/>
  <c r="A51" i="4"/>
  <c r="AJ50" i="4"/>
  <c r="AI50" i="4"/>
  <c r="AH50" i="4"/>
  <c r="AG50" i="4"/>
  <c r="AK50" i="4" s="1"/>
  <c r="AF50" i="4"/>
  <c r="AL50" i="4" s="1"/>
  <c r="AE50" i="4"/>
  <c r="AB50" i="4"/>
  <c r="AA50" i="4"/>
  <c r="Z50" i="4"/>
  <c r="Y50" i="4"/>
  <c r="AC50" i="4" s="1"/>
  <c r="X50" i="4"/>
  <c r="AD50" i="4" s="1"/>
  <c r="W50" i="4"/>
  <c r="T50" i="4"/>
  <c r="S50" i="4"/>
  <c r="R50" i="4"/>
  <c r="Q50" i="4"/>
  <c r="U50" i="4" s="1"/>
  <c r="P50" i="4"/>
  <c r="V50" i="4" s="1"/>
  <c r="O50" i="4"/>
  <c r="L50" i="4"/>
  <c r="K50" i="4"/>
  <c r="J50" i="4"/>
  <c r="I50" i="4"/>
  <c r="H50" i="4"/>
  <c r="N50" i="4" s="1"/>
  <c r="G50" i="4"/>
  <c r="M50" i="4" s="1"/>
  <c r="D50" i="4"/>
  <c r="E62" i="5" s="1"/>
  <c r="B50" i="4"/>
  <c r="C62" i="5" s="1"/>
  <c r="A50" i="4"/>
  <c r="AJ49" i="4"/>
  <c r="AI49" i="4"/>
  <c r="AH49" i="4"/>
  <c r="AL49" i="4" s="1"/>
  <c r="AG49" i="4"/>
  <c r="AK49" i="4" s="1"/>
  <c r="AF49" i="4"/>
  <c r="AE49" i="4"/>
  <c r="AB49" i="4"/>
  <c r="AA49" i="4"/>
  <c r="Z49" i="4"/>
  <c r="AD49" i="4" s="1"/>
  <c r="Y49" i="4"/>
  <c r="AC49" i="4" s="1"/>
  <c r="X49" i="4"/>
  <c r="W49" i="4"/>
  <c r="T49" i="4"/>
  <c r="S49" i="4"/>
  <c r="R49" i="4"/>
  <c r="V49" i="4" s="1"/>
  <c r="Q49" i="4"/>
  <c r="U49" i="4" s="1"/>
  <c r="P49" i="4"/>
  <c r="O49" i="4"/>
  <c r="L49" i="4"/>
  <c r="K49" i="4"/>
  <c r="J49" i="4"/>
  <c r="N49" i="4" s="1"/>
  <c r="I49" i="4"/>
  <c r="M49" i="4" s="1"/>
  <c r="H49" i="4"/>
  <c r="G49" i="4"/>
  <c r="D49" i="4"/>
  <c r="E61" i="5" s="1"/>
  <c r="B49" i="4"/>
  <c r="C61" i="5" s="1"/>
  <c r="A49" i="4"/>
  <c r="AJ48" i="4"/>
  <c r="AI48" i="4"/>
  <c r="AH48" i="4"/>
  <c r="AL48" i="4" s="1"/>
  <c r="AG48" i="4"/>
  <c r="AF48" i="4"/>
  <c r="AE48" i="4"/>
  <c r="AK48" i="4" s="1"/>
  <c r="AB48" i="4"/>
  <c r="AA48" i="4"/>
  <c r="Z48" i="4"/>
  <c r="AD48" i="4" s="1"/>
  <c r="Y48" i="4"/>
  <c r="X48" i="4"/>
  <c r="W48" i="4"/>
  <c r="AC48" i="4" s="1"/>
  <c r="T48" i="4"/>
  <c r="S48" i="4"/>
  <c r="R48" i="4"/>
  <c r="V48" i="4" s="1"/>
  <c r="Q48" i="4"/>
  <c r="P48" i="4"/>
  <c r="O48" i="4"/>
  <c r="U48" i="4" s="1"/>
  <c r="L48" i="4"/>
  <c r="K48" i="4"/>
  <c r="J48" i="4"/>
  <c r="N48" i="4" s="1"/>
  <c r="I48" i="4"/>
  <c r="H48" i="4"/>
  <c r="G48" i="4"/>
  <c r="M48" i="4" s="1"/>
  <c r="D48" i="4"/>
  <c r="E60" i="5" s="1"/>
  <c r="B48" i="4"/>
  <c r="C60" i="5" s="1"/>
  <c r="A48" i="4"/>
  <c r="AJ47" i="4"/>
  <c r="AI47" i="4"/>
  <c r="AH47" i="4"/>
  <c r="AG47" i="4"/>
  <c r="AF47" i="4"/>
  <c r="AL47" i="4" s="1"/>
  <c r="AE47" i="4"/>
  <c r="AK47" i="4" s="1"/>
  <c r="AB47" i="4"/>
  <c r="AA47" i="4"/>
  <c r="Z47" i="4"/>
  <c r="Y47" i="4"/>
  <c r="X47" i="4"/>
  <c r="AD47" i="4" s="1"/>
  <c r="W47" i="4"/>
  <c r="AC47" i="4" s="1"/>
  <c r="T47" i="4"/>
  <c r="S47" i="4"/>
  <c r="R47" i="4"/>
  <c r="Q47" i="4"/>
  <c r="P47" i="4"/>
  <c r="V47" i="4" s="1"/>
  <c r="O47" i="4"/>
  <c r="U47" i="4" s="1"/>
  <c r="L47" i="4"/>
  <c r="K47" i="4"/>
  <c r="J47" i="4"/>
  <c r="I47" i="4"/>
  <c r="H47" i="4"/>
  <c r="N47" i="4" s="1"/>
  <c r="G47" i="4"/>
  <c r="M47" i="4" s="1"/>
  <c r="D47" i="4"/>
  <c r="E59" i="5" s="1"/>
  <c r="B47" i="4"/>
  <c r="C59" i="5" s="1"/>
  <c r="A47" i="4"/>
  <c r="AJ46" i="4"/>
  <c r="AI46" i="4"/>
  <c r="AH46" i="4"/>
  <c r="AG46" i="4"/>
  <c r="AK46" i="4" s="1"/>
  <c r="AF46" i="4"/>
  <c r="AL46" i="4" s="1"/>
  <c r="AE46" i="4"/>
  <c r="AB46" i="4"/>
  <c r="AA46" i="4"/>
  <c r="Z46" i="4"/>
  <c r="Y46" i="4"/>
  <c r="AC46" i="4" s="1"/>
  <c r="X46" i="4"/>
  <c r="AD46" i="4" s="1"/>
  <c r="W46" i="4"/>
  <c r="T46" i="4"/>
  <c r="S46" i="4"/>
  <c r="R46" i="4"/>
  <c r="Q46" i="4"/>
  <c r="P46" i="4"/>
  <c r="V46" i="4" s="1"/>
  <c r="O46" i="4"/>
  <c r="U46" i="4" s="1"/>
  <c r="L46" i="4"/>
  <c r="K46" i="4"/>
  <c r="J46" i="4"/>
  <c r="I46" i="4"/>
  <c r="H46" i="4"/>
  <c r="N46" i="4" s="1"/>
  <c r="G46" i="4"/>
  <c r="M46" i="4" s="1"/>
  <c r="D46" i="4"/>
  <c r="E58" i="5" s="1"/>
  <c r="B46" i="4"/>
  <c r="C58" i="5" s="1"/>
  <c r="A46" i="4"/>
  <c r="AJ45" i="4"/>
  <c r="AI45" i="4"/>
  <c r="AH45" i="4"/>
  <c r="AG45" i="4"/>
  <c r="AK45" i="4" s="1"/>
  <c r="AF45" i="4"/>
  <c r="AL45" i="4" s="1"/>
  <c r="AE45" i="4"/>
  <c r="AB45" i="4"/>
  <c r="AA45" i="4"/>
  <c r="Z45" i="4"/>
  <c r="Y45" i="4"/>
  <c r="AC45" i="4" s="1"/>
  <c r="X45" i="4"/>
  <c r="AD45" i="4" s="1"/>
  <c r="W45" i="4"/>
  <c r="T45" i="4"/>
  <c r="S45" i="4"/>
  <c r="R45" i="4"/>
  <c r="Q45" i="4"/>
  <c r="U45" i="4" s="1"/>
  <c r="P45" i="4"/>
  <c r="V45" i="4" s="1"/>
  <c r="O45" i="4"/>
  <c r="L45" i="4"/>
  <c r="K45" i="4"/>
  <c r="J45" i="4"/>
  <c r="I45" i="4"/>
  <c r="M45" i="4" s="1"/>
  <c r="H45" i="4"/>
  <c r="N45" i="4" s="1"/>
  <c r="G45" i="4"/>
  <c r="D45" i="4"/>
  <c r="E57" i="5" s="1"/>
  <c r="B45" i="4"/>
  <c r="C57" i="5" s="1"/>
  <c r="A45" i="4"/>
  <c r="AJ44" i="4"/>
  <c r="AJ69" i="4" s="1"/>
  <c r="AI44" i="4"/>
  <c r="AI69" i="4" s="1"/>
  <c r="AH44" i="4"/>
  <c r="AL44" i="4" s="1"/>
  <c r="AG44" i="4"/>
  <c r="AG69" i="4" s="1"/>
  <c r="AF44" i="4"/>
  <c r="AF69" i="4" s="1"/>
  <c r="AE44" i="4"/>
  <c r="AE69" i="4" s="1"/>
  <c r="AB44" i="4"/>
  <c r="AB69" i="4" s="1"/>
  <c r="AA44" i="4"/>
  <c r="AA69" i="4" s="1"/>
  <c r="Z44" i="4"/>
  <c r="AD44" i="4" s="1"/>
  <c r="Y44" i="4"/>
  <c r="Y69" i="4" s="1"/>
  <c r="X44" i="4"/>
  <c r="X69" i="4" s="1"/>
  <c r="W44" i="4"/>
  <c r="W69" i="4" s="1"/>
  <c r="T44" i="4"/>
  <c r="T69" i="4" s="1"/>
  <c r="S44" i="4"/>
  <c r="S69" i="4" s="1"/>
  <c r="R44" i="4"/>
  <c r="V44" i="4" s="1"/>
  <c r="Q44" i="4"/>
  <c r="Q69" i="4" s="1"/>
  <c r="P44" i="4"/>
  <c r="P69" i="4" s="1"/>
  <c r="O44" i="4"/>
  <c r="O69" i="4" s="1"/>
  <c r="L44" i="4"/>
  <c r="L69" i="4" s="1"/>
  <c r="K44" i="4"/>
  <c r="K69" i="4" s="1"/>
  <c r="J44" i="4"/>
  <c r="N44" i="4" s="1"/>
  <c r="I44" i="4"/>
  <c r="I69" i="4" s="1"/>
  <c r="H44" i="4"/>
  <c r="H69" i="4" s="1"/>
  <c r="G44" i="4"/>
  <c r="G69" i="4" s="1"/>
  <c r="E44" i="4"/>
  <c r="D44" i="4"/>
  <c r="E56" i="5" s="1"/>
  <c r="B44" i="4"/>
  <c r="C56" i="5" s="1"/>
  <c r="C81" i="5" s="1"/>
  <c r="A44" i="4"/>
  <c r="AJ38" i="4"/>
  <c r="BR50" i="5" s="1"/>
  <c r="AI38" i="4"/>
  <c r="BP50" i="5" s="1"/>
  <c r="AH38" i="4"/>
  <c r="BN50" i="5" s="1"/>
  <c r="AG38" i="4"/>
  <c r="BL50" i="5" s="1"/>
  <c r="AF38" i="4"/>
  <c r="BJ50" i="5" s="1"/>
  <c r="BV50" i="5" s="1"/>
  <c r="AE38" i="4"/>
  <c r="BH50" i="5" s="1"/>
  <c r="BT50" i="5" s="1"/>
  <c r="AB38" i="4"/>
  <c r="BB50" i="5" s="1"/>
  <c r="AA38" i="4"/>
  <c r="AZ50" i="5" s="1"/>
  <c r="Z38" i="4"/>
  <c r="AX50" i="5" s="1"/>
  <c r="Y38" i="4"/>
  <c r="AV50" i="5" s="1"/>
  <c r="X38" i="4"/>
  <c r="AT50" i="5" s="1"/>
  <c r="BF50" i="5" s="1"/>
  <c r="W38" i="4"/>
  <c r="AR50" i="5" s="1"/>
  <c r="BD50" i="5" s="1"/>
  <c r="T38" i="4"/>
  <c r="AL50" i="5" s="1"/>
  <c r="S38" i="4"/>
  <c r="AJ50" i="5" s="1"/>
  <c r="R38" i="4"/>
  <c r="AH50" i="5" s="1"/>
  <c r="Q38" i="4"/>
  <c r="AF50" i="5" s="1"/>
  <c r="P38" i="4"/>
  <c r="AD50" i="5" s="1"/>
  <c r="AP50" i="5" s="1"/>
  <c r="O38" i="4"/>
  <c r="AB50" i="5" s="1"/>
  <c r="AN50" i="5" s="1"/>
  <c r="L38" i="4"/>
  <c r="V50" i="5" s="1"/>
  <c r="K38" i="4"/>
  <c r="T50" i="5" s="1"/>
  <c r="J38" i="4"/>
  <c r="R50" i="5" s="1"/>
  <c r="I38" i="4"/>
  <c r="P50" i="5" s="1"/>
  <c r="H38" i="4"/>
  <c r="N50" i="5" s="1"/>
  <c r="Z50" i="5" s="1"/>
  <c r="G38" i="4"/>
  <c r="L50" i="5" s="1"/>
  <c r="X50" i="5" s="1"/>
  <c r="D38" i="4"/>
  <c r="G50" i="5" s="1"/>
  <c r="B38" i="4"/>
  <c r="C50" i="5" s="1"/>
  <c r="AJ35" i="4"/>
  <c r="BR47" i="5" s="1"/>
  <c r="AI35" i="4"/>
  <c r="BP47" i="5" s="1"/>
  <c r="AH35" i="4"/>
  <c r="BN47" i="5" s="1"/>
  <c r="AG35" i="4"/>
  <c r="BL47" i="5" s="1"/>
  <c r="AF35" i="4"/>
  <c r="BJ47" i="5" s="1"/>
  <c r="BV47" i="5" s="1"/>
  <c r="AE35" i="4"/>
  <c r="BH47" i="5" s="1"/>
  <c r="AB35" i="4"/>
  <c r="BB47" i="5" s="1"/>
  <c r="AA35" i="4"/>
  <c r="AZ47" i="5" s="1"/>
  <c r="Z35" i="4"/>
  <c r="AX47" i="5" s="1"/>
  <c r="Y35" i="4"/>
  <c r="AV47" i="5" s="1"/>
  <c r="X35" i="4"/>
  <c r="AT47" i="5" s="1"/>
  <c r="BF47" i="5" s="1"/>
  <c r="W35" i="4"/>
  <c r="AR47" i="5" s="1"/>
  <c r="T35" i="4"/>
  <c r="AL47" i="5" s="1"/>
  <c r="S35" i="4"/>
  <c r="AJ47" i="5" s="1"/>
  <c r="R35" i="4"/>
  <c r="AH47" i="5" s="1"/>
  <c r="Q35" i="4"/>
  <c r="AF47" i="5" s="1"/>
  <c r="P35" i="4"/>
  <c r="AD47" i="5" s="1"/>
  <c r="AP47" i="5" s="1"/>
  <c r="O35" i="4"/>
  <c r="AB47" i="5" s="1"/>
  <c r="L35" i="4"/>
  <c r="V47" i="5" s="1"/>
  <c r="K35" i="4"/>
  <c r="T47" i="5" s="1"/>
  <c r="J35" i="4"/>
  <c r="R47" i="5" s="1"/>
  <c r="I35" i="4"/>
  <c r="P47" i="5" s="1"/>
  <c r="H35" i="4"/>
  <c r="N47" i="5" s="1"/>
  <c r="Z47" i="5" s="1"/>
  <c r="G35" i="4"/>
  <c r="L47" i="5" s="1"/>
  <c r="D35" i="4"/>
  <c r="G47" i="5" s="1"/>
  <c r="B35" i="4"/>
  <c r="C47" i="5" s="1"/>
  <c r="AJ34" i="4"/>
  <c r="BR46" i="5" s="1"/>
  <c r="AI34" i="4"/>
  <c r="BP46" i="5" s="1"/>
  <c r="AH34" i="4"/>
  <c r="BN46" i="5" s="1"/>
  <c r="AG34" i="4"/>
  <c r="BL46" i="5" s="1"/>
  <c r="AF34" i="4"/>
  <c r="BJ46" i="5" s="1"/>
  <c r="BV46" i="5" s="1"/>
  <c r="AE34" i="4"/>
  <c r="BH46" i="5" s="1"/>
  <c r="AB34" i="4"/>
  <c r="BB46" i="5" s="1"/>
  <c r="AA34" i="4"/>
  <c r="AZ46" i="5" s="1"/>
  <c r="Z34" i="4"/>
  <c r="AX46" i="5" s="1"/>
  <c r="Y34" i="4"/>
  <c r="AV46" i="5" s="1"/>
  <c r="X34" i="4"/>
  <c r="AT46" i="5" s="1"/>
  <c r="BF46" i="5" s="1"/>
  <c r="W34" i="4"/>
  <c r="AR46" i="5" s="1"/>
  <c r="T34" i="4"/>
  <c r="AL46" i="5" s="1"/>
  <c r="S34" i="4"/>
  <c r="AJ46" i="5" s="1"/>
  <c r="R34" i="4"/>
  <c r="AH46" i="5" s="1"/>
  <c r="Q34" i="4"/>
  <c r="AF46" i="5" s="1"/>
  <c r="P34" i="4"/>
  <c r="AD46" i="5" s="1"/>
  <c r="AP46" i="5" s="1"/>
  <c r="O34" i="4"/>
  <c r="AB46" i="5" s="1"/>
  <c r="L34" i="4"/>
  <c r="V46" i="5" s="1"/>
  <c r="K34" i="4"/>
  <c r="T46" i="5" s="1"/>
  <c r="J34" i="4"/>
  <c r="R46" i="5" s="1"/>
  <c r="I34" i="4"/>
  <c r="P46" i="5" s="1"/>
  <c r="H34" i="4"/>
  <c r="N46" i="5" s="1"/>
  <c r="Z46" i="5" s="1"/>
  <c r="G34" i="4"/>
  <c r="L46" i="5" s="1"/>
  <c r="D34" i="4"/>
  <c r="G46" i="5" s="1"/>
  <c r="B34" i="4"/>
  <c r="C46" i="5" s="1"/>
  <c r="AJ33" i="4"/>
  <c r="BR45" i="5" s="1"/>
  <c r="AI33" i="4"/>
  <c r="BP45" i="5" s="1"/>
  <c r="AH33" i="4"/>
  <c r="BN45" i="5" s="1"/>
  <c r="AG33" i="4"/>
  <c r="BL45" i="5" s="1"/>
  <c r="AF33" i="4"/>
  <c r="BJ45" i="5" s="1"/>
  <c r="BV45" i="5" s="1"/>
  <c r="AE33" i="4"/>
  <c r="BH45" i="5" s="1"/>
  <c r="AB33" i="4"/>
  <c r="BB45" i="5" s="1"/>
  <c r="AA33" i="4"/>
  <c r="AZ45" i="5" s="1"/>
  <c r="Z33" i="4"/>
  <c r="AX45" i="5" s="1"/>
  <c r="Y33" i="4"/>
  <c r="AV45" i="5" s="1"/>
  <c r="X33" i="4"/>
  <c r="AT45" i="5" s="1"/>
  <c r="BF45" i="5" s="1"/>
  <c r="W33" i="4"/>
  <c r="AR45" i="5" s="1"/>
  <c r="T33" i="4"/>
  <c r="AL45" i="5" s="1"/>
  <c r="S33" i="4"/>
  <c r="AJ45" i="5" s="1"/>
  <c r="R33" i="4"/>
  <c r="AH45" i="5" s="1"/>
  <c r="Q33" i="4"/>
  <c r="AF45" i="5" s="1"/>
  <c r="P33" i="4"/>
  <c r="AD45" i="5" s="1"/>
  <c r="AP45" i="5" s="1"/>
  <c r="O33" i="4"/>
  <c r="AB45" i="5" s="1"/>
  <c r="L33" i="4"/>
  <c r="V45" i="5" s="1"/>
  <c r="K33" i="4"/>
  <c r="T45" i="5" s="1"/>
  <c r="J33" i="4"/>
  <c r="R45" i="5" s="1"/>
  <c r="I33" i="4"/>
  <c r="P45" i="5" s="1"/>
  <c r="H33" i="4"/>
  <c r="N45" i="5" s="1"/>
  <c r="Z45" i="5" s="1"/>
  <c r="G33" i="4"/>
  <c r="L45" i="5" s="1"/>
  <c r="D33" i="4"/>
  <c r="G45" i="5" s="1"/>
  <c r="B33" i="4"/>
  <c r="C45" i="5" s="1"/>
  <c r="AJ32" i="4"/>
  <c r="BR44" i="5" s="1"/>
  <c r="AI32" i="4"/>
  <c r="BP44" i="5" s="1"/>
  <c r="AH32" i="4"/>
  <c r="BN44" i="5" s="1"/>
  <c r="AG32" i="4"/>
  <c r="BL44" i="5" s="1"/>
  <c r="AF32" i="4"/>
  <c r="BJ44" i="5" s="1"/>
  <c r="BV44" i="5" s="1"/>
  <c r="AE32" i="4"/>
  <c r="BH44" i="5" s="1"/>
  <c r="AB32" i="4"/>
  <c r="BB44" i="5" s="1"/>
  <c r="AA32" i="4"/>
  <c r="AZ44" i="5" s="1"/>
  <c r="Z32" i="4"/>
  <c r="AX44" i="5" s="1"/>
  <c r="Y32" i="4"/>
  <c r="AV44" i="5" s="1"/>
  <c r="X32" i="4"/>
  <c r="AT44" i="5" s="1"/>
  <c r="BF44" i="5" s="1"/>
  <c r="W32" i="4"/>
  <c r="AR44" i="5" s="1"/>
  <c r="T32" i="4"/>
  <c r="AL44" i="5" s="1"/>
  <c r="S32" i="4"/>
  <c r="AJ44" i="5" s="1"/>
  <c r="R32" i="4"/>
  <c r="AH44" i="5" s="1"/>
  <c r="Q32" i="4"/>
  <c r="AF44" i="5" s="1"/>
  <c r="P32" i="4"/>
  <c r="AD44" i="5" s="1"/>
  <c r="AP44" i="5" s="1"/>
  <c r="O32" i="4"/>
  <c r="AB44" i="5" s="1"/>
  <c r="L32" i="4"/>
  <c r="V44" i="5" s="1"/>
  <c r="K32" i="4"/>
  <c r="T44" i="5" s="1"/>
  <c r="J32" i="4"/>
  <c r="R44" i="5" s="1"/>
  <c r="I32" i="4"/>
  <c r="P44" i="5" s="1"/>
  <c r="H32" i="4"/>
  <c r="N44" i="5" s="1"/>
  <c r="Z44" i="5" s="1"/>
  <c r="G32" i="4"/>
  <c r="L44" i="5" s="1"/>
  <c r="D32" i="4"/>
  <c r="G44" i="5" s="1"/>
  <c r="B32" i="4"/>
  <c r="C44" i="5" s="1"/>
  <c r="AJ31" i="4"/>
  <c r="BR43" i="5" s="1"/>
  <c r="AI31" i="4"/>
  <c r="BP43" i="5" s="1"/>
  <c r="AH31" i="4"/>
  <c r="BN43" i="5" s="1"/>
  <c r="AG31" i="4"/>
  <c r="BL43" i="5" s="1"/>
  <c r="AF31" i="4"/>
  <c r="BJ43" i="5" s="1"/>
  <c r="BV43" i="5" s="1"/>
  <c r="AE31" i="4"/>
  <c r="BH43" i="5" s="1"/>
  <c r="AB31" i="4"/>
  <c r="BB43" i="5" s="1"/>
  <c r="AA31" i="4"/>
  <c r="AZ43" i="5" s="1"/>
  <c r="Z31" i="4"/>
  <c r="AX43" i="5" s="1"/>
  <c r="Y31" i="4"/>
  <c r="AV43" i="5" s="1"/>
  <c r="X31" i="4"/>
  <c r="AT43" i="5" s="1"/>
  <c r="BF43" i="5" s="1"/>
  <c r="W31" i="4"/>
  <c r="AR43" i="5" s="1"/>
  <c r="T31" i="4"/>
  <c r="AL43" i="5" s="1"/>
  <c r="S31" i="4"/>
  <c r="AJ43" i="5" s="1"/>
  <c r="R31" i="4"/>
  <c r="AH43" i="5" s="1"/>
  <c r="Q31" i="4"/>
  <c r="AF43" i="5" s="1"/>
  <c r="P31" i="4"/>
  <c r="AD43" i="5" s="1"/>
  <c r="AP43" i="5" s="1"/>
  <c r="O31" i="4"/>
  <c r="AB43" i="5" s="1"/>
  <c r="L31" i="4"/>
  <c r="V43" i="5" s="1"/>
  <c r="K31" i="4"/>
  <c r="T43" i="5" s="1"/>
  <c r="J31" i="4"/>
  <c r="R43" i="5" s="1"/>
  <c r="I31" i="4"/>
  <c r="P43" i="5" s="1"/>
  <c r="H31" i="4"/>
  <c r="N43" i="5" s="1"/>
  <c r="Z43" i="5" s="1"/>
  <c r="G31" i="4"/>
  <c r="L43" i="5" s="1"/>
  <c r="D31" i="4"/>
  <c r="G43" i="5" s="1"/>
  <c r="B31" i="4"/>
  <c r="C43" i="5" s="1"/>
  <c r="AJ30" i="4"/>
  <c r="BR42" i="5" s="1"/>
  <c r="AI30" i="4"/>
  <c r="BP42" i="5" s="1"/>
  <c r="AH30" i="4"/>
  <c r="BN42" i="5" s="1"/>
  <c r="AG30" i="4"/>
  <c r="BL42" i="5" s="1"/>
  <c r="AF30" i="4"/>
  <c r="BJ42" i="5" s="1"/>
  <c r="BV42" i="5" s="1"/>
  <c r="AE30" i="4"/>
  <c r="BH42" i="5" s="1"/>
  <c r="AB30" i="4"/>
  <c r="BB42" i="5" s="1"/>
  <c r="AA30" i="4"/>
  <c r="AZ42" i="5" s="1"/>
  <c r="Z30" i="4"/>
  <c r="AX42" i="5" s="1"/>
  <c r="Y30" i="4"/>
  <c r="AV42" i="5" s="1"/>
  <c r="X30" i="4"/>
  <c r="AT42" i="5" s="1"/>
  <c r="BF42" i="5" s="1"/>
  <c r="W30" i="4"/>
  <c r="AR42" i="5" s="1"/>
  <c r="T30" i="4"/>
  <c r="AL42" i="5" s="1"/>
  <c r="S30" i="4"/>
  <c r="AJ42" i="5" s="1"/>
  <c r="R30" i="4"/>
  <c r="AH42" i="5" s="1"/>
  <c r="Q30" i="4"/>
  <c r="AF42" i="5" s="1"/>
  <c r="P30" i="4"/>
  <c r="AD42" i="5" s="1"/>
  <c r="AP42" i="5" s="1"/>
  <c r="O30" i="4"/>
  <c r="AB42" i="5" s="1"/>
  <c r="L30" i="4"/>
  <c r="V42" i="5" s="1"/>
  <c r="K30" i="4"/>
  <c r="T42" i="5" s="1"/>
  <c r="J30" i="4"/>
  <c r="R42" i="5" s="1"/>
  <c r="I30" i="4"/>
  <c r="P42" i="5" s="1"/>
  <c r="H30" i="4"/>
  <c r="N42" i="5" s="1"/>
  <c r="Z42" i="5" s="1"/>
  <c r="G30" i="4"/>
  <c r="L42" i="5" s="1"/>
  <c r="D30" i="4"/>
  <c r="G42" i="5" s="1"/>
  <c r="B30" i="4"/>
  <c r="C42" i="5" s="1"/>
  <c r="AJ29" i="4"/>
  <c r="BR41" i="5" s="1"/>
  <c r="AI29" i="4"/>
  <c r="BP41" i="5" s="1"/>
  <c r="AH29" i="4"/>
  <c r="BN41" i="5" s="1"/>
  <c r="AG29" i="4"/>
  <c r="BL41" i="5" s="1"/>
  <c r="AF29" i="4"/>
  <c r="BJ41" i="5" s="1"/>
  <c r="BV41" i="5" s="1"/>
  <c r="AE29" i="4"/>
  <c r="BH41" i="5" s="1"/>
  <c r="AB29" i="4"/>
  <c r="BB41" i="5" s="1"/>
  <c r="AA29" i="4"/>
  <c r="AZ41" i="5" s="1"/>
  <c r="Z29" i="4"/>
  <c r="AX41" i="5" s="1"/>
  <c r="Y29" i="4"/>
  <c r="AV41" i="5" s="1"/>
  <c r="X29" i="4"/>
  <c r="AT41" i="5" s="1"/>
  <c r="BF41" i="5" s="1"/>
  <c r="W29" i="4"/>
  <c r="AR41" i="5" s="1"/>
  <c r="T29" i="4"/>
  <c r="AL41" i="5" s="1"/>
  <c r="S29" i="4"/>
  <c r="AJ41" i="5" s="1"/>
  <c r="R29" i="4"/>
  <c r="AH41" i="5" s="1"/>
  <c r="Q29" i="4"/>
  <c r="AF41" i="5" s="1"/>
  <c r="P29" i="4"/>
  <c r="AD41" i="5" s="1"/>
  <c r="AP41" i="5" s="1"/>
  <c r="O29" i="4"/>
  <c r="AB41" i="5" s="1"/>
  <c r="L29" i="4"/>
  <c r="V41" i="5" s="1"/>
  <c r="K29" i="4"/>
  <c r="T41" i="5" s="1"/>
  <c r="J29" i="4"/>
  <c r="R41" i="5" s="1"/>
  <c r="I29" i="4"/>
  <c r="P41" i="5" s="1"/>
  <c r="H29" i="4"/>
  <c r="N41" i="5" s="1"/>
  <c r="Z41" i="5" s="1"/>
  <c r="G29" i="4"/>
  <c r="L41" i="5" s="1"/>
  <c r="D29" i="4"/>
  <c r="G41" i="5" s="1"/>
  <c r="B29" i="4"/>
  <c r="C41" i="5" s="1"/>
  <c r="AJ28" i="4"/>
  <c r="BR40" i="5" s="1"/>
  <c r="AI28" i="4"/>
  <c r="BP40" i="5" s="1"/>
  <c r="AH28" i="4"/>
  <c r="BN40" i="5" s="1"/>
  <c r="AG28" i="4"/>
  <c r="BL40" i="5" s="1"/>
  <c r="AF28" i="4"/>
  <c r="BJ40" i="5" s="1"/>
  <c r="BV40" i="5" s="1"/>
  <c r="AE28" i="4"/>
  <c r="BH40" i="5" s="1"/>
  <c r="AB28" i="4"/>
  <c r="BB40" i="5" s="1"/>
  <c r="AA28" i="4"/>
  <c r="AZ40" i="5" s="1"/>
  <c r="Z28" i="4"/>
  <c r="AX40" i="5" s="1"/>
  <c r="Y28" i="4"/>
  <c r="AV40" i="5" s="1"/>
  <c r="X28" i="4"/>
  <c r="AT40" i="5" s="1"/>
  <c r="BF40" i="5" s="1"/>
  <c r="W28" i="4"/>
  <c r="AR40" i="5" s="1"/>
  <c r="T28" i="4"/>
  <c r="AL40" i="5" s="1"/>
  <c r="S28" i="4"/>
  <c r="AJ40" i="5" s="1"/>
  <c r="R28" i="4"/>
  <c r="AH40" i="5" s="1"/>
  <c r="Q28" i="4"/>
  <c r="AF40" i="5" s="1"/>
  <c r="P28" i="4"/>
  <c r="AD40" i="5" s="1"/>
  <c r="AP40" i="5" s="1"/>
  <c r="O28" i="4"/>
  <c r="AB40" i="5" s="1"/>
  <c r="L28" i="4"/>
  <c r="V40" i="5" s="1"/>
  <c r="K28" i="4"/>
  <c r="T40" i="5" s="1"/>
  <c r="J28" i="4"/>
  <c r="R40" i="5" s="1"/>
  <c r="I28" i="4"/>
  <c r="P40" i="5" s="1"/>
  <c r="H28" i="4"/>
  <c r="N40" i="5" s="1"/>
  <c r="Z40" i="5" s="1"/>
  <c r="G28" i="4"/>
  <c r="L40" i="5" s="1"/>
  <c r="D28" i="4"/>
  <c r="G40" i="5" s="1"/>
  <c r="B28" i="4"/>
  <c r="C40" i="5" s="1"/>
  <c r="AJ27" i="4"/>
  <c r="BR39" i="5" s="1"/>
  <c r="AI27" i="4"/>
  <c r="BP39" i="5" s="1"/>
  <c r="AH27" i="4"/>
  <c r="BN39" i="5" s="1"/>
  <c r="AG27" i="4"/>
  <c r="BL39" i="5" s="1"/>
  <c r="AF27" i="4"/>
  <c r="BJ39" i="5" s="1"/>
  <c r="BV39" i="5" s="1"/>
  <c r="AE27" i="4"/>
  <c r="BH39" i="5" s="1"/>
  <c r="AB27" i="4"/>
  <c r="BB39" i="5" s="1"/>
  <c r="AA27" i="4"/>
  <c r="AZ39" i="5" s="1"/>
  <c r="Z27" i="4"/>
  <c r="AX39" i="5" s="1"/>
  <c r="Y27" i="4"/>
  <c r="AV39" i="5" s="1"/>
  <c r="X27" i="4"/>
  <c r="AT39" i="5" s="1"/>
  <c r="BF39" i="5" s="1"/>
  <c r="W27" i="4"/>
  <c r="AR39" i="5" s="1"/>
  <c r="T27" i="4"/>
  <c r="AL39" i="5" s="1"/>
  <c r="S27" i="4"/>
  <c r="AJ39" i="5" s="1"/>
  <c r="R27" i="4"/>
  <c r="AH39" i="5" s="1"/>
  <c r="Q27" i="4"/>
  <c r="AF39" i="5" s="1"/>
  <c r="P27" i="4"/>
  <c r="AD39" i="5" s="1"/>
  <c r="AP39" i="5" s="1"/>
  <c r="O27" i="4"/>
  <c r="AB39" i="5" s="1"/>
  <c r="L27" i="4"/>
  <c r="V39" i="5" s="1"/>
  <c r="K27" i="4"/>
  <c r="T39" i="5" s="1"/>
  <c r="J27" i="4"/>
  <c r="R39" i="5" s="1"/>
  <c r="I27" i="4"/>
  <c r="P39" i="5" s="1"/>
  <c r="H27" i="4"/>
  <c r="N39" i="5" s="1"/>
  <c r="Z39" i="5" s="1"/>
  <c r="G27" i="4"/>
  <c r="L39" i="5" s="1"/>
  <c r="D27" i="4"/>
  <c r="G39" i="5" s="1"/>
  <c r="B27" i="4"/>
  <c r="C39" i="5" s="1"/>
  <c r="AJ26" i="4"/>
  <c r="BR38" i="5" s="1"/>
  <c r="AI26" i="4"/>
  <c r="BP38" i="5" s="1"/>
  <c r="AH26" i="4"/>
  <c r="BN38" i="5" s="1"/>
  <c r="AG26" i="4"/>
  <c r="BL38" i="5" s="1"/>
  <c r="AF26" i="4"/>
  <c r="BJ38" i="5" s="1"/>
  <c r="BV38" i="5" s="1"/>
  <c r="AE26" i="4"/>
  <c r="BH38" i="5" s="1"/>
  <c r="AB26" i="4"/>
  <c r="BB38" i="5" s="1"/>
  <c r="AA26" i="4"/>
  <c r="AZ38" i="5" s="1"/>
  <c r="Z26" i="4"/>
  <c r="AX38" i="5" s="1"/>
  <c r="Y26" i="4"/>
  <c r="AV38" i="5" s="1"/>
  <c r="X26" i="4"/>
  <c r="AT38" i="5" s="1"/>
  <c r="BF38" i="5" s="1"/>
  <c r="W26" i="4"/>
  <c r="AR38" i="5" s="1"/>
  <c r="T26" i="4"/>
  <c r="AL38" i="5" s="1"/>
  <c r="S26" i="4"/>
  <c r="AJ38" i="5" s="1"/>
  <c r="R26" i="4"/>
  <c r="AH38" i="5" s="1"/>
  <c r="Q26" i="4"/>
  <c r="AF38" i="5" s="1"/>
  <c r="P26" i="4"/>
  <c r="AD38" i="5" s="1"/>
  <c r="AP38" i="5" s="1"/>
  <c r="O26" i="4"/>
  <c r="AB38" i="5" s="1"/>
  <c r="L26" i="4"/>
  <c r="V38" i="5" s="1"/>
  <c r="K26" i="4"/>
  <c r="T38" i="5" s="1"/>
  <c r="J26" i="4"/>
  <c r="R38" i="5" s="1"/>
  <c r="I26" i="4"/>
  <c r="P38" i="5" s="1"/>
  <c r="H26" i="4"/>
  <c r="N38" i="5" s="1"/>
  <c r="Z38" i="5" s="1"/>
  <c r="G26" i="4"/>
  <c r="L38" i="5" s="1"/>
  <c r="D26" i="4"/>
  <c r="G38" i="5" s="1"/>
  <c r="B26" i="4"/>
  <c r="C38" i="5" s="1"/>
  <c r="AJ25" i="4"/>
  <c r="BR37" i="5" s="1"/>
  <c r="AI25" i="4"/>
  <c r="BP37" i="5" s="1"/>
  <c r="AH25" i="4"/>
  <c r="BN37" i="5" s="1"/>
  <c r="AG25" i="4"/>
  <c r="BL37" i="5" s="1"/>
  <c r="AF25" i="4"/>
  <c r="BJ37" i="5" s="1"/>
  <c r="BV37" i="5" s="1"/>
  <c r="AE25" i="4"/>
  <c r="BH37" i="5" s="1"/>
  <c r="AB25" i="4"/>
  <c r="BB37" i="5" s="1"/>
  <c r="AA25" i="4"/>
  <c r="AZ37" i="5" s="1"/>
  <c r="Z25" i="4"/>
  <c r="AX37" i="5" s="1"/>
  <c r="Y25" i="4"/>
  <c r="AV37" i="5" s="1"/>
  <c r="X25" i="4"/>
  <c r="AT37" i="5" s="1"/>
  <c r="BF37" i="5" s="1"/>
  <c r="W25" i="4"/>
  <c r="AR37" i="5" s="1"/>
  <c r="T25" i="4"/>
  <c r="AL37" i="5" s="1"/>
  <c r="S25" i="4"/>
  <c r="AJ37" i="5" s="1"/>
  <c r="R25" i="4"/>
  <c r="AH37" i="5" s="1"/>
  <c r="Q25" i="4"/>
  <c r="AF37" i="5" s="1"/>
  <c r="P25" i="4"/>
  <c r="AD37" i="5" s="1"/>
  <c r="AP37" i="5" s="1"/>
  <c r="O25" i="4"/>
  <c r="AB37" i="5" s="1"/>
  <c r="L25" i="4"/>
  <c r="V37" i="5" s="1"/>
  <c r="K25" i="4"/>
  <c r="T37" i="5" s="1"/>
  <c r="J25" i="4"/>
  <c r="R37" i="5" s="1"/>
  <c r="I25" i="4"/>
  <c r="P37" i="5" s="1"/>
  <c r="H25" i="4"/>
  <c r="N37" i="5" s="1"/>
  <c r="Z37" i="5" s="1"/>
  <c r="G25" i="4"/>
  <c r="L37" i="5" s="1"/>
  <c r="D25" i="4"/>
  <c r="G37" i="5" s="1"/>
  <c r="B25" i="4"/>
  <c r="C37" i="5" s="1"/>
  <c r="AJ24" i="4"/>
  <c r="BR36" i="5" s="1"/>
  <c r="AI24" i="4"/>
  <c r="BP36" i="5" s="1"/>
  <c r="AH24" i="4"/>
  <c r="BN36" i="5" s="1"/>
  <c r="AG24" i="4"/>
  <c r="BL36" i="5" s="1"/>
  <c r="AF24" i="4"/>
  <c r="BJ36" i="5" s="1"/>
  <c r="BV36" i="5" s="1"/>
  <c r="AE24" i="4"/>
  <c r="BH36" i="5" s="1"/>
  <c r="AB24" i="4"/>
  <c r="BB36" i="5" s="1"/>
  <c r="AA24" i="4"/>
  <c r="AZ36" i="5" s="1"/>
  <c r="Z24" i="4"/>
  <c r="AX36" i="5" s="1"/>
  <c r="Y24" i="4"/>
  <c r="AV36" i="5" s="1"/>
  <c r="X24" i="4"/>
  <c r="AT36" i="5" s="1"/>
  <c r="BF36" i="5" s="1"/>
  <c r="W24" i="4"/>
  <c r="AR36" i="5" s="1"/>
  <c r="T24" i="4"/>
  <c r="AL36" i="5" s="1"/>
  <c r="S24" i="4"/>
  <c r="AJ36" i="5" s="1"/>
  <c r="R24" i="4"/>
  <c r="AH36" i="5" s="1"/>
  <c r="Q24" i="4"/>
  <c r="AF36" i="5" s="1"/>
  <c r="P24" i="4"/>
  <c r="AD36" i="5" s="1"/>
  <c r="AP36" i="5" s="1"/>
  <c r="O24" i="4"/>
  <c r="AB36" i="5" s="1"/>
  <c r="L24" i="4"/>
  <c r="V36" i="5" s="1"/>
  <c r="K24" i="4"/>
  <c r="T36" i="5" s="1"/>
  <c r="J24" i="4"/>
  <c r="R36" i="5" s="1"/>
  <c r="I24" i="4"/>
  <c r="P36" i="5" s="1"/>
  <c r="H24" i="4"/>
  <c r="N36" i="5" s="1"/>
  <c r="Z36" i="5" s="1"/>
  <c r="G24" i="4"/>
  <c r="L36" i="5" s="1"/>
  <c r="D24" i="4"/>
  <c r="G36" i="5" s="1"/>
  <c r="B24" i="4"/>
  <c r="C36" i="5" s="1"/>
  <c r="AJ23" i="4"/>
  <c r="BR35" i="5" s="1"/>
  <c r="AI23" i="4"/>
  <c r="BP35" i="5" s="1"/>
  <c r="AH23" i="4"/>
  <c r="BN35" i="5" s="1"/>
  <c r="AG23" i="4"/>
  <c r="BL35" i="5" s="1"/>
  <c r="AF23" i="4"/>
  <c r="BJ35" i="5" s="1"/>
  <c r="BV35" i="5" s="1"/>
  <c r="AE23" i="4"/>
  <c r="BH35" i="5" s="1"/>
  <c r="AB23" i="4"/>
  <c r="BB35" i="5" s="1"/>
  <c r="AA23" i="4"/>
  <c r="AZ35" i="5" s="1"/>
  <c r="Z23" i="4"/>
  <c r="AX35" i="5" s="1"/>
  <c r="Y23" i="4"/>
  <c r="AV35" i="5" s="1"/>
  <c r="X23" i="4"/>
  <c r="AT35" i="5" s="1"/>
  <c r="BF35" i="5" s="1"/>
  <c r="W23" i="4"/>
  <c r="AR35" i="5" s="1"/>
  <c r="T23" i="4"/>
  <c r="AL35" i="5" s="1"/>
  <c r="S23" i="4"/>
  <c r="AJ35" i="5" s="1"/>
  <c r="R23" i="4"/>
  <c r="AH35" i="5" s="1"/>
  <c r="Q23" i="4"/>
  <c r="AF35" i="5" s="1"/>
  <c r="P23" i="4"/>
  <c r="AD35" i="5" s="1"/>
  <c r="AP35" i="5" s="1"/>
  <c r="O23" i="4"/>
  <c r="AB35" i="5" s="1"/>
  <c r="L23" i="4"/>
  <c r="V35" i="5" s="1"/>
  <c r="K23" i="4"/>
  <c r="T35" i="5" s="1"/>
  <c r="J23" i="4"/>
  <c r="R35" i="5" s="1"/>
  <c r="I23" i="4"/>
  <c r="P35" i="5" s="1"/>
  <c r="H23" i="4"/>
  <c r="N35" i="5" s="1"/>
  <c r="Z35" i="5" s="1"/>
  <c r="G23" i="4"/>
  <c r="L35" i="5" s="1"/>
  <c r="D23" i="4"/>
  <c r="G35" i="5" s="1"/>
  <c r="B23" i="4"/>
  <c r="C35" i="5" s="1"/>
  <c r="AJ22" i="4"/>
  <c r="BR34" i="5" s="1"/>
  <c r="AI22" i="4"/>
  <c r="BP34" i="5" s="1"/>
  <c r="AH22" i="4"/>
  <c r="BN34" i="5" s="1"/>
  <c r="AG22" i="4"/>
  <c r="BL34" i="5" s="1"/>
  <c r="AF22" i="4"/>
  <c r="BJ34" i="5" s="1"/>
  <c r="BV34" i="5" s="1"/>
  <c r="AE22" i="4"/>
  <c r="BH34" i="5" s="1"/>
  <c r="AB22" i="4"/>
  <c r="BB34" i="5" s="1"/>
  <c r="AA22" i="4"/>
  <c r="AZ34" i="5" s="1"/>
  <c r="Z22" i="4"/>
  <c r="AX34" i="5" s="1"/>
  <c r="Y22" i="4"/>
  <c r="AV34" i="5" s="1"/>
  <c r="X22" i="4"/>
  <c r="AT34" i="5" s="1"/>
  <c r="BF34" i="5" s="1"/>
  <c r="W22" i="4"/>
  <c r="AR34" i="5" s="1"/>
  <c r="T22" i="4"/>
  <c r="AL34" i="5" s="1"/>
  <c r="S22" i="4"/>
  <c r="AJ34" i="5" s="1"/>
  <c r="R22" i="4"/>
  <c r="AH34" i="5" s="1"/>
  <c r="Q22" i="4"/>
  <c r="AF34" i="5" s="1"/>
  <c r="P22" i="4"/>
  <c r="AD34" i="5" s="1"/>
  <c r="AP34" i="5" s="1"/>
  <c r="O22" i="4"/>
  <c r="AB34" i="5" s="1"/>
  <c r="L22" i="4"/>
  <c r="V34" i="5" s="1"/>
  <c r="K22" i="4"/>
  <c r="T34" i="5" s="1"/>
  <c r="J22" i="4"/>
  <c r="R34" i="5" s="1"/>
  <c r="I22" i="4"/>
  <c r="P34" i="5" s="1"/>
  <c r="H22" i="4"/>
  <c r="N34" i="5" s="1"/>
  <c r="Z34" i="5" s="1"/>
  <c r="G22" i="4"/>
  <c r="L34" i="5" s="1"/>
  <c r="D22" i="4"/>
  <c r="G34" i="5" s="1"/>
  <c r="B22" i="4"/>
  <c r="C34" i="5" s="1"/>
  <c r="AJ21" i="4"/>
  <c r="BR33" i="5" s="1"/>
  <c r="AI21" i="4"/>
  <c r="BP33" i="5" s="1"/>
  <c r="AH21" i="4"/>
  <c r="BN33" i="5" s="1"/>
  <c r="AG21" i="4"/>
  <c r="BL33" i="5" s="1"/>
  <c r="AF21" i="4"/>
  <c r="BJ33" i="5" s="1"/>
  <c r="BV33" i="5" s="1"/>
  <c r="AE21" i="4"/>
  <c r="BH33" i="5" s="1"/>
  <c r="AB21" i="4"/>
  <c r="BB33" i="5" s="1"/>
  <c r="AA21" i="4"/>
  <c r="AZ33" i="5" s="1"/>
  <c r="Z21" i="4"/>
  <c r="AX33" i="5" s="1"/>
  <c r="Y21" i="4"/>
  <c r="AV33" i="5" s="1"/>
  <c r="X21" i="4"/>
  <c r="AT33" i="5" s="1"/>
  <c r="BF33" i="5" s="1"/>
  <c r="W21" i="4"/>
  <c r="AR33" i="5" s="1"/>
  <c r="T21" i="4"/>
  <c r="AL33" i="5" s="1"/>
  <c r="S21" i="4"/>
  <c r="AJ33" i="5" s="1"/>
  <c r="R21" i="4"/>
  <c r="AH33" i="5" s="1"/>
  <c r="Q21" i="4"/>
  <c r="AF33" i="5" s="1"/>
  <c r="P21" i="4"/>
  <c r="AD33" i="5" s="1"/>
  <c r="AP33" i="5" s="1"/>
  <c r="O21" i="4"/>
  <c r="AB33" i="5" s="1"/>
  <c r="L21" i="4"/>
  <c r="V33" i="5" s="1"/>
  <c r="K21" i="4"/>
  <c r="T33" i="5" s="1"/>
  <c r="J21" i="4"/>
  <c r="R33" i="5" s="1"/>
  <c r="I21" i="4"/>
  <c r="P33" i="5" s="1"/>
  <c r="H21" i="4"/>
  <c r="N33" i="5" s="1"/>
  <c r="Z33" i="5" s="1"/>
  <c r="G21" i="4"/>
  <c r="L33" i="5" s="1"/>
  <c r="D21" i="4"/>
  <c r="G33" i="5" s="1"/>
  <c r="B21" i="4"/>
  <c r="C33" i="5" s="1"/>
  <c r="AJ20" i="4"/>
  <c r="BR32" i="5" s="1"/>
  <c r="AI20" i="4"/>
  <c r="BP32" i="5" s="1"/>
  <c r="AH20" i="4"/>
  <c r="BN32" i="5" s="1"/>
  <c r="AG20" i="4"/>
  <c r="BL32" i="5" s="1"/>
  <c r="AF20" i="4"/>
  <c r="BJ32" i="5" s="1"/>
  <c r="BV32" i="5" s="1"/>
  <c r="AE20" i="4"/>
  <c r="BH32" i="5" s="1"/>
  <c r="AB20" i="4"/>
  <c r="BB32" i="5" s="1"/>
  <c r="AA20" i="4"/>
  <c r="AZ32" i="5" s="1"/>
  <c r="Z20" i="4"/>
  <c r="AX32" i="5" s="1"/>
  <c r="Y20" i="4"/>
  <c r="AV32" i="5" s="1"/>
  <c r="X20" i="4"/>
  <c r="AT32" i="5" s="1"/>
  <c r="BF32" i="5" s="1"/>
  <c r="W20" i="4"/>
  <c r="AR32" i="5" s="1"/>
  <c r="T20" i="4"/>
  <c r="AL32" i="5" s="1"/>
  <c r="S20" i="4"/>
  <c r="AJ32" i="5" s="1"/>
  <c r="R20" i="4"/>
  <c r="AH32" i="5" s="1"/>
  <c r="Q20" i="4"/>
  <c r="AF32" i="5" s="1"/>
  <c r="P20" i="4"/>
  <c r="AD32" i="5" s="1"/>
  <c r="AP32" i="5" s="1"/>
  <c r="O20" i="4"/>
  <c r="AB32" i="5" s="1"/>
  <c r="L20" i="4"/>
  <c r="V32" i="5" s="1"/>
  <c r="K20" i="4"/>
  <c r="T32" i="5" s="1"/>
  <c r="J20" i="4"/>
  <c r="R32" i="5" s="1"/>
  <c r="I20" i="4"/>
  <c r="P32" i="5" s="1"/>
  <c r="H20" i="4"/>
  <c r="N32" i="5" s="1"/>
  <c r="Z32" i="5" s="1"/>
  <c r="G20" i="4"/>
  <c r="L32" i="5" s="1"/>
  <c r="D20" i="4"/>
  <c r="G32" i="5" s="1"/>
  <c r="B20" i="4"/>
  <c r="C32" i="5" s="1"/>
  <c r="AJ19" i="4"/>
  <c r="BR31" i="5" s="1"/>
  <c r="AI19" i="4"/>
  <c r="BP31" i="5" s="1"/>
  <c r="AH19" i="4"/>
  <c r="BN31" i="5" s="1"/>
  <c r="AG19" i="4"/>
  <c r="BL31" i="5" s="1"/>
  <c r="AF19" i="4"/>
  <c r="BJ31" i="5" s="1"/>
  <c r="BV31" i="5" s="1"/>
  <c r="AE19" i="4"/>
  <c r="BH31" i="5" s="1"/>
  <c r="AB19" i="4"/>
  <c r="BB31" i="5" s="1"/>
  <c r="AA19" i="4"/>
  <c r="AZ31" i="5" s="1"/>
  <c r="Z19" i="4"/>
  <c r="AX31" i="5" s="1"/>
  <c r="Y19" i="4"/>
  <c r="AV31" i="5" s="1"/>
  <c r="X19" i="4"/>
  <c r="AT31" i="5" s="1"/>
  <c r="BF31" i="5" s="1"/>
  <c r="W19" i="4"/>
  <c r="AR31" i="5" s="1"/>
  <c r="T19" i="4"/>
  <c r="AL31" i="5" s="1"/>
  <c r="S19" i="4"/>
  <c r="AJ31" i="5" s="1"/>
  <c r="R19" i="4"/>
  <c r="AH31" i="5" s="1"/>
  <c r="Q19" i="4"/>
  <c r="AF31" i="5" s="1"/>
  <c r="P19" i="4"/>
  <c r="AD31" i="5" s="1"/>
  <c r="AP31" i="5" s="1"/>
  <c r="O19" i="4"/>
  <c r="AB31" i="5" s="1"/>
  <c r="L19" i="4"/>
  <c r="V31" i="5" s="1"/>
  <c r="K19" i="4"/>
  <c r="T31" i="5" s="1"/>
  <c r="J19" i="4"/>
  <c r="R31" i="5" s="1"/>
  <c r="I19" i="4"/>
  <c r="P31" i="5" s="1"/>
  <c r="H19" i="4"/>
  <c r="N31" i="5" s="1"/>
  <c r="Z31" i="5" s="1"/>
  <c r="G19" i="4"/>
  <c r="L31" i="5" s="1"/>
  <c r="D19" i="4"/>
  <c r="G31" i="5" s="1"/>
  <c r="B19" i="4"/>
  <c r="C31" i="5" s="1"/>
  <c r="AJ18" i="4"/>
  <c r="BR30" i="5" s="1"/>
  <c r="AI18" i="4"/>
  <c r="BP30" i="5" s="1"/>
  <c r="AH18" i="4"/>
  <c r="BN30" i="5" s="1"/>
  <c r="AG18" i="4"/>
  <c r="BL30" i="5" s="1"/>
  <c r="AF18" i="4"/>
  <c r="BJ30" i="5" s="1"/>
  <c r="BV30" i="5" s="1"/>
  <c r="AE18" i="4"/>
  <c r="BH30" i="5" s="1"/>
  <c r="AB18" i="4"/>
  <c r="BB30" i="5" s="1"/>
  <c r="AA18" i="4"/>
  <c r="AZ30" i="5" s="1"/>
  <c r="Z18" i="4"/>
  <c r="AX30" i="5" s="1"/>
  <c r="Y18" i="4"/>
  <c r="AV30" i="5" s="1"/>
  <c r="X18" i="4"/>
  <c r="AT30" i="5" s="1"/>
  <c r="BF30" i="5" s="1"/>
  <c r="W18" i="4"/>
  <c r="AR30" i="5" s="1"/>
  <c r="T18" i="4"/>
  <c r="AL30" i="5" s="1"/>
  <c r="S18" i="4"/>
  <c r="AJ30" i="5" s="1"/>
  <c r="R18" i="4"/>
  <c r="AH30" i="5" s="1"/>
  <c r="Q18" i="4"/>
  <c r="AF30" i="5" s="1"/>
  <c r="P18" i="4"/>
  <c r="AD30" i="5" s="1"/>
  <c r="AP30" i="5" s="1"/>
  <c r="O18" i="4"/>
  <c r="AB30" i="5" s="1"/>
  <c r="L18" i="4"/>
  <c r="V30" i="5" s="1"/>
  <c r="K18" i="4"/>
  <c r="T30" i="5" s="1"/>
  <c r="J18" i="4"/>
  <c r="R30" i="5" s="1"/>
  <c r="I18" i="4"/>
  <c r="P30" i="5" s="1"/>
  <c r="H18" i="4"/>
  <c r="N30" i="5" s="1"/>
  <c r="Z30" i="5" s="1"/>
  <c r="G18" i="4"/>
  <c r="L30" i="5" s="1"/>
  <c r="D18" i="4"/>
  <c r="G30" i="5" s="1"/>
  <c r="B18" i="4"/>
  <c r="C30" i="5" s="1"/>
  <c r="AJ17" i="4"/>
  <c r="BR29" i="5" s="1"/>
  <c r="AI17" i="4"/>
  <c r="BP29" i="5" s="1"/>
  <c r="AH17" i="4"/>
  <c r="BN29" i="5" s="1"/>
  <c r="AG17" i="4"/>
  <c r="BL29" i="5" s="1"/>
  <c r="AF17" i="4"/>
  <c r="BJ29" i="5" s="1"/>
  <c r="BV29" i="5" s="1"/>
  <c r="AE17" i="4"/>
  <c r="BH29" i="5" s="1"/>
  <c r="AB17" i="4"/>
  <c r="BB29" i="5" s="1"/>
  <c r="AA17" i="4"/>
  <c r="AZ29" i="5" s="1"/>
  <c r="Z17" i="4"/>
  <c r="AX29" i="5" s="1"/>
  <c r="Y17" i="4"/>
  <c r="AV29" i="5" s="1"/>
  <c r="X17" i="4"/>
  <c r="AT29" i="5" s="1"/>
  <c r="BF29" i="5" s="1"/>
  <c r="W17" i="4"/>
  <c r="AR29" i="5" s="1"/>
  <c r="T17" i="4"/>
  <c r="AL29" i="5" s="1"/>
  <c r="S17" i="4"/>
  <c r="AJ29" i="5" s="1"/>
  <c r="R17" i="4"/>
  <c r="AH29" i="5" s="1"/>
  <c r="Q17" i="4"/>
  <c r="AF29" i="5" s="1"/>
  <c r="P17" i="4"/>
  <c r="AD29" i="5" s="1"/>
  <c r="AP29" i="5" s="1"/>
  <c r="O17" i="4"/>
  <c r="AB29" i="5" s="1"/>
  <c r="L17" i="4"/>
  <c r="V29" i="5" s="1"/>
  <c r="K17" i="4"/>
  <c r="T29" i="5" s="1"/>
  <c r="J17" i="4"/>
  <c r="R29" i="5" s="1"/>
  <c r="I17" i="4"/>
  <c r="P29" i="5" s="1"/>
  <c r="H17" i="4"/>
  <c r="N29" i="5" s="1"/>
  <c r="Z29" i="5" s="1"/>
  <c r="G17" i="4"/>
  <c r="L29" i="5" s="1"/>
  <c r="D17" i="4"/>
  <c r="G29" i="5" s="1"/>
  <c r="B17" i="4"/>
  <c r="C29" i="5" s="1"/>
  <c r="AJ16" i="4"/>
  <c r="BR28" i="5" s="1"/>
  <c r="BR48" i="5" s="1"/>
  <c r="BR52" i="5" s="1"/>
  <c r="AI16" i="4"/>
  <c r="BP28" i="5" s="1"/>
  <c r="BP48" i="5" s="1"/>
  <c r="BP52" i="5" s="1"/>
  <c r="AH16" i="4"/>
  <c r="BN28" i="5" s="1"/>
  <c r="BN48" i="5" s="1"/>
  <c r="BN52" i="5" s="1"/>
  <c r="AG16" i="4"/>
  <c r="BL28" i="5" s="1"/>
  <c r="BL48" i="5" s="1"/>
  <c r="BL52" i="5" s="1"/>
  <c r="AF16" i="4"/>
  <c r="BJ28" i="5" s="1"/>
  <c r="AE16" i="4"/>
  <c r="BH28" i="5" s="1"/>
  <c r="BH48" i="5" s="1"/>
  <c r="BH52" i="5" s="1"/>
  <c r="AB16" i="4"/>
  <c r="BB28" i="5" s="1"/>
  <c r="BB48" i="5" s="1"/>
  <c r="BB52" i="5" s="1"/>
  <c r="AA16" i="4"/>
  <c r="AZ28" i="5" s="1"/>
  <c r="AZ48" i="5" s="1"/>
  <c r="AZ52" i="5" s="1"/>
  <c r="Z16" i="4"/>
  <c r="AX28" i="5" s="1"/>
  <c r="AX48" i="5" s="1"/>
  <c r="AX52" i="5" s="1"/>
  <c r="Y16" i="4"/>
  <c r="AV28" i="5" s="1"/>
  <c r="AV48" i="5" s="1"/>
  <c r="AV52" i="5" s="1"/>
  <c r="X16" i="4"/>
  <c r="AT28" i="5" s="1"/>
  <c r="W16" i="4"/>
  <c r="AR28" i="5" s="1"/>
  <c r="AR48" i="5" s="1"/>
  <c r="AR52" i="5" s="1"/>
  <c r="T16" i="4"/>
  <c r="AL28" i="5" s="1"/>
  <c r="AL48" i="5" s="1"/>
  <c r="AL52" i="5" s="1"/>
  <c r="S16" i="4"/>
  <c r="AJ28" i="5" s="1"/>
  <c r="AJ48" i="5" s="1"/>
  <c r="AJ52" i="5" s="1"/>
  <c r="R16" i="4"/>
  <c r="AH28" i="5" s="1"/>
  <c r="AH48" i="5" s="1"/>
  <c r="AH52" i="5" s="1"/>
  <c r="Q16" i="4"/>
  <c r="AF28" i="5" s="1"/>
  <c r="AF48" i="5" s="1"/>
  <c r="AF52" i="5" s="1"/>
  <c r="P16" i="4"/>
  <c r="AD28" i="5" s="1"/>
  <c r="O16" i="4"/>
  <c r="AB28" i="5" s="1"/>
  <c r="AB48" i="5" s="1"/>
  <c r="AB52" i="5" s="1"/>
  <c r="L16" i="4"/>
  <c r="V28" i="5" s="1"/>
  <c r="V48" i="5" s="1"/>
  <c r="V52" i="5" s="1"/>
  <c r="K16" i="4"/>
  <c r="T28" i="5" s="1"/>
  <c r="T48" i="5" s="1"/>
  <c r="T52" i="5" s="1"/>
  <c r="J16" i="4"/>
  <c r="R28" i="5" s="1"/>
  <c r="R48" i="5" s="1"/>
  <c r="R52" i="5" s="1"/>
  <c r="I16" i="4"/>
  <c r="P28" i="5" s="1"/>
  <c r="P48" i="5" s="1"/>
  <c r="P52" i="5" s="1"/>
  <c r="H16" i="4"/>
  <c r="N28" i="5" s="1"/>
  <c r="G16" i="4"/>
  <c r="L28" i="5" s="1"/>
  <c r="L48" i="5" s="1"/>
  <c r="L52" i="5" s="1"/>
  <c r="D16" i="4"/>
  <c r="G28" i="5" s="1"/>
  <c r="G48" i="5" s="1"/>
  <c r="G52" i="5" s="1"/>
  <c r="B16" i="4"/>
  <c r="C28" i="5" s="1"/>
  <c r="C48" i="5" s="1"/>
  <c r="C52" i="5" s="1"/>
  <c r="AI14" i="4"/>
  <c r="BP25" i="5" s="1"/>
  <c r="AG14" i="4"/>
  <c r="BL25" i="5" s="1"/>
  <c r="AE14" i="4"/>
  <c r="BH25" i="5" s="1"/>
  <c r="AA14" i="4"/>
  <c r="AZ25" i="5" s="1"/>
  <c r="Y14" i="4"/>
  <c r="AV25" i="5" s="1"/>
  <c r="W14" i="4"/>
  <c r="AR25" i="5" s="1"/>
  <c r="S14" i="4"/>
  <c r="AJ25" i="5" s="1"/>
  <c r="Q14" i="4"/>
  <c r="AF25" i="5" s="1"/>
  <c r="O14" i="4"/>
  <c r="AB25" i="5" s="1"/>
  <c r="K14" i="4"/>
  <c r="T25" i="5" s="1"/>
  <c r="I14" i="4"/>
  <c r="P25" i="5" s="1"/>
  <c r="G14" i="4"/>
  <c r="L25" i="5" s="1"/>
  <c r="D13" i="4"/>
  <c r="E74" i="4" s="1"/>
  <c r="H86" i="5" s="1"/>
  <c r="B10" i="4"/>
  <c r="B9" i="4"/>
  <c r="B8" i="4"/>
  <c r="B7" i="4"/>
  <c r="B6" i="4"/>
  <c r="B5" i="4"/>
  <c r="B4" i="4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N69" i="4" l="1"/>
  <c r="AD69" i="4"/>
  <c r="V69" i="4"/>
  <c r="AL69" i="4"/>
  <c r="X85" i="5"/>
  <c r="C109" i="5"/>
  <c r="B36" i="4"/>
  <c r="B40" i="4" s="1"/>
  <c r="G36" i="4"/>
  <c r="G40" i="4" s="1"/>
  <c r="K36" i="4"/>
  <c r="K40" i="4" s="1"/>
  <c r="O36" i="4"/>
  <c r="O40" i="4" s="1"/>
  <c r="S36" i="4"/>
  <c r="S40" i="4" s="1"/>
  <c r="W36" i="4"/>
  <c r="W40" i="4" s="1"/>
  <c r="AA36" i="4"/>
  <c r="AA40" i="4" s="1"/>
  <c r="AE36" i="4"/>
  <c r="AE40" i="4" s="1"/>
  <c r="AI36" i="4"/>
  <c r="AI40" i="4" s="1"/>
  <c r="N48" i="5"/>
  <c r="N52" i="5" s="1"/>
  <c r="Z28" i="5"/>
  <c r="Z48" i="5" s="1"/>
  <c r="Z52" i="5" s="1"/>
  <c r="AD48" i="5"/>
  <c r="AD52" i="5" s="1"/>
  <c r="AP28" i="5"/>
  <c r="AP48" i="5" s="1"/>
  <c r="AP52" i="5" s="1"/>
  <c r="AT48" i="5"/>
  <c r="AT52" i="5" s="1"/>
  <c r="BF28" i="5"/>
  <c r="BF48" i="5" s="1"/>
  <c r="BF52" i="5" s="1"/>
  <c r="BJ48" i="5"/>
  <c r="BJ52" i="5" s="1"/>
  <c r="BV28" i="5"/>
  <c r="BV48" i="5" s="1"/>
  <c r="BV52" i="5" s="1"/>
  <c r="C17" i="4"/>
  <c r="D29" i="5" s="1"/>
  <c r="C21" i="4"/>
  <c r="D33" i="5" s="1"/>
  <c r="C25" i="4"/>
  <c r="D37" i="5" s="1"/>
  <c r="C29" i="4"/>
  <c r="D41" i="5" s="1"/>
  <c r="C33" i="4"/>
  <c r="D45" i="5" s="1"/>
  <c r="H36" i="4"/>
  <c r="H40" i="4" s="1"/>
  <c r="L36" i="4"/>
  <c r="L40" i="4" s="1"/>
  <c r="P36" i="4"/>
  <c r="P40" i="4" s="1"/>
  <c r="T36" i="4"/>
  <c r="T40" i="4" s="1"/>
  <c r="X36" i="4"/>
  <c r="X40" i="4" s="1"/>
  <c r="AB36" i="4"/>
  <c r="AB40" i="4" s="1"/>
  <c r="AF36" i="4"/>
  <c r="AF40" i="4" s="1"/>
  <c r="AJ36" i="4"/>
  <c r="AJ40" i="4" s="1"/>
  <c r="E45" i="4"/>
  <c r="E49" i="4"/>
  <c r="E53" i="4"/>
  <c r="E57" i="4"/>
  <c r="E62" i="4"/>
  <c r="E66" i="4"/>
  <c r="AD73" i="4"/>
  <c r="L86" i="5"/>
  <c r="M74" i="4"/>
  <c r="X86" i="5" s="1"/>
  <c r="AD74" i="4"/>
  <c r="BF86" i="5" s="1"/>
  <c r="L75" i="4"/>
  <c r="V87" i="5" s="1"/>
  <c r="T75" i="4"/>
  <c r="AL87" i="5" s="1"/>
  <c r="AB75" i="4"/>
  <c r="BB87" i="5" s="1"/>
  <c r="AJ75" i="4"/>
  <c r="BR87" i="5" s="1"/>
  <c r="E107" i="5"/>
  <c r="D86" i="4"/>
  <c r="AK84" i="4"/>
  <c r="AK86" i="4" s="1"/>
  <c r="O86" i="4"/>
  <c r="M16" i="4"/>
  <c r="AC16" i="4"/>
  <c r="M17" i="4"/>
  <c r="X29" i="5" s="1"/>
  <c r="AC17" i="4"/>
  <c r="BD29" i="5" s="1"/>
  <c r="M18" i="4"/>
  <c r="X30" i="5" s="1"/>
  <c r="AC18" i="4"/>
  <c r="BD30" i="5" s="1"/>
  <c r="M19" i="4"/>
  <c r="X31" i="5" s="1"/>
  <c r="AC19" i="4"/>
  <c r="BD31" i="5" s="1"/>
  <c r="M20" i="4"/>
  <c r="X32" i="5" s="1"/>
  <c r="AC20" i="4"/>
  <c r="BD32" i="5" s="1"/>
  <c r="M21" i="4"/>
  <c r="X33" i="5" s="1"/>
  <c r="AC21" i="4"/>
  <c r="BD33" i="5" s="1"/>
  <c r="M22" i="4"/>
  <c r="X34" i="5" s="1"/>
  <c r="AC22" i="4"/>
  <c r="BD34" i="5" s="1"/>
  <c r="M23" i="4"/>
  <c r="X35" i="5" s="1"/>
  <c r="AC23" i="4"/>
  <c r="BD35" i="5" s="1"/>
  <c r="M24" i="4"/>
  <c r="X36" i="5" s="1"/>
  <c r="AC24" i="4"/>
  <c r="BD36" i="5" s="1"/>
  <c r="M25" i="4"/>
  <c r="X37" i="5" s="1"/>
  <c r="AC25" i="4"/>
  <c r="BD37" i="5" s="1"/>
  <c r="M26" i="4"/>
  <c r="X38" i="5" s="1"/>
  <c r="AC26" i="4"/>
  <c r="BD38" i="5" s="1"/>
  <c r="M27" i="4"/>
  <c r="X39" i="5" s="1"/>
  <c r="AC27" i="4"/>
  <c r="BD39" i="5" s="1"/>
  <c r="M28" i="4"/>
  <c r="X40" i="5" s="1"/>
  <c r="AC28" i="4"/>
  <c r="BD40" i="5" s="1"/>
  <c r="M29" i="4"/>
  <c r="X41" i="5" s="1"/>
  <c r="AC29" i="4"/>
  <c r="BD41" i="5" s="1"/>
  <c r="M30" i="4"/>
  <c r="X42" i="5" s="1"/>
  <c r="AC30" i="4"/>
  <c r="BD42" i="5" s="1"/>
  <c r="M31" i="4"/>
  <c r="X43" i="5" s="1"/>
  <c r="AC31" i="4"/>
  <c r="BD43" i="5" s="1"/>
  <c r="M32" i="4"/>
  <c r="X44" i="5" s="1"/>
  <c r="AC32" i="4"/>
  <c r="BD44" i="5" s="1"/>
  <c r="M33" i="4"/>
  <c r="X45" i="5" s="1"/>
  <c r="AC33" i="4"/>
  <c r="BD45" i="5" s="1"/>
  <c r="M34" i="4"/>
  <c r="X46" i="5" s="1"/>
  <c r="AC34" i="4"/>
  <c r="BD46" i="5" s="1"/>
  <c r="M35" i="4"/>
  <c r="X47" i="5" s="1"/>
  <c r="AC35" i="4"/>
  <c r="BD47" i="5" s="1"/>
  <c r="M38" i="4"/>
  <c r="AC38" i="4"/>
  <c r="E46" i="4"/>
  <c r="C48" i="4"/>
  <c r="D60" i="5" s="1"/>
  <c r="E50" i="4"/>
  <c r="E54" i="4"/>
  <c r="C56" i="4"/>
  <c r="D68" i="5" s="1"/>
  <c r="E58" i="4"/>
  <c r="E63" i="4"/>
  <c r="E67" i="4"/>
  <c r="D69" i="4"/>
  <c r="E69" i="4" s="1"/>
  <c r="G85" i="5"/>
  <c r="D75" i="4"/>
  <c r="G87" i="5" s="1"/>
  <c r="P85" i="5"/>
  <c r="I75" i="4"/>
  <c r="P87" i="5" s="1"/>
  <c r="AF85" i="5"/>
  <c r="Q75" i="4"/>
  <c r="AF87" i="5" s="1"/>
  <c r="BH85" i="5"/>
  <c r="AE75" i="4"/>
  <c r="BH87" i="5" s="1"/>
  <c r="AK73" i="4"/>
  <c r="BP85" i="5"/>
  <c r="AI75" i="4"/>
  <c r="BP87" i="5" s="1"/>
  <c r="V75" i="4"/>
  <c r="AP87" i="5" s="1"/>
  <c r="AL75" i="4"/>
  <c r="BV87" i="5" s="1"/>
  <c r="AC84" i="4"/>
  <c r="AC86" i="4" s="1"/>
  <c r="C108" i="5"/>
  <c r="C85" i="4"/>
  <c r="D108" i="5" s="1"/>
  <c r="B13" i="4"/>
  <c r="U16" i="4"/>
  <c r="AK16" i="4"/>
  <c r="U17" i="4"/>
  <c r="AN29" i="5" s="1"/>
  <c r="AK17" i="4"/>
  <c r="BT29" i="5" s="1"/>
  <c r="U18" i="4"/>
  <c r="AN30" i="5" s="1"/>
  <c r="AK18" i="4"/>
  <c r="BT30" i="5" s="1"/>
  <c r="U19" i="4"/>
  <c r="AN31" i="5" s="1"/>
  <c r="AK19" i="4"/>
  <c r="BT31" i="5" s="1"/>
  <c r="U20" i="4"/>
  <c r="AN32" i="5" s="1"/>
  <c r="AK20" i="4"/>
  <c r="BT32" i="5" s="1"/>
  <c r="U21" i="4"/>
  <c r="AN33" i="5" s="1"/>
  <c r="AK21" i="4"/>
  <c r="BT33" i="5" s="1"/>
  <c r="U22" i="4"/>
  <c r="AN34" i="5" s="1"/>
  <c r="AK22" i="4"/>
  <c r="BT34" i="5" s="1"/>
  <c r="U23" i="4"/>
  <c r="AN35" i="5" s="1"/>
  <c r="AK23" i="4"/>
  <c r="BT35" i="5" s="1"/>
  <c r="U24" i="4"/>
  <c r="AN36" i="5" s="1"/>
  <c r="AK24" i="4"/>
  <c r="BT36" i="5" s="1"/>
  <c r="U25" i="4"/>
  <c r="AN37" i="5" s="1"/>
  <c r="AK25" i="4"/>
  <c r="BT37" i="5" s="1"/>
  <c r="U26" i="4"/>
  <c r="AN38" i="5" s="1"/>
  <c r="AK26" i="4"/>
  <c r="BT38" i="5" s="1"/>
  <c r="U27" i="4"/>
  <c r="AN39" i="5" s="1"/>
  <c r="AK27" i="4"/>
  <c r="BT39" i="5" s="1"/>
  <c r="U28" i="4"/>
  <c r="AN40" i="5" s="1"/>
  <c r="AK28" i="4"/>
  <c r="BT40" i="5" s="1"/>
  <c r="U29" i="4"/>
  <c r="AN41" i="5" s="1"/>
  <c r="AK29" i="4"/>
  <c r="BT41" i="5" s="1"/>
  <c r="U30" i="4"/>
  <c r="AN42" i="5" s="1"/>
  <c r="AK30" i="4"/>
  <c r="BT42" i="5" s="1"/>
  <c r="U31" i="4"/>
  <c r="AN43" i="5" s="1"/>
  <c r="AK31" i="4"/>
  <c r="BT43" i="5" s="1"/>
  <c r="U32" i="4"/>
  <c r="AN44" i="5" s="1"/>
  <c r="AK32" i="4"/>
  <c r="BT44" i="5" s="1"/>
  <c r="U33" i="4"/>
  <c r="AN45" i="5" s="1"/>
  <c r="AK33" i="4"/>
  <c r="BT45" i="5" s="1"/>
  <c r="U34" i="4"/>
  <c r="AN46" i="5" s="1"/>
  <c r="AK34" i="4"/>
  <c r="BT46" i="5" s="1"/>
  <c r="U35" i="4"/>
  <c r="AN47" i="5" s="1"/>
  <c r="AK35" i="4"/>
  <c r="BT47" i="5" s="1"/>
  <c r="D36" i="4"/>
  <c r="D40" i="4" s="1"/>
  <c r="E17" i="4" s="1"/>
  <c r="H29" i="5" s="1"/>
  <c r="I36" i="4"/>
  <c r="I40" i="4" s="1"/>
  <c r="Q36" i="4"/>
  <c r="Q40" i="4" s="1"/>
  <c r="Y36" i="4"/>
  <c r="Y40" i="4" s="1"/>
  <c r="AG36" i="4"/>
  <c r="AG40" i="4" s="1"/>
  <c r="U38" i="4"/>
  <c r="AK38" i="4"/>
  <c r="C44" i="4"/>
  <c r="D56" i="5" s="1"/>
  <c r="D81" i="5" s="1"/>
  <c r="E16" i="4"/>
  <c r="N16" i="4"/>
  <c r="V16" i="4"/>
  <c r="AD16" i="4"/>
  <c r="AL16" i="4"/>
  <c r="N17" i="4"/>
  <c r="V17" i="4"/>
  <c r="AD17" i="4"/>
  <c r="AL17" i="4"/>
  <c r="N18" i="4"/>
  <c r="V18" i="4"/>
  <c r="AD18" i="4"/>
  <c r="AL18" i="4"/>
  <c r="N19" i="4"/>
  <c r="V19" i="4"/>
  <c r="AD19" i="4"/>
  <c r="AL19" i="4"/>
  <c r="E20" i="4"/>
  <c r="H32" i="5" s="1"/>
  <c r="N20" i="4"/>
  <c r="V20" i="4"/>
  <c r="AD20" i="4"/>
  <c r="AL20" i="4"/>
  <c r="N21" i="4"/>
  <c r="V21" i="4"/>
  <c r="AD21" i="4"/>
  <c r="AL21" i="4"/>
  <c r="N22" i="4"/>
  <c r="V22" i="4"/>
  <c r="AD22" i="4"/>
  <c r="AL22" i="4"/>
  <c r="N23" i="4"/>
  <c r="V23" i="4"/>
  <c r="AD23" i="4"/>
  <c r="AL23" i="4"/>
  <c r="E24" i="4"/>
  <c r="H36" i="5" s="1"/>
  <c r="N24" i="4"/>
  <c r="V24" i="4"/>
  <c r="AD24" i="4"/>
  <c r="AL24" i="4"/>
  <c r="N25" i="4"/>
  <c r="V25" i="4"/>
  <c r="AD25" i="4"/>
  <c r="AL25" i="4"/>
  <c r="N26" i="4"/>
  <c r="V26" i="4"/>
  <c r="AD26" i="4"/>
  <c r="AL26" i="4"/>
  <c r="N27" i="4"/>
  <c r="V27" i="4"/>
  <c r="AD27" i="4"/>
  <c r="AL27" i="4"/>
  <c r="E28" i="4"/>
  <c r="H40" i="5" s="1"/>
  <c r="N28" i="4"/>
  <c r="V28" i="4"/>
  <c r="AD28" i="4"/>
  <c r="AL28" i="4"/>
  <c r="N29" i="4"/>
  <c r="V29" i="4"/>
  <c r="AD29" i="4"/>
  <c r="AL29" i="4"/>
  <c r="N30" i="4"/>
  <c r="V30" i="4"/>
  <c r="AD30" i="4"/>
  <c r="AL30" i="4"/>
  <c r="N31" i="4"/>
  <c r="V31" i="4"/>
  <c r="AD31" i="4"/>
  <c r="AL31" i="4"/>
  <c r="E32" i="4"/>
  <c r="H44" i="5" s="1"/>
  <c r="N32" i="4"/>
  <c r="V32" i="4"/>
  <c r="AD32" i="4"/>
  <c r="AL32" i="4"/>
  <c r="N33" i="4"/>
  <c r="V33" i="4"/>
  <c r="AD33" i="4"/>
  <c r="AL33" i="4"/>
  <c r="N34" i="4"/>
  <c r="V34" i="4"/>
  <c r="AD34" i="4"/>
  <c r="AL34" i="4"/>
  <c r="N35" i="4"/>
  <c r="V35" i="4"/>
  <c r="AD35" i="4"/>
  <c r="AL35" i="4"/>
  <c r="J36" i="4"/>
  <c r="J40" i="4" s="1"/>
  <c r="R36" i="4"/>
  <c r="R40" i="4" s="1"/>
  <c r="Z36" i="4"/>
  <c r="Z40" i="4" s="1"/>
  <c r="AH36" i="4"/>
  <c r="AH40" i="4" s="1"/>
  <c r="E38" i="4"/>
  <c r="H50" i="5" s="1"/>
  <c r="N38" i="4"/>
  <c r="V38" i="4"/>
  <c r="AD38" i="4"/>
  <c r="AL38" i="4"/>
  <c r="E81" i="5"/>
  <c r="M44" i="4"/>
  <c r="M69" i="4" s="1"/>
  <c r="U44" i="4"/>
  <c r="U69" i="4" s="1"/>
  <c r="AC44" i="4"/>
  <c r="AC69" i="4" s="1"/>
  <c r="AK44" i="4"/>
  <c r="AK69" i="4" s="1"/>
  <c r="C45" i="4"/>
  <c r="D57" i="5" s="1"/>
  <c r="E47" i="4"/>
  <c r="C49" i="4"/>
  <c r="D61" i="5" s="1"/>
  <c r="E51" i="4"/>
  <c r="C53" i="4"/>
  <c r="D65" i="5" s="1"/>
  <c r="E55" i="4"/>
  <c r="C57" i="4"/>
  <c r="D69" i="5" s="1"/>
  <c r="E59" i="4"/>
  <c r="C62" i="4"/>
  <c r="D74" i="5" s="1"/>
  <c r="E64" i="4"/>
  <c r="C66" i="4"/>
  <c r="D78" i="5" s="1"/>
  <c r="E68" i="4"/>
  <c r="J69" i="4"/>
  <c r="R69" i="4"/>
  <c r="Z69" i="4"/>
  <c r="AH69" i="4"/>
  <c r="E73" i="4"/>
  <c r="N73" i="4"/>
  <c r="AR85" i="5"/>
  <c r="W75" i="4"/>
  <c r="AR87" i="5" s="1"/>
  <c r="AC73" i="4"/>
  <c r="AZ85" i="5"/>
  <c r="AA75" i="4"/>
  <c r="AZ87" i="5" s="1"/>
  <c r="N74" i="4"/>
  <c r="Z86" i="5" s="1"/>
  <c r="H75" i="4"/>
  <c r="N87" i="5" s="1"/>
  <c r="P75" i="4"/>
  <c r="AD87" i="5" s="1"/>
  <c r="X75" i="4"/>
  <c r="AT87" i="5" s="1"/>
  <c r="AF75" i="4"/>
  <c r="BJ87" i="5" s="1"/>
  <c r="E108" i="5"/>
  <c r="G86" i="4"/>
  <c r="C110" i="5"/>
  <c r="C87" i="4"/>
  <c r="D110" i="5" s="1"/>
  <c r="E19" i="5"/>
  <c r="E48" i="4"/>
  <c r="E52" i="4"/>
  <c r="E56" i="4"/>
  <c r="E60" i="4"/>
  <c r="E61" i="4"/>
  <c r="E65" i="4"/>
  <c r="B69" i="4"/>
  <c r="C69" i="4" s="1"/>
  <c r="C85" i="5"/>
  <c r="B75" i="4"/>
  <c r="C87" i="5" s="1"/>
  <c r="L85" i="5"/>
  <c r="G75" i="4"/>
  <c r="L87" i="5" s="1"/>
  <c r="T85" i="5"/>
  <c r="K75" i="4"/>
  <c r="T87" i="5" s="1"/>
  <c r="AB85" i="5"/>
  <c r="O75" i="4"/>
  <c r="AB87" i="5" s="1"/>
  <c r="U73" i="4"/>
  <c r="AJ85" i="5"/>
  <c r="S75" i="4"/>
  <c r="AJ87" i="5" s="1"/>
  <c r="AB86" i="5"/>
  <c r="U74" i="4"/>
  <c r="AN86" i="5" s="1"/>
  <c r="J75" i="4"/>
  <c r="R87" i="5" s="1"/>
  <c r="R75" i="4"/>
  <c r="AH87" i="5" s="1"/>
  <c r="Z75" i="4"/>
  <c r="AX87" i="5" s="1"/>
  <c r="C107" i="5"/>
  <c r="C84" i="4"/>
  <c r="D107" i="5" s="1"/>
  <c r="AC74" i="4"/>
  <c r="BD86" i="5" s="1"/>
  <c r="AK74" i="4"/>
  <c r="BT86" i="5" s="1"/>
  <c r="Y75" i="4"/>
  <c r="AV87" i="5" s="1"/>
  <c r="AG75" i="4"/>
  <c r="BL87" i="5" s="1"/>
  <c r="BP80" i="5"/>
  <c r="BL80" i="5"/>
  <c r="BH80" i="5"/>
  <c r="BT80" i="5" s="1"/>
  <c r="AZ80" i="5"/>
  <c r="AV80" i="5"/>
  <c r="AR80" i="5"/>
  <c r="BD80" i="5" s="1"/>
  <c r="AJ80" i="5"/>
  <c r="AF80" i="5"/>
  <c r="AB80" i="5"/>
  <c r="T80" i="5"/>
  <c r="P80" i="5"/>
  <c r="L80" i="5"/>
  <c r="BQ79" i="5"/>
  <c r="BM79" i="5"/>
  <c r="BI79" i="5"/>
  <c r="BA79" i="5"/>
  <c r="AW79" i="5"/>
  <c r="AS79" i="5"/>
  <c r="AK79" i="5"/>
  <c r="AG79" i="5"/>
  <c r="AC79" i="5"/>
  <c r="U79" i="5"/>
  <c r="Q79" i="5"/>
  <c r="M79" i="5"/>
  <c r="H79" i="5"/>
  <c r="BM80" i="5"/>
  <c r="AW80" i="5"/>
  <c r="AG80" i="5"/>
  <c r="Q80" i="5"/>
  <c r="AS80" i="5"/>
  <c r="AK80" i="5"/>
  <c r="H80" i="5"/>
  <c r="BL79" i="5"/>
  <c r="AV79" i="5"/>
  <c r="AF79" i="5"/>
  <c r="P79" i="5"/>
  <c r="BP78" i="5"/>
  <c r="AZ78" i="5"/>
  <c r="AJ78" i="5"/>
  <c r="T78" i="5"/>
  <c r="BP77" i="5"/>
  <c r="AZ77" i="5"/>
  <c r="BQ80" i="5"/>
  <c r="M80" i="5"/>
  <c r="BM78" i="5"/>
  <c r="BH78" i="5"/>
  <c r="AW78" i="5"/>
  <c r="AR78" i="5"/>
  <c r="AG78" i="5"/>
  <c r="AB78" i="5"/>
  <c r="Q78" i="5"/>
  <c r="L78" i="5"/>
  <c r="BM77" i="5"/>
  <c r="BH77" i="5"/>
  <c r="AW77" i="5"/>
  <c r="AS77" i="5"/>
  <c r="AK77" i="5"/>
  <c r="AG77" i="5"/>
  <c r="AC77" i="5"/>
  <c r="U77" i="5"/>
  <c r="Q77" i="5"/>
  <c r="M77" i="5"/>
  <c r="H77" i="5"/>
  <c r="BP74" i="5"/>
  <c r="BL74" i="5"/>
  <c r="BH74" i="5"/>
  <c r="BT74" i="5" s="1"/>
  <c r="AZ74" i="5"/>
  <c r="AV74" i="5"/>
  <c r="AR74" i="5"/>
  <c r="AJ74" i="5"/>
  <c r="AF74" i="5"/>
  <c r="AB74" i="5"/>
  <c r="T74" i="5"/>
  <c r="P74" i="5"/>
  <c r="L74" i="5"/>
  <c r="X74" i="5" s="1"/>
  <c r="BQ73" i="5"/>
  <c r="BM73" i="5"/>
  <c r="BI73" i="5"/>
  <c r="BA73" i="5"/>
  <c r="AW73" i="5"/>
  <c r="AS73" i="5"/>
  <c r="AK73" i="5"/>
  <c r="AG73" i="5"/>
  <c r="AC73" i="5"/>
  <c r="U73" i="5"/>
  <c r="Q73" i="5"/>
  <c r="M73" i="5"/>
  <c r="H73" i="5"/>
  <c r="AC80" i="5"/>
  <c r="AZ79" i="5"/>
  <c r="T79" i="5"/>
  <c r="BL78" i="5"/>
  <c r="BA78" i="5"/>
  <c r="AF78" i="5"/>
  <c r="U78" i="5"/>
  <c r="BQ77" i="5"/>
  <c r="AV77" i="5"/>
  <c r="AF77" i="5"/>
  <c r="P77" i="5"/>
  <c r="BM76" i="5"/>
  <c r="BH76" i="5"/>
  <c r="AW76" i="5"/>
  <c r="AR76" i="5"/>
  <c r="AG76" i="5"/>
  <c r="AB76" i="5"/>
  <c r="Q76" i="5"/>
  <c r="L76" i="5"/>
  <c r="BM75" i="5"/>
  <c r="BH75" i="5"/>
  <c r="AW75" i="5"/>
  <c r="AR75" i="5"/>
  <c r="AG75" i="5"/>
  <c r="AB75" i="5"/>
  <c r="Q75" i="5"/>
  <c r="L75" i="5"/>
  <c r="X75" i="5" s="1"/>
  <c r="BI74" i="5"/>
  <c r="AS74" i="5"/>
  <c r="AC74" i="5"/>
  <c r="M74" i="5"/>
  <c r="BL73" i="5"/>
  <c r="AV73" i="5"/>
  <c r="AF73" i="5"/>
  <c r="BA80" i="5"/>
  <c r="BH79" i="5"/>
  <c r="AB79" i="5"/>
  <c r="BI78" i="5"/>
  <c r="AC78" i="5"/>
  <c r="BQ76" i="5"/>
  <c r="BL76" i="5"/>
  <c r="BA76" i="5"/>
  <c r="AV76" i="5"/>
  <c r="AK76" i="5"/>
  <c r="AF76" i="5"/>
  <c r="U76" i="5"/>
  <c r="P76" i="5"/>
  <c r="AR79" i="5"/>
  <c r="BD79" i="5" s="1"/>
  <c r="AS78" i="5"/>
  <c r="H78" i="5"/>
  <c r="BI76" i="5"/>
  <c r="AC76" i="5"/>
  <c r="H76" i="5"/>
  <c r="BQ75" i="5"/>
  <c r="AV75" i="5"/>
  <c r="T75" i="5"/>
  <c r="M75" i="5"/>
  <c r="AW74" i="5"/>
  <c r="U74" i="5"/>
  <c r="BH73" i="5"/>
  <c r="AZ73" i="5"/>
  <c r="BM72" i="5"/>
  <c r="BH72" i="5"/>
  <c r="AW72" i="5"/>
  <c r="AR72" i="5"/>
  <c r="AG72" i="5"/>
  <c r="AB72" i="5"/>
  <c r="AN72" i="5" s="1"/>
  <c r="Q72" i="5"/>
  <c r="L72" i="5"/>
  <c r="BM71" i="5"/>
  <c r="BH71" i="5"/>
  <c r="AW71" i="5"/>
  <c r="AR71" i="5"/>
  <c r="AG71" i="5"/>
  <c r="AB71" i="5"/>
  <c r="AN71" i="5" s="1"/>
  <c r="Q71" i="5"/>
  <c r="L71" i="5"/>
  <c r="BQ70" i="5"/>
  <c r="BM70" i="5"/>
  <c r="BI70" i="5"/>
  <c r="BA70" i="5"/>
  <c r="AW70" i="5"/>
  <c r="AS70" i="5"/>
  <c r="AK70" i="5"/>
  <c r="AG70" i="5"/>
  <c r="AC70" i="5"/>
  <c r="U70" i="5"/>
  <c r="Q70" i="5"/>
  <c r="M70" i="5"/>
  <c r="H70" i="5"/>
  <c r="BP67" i="5"/>
  <c r="BL67" i="5"/>
  <c r="BH67" i="5"/>
  <c r="AZ67" i="5"/>
  <c r="AV67" i="5"/>
  <c r="AR67" i="5"/>
  <c r="AJ67" i="5"/>
  <c r="AF67" i="5"/>
  <c r="AB67" i="5"/>
  <c r="AN67" i="5" s="1"/>
  <c r="T67" i="5"/>
  <c r="P67" i="5"/>
  <c r="L67" i="5"/>
  <c r="BQ66" i="5"/>
  <c r="BM66" i="5"/>
  <c r="BI66" i="5"/>
  <c r="BA66" i="5"/>
  <c r="AW66" i="5"/>
  <c r="AS66" i="5"/>
  <c r="AK66" i="5"/>
  <c r="AG66" i="5"/>
  <c r="AC66" i="5"/>
  <c r="U66" i="5"/>
  <c r="Q66" i="5"/>
  <c r="M66" i="5"/>
  <c r="H66" i="5"/>
  <c r="BP63" i="5"/>
  <c r="BL63" i="5"/>
  <c r="BH63" i="5"/>
  <c r="AZ63" i="5"/>
  <c r="AV63" i="5"/>
  <c r="AR63" i="5"/>
  <c r="AJ63" i="5"/>
  <c r="AF63" i="5"/>
  <c r="AB63" i="5"/>
  <c r="T63" i="5"/>
  <c r="P63" i="5"/>
  <c r="L63" i="5"/>
  <c r="X63" i="5" s="1"/>
  <c r="BQ62" i="5"/>
  <c r="BM62" i="5"/>
  <c r="BI62" i="5"/>
  <c r="BA62" i="5"/>
  <c r="AW62" i="5"/>
  <c r="AS62" i="5"/>
  <c r="AK62" i="5"/>
  <c r="AG62" i="5"/>
  <c r="AC62" i="5"/>
  <c r="U62" i="5"/>
  <c r="Q62" i="5"/>
  <c r="M62" i="5"/>
  <c r="H62" i="5"/>
  <c r="BI80" i="5"/>
  <c r="AJ79" i="5"/>
  <c r="AK78" i="5"/>
  <c r="P78" i="5"/>
  <c r="BL77" i="5"/>
  <c r="AR77" i="5"/>
  <c r="BD77" i="5" s="1"/>
  <c r="AB77" i="5"/>
  <c r="AN77" i="5" s="1"/>
  <c r="L77" i="5"/>
  <c r="BP76" i="5"/>
  <c r="AJ76" i="5"/>
  <c r="BP75" i="5"/>
  <c r="BI75" i="5"/>
  <c r="BA75" i="5"/>
  <c r="AF75" i="5"/>
  <c r="BQ74" i="5"/>
  <c r="AG74" i="5"/>
  <c r="AR73" i="5"/>
  <c r="BD73" i="5" s="1"/>
  <c r="AJ73" i="5"/>
  <c r="L73" i="5"/>
  <c r="X73" i="5" s="1"/>
  <c r="U80" i="5"/>
  <c r="L79" i="5"/>
  <c r="M78" i="5"/>
  <c r="BI77" i="5"/>
  <c r="AS76" i="5"/>
  <c r="M76" i="5"/>
  <c r="AZ75" i="5"/>
  <c r="AS75" i="5"/>
  <c r="AK75" i="5"/>
  <c r="P75" i="5"/>
  <c r="H75" i="5"/>
  <c r="BA74" i="5"/>
  <c r="Q74" i="5"/>
  <c r="AB73" i="5"/>
  <c r="AN73" i="5" s="1"/>
  <c r="P73" i="5"/>
  <c r="BP72" i="5"/>
  <c r="AZ72" i="5"/>
  <c r="AJ72" i="5"/>
  <c r="T72" i="5"/>
  <c r="BP71" i="5"/>
  <c r="AZ71" i="5"/>
  <c r="AJ71" i="5"/>
  <c r="T71" i="5"/>
  <c r="BP69" i="5"/>
  <c r="BL69" i="5"/>
  <c r="BH69" i="5"/>
  <c r="AZ69" i="5"/>
  <c r="AV69" i="5"/>
  <c r="AR69" i="5"/>
  <c r="AJ69" i="5"/>
  <c r="AF69" i="5"/>
  <c r="AB69" i="5"/>
  <c r="AN69" i="5" s="1"/>
  <c r="T69" i="5"/>
  <c r="P69" i="5"/>
  <c r="L69" i="5"/>
  <c r="X69" i="5" s="1"/>
  <c r="BQ68" i="5"/>
  <c r="BM68" i="5"/>
  <c r="BI68" i="5"/>
  <c r="BA68" i="5"/>
  <c r="AW68" i="5"/>
  <c r="AS68" i="5"/>
  <c r="AK68" i="5"/>
  <c r="AG68" i="5"/>
  <c r="AC68" i="5"/>
  <c r="U68" i="5"/>
  <c r="Q68" i="5"/>
  <c r="M68" i="5"/>
  <c r="H68" i="5"/>
  <c r="BP65" i="5"/>
  <c r="BL65" i="5"/>
  <c r="BP79" i="5"/>
  <c r="BQ78" i="5"/>
  <c r="AV78" i="5"/>
  <c r="BA77" i="5"/>
  <c r="AJ77" i="5"/>
  <c r="T77" i="5"/>
  <c r="AZ76" i="5"/>
  <c r="T76" i="5"/>
  <c r="BL75" i="5"/>
  <c r="AJ75" i="5"/>
  <c r="AC75" i="5"/>
  <c r="U75" i="5"/>
  <c r="BM74" i="5"/>
  <c r="AK74" i="5"/>
  <c r="H74" i="5"/>
  <c r="BP73" i="5"/>
  <c r="T73" i="5"/>
  <c r="BI72" i="5"/>
  <c r="AS72" i="5"/>
  <c r="AC72" i="5"/>
  <c r="M72" i="5"/>
  <c r="H72" i="5"/>
  <c r="BI71" i="5"/>
  <c r="AS71" i="5"/>
  <c r="AC71" i="5"/>
  <c r="M71" i="5"/>
  <c r="H71" i="5"/>
  <c r="BP68" i="5"/>
  <c r="BL68" i="5"/>
  <c r="BH68" i="5"/>
  <c r="BT68" i="5" s="1"/>
  <c r="AZ68" i="5"/>
  <c r="AV68" i="5"/>
  <c r="AR68" i="5"/>
  <c r="BD68" i="5" s="1"/>
  <c r="AJ68" i="5"/>
  <c r="AF68" i="5"/>
  <c r="AB68" i="5"/>
  <c r="T68" i="5"/>
  <c r="P68" i="5"/>
  <c r="L68" i="5"/>
  <c r="BQ67" i="5"/>
  <c r="BM67" i="5"/>
  <c r="BI67" i="5"/>
  <c r="BA67" i="5"/>
  <c r="AW67" i="5"/>
  <c r="AS67" i="5"/>
  <c r="AK67" i="5"/>
  <c r="AG67" i="5"/>
  <c r="AC67" i="5"/>
  <c r="U67" i="5"/>
  <c r="Q67" i="5"/>
  <c r="M67" i="5"/>
  <c r="H67" i="5"/>
  <c r="BP64" i="5"/>
  <c r="BL64" i="5"/>
  <c r="BH64" i="5"/>
  <c r="AZ64" i="5"/>
  <c r="AV64" i="5"/>
  <c r="BA72" i="5"/>
  <c r="AF72" i="5"/>
  <c r="BA71" i="5"/>
  <c r="AF71" i="5"/>
  <c r="BI69" i="5"/>
  <c r="AS69" i="5"/>
  <c r="AC69" i="5"/>
  <c r="M69" i="5"/>
  <c r="BQ72" i="5"/>
  <c r="AV72" i="5"/>
  <c r="BQ71" i="5"/>
  <c r="AV71" i="5"/>
  <c r="BP70" i="5"/>
  <c r="AZ70" i="5"/>
  <c r="AJ70" i="5"/>
  <c r="T70" i="5"/>
  <c r="BH66" i="5"/>
  <c r="AR66" i="5"/>
  <c r="AB66" i="5"/>
  <c r="L66" i="5"/>
  <c r="BM65" i="5"/>
  <c r="AV65" i="5"/>
  <c r="AF65" i="5"/>
  <c r="P65" i="5"/>
  <c r="H65" i="5"/>
  <c r="AJ64" i="5"/>
  <c r="T64" i="5"/>
  <c r="H64" i="5"/>
  <c r="BQ63" i="5"/>
  <c r="BA63" i="5"/>
  <c r="AK63" i="5"/>
  <c r="U63" i="5"/>
  <c r="BM61" i="5"/>
  <c r="BH61" i="5"/>
  <c r="AW61" i="5"/>
  <c r="AR61" i="5"/>
  <c r="AG61" i="5"/>
  <c r="BL72" i="5"/>
  <c r="U72" i="5"/>
  <c r="AK72" i="5"/>
  <c r="P72" i="5"/>
  <c r="AK71" i="5"/>
  <c r="P71" i="5"/>
  <c r="BH70" i="5"/>
  <c r="AR70" i="5"/>
  <c r="BD70" i="5" s="1"/>
  <c r="AB70" i="5"/>
  <c r="L70" i="5"/>
  <c r="BM69" i="5"/>
  <c r="AW69" i="5"/>
  <c r="AG69" i="5"/>
  <c r="Q69" i="5"/>
  <c r="BP66" i="5"/>
  <c r="AZ66" i="5"/>
  <c r="AJ66" i="5"/>
  <c r="T66" i="5"/>
  <c r="BH65" i="5"/>
  <c r="BT65" i="5" s="1"/>
  <c r="AZ65" i="5"/>
  <c r="AR65" i="5"/>
  <c r="AJ65" i="5"/>
  <c r="AB65" i="5"/>
  <c r="AN65" i="5" s="1"/>
  <c r="T65" i="5"/>
  <c r="L65" i="5"/>
  <c r="AR64" i="5"/>
  <c r="BD64" i="5" s="1"/>
  <c r="AG64" i="5"/>
  <c r="AB64" i="5"/>
  <c r="AN64" i="5" s="1"/>
  <c r="Q64" i="5"/>
  <c r="L64" i="5"/>
  <c r="BI63" i="5"/>
  <c r="AS63" i="5"/>
  <c r="AC63" i="5"/>
  <c r="P70" i="5"/>
  <c r="BQ69" i="5"/>
  <c r="BL66" i="5"/>
  <c r="AF66" i="5"/>
  <c r="BI64" i="5"/>
  <c r="AS64" i="5"/>
  <c r="M64" i="5"/>
  <c r="H63" i="5"/>
  <c r="BP62" i="5"/>
  <c r="BH62" i="5"/>
  <c r="AF62" i="5"/>
  <c r="BL61" i="5"/>
  <c r="AJ61" i="5"/>
  <c r="AC61" i="5"/>
  <c r="M61" i="5"/>
  <c r="H61" i="5"/>
  <c r="BI60" i="5"/>
  <c r="AS60" i="5"/>
  <c r="AC60" i="5"/>
  <c r="M60" i="5"/>
  <c r="BQ59" i="5"/>
  <c r="BM59" i="5"/>
  <c r="BI59" i="5"/>
  <c r="BA59" i="5"/>
  <c r="AW59" i="5"/>
  <c r="AS59" i="5"/>
  <c r="AK59" i="5"/>
  <c r="AG59" i="5"/>
  <c r="AC59" i="5"/>
  <c r="U59" i="5"/>
  <c r="Q59" i="5"/>
  <c r="M59" i="5"/>
  <c r="H59" i="5"/>
  <c r="BP56" i="5"/>
  <c r="BL56" i="5"/>
  <c r="BH56" i="5"/>
  <c r="AZ56" i="5"/>
  <c r="AV56" i="5"/>
  <c r="AR56" i="5"/>
  <c r="AJ56" i="5"/>
  <c r="AF56" i="5"/>
  <c r="AB56" i="5"/>
  <c r="T56" i="5"/>
  <c r="P56" i="5"/>
  <c r="L56" i="5"/>
  <c r="U71" i="5"/>
  <c r="BL70" i="5"/>
  <c r="BA69" i="5"/>
  <c r="H69" i="5"/>
  <c r="BA65" i="5"/>
  <c r="AK65" i="5"/>
  <c r="U65" i="5"/>
  <c r="AF64" i="5"/>
  <c r="U64" i="5"/>
  <c r="AW63" i="5"/>
  <c r="M63" i="5"/>
  <c r="AV70" i="5"/>
  <c r="AK69" i="5"/>
  <c r="AV66" i="5"/>
  <c r="P66" i="5"/>
  <c r="BQ65" i="5"/>
  <c r="AW65" i="5"/>
  <c r="AG65" i="5"/>
  <c r="Q65" i="5"/>
  <c r="BQ64" i="5"/>
  <c r="BA64" i="5"/>
  <c r="AC64" i="5"/>
  <c r="BL62" i="5"/>
  <c r="AJ62" i="5"/>
  <c r="AB62" i="5"/>
  <c r="BP61" i="5"/>
  <c r="BI61" i="5"/>
  <c r="BA61" i="5"/>
  <c r="AF61" i="5"/>
  <c r="U61" i="5"/>
  <c r="P61" i="5"/>
  <c r="BL71" i="5"/>
  <c r="AF70" i="5"/>
  <c r="U69" i="5"/>
  <c r="BI65" i="5"/>
  <c r="AS65" i="5"/>
  <c r="AC65" i="5"/>
  <c r="M65" i="5"/>
  <c r="BM64" i="5"/>
  <c r="AW64" i="5"/>
  <c r="AK64" i="5"/>
  <c r="P64" i="5"/>
  <c r="BM63" i="5"/>
  <c r="AG63" i="5"/>
  <c r="Q63" i="5"/>
  <c r="AV62" i="5"/>
  <c r="T62" i="5"/>
  <c r="L62" i="5"/>
  <c r="AZ61" i="5"/>
  <c r="AS61" i="5"/>
  <c r="AK61" i="5"/>
  <c r="T61" i="5"/>
  <c r="BP60" i="5"/>
  <c r="AZ60" i="5"/>
  <c r="AJ60" i="5"/>
  <c r="T60" i="5"/>
  <c r="H60" i="5"/>
  <c r="AB61" i="5"/>
  <c r="AN61" i="5" s="1"/>
  <c r="BL60" i="5"/>
  <c r="BA60" i="5"/>
  <c r="AF60" i="5"/>
  <c r="U60" i="5"/>
  <c r="BQ58" i="5"/>
  <c r="BI58" i="5"/>
  <c r="BA58" i="5"/>
  <c r="AS58" i="5"/>
  <c r="AK58" i="5"/>
  <c r="AC58" i="5"/>
  <c r="U58" i="5"/>
  <c r="M58" i="5"/>
  <c r="BM57" i="5"/>
  <c r="BH57" i="5"/>
  <c r="AW57" i="5"/>
  <c r="AR57" i="5"/>
  <c r="AG57" i="5"/>
  <c r="AB57" i="5"/>
  <c r="Q57" i="5"/>
  <c r="L57" i="5"/>
  <c r="X57" i="5" s="1"/>
  <c r="BI56" i="5"/>
  <c r="AS56" i="5"/>
  <c r="AC56" i="5"/>
  <c r="M56" i="5"/>
  <c r="AZ62" i="5"/>
  <c r="AV61" i="5"/>
  <c r="BH60" i="5"/>
  <c r="BT60" i="5" s="1"/>
  <c r="AW60" i="5"/>
  <c r="AB60" i="5"/>
  <c r="Q60" i="5"/>
  <c r="BL59" i="5"/>
  <c r="AV59" i="5"/>
  <c r="AF59" i="5"/>
  <c r="P59" i="5"/>
  <c r="BP58" i="5"/>
  <c r="BH58" i="5"/>
  <c r="AZ58" i="5"/>
  <c r="AR58" i="5"/>
  <c r="AJ58" i="5"/>
  <c r="AB58" i="5"/>
  <c r="T58" i="5"/>
  <c r="L58" i="5"/>
  <c r="BQ57" i="5"/>
  <c r="BL57" i="5"/>
  <c r="BA57" i="5"/>
  <c r="AV57" i="5"/>
  <c r="AK57" i="5"/>
  <c r="AF57" i="5"/>
  <c r="U57" i="5"/>
  <c r="P57" i="5"/>
  <c r="BM56" i="5"/>
  <c r="AW56" i="5"/>
  <c r="AG56" i="5"/>
  <c r="Q56" i="5"/>
  <c r="AR62" i="5"/>
  <c r="P62" i="5"/>
  <c r="BQ61" i="5"/>
  <c r="Q61" i="5"/>
  <c r="BQ60" i="5"/>
  <c r="AV60" i="5"/>
  <c r="AK60" i="5"/>
  <c r="P60" i="5"/>
  <c r="BM58" i="5"/>
  <c r="AW58" i="5"/>
  <c r="AG58" i="5"/>
  <c r="Q58" i="5"/>
  <c r="BP57" i="5"/>
  <c r="AZ57" i="5"/>
  <c r="AJ57" i="5"/>
  <c r="T57" i="5"/>
  <c r="H57" i="5"/>
  <c r="BQ56" i="5"/>
  <c r="BA56" i="5"/>
  <c r="AK56" i="5"/>
  <c r="U56" i="5"/>
  <c r="E17" i="5"/>
  <c r="E28" i="5"/>
  <c r="I28" i="5"/>
  <c r="E29" i="5"/>
  <c r="I29" i="5"/>
  <c r="E30" i="5"/>
  <c r="I30" i="5"/>
  <c r="E31" i="5"/>
  <c r="I31" i="5"/>
  <c r="E32" i="5"/>
  <c r="I32" i="5"/>
  <c r="E33" i="5"/>
  <c r="I33" i="5"/>
  <c r="E34" i="5"/>
  <c r="I34" i="5"/>
  <c r="E35" i="5"/>
  <c r="I35" i="5"/>
  <c r="E36" i="5"/>
  <c r="I36" i="5"/>
  <c r="E37" i="5"/>
  <c r="I37" i="5"/>
  <c r="O37" i="5"/>
  <c r="AE37" i="5"/>
  <c r="AU37" i="5"/>
  <c r="BK37" i="5"/>
  <c r="W38" i="5"/>
  <c r="AM38" i="5"/>
  <c r="BC38" i="5"/>
  <c r="BS38" i="5"/>
  <c r="I39" i="5"/>
  <c r="O39" i="5"/>
  <c r="AE39" i="5"/>
  <c r="AY39" i="5"/>
  <c r="O40" i="5"/>
  <c r="BS40" i="5"/>
  <c r="AI41" i="5"/>
  <c r="BK41" i="5"/>
  <c r="BS41" i="5"/>
  <c r="E42" i="5"/>
  <c r="AI43" i="5"/>
  <c r="BO43" i="5"/>
  <c r="E44" i="5"/>
  <c r="S45" i="5"/>
  <c r="AY45" i="5"/>
  <c r="AI47" i="5"/>
  <c r="BO47" i="5"/>
  <c r="S50" i="5"/>
  <c r="AY50" i="5"/>
  <c r="AS57" i="5"/>
  <c r="AB59" i="5"/>
  <c r="BH59" i="5"/>
  <c r="BT59" i="5" s="1"/>
  <c r="AR60" i="5"/>
  <c r="BD60" i="5" s="1"/>
  <c r="O28" i="5"/>
  <c r="S28" i="5"/>
  <c r="W28" i="5"/>
  <c r="AE28" i="5"/>
  <c r="AI28" i="5"/>
  <c r="AM28" i="5"/>
  <c r="AU28" i="5"/>
  <c r="AY28" i="5"/>
  <c r="BC28" i="5"/>
  <c r="BK28" i="5"/>
  <c r="BO28" i="5"/>
  <c r="BS28" i="5"/>
  <c r="O29" i="5"/>
  <c r="AA29" i="5" s="1"/>
  <c r="S29" i="5"/>
  <c r="W29" i="5"/>
  <c r="AE29" i="5"/>
  <c r="AI29" i="5"/>
  <c r="AM29" i="5"/>
  <c r="AU29" i="5"/>
  <c r="AY29" i="5"/>
  <c r="BC29" i="5"/>
  <c r="BK29" i="5"/>
  <c r="BO29" i="5"/>
  <c r="BS29" i="5"/>
  <c r="O30" i="5"/>
  <c r="AA30" i="5" s="1"/>
  <c r="S30" i="5"/>
  <c r="W30" i="5"/>
  <c r="AE30" i="5"/>
  <c r="AI30" i="5"/>
  <c r="AM30" i="5"/>
  <c r="AU30" i="5"/>
  <c r="AY30" i="5"/>
  <c r="BC30" i="5"/>
  <c r="BK30" i="5"/>
  <c r="BO30" i="5"/>
  <c r="BS30" i="5"/>
  <c r="O31" i="5"/>
  <c r="AA31" i="5" s="1"/>
  <c r="S31" i="5"/>
  <c r="W31" i="5"/>
  <c r="AE31" i="5"/>
  <c r="AI31" i="5"/>
  <c r="AM31" i="5"/>
  <c r="AU31" i="5"/>
  <c r="AY31" i="5"/>
  <c r="BC31" i="5"/>
  <c r="BK31" i="5"/>
  <c r="BO31" i="5"/>
  <c r="BS31" i="5"/>
  <c r="O32" i="5"/>
  <c r="AA32" i="5" s="1"/>
  <c r="S32" i="5"/>
  <c r="W32" i="5"/>
  <c r="AE32" i="5"/>
  <c r="AI32" i="5"/>
  <c r="AM32" i="5"/>
  <c r="AU32" i="5"/>
  <c r="AY32" i="5"/>
  <c r="BC32" i="5"/>
  <c r="BK32" i="5"/>
  <c r="BO32" i="5"/>
  <c r="BS32" i="5"/>
  <c r="O33" i="5"/>
  <c r="AA33" i="5" s="1"/>
  <c r="S33" i="5"/>
  <c r="W33" i="5"/>
  <c r="AE33" i="5"/>
  <c r="AI33" i="5"/>
  <c r="AM33" i="5"/>
  <c r="AU33" i="5"/>
  <c r="AY33" i="5"/>
  <c r="BC33" i="5"/>
  <c r="BK33" i="5"/>
  <c r="BO33" i="5"/>
  <c r="BS33" i="5"/>
  <c r="O34" i="5"/>
  <c r="AA34" i="5" s="1"/>
  <c r="S34" i="5"/>
  <c r="W34" i="5"/>
  <c r="AE34" i="5"/>
  <c r="AI34" i="5"/>
  <c r="AM34" i="5"/>
  <c r="AU34" i="5"/>
  <c r="AY34" i="5"/>
  <c r="BC34" i="5"/>
  <c r="BK34" i="5"/>
  <c r="BO34" i="5"/>
  <c r="BS34" i="5"/>
  <c r="O35" i="5"/>
  <c r="AA35" i="5" s="1"/>
  <c r="S35" i="5"/>
  <c r="W35" i="5"/>
  <c r="AE35" i="5"/>
  <c r="AI35" i="5"/>
  <c r="AM35" i="5"/>
  <c r="AU35" i="5"/>
  <c r="AY35" i="5"/>
  <c r="BC35" i="5"/>
  <c r="BK35" i="5"/>
  <c r="BO35" i="5"/>
  <c r="BS35" i="5"/>
  <c r="O36" i="5"/>
  <c r="AA36" i="5" s="1"/>
  <c r="S36" i="5"/>
  <c r="W36" i="5"/>
  <c r="AE36" i="5"/>
  <c r="AI36" i="5"/>
  <c r="AM36" i="5"/>
  <c r="AU36" i="5"/>
  <c r="AY36" i="5"/>
  <c r="BC36" i="5"/>
  <c r="BK36" i="5"/>
  <c r="BO36" i="5"/>
  <c r="BS36" i="5"/>
  <c r="S38" i="5"/>
  <c r="AI38" i="5"/>
  <c r="AY38" i="5"/>
  <c r="BO38" i="5"/>
  <c r="E39" i="5"/>
  <c r="AM39" i="5"/>
  <c r="BO39" i="5"/>
  <c r="I40" i="5"/>
  <c r="W40" i="5"/>
  <c r="AE40" i="5"/>
  <c r="O41" i="5"/>
  <c r="W41" i="5"/>
  <c r="AY41" i="5"/>
  <c r="O42" i="5"/>
  <c r="BC42" i="5"/>
  <c r="O43" i="5"/>
  <c r="AU43" i="5"/>
  <c r="AM44" i="5"/>
  <c r="BS44" i="5"/>
  <c r="I45" i="5"/>
  <c r="AE45" i="5"/>
  <c r="BK45" i="5"/>
  <c r="W46" i="5"/>
  <c r="BC46" i="5"/>
  <c r="O47" i="5"/>
  <c r="AU47" i="5"/>
  <c r="I50" i="5"/>
  <c r="AE50" i="5"/>
  <c r="AC57" i="5"/>
  <c r="H58" i="5"/>
  <c r="AF58" i="5"/>
  <c r="BL58" i="5"/>
  <c r="AJ59" i="5"/>
  <c r="BP59" i="5"/>
  <c r="L60" i="5"/>
  <c r="X60" i="5" s="1"/>
  <c r="N84" i="4"/>
  <c r="N86" i="4" s="1"/>
  <c r="V84" i="4"/>
  <c r="V86" i="4" s="1"/>
  <c r="AD84" i="4"/>
  <c r="AD86" i="4" s="1"/>
  <c r="AL84" i="4"/>
  <c r="AL86" i="4" s="1"/>
  <c r="E87" i="4"/>
  <c r="D91" i="5"/>
  <c r="BQ50" i="5"/>
  <c r="BM50" i="5"/>
  <c r="BI50" i="5"/>
  <c r="BA50" i="5"/>
  <c r="AW50" i="5"/>
  <c r="AS50" i="5"/>
  <c r="AK50" i="5"/>
  <c r="AG50" i="5"/>
  <c r="AC50" i="5"/>
  <c r="U50" i="5"/>
  <c r="Q50" i="5"/>
  <c r="M50" i="5"/>
  <c r="Y50" i="5" s="1"/>
  <c r="BQ47" i="5"/>
  <c r="BM47" i="5"/>
  <c r="BI47" i="5"/>
  <c r="BA47" i="5"/>
  <c r="AW47" i="5"/>
  <c r="AS47" i="5"/>
  <c r="AK47" i="5"/>
  <c r="AG47" i="5"/>
  <c r="AC47" i="5"/>
  <c r="U47" i="5"/>
  <c r="Q47" i="5"/>
  <c r="M47" i="5"/>
  <c r="Y47" i="5" s="1"/>
  <c r="BQ46" i="5"/>
  <c r="BM46" i="5"/>
  <c r="BI46" i="5"/>
  <c r="BA46" i="5"/>
  <c r="AW46" i="5"/>
  <c r="AS46" i="5"/>
  <c r="AK46" i="5"/>
  <c r="AG46" i="5"/>
  <c r="AC46" i="5"/>
  <c r="U46" i="5"/>
  <c r="Q46" i="5"/>
  <c r="M46" i="5"/>
  <c r="Y46" i="5" s="1"/>
  <c r="BQ45" i="5"/>
  <c r="BM45" i="5"/>
  <c r="BI45" i="5"/>
  <c r="BA45" i="5"/>
  <c r="AW45" i="5"/>
  <c r="AS45" i="5"/>
  <c r="AK45" i="5"/>
  <c r="AG45" i="5"/>
  <c r="AC45" i="5"/>
  <c r="U45" i="5"/>
  <c r="Q45" i="5"/>
  <c r="M45" i="5"/>
  <c r="Y45" i="5" s="1"/>
  <c r="BQ44" i="5"/>
  <c r="BM44" i="5"/>
  <c r="BI44" i="5"/>
  <c r="BA44" i="5"/>
  <c r="AW44" i="5"/>
  <c r="AS44" i="5"/>
  <c r="AK44" i="5"/>
  <c r="AG44" i="5"/>
  <c r="AC44" i="5"/>
  <c r="U44" i="5"/>
  <c r="Q44" i="5"/>
  <c r="M44" i="5"/>
  <c r="Y44" i="5" s="1"/>
  <c r="BQ43" i="5"/>
  <c r="BM43" i="5"/>
  <c r="BI43" i="5"/>
  <c r="BA43" i="5"/>
  <c r="AW43" i="5"/>
  <c r="AS43" i="5"/>
  <c r="AK43" i="5"/>
  <c r="AG43" i="5"/>
  <c r="AC43" i="5"/>
  <c r="U43" i="5"/>
  <c r="Q43" i="5"/>
  <c r="M43" i="5"/>
  <c r="Y43" i="5" s="1"/>
  <c r="BQ42" i="5"/>
  <c r="BM42" i="5"/>
  <c r="BI42" i="5"/>
  <c r="BA42" i="5"/>
  <c r="AW42" i="5"/>
  <c r="AS42" i="5"/>
  <c r="AK42" i="5"/>
  <c r="AG42" i="5"/>
  <c r="AC42" i="5"/>
  <c r="U42" i="5"/>
  <c r="Q42" i="5"/>
  <c r="M42" i="5"/>
  <c r="Y42" i="5" s="1"/>
  <c r="BQ41" i="5"/>
  <c r="BM41" i="5"/>
  <c r="BI41" i="5"/>
  <c r="BA41" i="5"/>
  <c r="AW41" i="5"/>
  <c r="AS41" i="5"/>
  <c r="AK41" i="5"/>
  <c r="AG41" i="5"/>
  <c r="AC41" i="5"/>
  <c r="U41" i="5"/>
  <c r="Q41" i="5"/>
  <c r="M41" i="5"/>
  <c r="Y41" i="5" s="1"/>
  <c r="BQ40" i="5"/>
  <c r="BM40" i="5"/>
  <c r="BI40" i="5"/>
  <c r="BA40" i="5"/>
  <c r="AW40" i="5"/>
  <c r="AS40" i="5"/>
  <c r="AK40" i="5"/>
  <c r="AG40" i="5"/>
  <c r="AC40" i="5"/>
  <c r="U40" i="5"/>
  <c r="Q40" i="5"/>
  <c r="M40" i="5"/>
  <c r="Y40" i="5" s="1"/>
  <c r="BQ39" i="5"/>
  <c r="BM39" i="5"/>
  <c r="BI39" i="5"/>
  <c r="BA39" i="5"/>
  <c r="AW39" i="5"/>
  <c r="AS39" i="5"/>
  <c r="AK39" i="5"/>
  <c r="BS50" i="5"/>
  <c r="BC50" i="5"/>
  <c r="AM50" i="5"/>
  <c r="W50" i="5"/>
  <c r="BS47" i="5"/>
  <c r="BC47" i="5"/>
  <c r="AM47" i="5"/>
  <c r="W47" i="5"/>
  <c r="BK46" i="5"/>
  <c r="AU46" i="5"/>
  <c r="BG46" i="5" s="1"/>
  <c r="AE46" i="5"/>
  <c r="O46" i="5"/>
  <c r="I46" i="5"/>
  <c r="BS45" i="5"/>
  <c r="BC45" i="5"/>
  <c r="AM45" i="5"/>
  <c r="W45" i="5"/>
  <c r="BK44" i="5"/>
  <c r="BW44" i="5" s="1"/>
  <c r="AU44" i="5"/>
  <c r="AE44" i="5"/>
  <c r="O44" i="5"/>
  <c r="I44" i="5"/>
  <c r="BS43" i="5"/>
  <c r="BC43" i="5"/>
  <c r="AM43" i="5"/>
  <c r="W43" i="5"/>
  <c r="BK42" i="5"/>
  <c r="AU42" i="5"/>
  <c r="E50" i="5"/>
  <c r="E47" i="5"/>
  <c r="BO46" i="5"/>
  <c r="AY46" i="5"/>
  <c r="AI46" i="5"/>
  <c r="S46" i="5"/>
  <c r="E45" i="5"/>
  <c r="BO44" i="5"/>
  <c r="AY44" i="5"/>
  <c r="AI44" i="5"/>
  <c r="S44" i="5"/>
  <c r="E43" i="5"/>
  <c r="BO42" i="5"/>
  <c r="AY42" i="5"/>
  <c r="AI42" i="5"/>
  <c r="S42" i="5"/>
  <c r="E41" i="5"/>
  <c r="BO40" i="5"/>
  <c r="AY40" i="5"/>
  <c r="AI40" i="5"/>
  <c r="S40" i="5"/>
  <c r="AG39" i="5"/>
  <c r="AC39" i="5"/>
  <c r="AO39" i="5" s="1"/>
  <c r="U39" i="5"/>
  <c r="Q39" i="5"/>
  <c r="M39" i="5"/>
  <c r="BQ38" i="5"/>
  <c r="BM38" i="5"/>
  <c r="BI38" i="5"/>
  <c r="BU38" i="5" s="1"/>
  <c r="BA38" i="5"/>
  <c r="AW38" i="5"/>
  <c r="AS38" i="5"/>
  <c r="AK38" i="5"/>
  <c r="AG38" i="5"/>
  <c r="AC38" i="5"/>
  <c r="U38" i="5"/>
  <c r="Q38" i="5"/>
  <c r="M38" i="5"/>
  <c r="BQ37" i="5"/>
  <c r="BM37" i="5"/>
  <c r="BI37" i="5"/>
  <c r="BU37" i="5" s="1"/>
  <c r="BA37" i="5"/>
  <c r="AW37" i="5"/>
  <c r="AS37" i="5"/>
  <c r="AK37" i="5"/>
  <c r="AG37" i="5"/>
  <c r="AC37" i="5"/>
  <c r="U37" i="5"/>
  <c r="Q37" i="5"/>
  <c r="M37" i="5"/>
  <c r="BQ110" i="5"/>
  <c r="BM110" i="5"/>
  <c r="BI110" i="5"/>
  <c r="BA110" i="5"/>
  <c r="AW110" i="5"/>
  <c r="AS110" i="5"/>
  <c r="AK110" i="5"/>
  <c r="AG110" i="5"/>
  <c r="AC110" i="5"/>
  <c r="U110" i="5"/>
  <c r="Q110" i="5"/>
  <c r="M110" i="5"/>
  <c r="H110" i="5"/>
  <c r="BQ108" i="5"/>
  <c r="BM108" i="5"/>
  <c r="BI108" i="5"/>
  <c r="BA108" i="5"/>
  <c r="AW108" i="5"/>
  <c r="AS108" i="5"/>
  <c r="AK108" i="5"/>
  <c r="AG108" i="5"/>
  <c r="AC108" i="5"/>
  <c r="U108" i="5"/>
  <c r="Q108" i="5"/>
  <c r="M108" i="5"/>
  <c r="H108" i="5"/>
  <c r="BQ107" i="5"/>
  <c r="BM107" i="5"/>
  <c r="BI107" i="5"/>
  <c r="BA107" i="5"/>
  <c r="AW107" i="5"/>
  <c r="AS107" i="5"/>
  <c r="AK107" i="5"/>
  <c r="AG107" i="5"/>
  <c r="AC107" i="5"/>
  <c r="U107" i="5"/>
  <c r="Q107" i="5"/>
  <c r="M107" i="5"/>
  <c r="H107" i="5"/>
  <c r="H109" i="5" s="1"/>
  <c r="BP110" i="5"/>
  <c r="BL110" i="5"/>
  <c r="BH110" i="5"/>
  <c r="AZ110" i="5"/>
  <c r="AV110" i="5"/>
  <c r="AR110" i="5"/>
  <c r="AJ110" i="5"/>
  <c r="AF110" i="5"/>
  <c r="AB110" i="5"/>
  <c r="T110" i="5"/>
  <c r="P110" i="5"/>
  <c r="L110" i="5"/>
  <c r="X110" i="5" s="1"/>
  <c r="BP108" i="5"/>
  <c r="BL108" i="5"/>
  <c r="BH108" i="5"/>
  <c r="BL107" i="5"/>
  <c r="BL109" i="5" s="1"/>
  <c r="AV107" i="5"/>
  <c r="AF107" i="5"/>
  <c r="P107" i="5"/>
  <c r="AR108" i="5"/>
  <c r="BD108" i="5" s="1"/>
  <c r="AB108" i="5"/>
  <c r="L108" i="5"/>
  <c r="AJ108" i="5"/>
  <c r="AB107" i="5"/>
  <c r="T107" i="5"/>
  <c r="AF108" i="5"/>
  <c r="BP107" i="5"/>
  <c r="L107" i="5"/>
  <c r="AZ108" i="5"/>
  <c r="T108" i="5"/>
  <c r="BH107" i="5"/>
  <c r="AZ107" i="5"/>
  <c r="AZ109" i="5" s="1"/>
  <c r="AV108" i="5"/>
  <c r="P108" i="5"/>
  <c r="AR107" i="5"/>
  <c r="AJ107" i="5"/>
  <c r="AJ109" i="5" s="1"/>
  <c r="W37" i="5"/>
  <c r="AM37" i="5"/>
  <c r="BC37" i="5"/>
  <c r="BS37" i="5"/>
  <c r="I38" i="5"/>
  <c r="O38" i="5"/>
  <c r="AA38" i="5" s="1"/>
  <c r="AE38" i="5"/>
  <c r="AQ38" i="5" s="1"/>
  <c r="AU38" i="5"/>
  <c r="BG38" i="5" s="1"/>
  <c r="BK38" i="5"/>
  <c r="BW38" i="5" s="1"/>
  <c r="W39" i="5"/>
  <c r="AU39" i="5"/>
  <c r="BC39" i="5"/>
  <c r="AM40" i="5"/>
  <c r="AU40" i="5"/>
  <c r="I41" i="5"/>
  <c r="AE41" i="5"/>
  <c r="AQ41" i="5" s="1"/>
  <c r="AM41" i="5"/>
  <c r="BO41" i="5"/>
  <c r="I42" i="5"/>
  <c r="W42" i="5"/>
  <c r="AE42" i="5"/>
  <c r="S43" i="5"/>
  <c r="AY43" i="5"/>
  <c r="AI45" i="5"/>
  <c r="BO45" i="5"/>
  <c r="E46" i="5"/>
  <c r="S47" i="5"/>
  <c r="AY47" i="5"/>
  <c r="AI50" i="5"/>
  <c r="BO50" i="5"/>
  <c r="BW50" i="5" s="1"/>
  <c r="M57" i="5"/>
  <c r="L59" i="5"/>
  <c r="AR59" i="5"/>
  <c r="BM60" i="5"/>
  <c r="L61" i="5"/>
  <c r="X61" i="5" s="1"/>
  <c r="E85" i="5"/>
  <c r="E86" i="5"/>
  <c r="M28" i="5"/>
  <c r="Q28" i="5"/>
  <c r="U28" i="5"/>
  <c r="AC28" i="5"/>
  <c r="AG28" i="5"/>
  <c r="AK28" i="5"/>
  <c r="AS28" i="5"/>
  <c r="AW28" i="5"/>
  <c r="BA28" i="5"/>
  <c r="BI28" i="5"/>
  <c r="BM28" i="5"/>
  <c r="BQ28" i="5"/>
  <c r="M29" i="5"/>
  <c r="Q29" i="5"/>
  <c r="U29" i="5"/>
  <c r="AC29" i="5"/>
  <c r="AG29" i="5"/>
  <c r="AK29" i="5"/>
  <c r="AS29" i="5"/>
  <c r="BE29" i="5" s="1"/>
  <c r="AW29" i="5"/>
  <c r="BA29" i="5"/>
  <c r="BI29" i="5"/>
  <c r="BM29" i="5"/>
  <c r="BQ29" i="5"/>
  <c r="M30" i="5"/>
  <c r="Q30" i="5"/>
  <c r="U30" i="5"/>
  <c r="AC30" i="5"/>
  <c r="AG30" i="5"/>
  <c r="AK30" i="5"/>
  <c r="AS30" i="5"/>
  <c r="BE30" i="5" s="1"/>
  <c r="AW30" i="5"/>
  <c r="BA30" i="5"/>
  <c r="BI30" i="5"/>
  <c r="BM30" i="5"/>
  <c r="BQ30" i="5"/>
  <c r="M31" i="5"/>
  <c r="Q31" i="5"/>
  <c r="U31" i="5"/>
  <c r="AC31" i="5"/>
  <c r="AG31" i="5"/>
  <c r="AK31" i="5"/>
  <c r="AS31" i="5"/>
  <c r="BE31" i="5" s="1"/>
  <c r="AW31" i="5"/>
  <c r="BA31" i="5"/>
  <c r="BI31" i="5"/>
  <c r="BM31" i="5"/>
  <c r="BQ31" i="5"/>
  <c r="M32" i="5"/>
  <c r="Q32" i="5"/>
  <c r="U32" i="5"/>
  <c r="AC32" i="5"/>
  <c r="AG32" i="5"/>
  <c r="AK32" i="5"/>
  <c r="AS32" i="5"/>
  <c r="BE32" i="5" s="1"/>
  <c r="AW32" i="5"/>
  <c r="BA32" i="5"/>
  <c r="BI32" i="5"/>
  <c r="BM32" i="5"/>
  <c r="BQ32" i="5"/>
  <c r="M33" i="5"/>
  <c r="Q33" i="5"/>
  <c r="U33" i="5"/>
  <c r="AC33" i="5"/>
  <c r="AG33" i="5"/>
  <c r="AK33" i="5"/>
  <c r="AS33" i="5"/>
  <c r="BE33" i="5" s="1"/>
  <c r="AW33" i="5"/>
  <c r="BA33" i="5"/>
  <c r="BI33" i="5"/>
  <c r="BM33" i="5"/>
  <c r="BQ33" i="5"/>
  <c r="M34" i="5"/>
  <c r="Q34" i="5"/>
  <c r="U34" i="5"/>
  <c r="AC34" i="5"/>
  <c r="AG34" i="5"/>
  <c r="AK34" i="5"/>
  <c r="AS34" i="5"/>
  <c r="BE34" i="5" s="1"/>
  <c r="AW34" i="5"/>
  <c r="BA34" i="5"/>
  <c r="BI34" i="5"/>
  <c r="BM34" i="5"/>
  <c r="BQ34" i="5"/>
  <c r="M35" i="5"/>
  <c r="Q35" i="5"/>
  <c r="U35" i="5"/>
  <c r="AC35" i="5"/>
  <c r="AG35" i="5"/>
  <c r="AK35" i="5"/>
  <c r="AS35" i="5"/>
  <c r="BE35" i="5" s="1"/>
  <c r="AW35" i="5"/>
  <c r="BA35" i="5"/>
  <c r="BI35" i="5"/>
  <c r="BM35" i="5"/>
  <c r="BQ35" i="5"/>
  <c r="M36" i="5"/>
  <c r="Q36" i="5"/>
  <c r="U36" i="5"/>
  <c r="AC36" i="5"/>
  <c r="AG36" i="5"/>
  <c r="AK36" i="5"/>
  <c r="AS36" i="5"/>
  <c r="AW36" i="5"/>
  <c r="BA36" i="5"/>
  <c r="BI36" i="5"/>
  <c r="BM36" i="5"/>
  <c r="BQ36" i="5"/>
  <c r="S37" i="5"/>
  <c r="AI37" i="5"/>
  <c r="AY37" i="5"/>
  <c r="BO37" i="5"/>
  <c r="E38" i="5"/>
  <c r="S39" i="5"/>
  <c r="AI39" i="5"/>
  <c r="BK39" i="5"/>
  <c r="BS39" i="5"/>
  <c r="E40" i="5"/>
  <c r="BC40" i="5"/>
  <c r="BK40" i="5"/>
  <c r="BW40" i="5" s="1"/>
  <c r="S41" i="5"/>
  <c r="AU41" i="5"/>
  <c r="BC41" i="5"/>
  <c r="AM42" i="5"/>
  <c r="BS42" i="5"/>
  <c r="I43" i="5"/>
  <c r="AE43" i="5"/>
  <c r="AQ43" i="5" s="1"/>
  <c r="BK43" i="5"/>
  <c r="BW43" i="5" s="1"/>
  <c r="W44" i="5"/>
  <c r="BC44" i="5"/>
  <c r="O45" i="5"/>
  <c r="AA45" i="5" s="1"/>
  <c r="AU45" i="5"/>
  <c r="BG45" i="5" s="1"/>
  <c r="AM46" i="5"/>
  <c r="BS46" i="5"/>
  <c r="I47" i="5"/>
  <c r="AE47" i="5"/>
  <c r="AQ47" i="5" s="1"/>
  <c r="BK47" i="5"/>
  <c r="BW47" i="5" s="1"/>
  <c r="O50" i="5"/>
  <c r="AA50" i="5" s="1"/>
  <c r="AU50" i="5"/>
  <c r="BG50" i="5" s="1"/>
  <c r="H56" i="5"/>
  <c r="H81" i="5" s="1"/>
  <c r="BI57" i="5"/>
  <c r="P58" i="5"/>
  <c r="AV58" i="5"/>
  <c r="T59" i="5"/>
  <c r="AZ59" i="5"/>
  <c r="AG60" i="5"/>
  <c r="F81" i="5"/>
  <c r="O87" i="5"/>
  <c r="AA87" i="5" s="1"/>
  <c r="AA85" i="5"/>
  <c r="Y85" i="5"/>
  <c r="AO85" i="5"/>
  <c r="BE87" i="5"/>
  <c r="AE87" i="5"/>
  <c r="AQ87" i="5" s="1"/>
  <c r="AQ85" i="5"/>
  <c r="AU87" i="5"/>
  <c r="BG87" i="5" s="1"/>
  <c r="BG85" i="5"/>
  <c r="I87" i="5"/>
  <c r="BE85" i="5"/>
  <c r="BK87" i="5"/>
  <c r="BW87" i="5" s="1"/>
  <c r="BW85" i="5"/>
  <c r="BU85" i="5"/>
  <c r="AA86" i="5"/>
  <c r="AG87" i="5"/>
  <c r="AO87" i="5" s="1"/>
  <c r="AW87" i="5"/>
  <c r="G22" i="11"/>
  <c r="I109" i="5"/>
  <c r="BK57" i="5" l="1"/>
  <c r="BU57" i="5"/>
  <c r="BJ57" i="5"/>
  <c r="BE36" i="5"/>
  <c r="AI60" i="5"/>
  <c r="AH60" i="5"/>
  <c r="BG41" i="5"/>
  <c r="BU36" i="5"/>
  <c r="BU35" i="5"/>
  <c r="BU34" i="5"/>
  <c r="BU33" i="5"/>
  <c r="BU32" i="5"/>
  <c r="BU31" i="5"/>
  <c r="BU30" i="5"/>
  <c r="BU29" i="5"/>
  <c r="BI48" i="5"/>
  <c r="BI52" i="5" s="1"/>
  <c r="BU28" i="5"/>
  <c r="AK48" i="5"/>
  <c r="AK52" i="5" s="1"/>
  <c r="Q48" i="5"/>
  <c r="Q52" i="5" s="1"/>
  <c r="O57" i="5"/>
  <c r="Y57" i="5"/>
  <c r="N57" i="5"/>
  <c r="BG39" i="5"/>
  <c r="AR109" i="5"/>
  <c r="BD107" i="5"/>
  <c r="BH109" i="5"/>
  <c r="BT107" i="5"/>
  <c r="BP109" i="5"/>
  <c r="P109" i="5"/>
  <c r="BT108" i="5"/>
  <c r="BT110" i="5"/>
  <c r="M109" i="5"/>
  <c r="Y107" i="5"/>
  <c r="N107" i="5"/>
  <c r="O107" i="5"/>
  <c r="AG109" i="5"/>
  <c r="AI107" i="5"/>
  <c r="AH107" i="5"/>
  <c r="BA109" i="5"/>
  <c r="BB107" i="5"/>
  <c r="BC107" i="5"/>
  <c r="AO108" i="5"/>
  <c r="AD108" i="5"/>
  <c r="AE108" i="5"/>
  <c r="AY108" i="5"/>
  <c r="AX108" i="5"/>
  <c r="BS108" i="5"/>
  <c r="BR108" i="5"/>
  <c r="W110" i="5"/>
  <c r="V110" i="5"/>
  <c r="BE110" i="5"/>
  <c r="AU110" i="5"/>
  <c r="AT110" i="5"/>
  <c r="BO110" i="5"/>
  <c r="BN110" i="5"/>
  <c r="BE37" i="5"/>
  <c r="BE38" i="5"/>
  <c r="BG42" i="5"/>
  <c r="AQ44" i="5"/>
  <c r="AA46" i="5"/>
  <c r="BU39" i="5"/>
  <c r="BU40" i="5"/>
  <c r="BU41" i="5"/>
  <c r="BU42" i="5"/>
  <c r="BU43" i="5"/>
  <c r="BU44" i="5"/>
  <c r="BU45" i="5"/>
  <c r="BU46" i="5"/>
  <c r="BU47" i="5"/>
  <c r="BU50" i="5"/>
  <c r="AQ50" i="5"/>
  <c r="AA43" i="5"/>
  <c r="AQ36" i="5"/>
  <c r="AQ35" i="5"/>
  <c r="AQ34" i="5"/>
  <c r="AQ33" i="5"/>
  <c r="AQ32" i="5"/>
  <c r="AQ31" i="5"/>
  <c r="AQ30" i="5"/>
  <c r="AQ29" i="5"/>
  <c r="BS48" i="5"/>
  <c r="BS52" i="5" s="1"/>
  <c r="AY48" i="5"/>
  <c r="AY52" i="5" s="1"/>
  <c r="AE48" i="5"/>
  <c r="AE52" i="5" s="1"/>
  <c r="AQ28" i="5"/>
  <c r="AU57" i="5"/>
  <c r="BE57" i="5"/>
  <c r="AT57" i="5"/>
  <c r="BW41" i="5"/>
  <c r="BW37" i="5"/>
  <c r="BQ81" i="5"/>
  <c r="BS56" i="5"/>
  <c r="BR56" i="5"/>
  <c r="AX58" i="5"/>
  <c r="AY58" i="5"/>
  <c r="AW81" i="5"/>
  <c r="AX56" i="5"/>
  <c r="AY56" i="5"/>
  <c r="AN58" i="5"/>
  <c r="BT58" i="5"/>
  <c r="AY60" i="5"/>
  <c r="AX60" i="5"/>
  <c r="M81" i="5"/>
  <c r="O56" i="5"/>
  <c r="Y56" i="5"/>
  <c r="N56" i="5"/>
  <c r="BD57" i="5"/>
  <c r="N58" i="5"/>
  <c r="O58" i="5"/>
  <c r="Y58" i="5"/>
  <c r="AT58" i="5"/>
  <c r="AU58" i="5"/>
  <c r="BE58" i="5"/>
  <c r="W60" i="5"/>
  <c r="V60" i="5"/>
  <c r="AT61" i="5"/>
  <c r="BE61" i="5"/>
  <c r="AU61" i="5"/>
  <c r="N65" i="5"/>
  <c r="O65" i="5"/>
  <c r="Y65" i="5"/>
  <c r="V69" i="5"/>
  <c r="W69" i="5"/>
  <c r="V61" i="5"/>
  <c r="W61" i="5"/>
  <c r="AE64" i="5"/>
  <c r="AO64" i="5"/>
  <c r="AD64" i="5"/>
  <c r="AH65" i="5"/>
  <c r="AI65" i="5"/>
  <c r="AX63" i="5"/>
  <c r="AY63" i="5"/>
  <c r="AL65" i="5"/>
  <c r="AM65" i="5"/>
  <c r="T81" i="5"/>
  <c r="AR81" i="5"/>
  <c r="BD56" i="5"/>
  <c r="BL81" i="5"/>
  <c r="R59" i="5"/>
  <c r="S59" i="5"/>
  <c r="AL59" i="5"/>
  <c r="AM59" i="5"/>
  <c r="BU59" i="5"/>
  <c r="BJ59" i="5"/>
  <c r="BK59" i="5"/>
  <c r="AE60" i="5"/>
  <c r="AO60" i="5"/>
  <c r="AD60" i="5"/>
  <c r="N61" i="5"/>
  <c r="Y61" i="5"/>
  <c r="O61" i="5"/>
  <c r="O64" i="5"/>
  <c r="Y64" i="5"/>
  <c r="N64" i="5"/>
  <c r="AU63" i="5"/>
  <c r="BE63" i="5"/>
  <c r="AT63" i="5"/>
  <c r="AX69" i="5"/>
  <c r="AY69" i="5"/>
  <c r="AH61" i="5"/>
  <c r="AI61" i="5"/>
  <c r="BN61" i="5"/>
  <c r="BO61" i="5"/>
  <c r="BS63" i="5"/>
  <c r="BR63" i="5"/>
  <c r="BN65" i="5"/>
  <c r="BO65" i="5"/>
  <c r="BT66" i="5"/>
  <c r="BR72" i="5"/>
  <c r="BS72" i="5"/>
  <c r="BJ69" i="5"/>
  <c r="BK69" i="5"/>
  <c r="BU69" i="5"/>
  <c r="BB72" i="5"/>
  <c r="BC72" i="5"/>
  <c r="R67" i="5"/>
  <c r="S67" i="5"/>
  <c r="AL67" i="5"/>
  <c r="AM67" i="5"/>
  <c r="BJ67" i="5"/>
  <c r="BU67" i="5"/>
  <c r="BK67" i="5"/>
  <c r="O71" i="5"/>
  <c r="Y71" i="5"/>
  <c r="N71" i="5"/>
  <c r="BJ72" i="5"/>
  <c r="BU72" i="5"/>
  <c r="BK72" i="5"/>
  <c r="AM74" i="5"/>
  <c r="AL74" i="5"/>
  <c r="BR78" i="5"/>
  <c r="BS78" i="5"/>
  <c r="AE68" i="5"/>
  <c r="AO68" i="5"/>
  <c r="AD68" i="5"/>
  <c r="AY68" i="5"/>
  <c r="AX68" i="5"/>
  <c r="BS68" i="5"/>
  <c r="BR68" i="5"/>
  <c r="BC74" i="5"/>
  <c r="BB74" i="5"/>
  <c r="AU75" i="5"/>
  <c r="AT75" i="5"/>
  <c r="BE75" i="5"/>
  <c r="BK77" i="5"/>
  <c r="BU77" i="5"/>
  <c r="BJ77" i="5"/>
  <c r="BS74" i="5"/>
  <c r="BR74" i="5"/>
  <c r="AL78" i="5"/>
  <c r="AM78" i="5"/>
  <c r="Y62" i="5"/>
  <c r="N62" i="5"/>
  <c r="O62" i="5"/>
  <c r="AI62" i="5"/>
  <c r="AH62" i="5"/>
  <c r="BB62" i="5"/>
  <c r="BC62" i="5"/>
  <c r="AO66" i="5"/>
  <c r="AE66" i="5"/>
  <c r="AD66" i="5"/>
  <c r="AY66" i="5"/>
  <c r="AX66" i="5"/>
  <c r="BS66" i="5"/>
  <c r="BR66" i="5"/>
  <c r="W70" i="5"/>
  <c r="V70" i="5"/>
  <c r="BE70" i="5"/>
  <c r="AU70" i="5"/>
  <c r="AT70" i="5"/>
  <c r="BO70" i="5"/>
  <c r="BN70" i="5"/>
  <c r="BT71" i="5"/>
  <c r="BT72" i="5"/>
  <c r="W74" i="5"/>
  <c r="V74" i="5"/>
  <c r="BJ76" i="5"/>
  <c r="BU76" i="5"/>
  <c r="BK76" i="5"/>
  <c r="AD78" i="5"/>
  <c r="AO78" i="5"/>
  <c r="AE78" i="5"/>
  <c r="BB80" i="5"/>
  <c r="BC80" i="5"/>
  <c r="N74" i="5"/>
  <c r="Y74" i="5"/>
  <c r="O74" i="5"/>
  <c r="BD75" i="5"/>
  <c r="X76" i="5"/>
  <c r="J76" i="5" s="1"/>
  <c r="BD76" i="5"/>
  <c r="V78" i="5"/>
  <c r="W78" i="5"/>
  <c r="Y73" i="5"/>
  <c r="N73" i="5"/>
  <c r="O73" i="5"/>
  <c r="AI73" i="5"/>
  <c r="AH73" i="5"/>
  <c r="BB73" i="5"/>
  <c r="BC73" i="5"/>
  <c r="AE77" i="5"/>
  <c r="AO77" i="5"/>
  <c r="AD77" i="5"/>
  <c r="AY77" i="5"/>
  <c r="AX77" i="5"/>
  <c r="R78" i="5"/>
  <c r="S78" i="5"/>
  <c r="AX78" i="5"/>
  <c r="AY78" i="5"/>
  <c r="BR80" i="5"/>
  <c r="BS80" i="5"/>
  <c r="AL80" i="5"/>
  <c r="AM80" i="5"/>
  <c r="AY80" i="5"/>
  <c r="AX80" i="5"/>
  <c r="S79" i="5"/>
  <c r="R79" i="5"/>
  <c r="AL79" i="5"/>
  <c r="AM79" i="5"/>
  <c r="BU79" i="5"/>
  <c r="BJ79" i="5"/>
  <c r="BK79" i="5"/>
  <c r="AN85" i="5"/>
  <c r="U75" i="4"/>
  <c r="AN87" i="5" s="1"/>
  <c r="AL36" i="4"/>
  <c r="AL40" i="4" s="1"/>
  <c r="H28" i="5"/>
  <c r="H48" i="5" s="1"/>
  <c r="H52" i="5" s="1"/>
  <c r="E36" i="4"/>
  <c r="E40" i="4" s="1"/>
  <c r="AN28" i="5"/>
  <c r="AN48" i="5" s="1"/>
  <c r="AN52" i="5" s="1"/>
  <c r="U36" i="4"/>
  <c r="U40" i="4" s="1"/>
  <c r="BF85" i="5"/>
  <c r="AD75" i="4"/>
  <c r="BF87" i="5" s="1"/>
  <c r="Y35" i="5"/>
  <c r="Y34" i="5"/>
  <c r="Y33" i="5"/>
  <c r="Y32" i="5"/>
  <c r="Y31" i="5"/>
  <c r="Y30" i="5"/>
  <c r="Y29" i="5"/>
  <c r="BA48" i="5"/>
  <c r="BA52" i="5" s="1"/>
  <c r="AG48" i="5"/>
  <c r="AG52" i="5" s="1"/>
  <c r="M48" i="5"/>
  <c r="M52" i="5" s="1"/>
  <c r="Y28" i="5"/>
  <c r="BO60" i="5"/>
  <c r="BN60" i="5"/>
  <c r="BG40" i="5"/>
  <c r="X108" i="5"/>
  <c r="AF109" i="5"/>
  <c r="BD110" i="5"/>
  <c r="Q109" i="5"/>
  <c r="S107" i="5"/>
  <c r="R107" i="5"/>
  <c r="AK109" i="5"/>
  <c r="AL107" i="5"/>
  <c r="AM107" i="5"/>
  <c r="BI109" i="5"/>
  <c r="BU107" i="5"/>
  <c r="BK107" i="5"/>
  <c r="BJ107" i="5"/>
  <c r="Y108" i="5"/>
  <c r="N108" i="5"/>
  <c r="O108" i="5"/>
  <c r="AI108" i="5"/>
  <c r="AH108" i="5"/>
  <c r="BC108" i="5"/>
  <c r="BB108" i="5"/>
  <c r="AO110" i="5"/>
  <c r="AE110" i="5"/>
  <c r="AD110" i="5"/>
  <c r="AY110" i="5"/>
  <c r="AX110" i="5"/>
  <c r="BS110" i="5"/>
  <c r="BR110" i="5"/>
  <c r="AO37" i="5"/>
  <c r="AO38" i="5"/>
  <c r="BW42" i="5"/>
  <c r="BG44" i="5"/>
  <c r="AQ46" i="5"/>
  <c r="BE39" i="5"/>
  <c r="BE40" i="5"/>
  <c r="BE41" i="5"/>
  <c r="BE42" i="5"/>
  <c r="BE43" i="5"/>
  <c r="BE44" i="5"/>
  <c r="BE45" i="5"/>
  <c r="BE46" i="5"/>
  <c r="BE47" i="5"/>
  <c r="BE50" i="5"/>
  <c r="AA41" i="5"/>
  <c r="BG36" i="5"/>
  <c r="BG35" i="5"/>
  <c r="BG34" i="5"/>
  <c r="BG33" i="5"/>
  <c r="BG32" i="5"/>
  <c r="BG31" i="5"/>
  <c r="BG30" i="5"/>
  <c r="BG29" i="5"/>
  <c r="BO48" i="5"/>
  <c r="BO52" i="5" s="1"/>
  <c r="AU48" i="5"/>
  <c r="AU52" i="5" s="1"/>
  <c r="BG28" i="5"/>
  <c r="W48" i="5"/>
  <c r="W52" i="5" s="1"/>
  <c r="AQ39" i="5"/>
  <c r="BG37" i="5"/>
  <c r="U81" i="5"/>
  <c r="W56" i="5"/>
  <c r="V56" i="5"/>
  <c r="BN58" i="5"/>
  <c r="BO58" i="5"/>
  <c r="BS60" i="5"/>
  <c r="BR60" i="5"/>
  <c r="BD62" i="5"/>
  <c r="BM81" i="5"/>
  <c r="BN56" i="5"/>
  <c r="BO56" i="5"/>
  <c r="AM57" i="5"/>
  <c r="AL57" i="5"/>
  <c r="BS57" i="5"/>
  <c r="BR57" i="5"/>
  <c r="AC81" i="5"/>
  <c r="AE56" i="5"/>
  <c r="AO56" i="5"/>
  <c r="AD56" i="5"/>
  <c r="S57" i="5"/>
  <c r="R57" i="5"/>
  <c r="AY57" i="5"/>
  <c r="AX57" i="5"/>
  <c r="V58" i="5"/>
  <c r="W58" i="5"/>
  <c r="BB58" i="5"/>
  <c r="BC58" i="5"/>
  <c r="S63" i="5"/>
  <c r="R63" i="5"/>
  <c r="AM64" i="5"/>
  <c r="AL64" i="5"/>
  <c r="AD65" i="5"/>
  <c r="AE65" i="5"/>
  <c r="AO65" i="5"/>
  <c r="AN62" i="5"/>
  <c r="BC64" i="5"/>
  <c r="BB64" i="5"/>
  <c r="AX65" i="5"/>
  <c r="AY65" i="5"/>
  <c r="AL69" i="5"/>
  <c r="AM69" i="5"/>
  <c r="W64" i="5"/>
  <c r="V64" i="5"/>
  <c r="BB65" i="5"/>
  <c r="BC65" i="5"/>
  <c r="W71" i="5"/>
  <c r="V71" i="5"/>
  <c r="AB81" i="5"/>
  <c r="AN56" i="5"/>
  <c r="AV81" i="5"/>
  <c r="BP81" i="5"/>
  <c r="V59" i="5"/>
  <c r="W59" i="5"/>
  <c r="BE59" i="5"/>
  <c r="AT59" i="5"/>
  <c r="AU59" i="5"/>
  <c r="BN59" i="5"/>
  <c r="BO59" i="5"/>
  <c r="AU60" i="5"/>
  <c r="BE60" i="5"/>
  <c r="AT60" i="5"/>
  <c r="AD61" i="5"/>
  <c r="AE61" i="5"/>
  <c r="AO61" i="5"/>
  <c r="BT62" i="5"/>
  <c r="AU64" i="5"/>
  <c r="AT64" i="5"/>
  <c r="BE64" i="5"/>
  <c r="BR69" i="5"/>
  <c r="BS69" i="5"/>
  <c r="BK63" i="5"/>
  <c r="BU63" i="5"/>
  <c r="BJ63" i="5"/>
  <c r="AI64" i="5"/>
  <c r="AH64" i="5"/>
  <c r="BN69" i="5"/>
  <c r="BO69" i="5"/>
  <c r="BT70" i="5"/>
  <c r="AL72" i="5"/>
  <c r="AM72" i="5"/>
  <c r="BD61" i="5"/>
  <c r="V63" i="5"/>
  <c r="W63" i="5"/>
  <c r="X66" i="5"/>
  <c r="N69" i="5"/>
  <c r="O69" i="5"/>
  <c r="Y69" i="5"/>
  <c r="V67" i="5"/>
  <c r="W67" i="5"/>
  <c r="AT67" i="5"/>
  <c r="BE67" i="5"/>
  <c r="AU67" i="5"/>
  <c r="BN67" i="5"/>
  <c r="BO67" i="5"/>
  <c r="AE71" i="5"/>
  <c r="AO71" i="5"/>
  <c r="AD71" i="5"/>
  <c r="N72" i="5"/>
  <c r="Y72" i="5"/>
  <c r="O72" i="5"/>
  <c r="BN74" i="5"/>
  <c r="BO74" i="5"/>
  <c r="O68" i="5"/>
  <c r="Y68" i="5"/>
  <c r="N68" i="5"/>
  <c r="AI68" i="5"/>
  <c r="AH68" i="5"/>
  <c r="BC68" i="5"/>
  <c r="BB68" i="5"/>
  <c r="N78" i="5"/>
  <c r="Y78" i="5"/>
  <c r="O78" i="5"/>
  <c r="S62" i="5"/>
  <c r="R62" i="5"/>
  <c r="AM62" i="5"/>
  <c r="AL62" i="5"/>
  <c r="BU62" i="5"/>
  <c r="BJ62" i="5"/>
  <c r="BK62" i="5"/>
  <c r="BT63" i="5"/>
  <c r="Y66" i="5"/>
  <c r="O66" i="5"/>
  <c r="N66" i="5"/>
  <c r="AI66" i="5"/>
  <c r="AH66" i="5"/>
  <c r="BC66" i="5"/>
  <c r="BB66" i="5"/>
  <c r="X67" i="5"/>
  <c r="AO70" i="5"/>
  <c r="AE70" i="5"/>
  <c r="AD70" i="5"/>
  <c r="AY70" i="5"/>
  <c r="AX70" i="5"/>
  <c r="BS70" i="5"/>
  <c r="BR70" i="5"/>
  <c r="AI71" i="5"/>
  <c r="AH71" i="5"/>
  <c r="BO71" i="5"/>
  <c r="BN71" i="5"/>
  <c r="AH72" i="5"/>
  <c r="AI72" i="5"/>
  <c r="BN72" i="5"/>
  <c r="BO72" i="5"/>
  <c r="AX74" i="5"/>
  <c r="AY74" i="5"/>
  <c r="BS75" i="5"/>
  <c r="BR75" i="5"/>
  <c r="V76" i="5"/>
  <c r="W76" i="5"/>
  <c r="BB76" i="5"/>
  <c r="BC76" i="5"/>
  <c r="BJ78" i="5"/>
  <c r="BU78" i="5"/>
  <c r="BK78" i="5"/>
  <c r="AO74" i="5"/>
  <c r="AE74" i="5"/>
  <c r="AD74" i="5"/>
  <c r="S75" i="5"/>
  <c r="R75" i="5"/>
  <c r="AY75" i="5"/>
  <c r="AX75" i="5"/>
  <c r="R76" i="5"/>
  <c r="S76" i="5"/>
  <c r="AX76" i="5"/>
  <c r="AY76" i="5"/>
  <c r="S73" i="5"/>
  <c r="R73" i="5"/>
  <c r="AL73" i="5"/>
  <c r="AM73" i="5"/>
  <c r="BU73" i="5"/>
  <c r="BK73" i="5"/>
  <c r="BJ73" i="5"/>
  <c r="O77" i="5"/>
  <c r="Y77" i="5"/>
  <c r="N77" i="5"/>
  <c r="AI77" i="5"/>
  <c r="AH77" i="5"/>
  <c r="BT77" i="5"/>
  <c r="AN78" i="5"/>
  <c r="BT78" i="5"/>
  <c r="AU80" i="5"/>
  <c r="BE80" i="5"/>
  <c r="AT80" i="5"/>
  <c r="BN80" i="5"/>
  <c r="BO80" i="5"/>
  <c r="V79" i="5"/>
  <c r="W79" i="5"/>
  <c r="BE79" i="5"/>
  <c r="AT79" i="5"/>
  <c r="AU79" i="5"/>
  <c r="BO79" i="5"/>
  <c r="BN79" i="5"/>
  <c r="E85" i="4"/>
  <c r="Z85" i="5"/>
  <c r="N75" i="4"/>
  <c r="Z87" i="5" s="1"/>
  <c r="E35" i="4"/>
  <c r="H47" i="5" s="1"/>
  <c r="E31" i="4"/>
  <c r="H43" i="5" s="1"/>
  <c r="E27" i="4"/>
  <c r="H39" i="5" s="1"/>
  <c r="E23" i="4"/>
  <c r="H35" i="5" s="1"/>
  <c r="E19" i="4"/>
  <c r="H31" i="5" s="1"/>
  <c r="AD36" i="4"/>
  <c r="AD40" i="4" s="1"/>
  <c r="C67" i="4"/>
  <c r="D79" i="5" s="1"/>
  <c r="C63" i="4"/>
  <c r="D75" i="5" s="1"/>
  <c r="C58" i="4"/>
  <c r="D70" i="5" s="1"/>
  <c r="C54" i="4"/>
  <c r="D66" i="5" s="1"/>
  <c r="C50" i="4"/>
  <c r="D62" i="5" s="1"/>
  <c r="C46" i="4"/>
  <c r="D58" i="5" s="1"/>
  <c r="C65" i="4"/>
  <c r="D77" i="5" s="1"/>
  <c r="C61" i="4"/>
  <c r="D73" i="5" s="1"/>
  <c r="C68" i="4"/>
  <c r="D80" i="5" s="1"/>
  <c r="C59" i="4"/>
  <c r="D71" i="5" s="1"/>
  <c r="C51" i="4"/>
  <c r="D63" i="5" s="1"/>
  <c r="C38" i="4"/>
  <c r="D50" i="5" s="1"/>
  <c r="C32" i="4"/>
  <c r="D44" i="5" s="1"/>
  <c r="C28" i="4"/>
  <c r="D40" i="5" s="1"/>
  <c r="C24" i="4"/>
  <c r="D36" i="5" s="1"/>
  <c r="C20" i="4"/>
  <c r="D32" i="5" s="1"/>
  <c r="C16" i="4"/>
  <c r="M75" i="4"/>
  <c r="X87" i="5" s="1"/>
  <c r="C73" i="4"/>
  <c r="Y36" i="5"/>
  <c r="BW39" i="5"/>
  <c r="AO36" i="5"/>
  <c r="AO35" i="5"/>
  <c r="AO34" i="5"/>
  <c r="AO33" i="5"/>
  <c r="AO32" i="5"/>
  <c r="AO31" i="5"/>
  <c r="AO30" i="5"/>
  <c r="AO29" i="5"/>
  <c r="BQ48" i="5"/>
  <c r="BQ52" i="5" s="1"/>
  <c r="AW48" i="5"/>
  <c r="AW52" i="5" s="1"/>
  <c r="AC48" i="5"/>
  <c r="AC52" i="5" s="1"/>
  <c r="AO28" i="5"/>
  <c r="BD59" i="5"/>
  <c r="AQ42" i="5"/>
  <c r="T109" i="5"/>
  <c r="AN108" i="5"/>
  <c r="AV109" i="5"/>
  <c r="AN110" i="5"/>
  <c r="J110" i="5" s="1"/>
  <c r="U109" i="5"/>
  <c r="V107" i="5"/>
  <c r="W107" i="5"/>
  <c r="AS109" i="5"/>
  <c r="BE107" i="5"/>
  <c r="AU107" i="5"/>
  <c r="AT107" i="5"/>
  <c r="BM109" i="5"/>
  <c r="BO107" i="5"/>
  <c r="BN107" i="5"/>
  <c r="S108" i="5"/>
  <c r="R108" i="5"/>
  <c r="AM108" i="5"/>
  <c r="AL108" i="5"/>
  <c r="BU108" i="5"/>
  <c r="BK108" i="5"/>
  <c r="BJ108" i="5"/>
  <c r="Y110" i="5"/>
  <c r="O110" i="5"/>
  <c r="N110" i="5"/>
  <c r="AI110" i="5"/>
  <c r="AH110" i="5"/>
  <c r="BC110" i="5"/>
  <c r="BB110" i="5"/>
  <c r="Y37" i="5"/>
  <c r="Y38" i="5"/>
  <c r="Y39" i="5"/>
  <c r="AO40" i="5"/>
  <c r="AO41" i="5"/>
  <c r="AO42" i="5"/>
  <c r="AO43" i="5"/>
  <c r="AO44" i="5"/>
  <c r="AO45" i="5"/>
  <c r="AO46" i="5"/>
  <c r="AO47" i="5"/>
  <c r="AO50" i="5"/>
  <c r="BG47" i="5"/>
  <c r="BW45" i="5"/>
  <c r="AA42" i="5"/>
  <c r="AQ40" i="5"/>
  <c r="BW36" i="5"/>
  <c r="BW35" i="5"/>
  <c r="BW34" i="5"/>
  <c r="BW33" i="5"/>
  <c r="BW32" i="5"/>
  <c r="BW31" i="5"/>
  <c r="BW30" i="5"/>
  <c r="BW29" i="5"/>
  <c r="BK48" i="5"/>
  <c r="BK52" i="5" s="1"/>
  <c r="BW28" i="5"/>
  <c r="AM48" i="5"/>
  <c r="AM52" i="5" s="1"/>
  <c r="S48" i="5"/>
  <c r="S52" i="5" s="1"/>
  <c r="AN59" i="5"/>
  <c r="AA39" i="5"/>
  <c r="AQ37" i="5"/>
  <c r="I48" i="5"/>
  <c r="I52" i="5" s="1"/>
  <c r="J40" i="5" s="1"/>
  <c r="AK81" i="5"/>
  <c r="AM56" i="5"/>
  <c r="AL56" i="5"/>
  <c r="R58" i="5"/>
  <c r="S58" i="5"/>
  <c r="R61" i="5"/>
  <c r="S61" i="5"/>
  <c r="Q81" i="5"/>
  <c r="R56" i="5"/>
  <c r="S56" i="5"/>
  <c r="X58" i="5"/>
  <c r="J58" i="5" s="1"/>
  <c r="BD58" i="5"/>
  <c r="S60" i="5"/>
  <c r="R60" i="5"/>
  <c r="AS81" i="5"/>
  <c r="AU56" i="5"/>
  <c r="AT56" i="5"/>
  <c r="BE56" i="5"/>
  <c r="AN57" i="5"/>
  <c r="J57" i="5" s="1"/>
  <c r="BT57" i="5"/>
  <c r="AD58" i="5"/>
  <c r="AE58" i="5"/>
  <c r="AO58" i="5"/>
  <c r="BJ58" i="5"/>
  <c r="BK58" i="5"/>
  <c r="BU58" i="5"/>
  <c r="BC60" i="5"/>
  <c r="BB60" i="5"/>
  <c r="X62" i="5"/>
  <c r="J62" i="5" s="1"/>
  <c r="AH63" i="5"/>
  <c r="AI63" i="5"/>
  <c r="AY64" i="5"/>
  <c r="AX64" i="5"/>
  <c r="AT65" i="5"/>
  <c r="AU65" i="5"/>
  <c r="BE65" i="5"/>
  <c r="BB61" i="5"/>
  <c r="BC61" i="5"/>
  <c r="BS64" i="5"/>
  <c r="BR64" i="5"/>
  <c r="BR65" i="5"/>
  <c r="BS65" i="5"/>
  <c r="L81" i="5"/>
  <c r="X56" i="5"/>
  <c r="AF81" i="5"/>
  <c r="AZ81" i="5"/>
  <c r="AO59" i="5"/>
  <c r="AD59" i="5"/>
  <c r="AE59" i="5"/>
  <c r="AX59" i="5"/>
  <c r="AY59" i="5"/>
  <c r="BR59" i="5"/>
  <c r="BS59" i="5"/>
  <c r="BK60" i="5"/>
  <c r="BU60" i="5"/>
  <c r="BJ60" i="5"/>
  <c r="BK64" i="5"/>
  <c r="BJ64" i="5"/>
  <c r="BU64" i="5"/>
  <c r="X64" i="5"/>
  <c r="R69" i="5"/>
  <c r="S69" i="5"/>
  <c r="X70" i="5"/>
  <c r="J70" i="5" s="1"/>
  <c r="V72" i="5"/>
  <c r="W72" i="5"/>
  <c r="AX61" i="5"/>
  <c r="AY61" i="5"/>
  <c r="AM63" i="5"/>
  <c r="AL63" i="5"/>
  <c r="AN66" i="5"/>
  <c r="BS71" i="5"/>
  <c r="BR71" i="5"/>
  <c r="AD69" i="5"/>
  <c r="AE69" i="5"/>
  <c r="AO69" i="5"/>
  <c r="BC71" i="5"/>
  <c r="BB71" i="5"/>
  <c r="AD67" i="5"/>
  <c r="AO67" i="5"/>
  <c r="AE67" i="5"/>
  <c r="AX67" i="5"/>
  <c r="AY67" i="5"/>
  <c r="BR67" i="5"/>
  <c r="BS67" i="5"/>
  <c r="AN68" i="5"/>
  <c r="AU71" i="5"/>
  <c r="BE71" i="5"/>
  <c r="AT71" i="5"/>
  <c r="AD72" i="5"/>
  <c r="AO72" i="5"/>
  <c r="AE72" i="5"/>
  <c r="W75" i="5"/>
  <c r="V75" i="5"/>
  <c r="BC77" i="5"/>
  <c r="BB77" i="5"/>
  <c r="S68" i="5"/>
  <c r="R68" i="5"/>
  <c r="AM68" i="5"/>
  <c r="AL68" i="5"/>
  <c r="BK68" i="5"/>
  <c r="BU68" i="5"/>
  <c r="BJ68" i="5"/>
  <c r="BT69" i="5"/>
  <c r="N76" i="5"/>
  <c r="Y76" i="5"/>
  <c r="O76" i="5"/>
  <c r="X79" i="5"/>
  <c r="J79" i="5" s="1"/>
  <c r="BC75" i="5"/>
  <c r="BB75" i="5"/>
  <c r="BU80" i="5"/>
  <c r="BJ80" i="5"/>
  <c r="BK80" i="5"/>
  <c r="V62" i="5"/>
  <c r="W62" i="5"/>
  <c r="BE62" i="5"/>
  <c r="AT62" i="5"/>
  <c r="AU62" i="5"/>
  <c r="BO62" i="5"/>
  <c r="BN62" i="5"/>
  <c r="BD63" i="5"/>
  <c r="S66" i="5"/>
  <c r="R66" i="5"/>
  <c r="AM66" i="5"/>
  <c r="AL66" i="5"/>
  <c r="BU66" i="5"/>
  <c r="BK66" i="5"/>
  <c r="BJ66" i="5"/>
  <c r="BT67" i="5"/>
  <c r="Y70" i="5"/>
  <c r="O70" i="5"/>
  <c r="N70" i="5"/>
  <c r="AI70" i="5"/>
  <c r="AH70" i="5"/>
  <c r="BC70" i="5"/>
  <c r="BB70" i="5"/>
  <c r="X71" i="5"/>
  <c r="BD71" i="5"/>
  <c r="X72" i="5"/>
  <c r="BD72" i="5"/>
  <c r="O75" i="5"/>
  <c r="Y75" i="5"/>
  <c r="N75" i="5"/>
  <c r="AT78" i="5"/>
  <c r="BE78" i="5"/>
  <c r="AU78" i="5"/>
  <c r="AN79" i="5"/>
  <c r="BE74" i="5"/>
  <c r="AU74" i="5"/>
  <c r="AT74" i="5"/>
  <c r="AN75" i="5"/>
  <c r="BT75" i="5"/>
  <c r="AN76" i="5"/>
  <c r="BT76" i="5"/>
  <c r="BB78" i="5"/>
  <c r="BC78" i="5"/>
  <c r="AD80" i="5"/>
  <c r="AO80" i="5"/>
  <c r="AE80" i="5"/>
  <c r="W73" i="5"/>
  <c r="V73" i="5"/>
  <c r="BE73" i="5"/>
  <c r="AT73" i="5"/>
  <c r="AU73" i="5"/>
  <c r="BO73" i="5"/>
  <c r="BN73" i="5"/>
  <c r="BD74" i="5"/>
  <c r="S77" i="5"/>
  <c r="R77" i="5"/>
  <c r="AM77" i="5"/>
  <c r="AL77" i="5"/>
  <c r="BO77" i="5"/>
  <c r="BN77" i="5"/>
  <c r="AH78" i="5"/>
  <c r="AI78" i="5"/>
  <c r="BN78" i="5"/>
  <c r="BO78" i="5"/>
  <c r="S80" i="5"/>
  <c r="R80" i="5"/>
  <c r="AO79" i="5"/>
  <c r="AD79" i="5"/>
  <c r="AE79" i="5"/>
  <c r="AY79" i="5"/>
  <c r="AX79" i="5"/>
  <c r="BR79" i="5"/>
  <c r="BS79" i="5"/>
  <c r="AN80" i="5"/>
  <c r="BD85" i="5"/>
  <c r="AC75" i="4"/>
  <c r="BD87" i="5" s="1"/>
  <c r="H85" i="5"/>
  <c r="E75" i="4"/>
  <c r="H87" i="5" s="1"/>
  <c r="E34" i="4"/>
  <c r="H46" i="5" s="1"/>
  <c r="E30" i="4"/>
  <c r="H42" i="5" s="1"/>
  <c r="E26" i="4"/>
  <c r="H38" i="5" s="1"/>
  <c r="E22" i="4"/>
  <c r="H34" i="5" s="1"/>
  <c r="E18" i="4"/>
  <c r="H30" i="5" s="1"/>
  <c r="V36" i="4"/>
  <c r="V40" i="4" s="1"/>
  <c r="BT85" i="5"/>
  <c r="AK75" i="4"/>
  <c r="BT87" i="5" s="1"/>
  <c r="C60" i="4"/>
  <c r="D72" i="5" s="1"/>
  <c r="C52" i="4"/>
  <c r="D64" i="5" s="1"/>
  <c r="BD28" i="5"/>
  <c r="BD48" i="5" s="1"/>
  <c r="BD52" i="5" s="1"/>
  <c r="AC36" i="4"/>
  <c r="AC40" i="4" s="1"/>
  <c r="E109" i="5"/>
  <c r="E86" i="4"/>
  <c r="C35" i="4"/>
  <c r="D47" i="5" s="1"/>
  <c r="C31" i="4"/>
  <c r="D43" i="5" s="1"/>
  <c r="C27" i="4"/>
  <c r="D39" i="5" s="1"/>
  <c r="C23" i="4"/>
  <c r="D35" i="5" s="1"/>
  <c r="C19" i="4"/>
  <c r="D31" i="5" s="1"/>
  <c r="BM48" i="5"/>
  <c r="BM52" i="5" s="1"/>
  <c r="AS48" i="5"/>
  <c r="AS52" i="5" s="1"/>
  <c r="BE28" i="5"/>
  <c r="U48" i="5"/>
  <c r="U52" i="5" s="1"/>
  <c r="E87" i="5"/>
  <c r="X59" i="5"/>
  <c r="L109" i="5"/>
  <c r="X107" i="5"/>
  <c r="AB109" i="5"/>
  <c r="AN109" i="5" s="1"/>
  <c r="AN107" i="5"/>
  <c r="AC109" i="5"/>
  <c r="AO107" i="5"/>
  <c r="AE107" i="5"/>
  <c r="AD107" i="5"/>
  <c r="AW109" i="5"/>
  <c r="AX107" i="5"/>
  <c r="AY107" i="5"/>
  <c r="BQ109" i="5"/>
  <c r="BR107" i="5"/>
  <c r="BS107" i="5"/>
  <c r="W108" i="5"/>
  <c r="V108" i="5"/>
  <c r="BE108" i="5"/>
  <c r="AT108" i="5"/>
  <c r="AU108" i="5"/>
  <c r="BO108" i="5"/>
  <c r="BN108" i="5"/>
  <c r="S110" i="5"/>
  <c r="R110" i="5"/>
  <c r="AM110" i="5"/>
  <c r="AL110" i="5"/>
  <c r="BU110" i="5"/>
  <c r="BK110" i="5"/>
  <c r="BJ110" i="5"/>
  <c r="AA44" i="5"/>
  <c r="BW46" i="5"/>
  <c r="AE57" i="5"/>
  <c r="AO57" i="5"/>
  <c r="AD57" i="5"/>
  <c r="AA47" i="5"/>
  <c r="AQ45" i="5"/>
  <c r="BG43" i="5"/>
  <c r="BC48" i="5"/>
  <c r="BC52" i="5" s="1"/>
  <c r="AI48" i="5"/>
  <c r="AI52" i="5" s="1"/>
  <c r="O48" i="5"/>
  <c r="O52" i="5" s="1"/>
  <c r="AA28" i="5"/>
  <c r="AA40" i="5"/>
  <c r="J39" i="5"/>
  <c r="AA37" i="5"/>
  <c r="E48" i="5"/>
  <c r="BA81" i="5"/>
  <c r="BC56" i="5"/>
  <c r="BB56" i="5"/>
  <c r="AH58" i="5"/>
  <c r="AI58" i="5"/>
  <c r="AM60" i="5"/>
  <c r="AL60" i="5"/>
  <c r="BR61" i="5"/>
  <c r="BS61" i="5"/>
  <c r="AG81" i="5"/>
  <c r="AH56" i="5"/>
  <c r="AI56" i="5"/>
  <c r="W57" i="5"/>
  <c r="V57" i="5"/>
  <c r="BC57" i="5"/>
  <c r="BB57" i="5"/>
  <c r="AN60" i="5"/>
  <c r="J60" i="5" s="1"/>
  <c r="BI81" i="5"/>
  <c r="BK56" i="5"/>
  <c r="BJ56" i="5"/>
  <c r="BU56" i="5"/>
  <c r="AI57" i="5"/>
  <c r="AH57" i="5"/>
  <c r="BO57" i="5"/>
  <c r="BN57" i="5"/>
  <c r="AL58" i="5"/>
  <c r="AM58" i="5"/>
  <c r="BR58" i="5"/>
  <c r="BS58" i="5"/>
  <c r="AL61" i="5"/>
  <c r="AM61" i="5"/>
  <c r="BN63" i="5"/>
  <c r="BO63" i="5"/>
  <c r="BO64" i="5"/>
  <c r="BN64" i="5"/>
  <c r="BJ65" i="5"/>
  <c r="BK65" i="5"/>
  <c r="BU65" i="5"/>
  <c r="BJ61" i="5"/>
  <c r="BU61" i="5"/>
  <c r="BK61" i="5"/>
  <c r="R65" i="5"/>
  <c r="S65" i="5"/>
  <c r="O63" i="5"/>
  <c r="N63" i="5"/>
  <c r="Y63" i="5"/>
  <c r="V65" i="5"/>
  <c r="W65" i="5"/>
  <c r="BB69" i="5"/>
  <c r="BC69" i="5"/>
  <c r="P81" i="5"/>
  <c r="AJ81" i="5"/>
  <c r="BH81" i="5"/>
  <c r="BT56" i="5"/>
  <c r="Y59" i="5"/>
  <c r="N59" i="5"/>
  <c r="O59" i="5"/>
  <c r="AH59" i="5"/>
  <c r="AI59" i="5"/>
  <c r="BB59" i="5"/>
  <c r="BC59" i="5"/>
  <c r="O60" i="5"/>
  <c r="Y60" i="5"/>
  <c r="N60" i="5"/>
  <c r="AE63" i="5"/>
  <c r="AO63" i="5"/>
  <c r="AD63" i="5"/>
  <c r="S64" i="5"/>
  <c r="R64" i="5"/>
  <c r="X65" i="5"/>
  <c r="J65" i="5" s="1"/>
  <c r="BD65" i="5"/>
  <c r="AH69" i="5"/>
  <c r="AI69" i="5"/>
  <c r="AN70" i="5"/>
  <c r="AM71" i="5"/>
  <c r="AL71" i="5"/>
  <c r="BT61" i="5"/>
  <c r="J61" i="5" s="1"/>
  <c r="BC63" i="5"/>
  <c r="BB63" i="5"/>
  <c r="BD66" i="5"/>
  <c r="AT69" i="5"/>
  <c r="AU69" i="5"/>
  <c r="BE69" i="5"/>
  <c r="BT64" i="5"/>
  <c r="N67" i="5"/>
  <c r="Y67" i="5"/>
  <c r="O67" i="5"/>
  <c r="AH67" i="5"/>
  <c r="AI67" i="5"/>
  <c r="BB67" i="5"/>
  <c r="BC67" i="5"/>
  <c r="X68" i="5"/>
  <c r="J68" i="5" s="1"/>
  <c r="BK71" i="5"/>
  <c r="BU71" i="5"/>
  <c r="BJ71" i="5"/>
  <c r="AT72" i="5"/>
  <c r="BE72" i="5"/>
  <c r="AU72" i="5"/>
  <c r="AE75" i="5"/>
  <c r="AO75" i="5"/>
  <c r="AD75" i="5"/>
  <c r="W68" i="5"/>
  <c r="V68" i="5"/>
  <c r="AU68" i="5"/>
  <c r="BE68" i="5"/>
  <c r="AT68" i="5"/>
  <c r="BO68" i="5"/>
  <c r="BN68" i="5"/>
  <c r="BD69" i="5"/>
  <c r="J69" i="5" s="1"/>
  <c r="R74" i="5"/>
  <c r="S74" i="5"/>
  <c r="AM75" i="5"/>
  <c r="AL75" i="5"/>
  <c r="AT76" i="5"/>
  <c r="BE76" i="5"/>
  <c r="AU76" i="5"/>
  <c r="V80" i="5"/>
  <c r="W80" i="5"/>
  <c r="AH74" i="5"/>
  <c r="AI74" i="5"/>
  <c r="BK75" i="5"/>
  <c r="BJ75" i="5"/>
  <c r="BU75" i="5"/>
  <c r="X77" i="5"/>
  <c r="AO62" i="5"/>
  <c r="AD62" i="5"/>
  <c r="AE62" i="5"/>
  <c r="AY62" i="5"/>
  <c r="AX62" i="5"/>
  <c r="BS62" i="5"/>
  <c r="BR62" i="5"/>
  <c r="AN63" i="5"/>
  <c r="J63" i="5" s="1"/>
  <c r="W66" i="5"/>
  <c r="V66" i="5"/>
  <c r="BE66" i="5"/>
  <c r="AU66" i="5"/>
  <c r="AT66" i="5"/>
  <c r="BO66" i="5"/>
  <c r="BN66" i="5"/>
  <c r="BD67" i="5"/>
  <c r="S70" i="5"/>
  <c r="R70" i="5"/>
  <c r="AM70" i="5"/>
  <c r="AL70" i="5"/>
  <c r="BU70" i="5"/>
  <c r="BK70" i="5"/>
  <c r="BJ70" i="5"/>
  <c r="S71" i="5"/>
  <c r="R71" i="5"/>
  <c r="AY71" i="5"/>
  <c r="AX71" i="5"/>
  <c r="R72" i="5"/>
  <c r="S72" i="5"/>
  <c r="AX72" i="5"/>
  <c r="AY72" i="5"/>
  <c r="BT73" i="5"/>
  <c r="J73" i="5" s="1"/>
  <c r="AD76" i="5"/>
  <c r="AO76" i="5"/>
  <c r="AE76" i="5"/>
  <c r="AL76" i="5"/>
  <c r="AM76" i="5"/>
  <c r="BR76" i="5"/>
  <c r="BS76" i="5"/>
  <c r="BT79" i="5"/>
  <c r="BK74" i="5"/>
  <c r="BJ74" i="5"/>
  <c r="BU74" i="5"/>
  <c r="AI75" i="5"/>
  <c r="AH75" i="5"/>
  <c r="BO75" i="5"/>
  <c r="BN75" i="5"/>
  <c r="AH76" i="5"/>
  <c r="AI76" i="5"/>
  <c r="BN76" i="5"/>
  <c r="BO76" i="5"/>
  <c r="BS77" i="5"/>
  <c r="BR77" i="5"/>
  <c r="AO73" i="5"/>
  <c r="AE73" i="5"/>
  <c r="AD73" i="5"/>
  <c r="AY73" i="5"/>
  <c r="AX73" i="5"/>
  <c r="BR73" i="5"/>
  <c r="BS73" i="5"/>
  <c r="AN74" i="5"/>
  <c r="J74" i="5" s="1"/>
  <c r="W77" i="5"/>
  <c r="V77" i="5"/>
  <c r="BE77" i="5"/>
  <c r="AU77" i="5"/>
  <c r="AT77" i="5"/>
  <c r="X78" i="5"/>
  <c r="BD78" i="5"/>
  <c r="O80" i="5"/>
  <c r="N80" i="5"/>
  <c r="Y80" i="5"/>
  <c r="AH80" i="5"/>
  <c r="AI80" i="5"/>
  <c r="Y79" i="5"/>
  <c r="N79" i="5"/>
  <c r="O79" i="5"/>
  <c r="AI79" i="5"/>
  <c r="AH79" i="5"/>
  <c r="BB79" i="5"/>
  <c r="BC79" i="5"/>
  <c r="X80" i="5"/>
  <c r="J80" i="5" s="1"/>
  <c r="E33" i="4"/>
  <c r="H45" i="5" s="1"/>
  <c r="E29" i="4"/>
  <c r="H41" i="5" s="1"/>
  <c r="E25" i="4"/>
  <c r="H37" i="5" s="1"/>
  <c r="E21" i="4"/>
  <c r="H33" i="5" s="1"/>
  <c r="N36" i="4"/>
  <c r="N40" i="4" s="1"/>
  <c r="BT28" i="5"/>
  <c r="BT48" i="5" s="1"/>
  <c r="BT52" i="5" s="1"/>
  <c r="AK36" i="4"/>
  <c r="AK40" i="4" s="1"/>
  <c r="C74" i="4"/>
  <c r="D86" i="5" s="1"/>
  <c r="X28" i="5"/>
  <c r="X48" i="5" s="1"/>
  <c r="X52" i="5" s="1"/>
  <c r="M36" i="4"/>
  <c r="M40" i="4" s="1"/>
  <c r="E84" i="4"/>
  <c r="C64" i="4"/>
  <c r="D76" i="5" s="1"/>
  <c r="C55" i="4"/>
  <c r="D67" i="5" s="1"/>
  <c r="C47" i="4"/>
  <c r="D59" i="5" s="1"/>
  <c r="C34" i="4"/>
  <c r="D46" i="5" s="1"/>
  <c r="C30" i="4"/>
  <c r="D42" i="5" s="1"/>
  <c r="C26" i="4"/>
  <c r="D38" i="5" s="1"/>
  <c r="C22" i="4"/>
  <c r="D34" i="5" s="1"/>
  <c r="C18" i="4"/>
  <c r="D30" i="5" s="1"/>
  <c r="C86" i="4"/>
  <c r="D109" i="5" s="1"/>
  <c r="BW70" i="5" l="1"/>
  <c r="BV70" i="5"/>
  <c r="BG68" i="5"/>
  <c r="BF68" i="5"/>
  <c r="BW64" i="5"/>
  <c r="BV64" i="5"/>
  <c r="AP59" i="5"/>
  <c r="AQ59" i="5"/>
  <c r="BG80" i="5"/>
  <c r="BF80" i="5"/>
  <c r="BW73" i="5"/>
  <c r="BV73" i="5"/>
  <c r="AO81" i="5"/>
  <c r="AQ56" i="5"/>
  <c r="AP56" i="5"/>
  <c r="BU109" i="5"/>
  <c r="BK109" i="5"/>
  <c r="BJ109" i="5"/>
  <c r="J45" i="5"/>
  <c r="J77" i="5"/>
  <c r="AQ75" i="5"/>
  <c r="AP75" i="5"/>
  <c r="E52" i="5"/>
  <c r="G108" i="5"/>
  <c r="G107" i="5"/>
  <c r="G109" i="5" s="1"/>
  <c r="G110" i="5"/>
  <c r="BW110" i="5"/>
  <c r="BV110" i="5"/>
  <c r="AQ107" i="5"/>
  <c r="AP107" i="5"/>
  <c r="J107" i="5"/>
  <c r="J75" i="5"/>
  <c r="J72" i="5"/>
  <c r="BW80" i="5"/>
  <c r="BV80" i="5"/>
  <c r="AP72" i="5"/>
  <c r="AQ72" i="5"/>
  <c r="BV58" i="5"/>
  <c r="BW58" i="5"/>
  <c r="BE81" i="5"/>
  <c r="BG56" i="5"/>
  <c r="BF56" i="5"/>
  <c r="J30" i="5"/>
  <c r="AA110" i="5"/>
  <c r="Z110" i="5"/>
  <c r="BV78" i="5"/>
  <c r="BW78" i="5"/>
  <c r="AQ70" i="5"/>
  <c r="AP70" i="5"/>
  <c r="AA66" i="5"/>
  <c r="Z66" i="5"/>
  <c r="BW62" i="5"/>
  <c r="BV62" i="5"/>
  <c r="AN81" i="5"/>
  <c r="BO81" i="5"/>
  <c r="BN81" i="5"/>
  <c r="V81" i="5"/>
  <c r="W81" i="5"/>
  <c r="AQ110" i="5"/>
  <c r="AP110" i="5"/>
  <c r="J108" i="5"/>
  <c r="BW79" i="5"/>
  <c r="BV79" i="5"/>
  <c r="BG70" i="5"/>
  <c r="BF70" i="5"/>
  <c r="BV67" i="5"/>
  <c r="BW67" i="5"/>
  <c r="BV69" i="5"/>
  <c r="BW69" i="5"/>
  <c r="AA64" i="5"/>
  <c r="Z64" i="5"/>
  <c r="BD81" i="5"/>
  <c r="Z65" i="5"/>
  <c r="AA65" i="5"/>
  <c r="BF61" i="5"/>
  <c r="BG61" i="5"/>
  <c r="BF58" i="5"/>
  <c r="BG58" i="5"/>
  <c r="Y81" i="5"/>
  <c r="AA56" i="5"/>
  <c r="Z56" i="5"/>
  <c r="J31" i="5"/>
  <c r="AH109" i="5"/>
  <c r="AI109" i="5"/>
  <c r="Y109" i="5"/>
  <c r="O109" i="5"/>
  <c r="BD109" i="5"/>
  <c r="BW57" i="5"/>
  <c r="BV57" i="5"/>
  <c r="BF72" i="5"/>
  <c r="BG72" i="5"/>
  <c r="BU81" i="5"/>
  <c r="BW56" i="5"/>
  <c r="BV56" i="5"/>
  <c r="BG71" i="5"/>
  <c r="BF71" i="5"/>
  <c r="AP69" i="5"/>
  <c r="AQ69" i="5"/>
  <c r="BW60" i="5"/>
  <c r="BV60" i="5"/>
  <c r="D28" i="5"/>
  <c r="D48" i="5" s="1"/>
  <c r="D52" i="5" s="1"/>
  <c r="C36" i="4"/>
  <c r="C40" i="4" s="1"/>
  <c r="BW77" i="5"/>
  <c r="BV77" i="5"/>
  <c r="AQ68" i="5"/>
  <c r="AP68" i="5"/>
  <c r="Z58" i="5"/>
  <c r="AA58" i="5"/>
  <c r="BG57" i="5"/>
  <c r="BF57" i="5"/>
  <c r="AA107" i="5"/>
  <c r="Z107" i="5"/>
  <c r="BV61" i="5"/>
  <c r="BW61" i="5"/>
  <c r="AA80" i="5"/>
  <c r="Z80" i="5"/>
  <c r="J78" i="5"/>
  <c r="BW74" i="5"/>
  <c r="BV74" i="5"/>
  <c r="BG66" i="5"/>
  <c r="BF66" i="5"/>
  <c r="BW75" i="5"/>
  <c r="BV75" i="5"/>
  <c r="BF76" i="5"/>
  <c r="BG76" i="5"/>
  <c r="BF69" i="5"/>
  <c r="BG69" i="5"/>
  <c r="AA60" i="5"/>
  <c r="Z60" i="5"/>
  <c r="Z59" i="5"/>
  <c r="AA59" i="5"/>
  <c r="BF108" i="5"/>
  <c r="BG108" i="5"/>
  <c r="AX109" i="5"/>
  <c r="AY109" i="5"/>
  <c r="AO109" i="5"/>
  <c r="AE109" i="5"/>
  <c r="AD109" i="5"/>
  <c r="X109" i="5"/>
  <c r="BG73" i="5"/>
  <c r="BF73" i="5"/>
  <c r="AQ80" i="5"/>
  <c r="AP80" i="5"/>
  <c r="AA75" i="5"/>
  <c r="Z75" i="5"/>
  <c r="AA70" i="5"/>
  <c r="Z70" i="5"/>
  <c r="BW66" i="5"/>
  <c r="BV66" i="5"/>
  <c r="Z76" i="5"/>
  <c r="AA76" i="5"/>
  <c r="BW68" i="5"/>
  <c r="BV68" i="5"/>
  <c r="AM81" i="5"/>
  <c r="AL81" i="5"/>
  <c r="J32" i="5"/>
  <c r="J44" i="5"/>
  <c r="BG107" i="5"/>
  <c r="BF107" i="5"/>
  <c r="W109" i="5"/>
  <c r="V109" i="5"/>
  <c r="D85" i="5"/>
  <c r="C75" i="4"/>
  <c r="D87" i="5" s="1"/>
  <c r="BG79" i="5"/>
  <c r="BF79" i="5"/>
  <c r="J67" i="5"/>
  <c r="AA68" i="5"/>
  <c r="Z68" i="5"/>
  <c r="AQ71" i="5"/>
  <c r="AP71" i="5"/>
  <c r="J66" i="5"/>
  <c r="BV63" i="5"/>
  <c r="BW63" i="5"/>
  <c r="BG64" i="5"/>
  <c r="BF64" i="5"/>
  <c r="AP61" i="5"/>
  <c r="AQ61" i="5"/>
  <c r="BG60" i="5"/>
  <c r="BF60" i="5"/>
  <c r="AD81" i="5"/>
  <c r="AE81" i="5"/>
  <c r="BG48" i="5"/>
  <c r="BG52" i="5" s="1"/>
  <c r="J50" i="5"/>
  <c r="R109" i="5"/>
  <c r="S109" i="5"/>
  <c r="Y48" i="5"/>
  <c r="Y52" i="5" s="1"/>
  <c r="AQ66" i="5"/>
  <c r="AP66" i="5"/>
  <c r="Z62" i="5"/>
  <c r="AA62" i="5"/>
  <c r="BG75" i="5"/>
  <c r="BF75" i="5"/>
  <c r="AA71" i="5"/>
  <c r="Z71" i="5"/>
  <c r="BF63" i="5"/>
  <c r="BG63" i="5"/>
  <c r="AY81" i="5"/>
  <c r="AX81" i="5"/>
  <c r="J33" i="5"/>
  <c r="AQ48" i="5"/>
  <c r="AQ52" i="5" s="1"/>
  <c r="BG110" i="5"/>
  <c r="BF110" i="5"/>
  <c r="BC109" i="5"/>
  <c r="BB109" i="5"/>
  <c r="AA57" i="5"/>
  <c r="Z57" i="5"/>
  <c r="AQ62" i="5"/>
  <c r="AP62" i="5"/>
  <c r="BB81" i="5"/>
  <c r="BC81" i="5"/>
  <c r="AQ57" i="5"/>
  <c r="AP57" i="5"/>
  <c r="AQ79" i="5"/>
  <c r="AP79" i="5"/>
  <c r="BG74" i="5"/>
  <c r="BF74" i="5"/>
  <c r="BF62" i="5"/>
  <c r="BG62" i="5"/>
  <c r="AP67" i="5"/>
  <c r="AQ67" i="5"/>
  <c r="AP58" i="5"/>
  <c r="AQ58" i="5"/>
  <c r="AT81" i="5"/>
  <c r="AU81" i="5"/>
  <c r="J86" i="5"/>
  <c r="J85" i="5"/>
  <c r="J87" i="5" s="1"/>
  <c r="J36" i="5"/>
  <c r="BV108" i="5"/>
  <c r="BW108" i="5"/>
  <c r="AA77" i="5"/>
  <c r="Z77" i="5"/>
  <c r="BF59" i="5"/>
  <c r="BG59" i="5"/>
  <c r="AP65" i="5"/>
  <c r="AQ65" i="5"/>
  <c r="Z108" i="5"/>
  <c r="AA108" i="5"/>
  <c r="AA73" i="5"/>
  <c r="Z73" i="5"/>
  <c r="AP78" i="5"/>
  <c r="AQ78" i="5"/>
  <c r="Z61" i="5"/>
  <c r="AA61" i="5"/>
  <c r="J29" i="5"/>
  <c r="J37" i="5"/>
  <c r="J42" i="5"/>
  <c r="BG77" i="5"/>
  <c r="BF77" i="5"/>
  <c r="AA79" i="5"/>
  <c r="Z79" i="5"/>
  <c r="AQ73" i="5"/>
  <c r="AP73" i="5"/>
  <c r="AP76" i="5"/>
  <c r="AQ76" i="5"/>
  <c r="BW71" i="5"/>
  <c r="BV71" i="5"/>
  <c r="Z67" i="5"/>
  <c r="AA67" i="5"/>
  <c r="AP63" i="5"/>
  <c r="AQ63" i="5"/>
  <c r="BT81" i="5"/>
  <c r="Z63" i="5"/>
  <c r="AA63" i="5"/>
  <c r="BV65" i="5"/>
  <c r="BW65" i="5"/>
  <c r="BJ81" i="5"/>
  <c r="BK81" i="5"/>
  <c r="AI81" i="5"/>
  <c r="AH81" i="5"/>
  <c r="AA48" i="5"/>
  <c r="AA52" i="5" s="1"/>
  <c r="J46" i="5"/>
  <c r="BS109" i="5"/>
  <c r="BR109" i="5"/>
  <c r="J59" i="5"/>
  <c r="BE48" i="5"/>
  <c r="BE52" i="5" s="1"/>
  <c r="BF78" i="5"/>
  <c r="BG78" i="5"/>
  <c r="J71" i="5"/>
  <c r="J64" i="5"/>
  <c r="X81" i="5"/>
  <c r="J81" i="5" s="1"/>
  <c r="J56" i="5"/>
  <c r="BF65" i="5"/>
  <c r="BG65" i="5"/>
  <c r="S81" i="5"/>
  <c r="R81" i="5"/>
  <c r="J28" i="5"/>
  <c r="J48" i="5" s="1"/>
  <c r="J52" i="5" s="1"/>
  <c r="J34" i="5"/>
  <c r="BW48" i="5"/>
  <c r="BW52" i="5" s="1"/>
  <c r="BN109" i="5"/>
  <c r="BO109" i="5"/>
  <c r="BE109" i="5"/>
  <c r="AU109" i="5"/>
  <c r="AT109" i="5"/>
  <c r="J38" i="5"/>
  <c r="AO48" i="5"/>
  <c r="AO52" i="5" s="1"/>
  <c r="AP74" i="5"/>
  <c r="AQ74" i="5"/>
  <c r="Z78" i="5"/>
  <c r="AA78" i="5"/>
  <c r="Z72" i="5"/>
  <c r="AA72" i="5"/>
  <c r="BF67" i="5"/>
  <c r="BG67" i="5"/>
  <c r="Z69" i="5"/>
  <c r="AA69" i="5"/>
  <c r="BW107" i="5"/>
  <c r="BV107" i="5"/>
  <c r="AM109" i="5"/>
  <c r="AL109" i="5"/>
  <c r="AQ77" i="5"/>
  <c r="AP77" i="5"/>
  <c r="AA74" i="5"/>
  <c r="Z74" i="5"/>
  <c r="BV76" i="5"/>
  <c r="BW76" i="5"/>
  <c r="BV72" i="5"/>
  <c r="BW72" i="5"/>
  <c r="AQ60" i="5"/>
  <c r="AP60" i="5"/>
  <c r="BV59" i="5"/>
  <c r="BW59" i="5"/>
  <c r="AQ64" i="5"/>
  <c r="AP64" i="5"/>
  <c r="N81" i="5"/>
  <c r="O81" i="5"/>
  <c r="BS81" i="5"/>
  <c r="BR81" i="5"/>
  <c r="J35" i="5"/>
  <c r="AQ108" i="5"/>
  <c r="AP108" i="5"/>
  <c r="N109" i="5"/>
  <c r="BT109" i="5"/>
  <c r="J41" i="5"/>
  <c r="BU48" i="5"/>
  <c r="BU52" i="5" s="1"/>
  <c r="J43" i="5"/>
  <c r="J47" i="5"/>
  <c r="BW109" i="5" l="1"/>
  <c r="BV109" i="5"/>
  <c r="BG109" i="5"/>
  <c r="BF109" i="5"/>
  <c r="J109" i="5"/>
  <c r="Z81" i="5"/>
  <c r="AA81" i="5"/>
  <c r="G77" i="5"/>
  <c r="G69" i="5"/>
  <c r="G75" i="5"/>
  <c r="G68" i="5"/>
  <c r="G70" i="5"/>
  <c r="G66" i="5"/>
  <c r="G60" i="5"/>
  <c r="G65" i="5"/>
  <c r="G64" i="5"/>
  <c r="G58" i="5"/>
  <c r="G61" i="5"/>
  <c r="G57" i="5"/>
  <c r="G59" i="5"/>
  <c r="G63" i="5"/>
  <c r="G80" i="5"/>
  <c r="G56" i="5"/>
  <c r="G71" i="5"/>
  <c r="G72" i="5"/>
  <c r="G76" i="5"/>
  <c r="G74" i="5"/>
  <c r="G62" i="5"/>
  <c r="G78" i="5"/>
  <c r="G79" i="5"/>
  <c r="G67" i="5"/>
  <c r="G73" i="5"/>
  <c r="G81" i="5"/>
  <c r="F43" i="5"/>
  <c r="F46" i="5"/>
  <c r="F31" i="5"/>
  <c r="F47" i="5"/>
  <c r="F42" i="5"/>
  <c r="F39" i="5"/>
  <c r="F30" i="5"/>
  <c r="F32" i="5"/>
  <c r="F37" i="5"/>
  <c r="F29" i="5"/>
  <c r="F86" i="5"/>
  <c r="F41" i="5"/>
  <c r="F44" i="5"/>
  <c r="F36" i="5"/>
  <c r="F28" i="5"/>
  <c r="F48" i="5" s="1"/>
  <c r="F52" i="5" s="1"/>
  <c r="F45" i="5"/>
  <c r="F85" i="5"/>
  <c r="F87" i="5" s="1"/>
  <c r="F40" i="5"/>
  <c r="F38" i="5"/>
  <c r="F35" i="5"/>
  <c r="F50" i="5"/>
  <c r="F34" i="5"/>
  <c r="F33" i="5"/>
  <c r="BW81" i="5"/>
  <c r="BV81" i="5"/>
  <c r="BF81" i="5"/>
  <c r="BG81" i="5"/>
  <c r="AQ109" i="5"/>
  <c r="AP109" i="5"/>
  <c r="AA109" i="5"/>
  <c r="Z109" i="5"/>
  <c r="AQ81" i="5"/>
  <c r="AP81" i="5"/>
</calcChain>
</file>

<file path=xl/sharedStrings.xml><?xml version="1.0" encoding="utf-8"?>
<sst xmlns="http://schemas.openxmlformats.org/spreadsheetml/2006/main" count="3039" uniqueCount="1599">
  <si>
    <t>на ________ год (на _________ период)</t>
  </si>
  <si>
    <t>Наименование заказчика</t>
  </si>
  <si>
    <t>Адрес местонахождения заказчика</t>
  </si>
  <si>
    <t>Телефон заказчика</t>
  </si>
  <si>
    <t>Электронная почта заказчика</t>
  </si>
  <si>
    <t>ИНН</t>
  </si>
  <si>
    <t>КПП</t>
  </si>
  <si>
    <t>ОКАТО</t>
  </si>
  <si>
    <t>Условия договора</t>
  </si>
  <si>
    <t>Способ закупки</t>
  </si>
  <si>
    <t>Закупка в электронной форме</t>
  </si>
  <si>
    <t>Наименование ЭТП</t>
  </si>
  <si>
    <t>Особая закупочная ситуация</t>
  </si>
  <si>
    <t>Основание закупки у ЕП</t>
  </si>
  <si>
    <t>Инициатор закупки</t>
  </si>
  <si>
    <t>Предмет договора</t>
  </si>
  <si>
    <t>Минимально необходимые требования, предъявляемые к закупаемым товарам (работам, услугам)</t>
  </si>
  <si>
    <t>Единица измерения</t>
  </si>
  <si>
    <t>Сведения о количестве (объеме)</t>
  </si>
  <si>
    <t>Регион поставки товаров (выполнения работ, оказания услуг)</t>
  </si>
  <si>
    <t>Источник финансирования (статья расходов)</t>
  </si>
  <si>
    <t>График осуществления процедур закупки</t>
  </si>
  <si>
    <t>Наименование</t>
  </si>
  <si>
    <t>Код по ОКАТО</t>
  </si>
  <si>
    <t>Срок исполнения договора (месяц, год)</t>
  </si>
  <si>
    <t>да/нет</t>
  </si>
  <si>
    <t>Цена договора</t>
  </si>
  <si>
    <t>11.1</t>
  </si>
  <si>
    <t>11.2</t>
  </si>
  <si>
    <t>__________________________________________________________________     ________________ "  " ______________ 20__ г.</t>
  </si>
  <si>
    <t xml:space="preserve"> (Ф.И.О., должность руководителя (уполномоченного лица) заказчика)         (подпись)        (дата утверждения)</t>
  </si>
  <si>
    <t xml:space="preserve">                                                                             МП</t>
  </si>
  <si>
    <t>Сведения о НМЦ договора (цене лота)</t>
  </si>
  <si>
    <t xml:space="preserve">Дата размещения извещения о закупке </t>
  </si>
  <si>
    <t>Дата рассмотрения заявок</t>
  </si>
  <si>
    <t>Срок исполнения договора</t>
  </si>
  <si>
    <t>(дд.мм.гггг)</t>
  </si>
  <si>
    <t>План
(мм.гггг)</t>
  </si>
  <si>
    <t>Факт
(дд.мм.гггг)</t>
  </si>
  <si>
    <t>План
(дд.мм.гггг)</t>
  </si>
  <si>
    <t>План</t>
  </si>
  <si>
    <t>Особые закупочные ситуации</t>
  </si>
  <si>
    <t>Код</t>
  </si>
  <si>
    <t>Статусы закупки:</t>
  </si>
  <si>
    <t>Закупки в рамках реализации ГОЗ</t>
  </si>
  <si>
    <t>ГОЗ</t>
  </si>
  <si>
    <t>Подготовка к проведению</t>
  </si>
  <si>
    <t>Анонсирование</t>
  </si>
  <si>
    <t>Закупки в целях реализации ФЦП</t>
  </si>
  <si>
    <t>ФЦП</t>
  </si>
  <si>
    <t>Закупки для реализации системных проектов</t>
  </si>
  <si>
    <t>РСП</t>
  </si>
  <si>
    <t>Заключение договора</t>
  </si>
  <si>
    <t>Закупки продукции по инфраструктурным видам деятельности</t>
  </si>
  <si>
    <t>ИВД</t>
  </si>
  <si>
    <t>Закупки инновационной и высокотехнологичной продукции</t>
  </si>
  <si>
    <t>ИВП</t>
  </si>
  <si>
    <t>Закупки с участием субъектов малого и среднего предпринимательства</t>
  </si>
  <si>
    <t>МСП</t>
  </si>
  <si>
    <t>Признана несостоявшейся</t>
  </si>
  <si>
    <t>Отменена</t>
  </si>
  <si>
    <t>Приостановлена</t>
  </si>
  <si>
    <t>Завершена</t>
  </si>
  <si>
    <t>Планируемая дата или период размещения извещения о закупке (месяц, год)</t>
  </si>
  <si>
    <t>6.6.2(1)</t>
  </si>
  <si>
    <t>6.6.2(2)</t>
  </si>
  <si>
    <t>6.6.2(3)</t>
  </si>
  <si>
    <t>6.6.2(4)</t>
  </si>
  <si>
    <t>6.6.2(5)</t>
  </si>
  <si>
    <t>6.6.2(6)</t>
  </si>
  <si>
    <t>6.6.2(7)</t>
  </si>
  <si>
    <t>6.6.2(8)</t>
  </si>
  <si>
    <t>6.6.2(10)</t>
  </si>
  <si>
    <t>6.6.2(11)</t>
  </si>
  <si>
    <t>6.6.2(12)</t>
  </si>
  <si>
    <t>6.6.2(13)</t>
  </si>
  <si>
    <t>6.6.2(14)</t>
  </si>
  <si>
    <t>6.6.2(15)</t>
  </si>
  <si>
    <t>6.6.2(16)</t>
  </si>
  <si>
    <t>6.6.2(17)</t>
  </si>
  <si>
    <t>6.6.2(18)</t>
  </si>
  <si>
    <t>6.6.2(19)</t>
  </si>
  <si>
    <t>6.6.2(20)</t>
  </si>
  <si>
    <t>6.6.2(21)</t>
  </si>
  <si>
    <t>6.6.2(22)</t>
  </si>
  <si>
    <t>6.6.2(23)</t>
  </si>
  <si>
    <t>6.6.2(24)</t>
  </si>
  <si>
    <t>6.6.2(25)</t>
  </si>
  <si>
    <t>6.6.2(26)</t>
  </si>
  <si>
    <t>6.6.2(27)</t>
  </si>
  <si>
    <t>6.6.2(28)</t>
  </si>
  <si>
    <t>6.6.2(29)</t>
  </si>
  <si>
    <t>6.6.2(30)</t>
  </si>
  <si>
    <t>6.6.2(33)</t>
  </si>
  <si>
    <t>6.6.2(34)</t>
  </si>
  <si>
    <t>6.6.2(35)</t>
  </si>
  <si>
    <t>6.6.2(37)</t>
  </si>
  <si>
    <t>6.6.2(38)</t>
  </si>
  <si>
    <t>Не применимо</t>
  </si>
  <si>
    <t>Открытый конкурс</t>
  </si>
  <si>
    <t>ОК</t>
  </si>
  <si>
    <t>Открытый аукцион</t>
  </si>
  <si>
    <t>ОА</t>
  </si>
  <si>
    <t>Открытый редукцион</t>
  </si>
  <si>
    <t>ОР</t>
  </si>
  <si>
    <t>Открытый запрос предложений</t>
  </si>
  <si>
    <t>ОЗП</t>
  </si>
  <si>
    <t>Открытый запрос котировок</t>
  </si>
  <si>
    <t>ОЗК</t>
  </si>
  <si>
    <t>Закупка у единственного поставщика</t>
  </si>
  <si>
    <t>ЕП</t>
  </si>
  <si>
    <t>Прочие маркеры:</t>
  </si>
  <si>
    <t>Да</t>
  </si>
  <si>
    <t>Нет</t>
  </si>
  <si>
    <t>Плановые показатели закупочной деятельности</t>
  </si>
  <si>
    <t>Количество</t>
  </si>
  <si>
    <t>%</t>
  </si>
  <si>
    <t>Общее количество закупок</t>
  </si>
  <si>
    <t>Общая сумма закупок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</si>
  <si>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</si>
  <si>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</si>
  <si>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</si>
  <si>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</si>
  <si>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</si>
  <si>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</si>
  <si>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</si>
  <si>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</si>
  <si>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</si>
  <si>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</si>
  <si>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</si>
  <si>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</si>
  <si>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</si>
  <si>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</si>
  <si>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</si>
  <si>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</si>
  <si>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</si>
  <si>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</si>
  <si>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</si>
  <si>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</si>
  <si>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</si>
  <si>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</si>
  <si>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15.1</t>
  </si>
  <si>
    <t>15.3</t>
  </si>
  <si>
    <t>15.4</t>
  </si>
  <si>
    <t>15.8</t>
  </si>
  <si>
    <t>15.9</t>
  </si>
  <si>
    <t>15.10</t>
  </si>
  <si>
    <t>Участниками которых являются любые участники процедуры закупки, в том числе субъекты МСП</t>
  </si>
  <si>
    <t>Закупки у МСП:</t>
  </si>
  <si>
    <t>Участниками которых являются только субъекты МСП</t>
  </si>
  <si>
    <t>В отношении участников которых устанавливается требование о привлечении к исполнению договора субподрядчиков (соисполнителей) из числа субъектов МСП</t>
  </si>
  <si>
    <t>26</t>
  </si>
  <si>
    <t>27</t>
  </si>
  <si>
    <t>28</t>
  </si>
  <si>
    <t>По статусам закупок</t>
  </si>
  <si>
    <t>30</t>
  </si>
  <si>
    <t>Перечень потенциальных поставщиков</t>
  </si>
  <si>
    <t>15.11</t>
  </si>
  <si>
    <t>Основные условия предложения победителя/ЕП</t>
  </si>
  <si>
    <t>Код по ОКЕИ</t>
  </si>
  <si>
    <t>Дата получения ЗП запроса на проведение закупки</t>
  </si>
  <si>
    <t>Способ закупки (факт)</t>
  </si>
  <si>
    <t>19.16.3(1)</t>
  </si>
  <si>
    <t>19.16.3(2)</t>
  </si>
  <si>
    <t>19.16.3(3)</t>
  </si>
  <si>
    <t>11.3</t>
  </si>
  <si>
    <t>Закрытый конкурс</t>
  </si>
  <si>
    <t>Закрытый аукцион</t>
  </si>
  <si>
    <t>Закрытый редукцион</t>
  </si>
  <si>
    <t>Закрытый запрос предложений</t>
  </si>
  <si>
    <t>Закрытый запрос котировок</t>
  </si>
  <si>
    <t>Открытый конкурс с квалификационным отбором</t>
  </si>
  <si>
    <t>ОКсКО</t>
  </si>
  <si>
    <t>ОАсКО</t>
  </si>
  <si>
    <t>ОРсКО</t>
  </si>
  <si>
    <t>Открытый аукцион с квалификационным отбором</t>
  </si>
  <si>
    <t>Открытый редукцион с квалификационным отбором</t>
  </si>
  <si>
    <t>Открытый запрос предложений с квалификационным отбором</t>
  </si>
  <si>
    <t>ОЗПсКО</t>
  </si>
  <si>
    <t>ОЗКсКО</t>
  </si>
  <si>
    <t>Открытый запрос котировок с квалификационным отбором</t>
  </si>
  <si>
    <t>Закрытый конкурс с квалификационным отбором</t>
  </si>
  <si>
    <t>Закрытый аукцион с квалификационным отбором</t>
  </si>
  <si>
    <t>Закрытый редукцион с квалификационным отбором</t>
  </si>
  <si>
    <t>Закрытый запрос предложений с квалификационным отбором</t>
  </si>
  <si>
    <t>Закрытый запрос котировок с квалификационным отбором</t>
  </si>
  <si>
    <t>ЗК</t>
  </si>
  <si>
    <t>ЗКсКО</t>
  </si>
  <si>
    <t>ЗА</t>
  </si>
  <si>
    <t>ЗАсКО</t>
  </si>
  <si>
    <t>ЗРсКО</t>
  </si>
  <si>
    <t>ЗР</t>
  </si>
  <si>
    <t>ЗЗП</t>
  </si>
  <si>
    <t>ЗЗПсКО</t>
  </si>
  <si>
    <t>ЗЗКсКО</t>
  </si>
  <si>
    <t>ЗЗК</t>
  </si>
  <si>
    <t>Квалификационный отбор для серии закупок</t>
  </si>
  <si>
    <t>КОСЗ</t>
  </si>
  <si>
    <t>Перечень организаторов</t>
  </si>
  <si>
    <t>ОАО "РТ-Логистика"</t>
  </si>
  <si>
    <t>ОАО "РТ-Медицина"</t>
  </si>
  <si>
    <t>ООО "РТ-Информ"</t>
  </si>
  <si>
    <t>ООО "РТ-Комплектимпекс"</t>
  </si>
  <si>
    <t>ООО "РТ-Экспо"</t>
  </si>
  <si>
    <t>Сторонний организатор закупки</t>
  </si>
  <si>
    <t>Статус (этап) закупки</t>
  </si>
  <si>
    <t>Наименование контрагента</t>
  </si>
  <si>
    <t>ИНН контрагента</t>
  </si>
  <si>
    <t>ИНН победителя/ЕП</t>
  </si>
  <si>
    <t>Наименование победителя закупки/ЕП</t>
  </si>
  <si>
    <t>Наименование организатора</t>
  </si>
  <si>
    <t>Индивидуальный № квалификационного отбора</t>
  </si>
  <si>
    <t>Примечание</t>
  </si>
  <si>
    <t>Индивидуальный номер</t>
  </si>
  <si>
    <t>Предмет договора (Наименование закупаемой продукции, работ, услуг)</t>
  </si>
  <si>
    <t>23</t>
  </si>
  <si>
    <t>24</t>
  </si>
  <si>
    <t>Способ закупки (план)</t>
  </si>
  <si>
    <t>Дата заключения договора</t>
  </si>
  <si>
    <t>Экономический эффект</t>
  </si>
  <si>
    <t>В стоимостном выражении</t>
  </si>
  <si>
    <t>В процентном выражении</t>
  </si>
  <si>
    <t>руб.</t>
  </si>
  <si>
    <t>Количество участников, подавших предложения</t>
  </si>
  <si>
    <t>Количество участников, предложения которых были отклонены</t>
  </si>
  <si>
    <t>Цена договора, руб.</t>
  </si>
  <si>
    <t>Реквизиты договора</t>
  </si>
  <si>
    <t>№</t>
  </si>
  <si>
    <t>Для закрытых закупок и закупок по результатам квалификационного отбора для серии закупок</t>
  </si>
  <si>
    <t>Закупка у МСП</t>
  </si>
  <si>
    <t>32</t>
  </si>
  <si>
    <t>29</t>
  </si>
  <si>
    <t>31</t>
  </si>
  <si>
    <t>33</t>
  </si>
  <si>
    <t>34</t>
  </si>
  <si>
    <t>35</t>
  </si>
  <si>
    <t>36</t>
  </si>
  <si>
    <t>37</t>
  </si>
  <si>
    <t>Наличие жалоб по закупке</t>
  </si>
  <si>
    <t>Итого по конкурентным закупкам:</t>
  </si>
  <si>
    <t>% от общего количества</t>
  </si>
  <si>
    <t>%  от общего количества</t>
  </si>
  <si>
    <t>Итого по сторонним организаторам:</t>
  </si>
  <si>
    <t>% от общей суммы закупок</t>
  </si>
  <si>
    <t>Закупки, проводимые сторонними организаторами</t>
  </si>
  <si>
    <t>Форма закупки</t>
  </si>
  <si>
    <t>Электронная</t>
  </si>
  <si>
    <t>Факт</t>
  </si>
  <si>
    <t>Открытый конкурс с КО</t>
  </si>
  <si>
    <t>Открытый аукцион с КО</t>
  </si>
  <si>
    <t>Открытый редукцион с КО</t>
  </si>
  <si>
    <t>Открытый запрос предложений с КО</t>
  </si>
  <si>
    <t>Открытый запрос котировок с КО</t>
  </si>
  <si>
    <t>Закрытый конкурс с КО</t>
  </si>
  <si>
    <t>Закрытый аукцион с КО</t>
  </si>
  <si>
    <t>Закрытый редукцион с КО</t>
  </si>
  <si>
    <t>Закрытый запрос предложений с КО</t>
  </si>
  <si>
    <t>Закрытый запрос котировок с КО</t>
  </si>
  <si>
    <t>КО для серии закупок</t>
  </si>
  <si>
    <t>ОБЩИЙ ИТОГ:</t>
  </si>
  <si>
    <t>Итого по формам закупок:</t>
  </si>
  <si>
    <t>Экономический эффект от закупок организатора
(без учета вознаграждения)</t>
  </si>
  <si>
    <t>Закупка по результатам квалификационного отбора для серии закупок</t>
  </si>
  <si>
    <t>Заказчик</t>
  </si>
  <si>
    <t>ГК "Ростех"</t>
  </si>
  <si>
    <t>6.6.2(32)</t>
  </si>
  <si>
    <t>6.6.2(36)</t>
  </si>
  <si>
    <t>6.6.2(9)</t>
  </si>
  <si>
    <t>Дата подведения итогов закупки</t>
  </si>
  <si>
    <t>Сумма предложения победителя, руб. (по протоколу подведения итогов закупки/принятия решения о закупке у ЕП)</t>
  </si>
  <si>
    <t>Дата (дд.мм.гггг)</t>
  </si>
  <si>
    <t>Факт
(мм.гггг)/
(мм.гггг-мм.гггг)</t>
  </si>
  <si>
    <t>Отчет об исполнении плановых/сводных плановых показателей закупочной деятельности</t>
  </si>
  <si>
    <t>Отчет об исполнении РПЗ/ПЗ, ПЗИП</t>
  </si>
  <si>
    <t>План закупки</t>
  </si>
  <si>
    <t>РПЗ</t>
  </si>
  <si>
    <t>ПЗ</t>
  </si>
  <si>
    <t>ПЗИП</t>
  </si>
  <si>
    <t>Количество принятых решений</t>
  </si>
  <si>
    <t>Количество лотов, по которым приняты решения</t>
  </si>
  <si>
    <t>I квартал</t>
  </si>
  <si>
    <t>II квартал</t>
  </si>
  <si>
    <t>III квартал</t>
  </si>
  <si>
    <t>IV квартал</t>
  </si>
  <si>
    <t>Итого по кварталу I</t>
  </si>
  <si>
    <t>Итого по кварталу II</t>
  </si>
  <si>
    <t>Итого по кварталу III</t>
  </si>
  <si>
    <t>Итого по кварталу IV</t>
  </si>
  <si>
    <t>НМЦ, руб.</t>
  </si>
  <si>
    <t>Количество, ед.</t>
  </si>
  <si>
    <t>Плановая корректировка</t>
  </si>
  <si>
    <t>Внеплановая корректировка</t>
  </si>
  <si>
    <t>Планируемая сумма расходов в плановом периоде, руб.</t>
  </si>
  <si>
    <t>Сведения о НМЦ договора (цене лота), руб.</t>
  </si>
  <si>
    <t>15.2</t>
  </si>
  <si>
    <t>15.5</t>
  </si>
  <si>
    <t>15.6</t>
  </si>
  <si>
    <t>15.7</t>
  </si>
  <si>
    <t>Реквизиты контракта</t>
  </si>
  <si>
    <t>№, дд.мм.гггг</t>
  </si>
  <si>
    <t>25</t>
  </si>
  <si>
    <t>Стоимостное выражение, руб.</t>
  </si>
  <si>
    <t>на</t>
  </si>
  <si>
    <t>год</t>
  </si>
  <si>
    <t>Год</t>
  </si>
  <si>
    <t xml:space="preserve">Январь </t>
  </si>
  <si>
    <t xml:space="preserve">Февраль </t>
  </si>
  <si>
    <t xml:space="preserve">Март </t>
  </si>
  <si>
    <t xml:space="preserve">Апрель </t>
  </si>
  <si>
    <t xml:space="preserve">Май </t>
  </si>
  <si>
    <t xml:space="preserve">Июнь </t>
  </si>
  <si>
    <t xml:space="preserve">Июль </t>
  </si>
  <si>
    <t xml:space="preserve">Август </t>
  </si>
  <si>
    <t xml:space="preserve">Сентябрь </t>
  </si>
  <si>
    <t xml:space="preserve">Октябрь </t>
  </si>
  <si>
    <t xml:space="preserve">Ноябрь </t>
  </si>
  <si>
    <t xml:space="preserve">Декабрь </t>
  </si>
  <si>
    <t>квартал</t>
  </si>
  <si>
    <t>года</t>
  </si>
  <si>
    <t>Сведения о корректировках РПЗ, ПЗ, ПЗИП</t>
  </si>
  <si>
    <t>Ответственное лицо
(Ф. И. О., e-mail, телефон)</t>
  </si>
  <si>
    <t>АО "Технодинамика"</t>
  </si>
  <si>
    <t>ОПУ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</si>
  <si>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</si>
  <si>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</si>
  <si>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</si>
  <si>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</si>
  <si>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</si>
  <si>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</si>
  <si>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</si>
  <si>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</si>
  <si>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</si>
  <si>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</si>
  <si>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1200</t>
  </si>
  <si>
    <t>1400</t>
  </si>
  <si>
    <t>1500</t>
  </si>
  <si>
    <t>1600</t>
  </si>
  <si>
    <t>0201</t>
  </si>
  <si>
    <t>0301</t>
  </si>
  <si>
    <t>0401</t>
  </si>
  <si>
    <t>0501</t>
  </si>
  <si>
    <t>0601</t>
  </si>
  <si>
    <t>0701</t>
  </si>
  <si>
    <t>0801</t>
  </si>
  <si>
    <t>0901</t>
  </si>
  <si>
    <t>1001</t>
  </si>
  <si>
    <t>1201</t>
  </si>
  <si>
    <t>1401</t>
  </si>
  <si>
    <t>1501</t>
  </si>
  <si>
    <t>1601</t>
  </si>
  <si>
    <t>0202</t>
  </si>
  <si>
    <t>0302</t>
  </si>
  <si>
    <t>0402</t>
  </si>
  <si>
    <t>0502</t>
  </si>
  <si>
    <t>0602</t>
  </si>
  <si>
    <t>0702</t>
  </si>
  <si>
    <t>0802</t>
  </si>
  <si>
    <t>0902</t>
  </si>
  <si>
    <t>1002</t>
  </si>
  <si>
    <t>1202</t>
  </si>
  <si>
    <t>1402</t>
  </si>
  <si>
    <t>1502</t>
  </si>
  <si>
    <t>1602</t>
  </si>
  <si>
    <t>0203</t>
  </si>
  <si>
    <t>0303</t>
  </si>
  <si>
    <t>0403</t>
  </si>
  <si>
    <t>0603</t>
  </si>
  <si>
    <t>0903</t>
  </si>
  <si>
    <t>1003</t>
  </si>
  <si>
    <t>1203</t>
  </si>
  <si>
    <t>1403</t>
  </si>
  <si>
    <t>1603</t>
  </si>
  <si>
    <t>0204</t>
  </si>
  <si>
    <t>0404</t>
  </si>
  <si>
    <t>0504</t>
  </si>
  <si>
    <t>0604</t>
  </si>
  <si>
    <t>0804</t>
  </si>
  <si>
    <t>0904</t>
  </si>
  <si>
    <t>1004</t>
  </si>
  <si>
    <t>1204</t>
  </si>
  <si>
    <t>1504</t>
  </si>
  <si>
    <t>1604</t>
  </si>
  <si>
    <t>0205</t>
  </si>
  <si>
    <t>0405</t>
  </si>
  <si>
    <t>0505</t>
  </si>
  <si>
    <t>0605</t>
  </si>
  <si>
    <t>0805</t>
  </si>
  <si>
    <t>0905</t>
  </si>
  <si>
    <t>1005</t>
  </si>
  <si>
    <t>1205</t>
  </si>
  <si>
    <t>1605</t>
  </si>
  <si>
    <t>0206</t>
  </si>
  <si>
    <t>0406</t>
  </si>
  <si>
    <t>0506</t>
  </si>
  <si>
    <t>0606</t>
  </si>
  <si>
    <t>0806</t>
  </si>
  <si>
    <t>0906</t>
  </si>
  <si>
    <t>1006</t>
  </si>
  <si>
    <t>1206</t>
  </si>
  <si>
    <t>1406</t>
  </si>
  <si>
    <t>1606</t>
  </si>
  <si>
    <t>0207</t>
  </si>
  <si>
    <t>0407</t>
  </si>
  <si>
    <t>0507</t>
  </si>
  <si>
    <t>0607</t>
  </si>
  <si>
    <t>0807</t>
  </si>
  <si>
    <t>1007</t>
  </si>
  <si>
    <t>1207</t>
  </si>
  <si>
    <t>1407</t>
  </si>
  <si>
    <t>1607</t>
  </si>
  <si>
    <t>0208</t>
  </si>
  <si>
    <t>0408</t>
  </si>
  <si>
    <t>0508</t>
  </si>
  <si>
    <t>0608</t>
  </si>
  <si>
    <t>0808</t>
  </si>
  <si>
    <t>1008</t>
  </si>
  <si>
    <t>1208</t>
  </si>
  <si>
    <t>1408</t>
  </si>
  <si>
    <t>1608</t>
  </si>
  <si>
    <t>0209</t>
  </si>
  <si>
    <t>0409</t>
  </si>
  <si>
    <t>0609</t>
  </si>
  <si>
    <t>0809</t>
  </si>
  <si>
    <t>1009</t>
  </si>
  <si>
    <t>1209</t>
  </si>
  <si>
    <t>1409</t>
  </si>
  <si>
    <t>1609</t>
  </si>
  <si>
    <t>0210</t>
  </si>
  <si>
    <t>0410</t>
  </si>
  <si>
    <t>0610</t>
  </si>
  <si>
    <t>0810</t>
  </si>
  <si>
    <t>1010</t>
  </si>
  <si>
    <t>1210</t>
  </si>
  <si>
    <t>1410</t>
  </si>
  <si>
    <t>1610</t>
  </si>
  <si>
    <t>0211</t>
  </si>
  <si>
    <t>0411</t>
  </si>
  <si>
    <t>0511</t>
  </si>
  <si>
    <t>0611</t>
  </si>
  <si>
    <t>0811</t>
  </si>
  <si>
    <t>1211</t>
  </si>
  <si>
    <t>1411</t>
  </si>
  <si>
    <t>1611</t>
  </si>
  <si>
    <t>0412</t>
  </si>
  <si>
    <t>0512</t>
  </si>
  <si>
    <t>0612</t>
  </si>
  <si>
    <t>0812</t>
  </si>
  <si>
    <t>1012</t>
  </si>
  <si>
    <t>1212</t>
  </si>
  <si>
    <t>1412</t>
  </si>
  <si>
    <t>1612</t>
  </si>
  <si>
    <t>0413</t>
  </si>
  <si>
    <t>0613</t>
  </si>
  <si>
    <t>0813</t>
  </si>
  <si>
    <t>1013</t>
  </si>
  <si>
    <t>1213</t>
  </si>
  <si>
    <t>1413</t>
  </si>
  <si>
    <t>1613</t>
  </si>
  <si>
    <t>0214</t>
  </si>
  <si>
    <t>0414</t>
  </si>
  <si>
    <t>0514</t>
  </si>
  <si>
    <t>0614</t>
  </si>
  <si>
    <t>0814</t>
  </si>
  <si>
    <t>1014</t>
  </si>
  <si>
    <t>1214</t>
  </si>
  <si>
    <t>1414</t>
  </si>
  <si>
    <t>1614</t>
  </si>
  <si>
    <t>0515</t>
  </si>
  <si>
    <t>0615</t>
  </si>
  <si>
    <t>0815</t>
  </si>
  <si>
    <t>1215</t>
  </si>
  <si>
    <t>1415</t>
  </si>
  <si>
    <t>0616</t>
  </si>
  <si>
    <t>0816</t>
  </si>
  <si>
    <t>1216</t>
  </si>
  <si>
    <t>1416</t>
  </si>
  <si>
    <t>0517</t>
  </si>
  <si>
    <t>0617</t>
  </si>
  <si>
    <t>0817</t>
  </si>
  <si>
    <t>1217</t>
  </si>
  <si>
    <t>0618</t>
  </si>
  <si>
    <t>0818</t>
  </si>
  <si>
    <t>1418</t>
  </si>
  <si>
    <t>0519</t>
  </si>
  <si>
    <t>0619</t>
  </si>
  <si>
    <t>0819</t>
  </si>
  <si>
    <t>1219</t>
  </si>
  <si>
    <t>1419</t>
  </si>
  <si>
    <t>0620</t>
  </si>
  <si>
    <t>0820</t>
  </si>
  <si>
    <t>1420</t>
  </si>
  <si>
    <t>0521</t>
  </si>
  <si>
    <t>0621</t>
  </si>
  <si>
    <t>0821</t>
  </si>
  <si>
    <t>1421</t>
  </si>
  <si>
    <t>0522</t>
  </si>
  <si>
    <t>0622</t>
  </si>
  <si>
    <t>0822</t>
  </si>
  <si>
    <t>0523</t>
  </si>
  <si>
    <t>0623</t>
  </si>
  <si>
    <t>0823</t>
  </si>
  <si>
    <t>0524</t>
  </si>
  <si>
    <t>0624</t>
  </si>
  <si>
    <t>0824</t>
  </si>
  <si>
    <t>1424</t>
  </si>
  <si>
    <t>0525</t>
  </si>
  <si>
    <t>0625</t>
  </si>
  <si>
    <t>0825</t>
  </si>
  <si>
    <t>0526</t>
  </si>
  <si>
    <t>0626</t>
  </si>
  <si>
    <t>0826</t>
  </si>
  <si>
    <t>1426</t>
  </si>
  <si>
    <t>0527</t>
  </si>
  <si>
    <t>0627</t>
  </si>
  <si>
    <t>0528</t>
  </si>
  <si>
    <t>0628</t>
  </si>
  <si>
    <t>0828</t>
  </si>
  <si>
    <t>1428</t>
  </si>
  <si>
    <t>0529</t>
  </si>
  <si>
    <t>0629</t>
  </si>
  <si>
    <t>0829</t>
  </si>
  <si>
    <t>1429</t>
  </si>
  <si>
    <t>0530</t>
  </si>
  <si>
    <t>0630</t>
  </si>
  <si>
    <t>0830</t>
  </si>
  <si>
    <t>1430</t>
  </si>
  <si>
    <t>0531</t>
  </si>
  <si>
    <t>0631</t>
  </si>
  <si>
    <t>1431</t>
  </si>
  <si>
    <t>0532</t>
  </si>
  <si>
    <t>0632</t>
  </si>
  <si>
    <t>0832</t>
  </si>
  <si>
    <t>1432</t>
  </si>
  <si>
    <t>0533</t>
  </si>
  <si>
    <t>0633</t>
  </si>
  <si>
    <t>0833</t>
  </si>
  <si>
    <t>1433</t>
  </si>
  <si>
    <t>0534</t>
  </si>
  <si>
    <t>0634</t>
  </si>
  <si>
    <t>0834</t>
  </si>
  <si>
    <t>1434</t>
  </si>
  <si>
    <t>0535</t>
  </si>
  <si>
    <t>0635</t>
  </si>
  <si>
    <t>0835</t>
  </si>
  <si>
    <t>1435</t>
  </si>
  <si>
    <t>0536</t>
  </si>
  <si>
    <t>0636</t>
  </si>
  <si>
    <t>0836</t>
  </si>
  <si>
    <t>1436</t>
  </si>
  <si>
    <t>0537</t>
  </si>
  <si>
    <t>0637</t>
  </si>
  <si>
    <t>1437</t>
  </si>
  <si>
    <t>0538</t>
  </si>
  <si>
    <t>0638</t>
  </si>
  <si>
    <t>0838</t>
  </si>
  <si>
    <t>1438</t>
  </si>
  <si>
    <t>0539</t>
  </si>
  <si>
    <t>0639</t>
  </si>
  <si>
    <t>0839</t>
  </si>
  <si>
    <t>1439</t>
  </si>
  <si>
    <t>0540</t>
  </si>
  <si>
    <t>0640</t>
  </si>
  <si>
    <t>0840</t>
  </si>
  <si>
    <t>1440</t>
  </si>
  <si>
    <t>0541</t>
  </si>
  <si>
    <t>0641</t>
  </si>
  <si>
    <t>0841</t>
  </si>
  <si>
    <t>1441</t>
  </si>
  <si>
    <t>0542</t>
  </si>
  <si>
    <t>0642</t>
  </si>
  <si>
    <t>0842</t>
  </si>
  <si>
    <t>1442</t>
  </si>
  <si>
    <t>0643</t>
  </si>
  <si>
    <t>0843</t>
  </si>
  <si>
    <t>0544</t>
  </si>
  <si>
    <t>0644</t>
  </si>
  <si>
    <t>0844</t>
  </si>
  <si>
    <t>0545</t>
  </si>
  <si>
    <t>0645</t>
  </si>
  <si>
    <t>0646</t>
  </si>
  <si>
    <t>0846</t>
  </si>
  <si>
    <t>0647</t>
  </si>
  <si>
    <t>0847</t>
  </si>
  <si>
    <t>0548</t>
  </si>
  <si>
    <t>0648</t>
  </si>
  <si>
    <t>0848</t>
  </si>
  <si>
    <t>0549</t>
  </si>
  <si>
    <t>0649</t>
  </si>
  <si>
    <t>0650</t>
  </si>
  <si>
    <t>0651</t>
  </si>
  <si>
    <t>0653</t>
  </si>
  <si>
    <t>0654</t>
  </si>
  <si>
    <t>0655</t>
  </si>
  <si>
    <t>0656</t>
  </si>
  <si>
    <t>Расширенный план централизованных (консолидированных) закупок</t>
  </si>
  <si>
    <t>Дата открытия доступа к заявкам/вскрытия конвертов</t>
  </si>
  <si>
    <t>1615</t>
  </si>
  <si>
    <t>1616</t>
  </si>
  <si>
    <t>1617</t>
  </si>
  <si>
    <t>1618</t>
  </si>
  <si>
    <t>Расширенный план закупки товаров (работ, услуг)</t>
  </si>
  <si>
    <t>Код по ОКДП2</t>
  </si>
  <si>
    <t>Код по ОКВЭД2</t>
  </si>
  <si>
    <t>Код по ОКПД2</t>
  </si>
  <si>
    <t>АО "Вертолеты России"</t>
  </si>
  <si>
    <t>АО "Станкопром"</t>
  </si>
  <si>
    <t>ООО "РТ-Страхование"</t>
  </si>
  <si>
    <t>АО "НПО "Высокоточные комплексы"</t>
  </si>
  <si>
    <t>ООО "РТ-Развитие бизнеса"</t>
  </si>
  <si>
    <t>АО "Концерн "Автоматика"</t>
  </si>
  <si>
    <t>АО "Объединенная двигателестроительная корпорация"</t>
  </si>
  <si>
    <t>АО "Концерн Радиоэлектронные технологии"</t>
  </si>
  <si>
    <t>АО "НПК "Технологии машиностроения"</t>
  </si>
  <si>
    <t>АО "Объединенная приборостроительная компания"</t>
  </si>
  <si>
    <t>АО "Российская электроника"</t>
  </si>
  <si>
    <t>АО "РТ-Авто"</t>
  </si>
  <si>
    <t>АО "Национальная иммунобиологическая компания"</t>
  </si>
  <si>
    <t>АО "РТ-Химические технологии и композиционные материалы"</t>
  </si>
  <si>
    <t>АО "Швабе"</t>
  </si>
  <si>
    <t>6.6.2(39)</t>
  </si>
  <si>
    <t>6.6.2(40)</t>
  </si>
  <si>
    <t>6.6.2(41)</t>
  </si>
  <si>
    <t>6.6.2(42)</t>
  </si>
  <si>
    <t>6.6.2(43)</t>
  </si>
  <si>
    <t>6.6.2(44)</t>
  </si>
  <si>
    <t>6.6.2(45)</t>
  </si>
  <si>
    <t>6.6.2(46)</t>
  </si>
  <si>
    <t>6.6.2(47)</t>
  </si>
  <si>
    <t>6.6.2(48)</t>
  </si>
  <si>
    <t>6.6.2(49)</t>
  </si>
  <si>
    <t>6.6.2(50)</t>
  </si>
  <si>
    <t>1619</t>
  </si>
  <si>
    <t>0550</t>
  </si>
  <si>
    <t>0551</t>
  </si>
  <si>
    <t>0552</t>
  </si>
  <si>
    <t>0553</t>
  </si>
  <si>
    <t>0554</t>
  </si>
  <si>
    <t>0556</t>
  </si>
  <si>
    <t>0558</t>
  </si>
  <si>
    <t>0559</t>
  </si>
  <si>
    <t>0566</t>
  </si>
  <si>
    <t>0567</t>
  </si>
  <si>
    <t>0568</t>
  </si>
  <si>
    <t>0570</t>
  </si>
  <si>
    <t>0571</t>
  </si>
  <si>
    <t>0572</t>
  </si>
  <si>
    <t>0576</t>
  </si>
  <si>
    <t>0578</t>
  </si>
  <si>
    <t>0580</t>
  </si>
  <si>
    <t>0581</t>
  </si>
  <si>
    <t>0582</t>
  </si>
  <si>
    <t>0583</t>
  </si>
  <si>
    <t>0584</t>
  </si>
  <si>
    <t>0585</t>
  </si>
  <si>
    <t>0587</t>
  </si>
  <si>
    <t>0588</t>
  </si>
  <si>
    <t>0589</t>
  </si>
  <si>
    <t>0592</t>
  </si>
  <si>
    <t>0304</t>
  </si>
  <si>
    <t>0305</t>
  </si>
  <si>
    <t>0306</t>
  </si>
  <si>
    <t>0307</t>
  </si>
  <si>
    <t>1802</t>
  </si>
  <si>
    <t>1803</t>
  </si>
  <si>
    <t>1703</t>
  </si>
  <si>
    <t>1704</t>
  </si>
  <si>
    <t>1708</t>
  </si>
  <si>
    <t>1713</t>
  </si>
  <si>
    <t>1718</t>
  </si>
  <si>
    <t>Государственная корпорация "Ростех"</t>
  </si>
  <si>
    <t>ООО "Управляющая компания "Верейская 29"</t>
  </si>
  <si>
    <t>% от суммы Договоров</t>
  </si>
  <si>
    <t>Общее количество закупок с заключенными договорами</t>
  </si>
  <si>
    <t>Общее количество запланированных закупок</t>
  </si>
  <si>
    <t>Общее количество объявленных закупок</t>
  </si>
  <si>
    <t>Закупка размещена</t>
  </si>
  <si>
    <t>8.1</t>
  </si>
  <si>
    <t>8.2</t>
  </si>
  <si>
    <t>Закупка у ЕП</t>
  </si>
  <si>
    <t>% от суммы договоров</t>
  </si>
  <si>
    <t>0907</t>
  </si>
  <si>
    <t>1015</t>
  </si>
  <si>
    <t>1016</t>
  </si>
  <si>
    <t>1017</t>
  </si>
  <si>
    <t>1018</t>
  </si>
  <si>
    <t>1019</t>
  </si>
  <si>
    <t>1719</t>
  </si>
  <si>
    <t>1020</t>
  </si>
  <si>
    <t>1021</t>
  </si>
  <si>
    <t>1022</t>
  </si>
  <si>
    <t>0849</t>
  </si>
  <si>
    <t>112</t>
  </si>
  <si>
    <t>Количество закупок с заключенным договором</t>
  </si>
  <si>
    <t>%  от общего количества закупок с заключенными договорами</t>
  </si>
  <si>
    <t>Цена договоров, руб.</t>
  </si>
  <si>
    <t>7.1</t>
  </si>
  <si>
    <t>Бумажная</t>
  </si>
  <si>
    <t>Всего:</t>
  </si>
  <si>
    <t>Количеcтво квалификационных отборов
для серий закупок</t>
  </si>
  <si>
    <t>Факт (объявлено)</t>
  </si>
  <si>
    <t>№ мес</t>
  </si>
  <si>
    <t>Поквартальное исполнение РПЗ, %</t>
  </si>
  <si>
    <t>ГОДОВОЕ ИСПОЛНЕНИЕ РПЗ, %</t>
  </si>
  <si>
    <t>АО "СИБЕР"</t>
  </si>
  <si>
    <t>1720</t>
  </si>
  <si>
    <t>Общая сумма закупок с заключенными договорами, руб.</t>
  </si>
  <si>
    <t>* - для закупок, извещение о проведении которых размещено до 1 апреля 2016 года, способ закупки указывается в соответствии с перечнем способов, утвержденным Единым Положением о закупке ГК "Ростех"</t>
  </si>
  <si>
    <t>Способы закупок*</t>
  </si>
  <si>
    <t>Основания ЕП**</t>
  </si>
  <si>
    <t>Иное</t>
  </si>
  <si>
    <t>**  - "Иное" в качестве основания для закупки у ЕП применимо для закупок, извещение о проведении которых размещается до 1 апреля 2016 года; при этом во вкладке "Примечание" указывается основание в соответствии с действующей редакцией положения о закупке Заказчика</t>
  </si>
  <si>
    <t>Закупки в электронной и бумажной формах</t>
  </si>
  <si>
    <t>0593</t>
  </si>
  <si>
    <t>Наименование статьи</t>
  </si>
  <si>
    <t>Средства, направленные на выплату процентов по кредитам и займам</t>
  </si>
  <si>
    <t>0594</t>
  </si>
  <si>
    <t>0595</t>
  </si>
  <si>
    <t>0596</t>
  </si>
  <si>
    <t>0597</t>
  </si>
  <si>
    <t>0598</t>
  </si>
  <si>
    <t>0850</t>
  </si>
  <si>
    <t>0851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</si>
  <si>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</si>
  <si>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</si>
  <si>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</si>
  <si>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</si>
  <si>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</si>
  <si>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</si>
  <si>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</si>
  <si>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</si>
  <si>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</si>
  <si>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2001</t>
  </si>
  <si>
    <t>2002</t>
  </si>
  <si>
    <t>1444</t>
  </si>
  <si>
    <t>1445</t>
  </si>
  <si>
    <t>1446</t>
  </si>
  <si>
    <t>1447</t>
  </si>
  <si>
    <t>1448</t>
  </si>
  <si>
    <t>0599</t>
  </si>
  <si>
    <t>1901</t>
  </si>
  <si>
    <t>38</t>
  </si>
  <si>
    <t>Привлечение специализированной организации</t>
  </si>
  <si>
    <t>39</t>
  </si>
  <si>
    <t>АО "НПО "Сплав"</t>
  </si>
  <si>
    <t>15.12</t>
  </si>
  <si>
    <t xml:space="preserve">Привлечение специализированной организации </t>
  </si>
  <si>
    <t>Закупка с единичными расценками</t>
  </si>
  <si>
    <t>ЗЕР</t>
  </si>
  <si>
    <t xml:space="preserve">Группа закупок </t>
  </si>
  <si>
    <t>Закупки с НМЦ 50 млн. руб. и более</t>
  </si>
  <si>
    <t>Итого по специализированной организации:</t>
  </si>
  <si>
    <t xml:space="preserve">Прочие закупки с НМЦ 50 млн. руб. и более </t>
  </si>
  <si>
    <t>% от общего количества конкурентных закупок</t>
  </si>
  <si>
    <t>% от общей суммы конкурентных закупок</t>
  </si>
  <si>
    <t xml:space="preserve">Закупки с НМЦ менее 50 млн. руб. </t>
  </si>
  <si>
    <t xml:space="preserve"> </t>
  </si>
  <si>
    <t>Закупки с привелечением специализированной организации</t>
  </si>
  <si>
    <t>Закупки, проводимые с привлечением специализированной организации</t>
  </si>
  <si>
    <t xml:space="preserve">% от общего количества конкурентных закупок </t>
  </si>
  <si>
    <t>%  от общего количества конкурентных закупок с заключенными договорами</t>
  </si>
  <si>
    <t>Экономический эффект от закупок специализированной организации
(без учета вознаграждения)</t>
  </si>
  <si>
    <t>на  ______ год</t>
  </si>
  <si>
    <t>1722</t>
  </si>
  <si>
    <t>Платежи по закупке сырья и материалов, ПКИ, ТМЦ для производства продукции (прямые переменные затраты в рамках основной деятельности)</t>
  </si>
  <si>
    <t>Платежи по закупке товаров для перепродажи (прямые переменные затраты в рамках основной деятельности)</t>
  </si>
  <si>
    <t>Платежи за транспортные (в т.ч. ж/д) услуги сторонних организаций (искл. арендную плату) (прямые переменные затраты в рамках основной деятельности)</t>
  </si>
  <si>
    <t>Проектно-изыскательские работы (ПИР) (платежи в составе проектов по техническому перевооружению и реконструкции действующих предприятий)</t>
  </si>
  <si>
    <t>Строительно-монтажные работы (СМР) и пуско-наладка оборудования (платежи в составе проектов по техническому перевооружению и реконструкции действующих предприятий)</t>
  </si>
  <si>
    <t>Прочие капитализируемые расходы (платежи в составе проектов по техническому перевооружению и реконструкции действующих предприятий)</t>
  </si>
  <si>
    <t>Давальческие материалы (если есть) (платежи в составе проектов по капитальному строительству продрядным способом)</t>
  </si>
  <si>
    <t>Услуги подрядных организаций (платежи в составе проектов по капитальному строительству продрядным способом)</t>
  </si>
  <si>
    <t>Прочие капитализируемые расходы (платежи в составе проектов по капитальному строительству продрядным способом)</t>
  </si>
  <si>
    <t>Строительные материалы и прочие ТМЦ в составе проекта (платежи в составе проектов по капитальному строительству хозяйственным способом)</t>
  </si>
  <si>
    <t>ФОТ (платежи в составе проектов по капитальному строительству хозяйственным способом)</t>
  </si>
  <si>
    <t>Начисления на ФОТ - обязательные страховые взносы (платежи в составе проектов по капитальному строительству хозяйственным способом)</t>
  </si>
  <si>
    <t>Прочие капитализируемые расходы (платежи в составе проектов по капитальному строительству хозяйственным способом)</t>
  </si>
  <si>
    <t>Закупка оборудования (платежи в составе ИТ-проектов)</t>
  </si>
  <si>
    <t>Закупка ПО (лицензии) (платежи в составе ИТ-проектов)</t>
  </si>
  <si>
    <t>Услуги внешних организаций (платежи в составе ИТ-проектов)</t>
  </si>
  <si>
    <t>НИОКР (платежи в составе проектов)</t>
  </si>
  <si>
    <t>Приобретение основных средств (за искл. имущественного комплекса и оборудования) (платежи в составе проектов)</t>
  </si>
  <si>
    <t>Консультационные услуги (платежи в составе проектов)</t>
  </si>
  <si>
    <t>Юридические услуги (платежи в составе проектов)</t>
  </si>
  <si>
    <t>Стоимость заемного финансирования (капитализируемые проценты) (платежи в составе проектов)</t>
  </si>
  <si>
    <t>Капитализируемые затраты на маркетинг (платежи в составе проектов)</t>
  </si>
  <si>
    <t>Прочие капитализируемые расходы (платежи в составе проектов)</t>
  </si>
  <si>
    <t>0503</t>
  </si>
  <si>
    <t>0657</t>
  </si>
  <si>
    <t>0704</t>
  </si>
  <si>
    <t>1025</t>
  </si>
  <si>
    <t>1026</t>
  </si>
  <si>
    <t>1028</t>
  </si>
  <si>
    <t>1029</t>
  </si>
  <si>
    <t>1034</t>
  </si>
  <si>
    <t>1035</t>
  </si>
  <si>
    <t>1037</t>
  </si>
  <si>
    <t>1038</t>
  </si>
  <si>
    <t>1040</t>
  </si>
  <si>
    <t>1724</t>
  </si>
  <si>
    <t>1726</t>
  </si>
  <si>
    <t>1728</t>
  </si>
  <si>
    <t>1042</t>
  </si>
  <si>
    <t>1218</t>
  </si>
  <si>
    <t>0216</t>
  </si>
  <si>
    <t>0215</t>
  </si>
  <si>
    <t>1729</t>
  </si>
  <si>
    <t>1112</t>
  </si>
  <si>
    <t>1425</t>
  </si>
  <si>
    <t>1427</t>
  </si>
  <si>
    <t>1449</t>
  </si>
  <si>
    <t>1450</t>
  </si>
  <si>
    <t>1451</t>
  </si>
  <si>
    <t>1452</t>
  </si>
  <si>
    <t>1453</t>
  </si>
  <si>
    <t>0509</t>
  </si>
  <si>
    <t>0908</t>
  </si>
  <si>
    <t>0510</t>
  </si>
  <si>
    <t>6.6.2(51)</t>
  </si>
  <si>
    <t>6.6.2(52)</t>
  </si>
  <si>
    <t>6.6.2(53)</t>
  </si>
  <si>
    <t>6.6.2(54)</t>
  </si>
  <si>
    <t>6.6.2(55)</t>
  </si>
  <si>
    <t>6.6.2(56)</t>
  </si>
  <si>
    <t>6.6.2(57)</t>
  </si>
  <si>
    <t>6.6.2(58)</t>
  </si>
  <si>
    <t>6.6.2(59)</t>
  </si>
  <si>
    <t>6.6.2(60)</t>
  </si>
  <si>
    <t>№ п/п</t>
  </si>
  <si>
    <t>Количество договоров</t>
  </si>
  <si>
    <t>Общая сумма договоров</t>
  </si>
  <si>
    <t>Совокупный годовой объем закупок, совершенных заказчиком в течение предыдущего отчетного периода (календарного года) составил, руб.:</t>
  </si>
  <si>
    <t>Совокупный годовой объем закупок, совершенных в течение предыдущего отчетного периода</t>
  </si>
  <si>
    <t>40</t>
  </si>
  <si>
    <t>п.7 а)</t>
  </si>
  <si>
    <t>п.7 б)</t>
  </si>
  <si>
    <t>п.7 в)</t>
  </si>
  <si>
    <t>п.7 г)</t>
  </si>
  <si>
    <t>п.7 д)</t>
  </si>
  <si>
    <t>п.7 е)</t>
  </si>
  <si>
    <t>п.7 ж)</t>
  </si>
  <si>
    <t>п.7 з)</t>
  </si>
  <si>
    <t>п.7 и)</t>
  </si>
  <si>
    <t>п.7 к)</t>
  </si>
  <si>
    <t>п.7 л)</t>
  </si>
  <si>
    <t>п.7 м)</t>
  </si>
  <si>
    <t>п.7 н)</t>
  </si>
  <si>
    <t>п.7 о)</t>
  </si>
  <si>
    <t>п.7 п)</t>
  </si>
  <si>
    <t>п.7 р)</t>
  </si>
  <si>
    <t>п.7 с)</t>
  </si>
  <si>
    <t>п.7 т)</t>
  </si>
  <si>
    <t>п.7 у)</t>
  </si>
  <si>
    <t>п.7 ф)</t>
  </si>
  <si>
    <t>п.7 х)</t>
  </si>
  <si>
    <t>п.7 ц)</t>
  </si>
  <si>
    <t>п.7 ч)</t>
  </si>
  <si>
    <t>п.7 ш)</t>
  </si>
  <si>
    <t>п.7 щ)</t>
  </si>
  <si>
    <t>п.7 э)</t>
  </si>
  <si>
    <t>п.7 ю)</t>
  </si>
  <si>
    <t>п.7 я)</t>
  </si>
  <si>
    <t>п.7 я(1))</t>
  </si>
  <si>
    <t>Исключение при расчете совокупного годового стоимостного объема договоров (п.7, ПП1352)</t>
  </si>
  <si>
    <t>Совокупный объем закупок по  основанию пп. (39) п. 6.6.2 ЕПОЗ от общего объема закупок, совершенных в течение предыдущего отчетного периода (календарного года) составляет:</t>
  </si>
  <si>
    <t>Искл.</t>
  </si>
  <si>
    <t>Закупки до 100/500 тыс. руб.</t>
  </si>
  <si>
    <t>МСП (ДА/НЕТ)</t>
  </si>
  <si>
    <t>Перечень договоров на приобретения продукции, НМЦ по которой не превышает 100/500 тыс. рублей (с НДС)</t>
  </si>
  <si>
    <t>Статья в БДДС</t>
  </si>
  <si>
    <t>1.2.1.1</t>
  </si>
  <si>
    <t>1.2.1.2</t>
  </si>
  <si>
    <t>1.2.1.3</t>
  </si>
  <si>
    <t>Платежи по субподрядным работам в рамках основной деятельности (прямые переменные затраты в рамках основной деятельности)</t>
  </si>
  <si>
    <t>1.2.1.4.1</t>
  </si>
  <si>
    <t>Платежи за серийное сопровождение и авторский надзор (прямые переменные затраты (прямые коммерческие расходы) в рамках основной деятельности)</t>
  </si>
  <si>
    <t>1.2.1.4.2</t>
  </si>
  <si>
    <t>Платежи прочим посредникам и агентам за продвижение продукции (прямые переменные затраты (прямые коммерческие расходы) в рамках основной деятельности)</t>
  </si>
  <si>
    <t>1.2.1.4.3</t>
  </si>
  <si>
    <t>Платежи за услуги МО РФ за ВП (прямые переменные затраты (прямые коммерческие расходы) в рамках основной деятельности)</t>
  </si>
  <si>
    <t>1.2.1.4.4</t>
  </si>
  <si>
    <t>Платежи за РОЯЛТИ, ФАПРИД, патентные и иные лицензионные платежи (прямые переменные затраты (прямые коммерческие расходы) в рамках основной деятельности)</t>
  </si>
  <si>
    <t>1.2.1.4.5</t>
  </si>
  <si>
    <t>Платежи по страхованию на контракт (прямые переменные затраты (прямые коммерческие расходы) в рамках основной деятельности)</t>
  </si>
  <si>
    <t>1.2.1.4.6</t>
  </si>
  <si>
    <t>Платежи по банковским гарантиям на контракт (прямые переменные затраты (прямые коммерческие расходы) в рамках основной деятельности)</t>
  </si>
  <si>
    <t>1.2.1.4.7</t>
  </si>
  <si>
    <t>Платежи по прочим коммерческим расходам на контракт (прямые переменные затраты (прямые коммерческие расходы) в рамках основной деятельности)</t>
  </si>
  <si>
    <t>1.2.1.5</t>
  </si>
  <si>
    <t>1.2.1.6</t>
  </si>
  <si>
    <t>Платежи за таможенно-брокерские услуги сторонних организаций (прямые переменные затраты в рамках основной деятельности)</t>
  </si>
  <si>
    <t>1.2.1.7</t>
  </si>
  <si>
    <t>Платежи за складские услуги по хранению и обработке готовой продукции (прямые переменные затраты в рамках основной деятельности)</t>
  </si>
  <si>
    <t>1.2.1.8</t>
  </si>
  <si>
    <t>Платежи за прочие прямые расходы переменного характера (прямые переменные затраты в рамках основной деятельности)</t>
  </si>
  <si>
    <t>1.2.3.1</t>
  </si>
  <si>
    <t>Материальные затраты (материалы, сырье), за исключением ремонта и обслуживания активов  (расходы постоянного характера по основной деятельности)</t>
  </si>
  <si>
    <t>1.2.3.2</t>
  </si>
  <si>
    <t>Платежи за ТЭР и коммунальные услуги  (расходы постоянного характера по основной деятельности)</t>
  </si>
  <si>
    <t>1.2.3.3.1</t>
  </si>
  <si>
    <t>платежи по аренде зданий, сооружений, помещений  (расходы постоянного характера по основной деятельности)</t>
  </si>
  <si>
    <t>1.2.3.3.2</t>
  </si>
  <si>
    <t>платежи по аренде оборудования (искл. ИТ - оборудование)  (расходы постоянного характера по основной деятельности)</t>
  </si>
  <si>
    <t>1.2.3.3.3</t>
  </si>
  <si>
    <t>платежи по аренде транспорта  (расходы постоянного характера по основной деятельности)</t>
  </si>
  <si>
    <t>1.2.3.3.4</t>
  </si>
  <si>
    <t>платежи по аренде ИТ - оборудования  (расходы постоянного характера по основной деятельности)</t>
  </si>
  <si>
    <t>1.2.3.3.5</t>
  </si>
  <si>
    <t>платежи по прочей аренде  (расходы постоянного характера по основной деятельности)</t>
  </si>
  <si>
    <t>1.2.3.4.1</t>
  </si>
  <si>
    <t>Платежи за ремонт зданий и сооружений  (услуги и материалы )  (расходы постоянного характера по основной деятельности)</t>
  </si>
  <si>
    <t>1.2.3.4.2</t>
  </si>
  <si>
    <t>Платежи за ремонт оборудования  (услуги и материалы )  (расходы постоянного характера по основной деятельности)</t>
  </si>
  <si>
    <t>1.2.3.4.3</t>
  </si>
  <si>
    <t>Платежи за ремонт транспорта (услуги и материалы )  (расходы постоянного характера по основной деятельности)</t>
  </si>
  <si>
    <t>1.2.3.4.4</t>
  </si>
  <si>
    <t>Платежи за прочий ремонт (услуги и материалы )  (расходы постоянного характера по основной деятельности)</t>
  </si>
  <si>
    <t>1.2.3.5.1</t>
  </si>
  <si>
    <t>Платежи за обслуживание зданий и сооружений  (услуги и материалы )  (расходы постоянного характера по основной деятельности)</t>
  </si>
  <si>
    <t>1.2.3.5.2</t>
  </si>
  <si>
    <t>Платежи за обслуживание оборудования  (услуги и материалы )  (расходы постоянного характера по основной деятельности)</t>
  </si>
  <si>
    <t>1.2.3.5.3</t>
  </si>
  <si>
    <t>Платежи за обслуживание транспорта  (услуги и материалы )  (расходы постоянного характера по основной деятельности)</t>
  </si>
  <si>
    <t>1.2.3.5.4</t>
  </si>
  <si>
    <t>Платежи за прочее обслуживание  (услуги и материалы )  (расходы постоянного характера по основной деятельности)</t>
  </si>
  <si>
    <t>1.2.3.6</t>
  </si>
  <si>
    <t>Платежи за услуги страхования  (расходы постоянного характера по основной деятельности)</t>
  </si>
  <si>
    <t>1.2.3.7</t>
  </si>
  <si>
    <t>Платежи за медицинские осмотры и диспансеризацию  (расходы постоянного характера по основной деятельности)</t>
  </si>
  <si>
    <t>1.2.3.8</t>
  </si>
  <si>
    <t>Платежи за услуги связи (стационарная, мобильная, услуги передачи данных, прочие услуги связи)  (расходы постоянного характера по основной деятельности)</t>
  </si>
  <si>
    <t>1.2.3.9</t>
  </si>
  <si>
    <t>Платежи на IT (техподдержка и обслуживание, прочие IT-Платежи)  (расходы постоянного характера по основной деятельности)</t>
  </si>
  <si>
    <t>1.2.3.10</t>
  </si>
  <si>
    <t>Платежи за аудиторские услуги  (расходы постоянного характера по основной деятельности)</t>
  </si>
  <si>
    <t>1.2.3.11</t>
  </si>
  <si>
    <t>Платежи за юридические услуги  (расходы постоянного характера по основной деятельности)</t>
  </si>
  <si>
    <t>1.2.3.12</t>
  </si>
  <si>
    <t>Платежи за консультационные услуги  (расходы постоянного характера по основной деятельности)</t>
  </si>
  <si>
    <t>1.2.3.13</t>
  </si>
  <si>
    <t>Платежи за услуги по физической охране  (расходы постоянного характера по основной деятельности)</t>
  </si>
  <si>
    <t>1.2.3.14</t>
  </si>
  <si>
    <t>Платежи за услуги по пожарной охране  (расходы постоянного характера по основной деятельности)</t>
  </si>
  <si>
    <t>1.2.3.15</t>
  </si>
  <si>
    <t>Платежи по социальным программам  (расходы постоянного характера по основной деятельности)</t>
  </si>
  <si>
    <t>1.2.3.16</t>
  </si>
  <si>
    <t>Платежи за проведение технологического аудита  (расходы постоянного характера по основной деятельности)</t>
  </si>
  <si>
    <t>1.2.3.17</t>
  </si>
  <si>
    <t>Платежи за внедрение системы управления результатами интеллектуальной деятельности (СУ РИД)  (расходы постоянного характера по основной деятельности)</t>
  </si>
  <si>
    <t>1.2.3.18</t>
  </si>
  <si>
    <t>Платежи за транспортные (в т.ч. ж/д) услуги сторонних организаций (искл. арендную плату)   (расходы постоянного характера по основной деятельности)</t>
  </si>
  <si>
    <t>1.2.3.19</t>
  </si>
  <si>
    <t>Платежи за таможенно-брокерские услуги сторонних организаций  (расходы постоянного характера по основной деятельности)</t>
  </si>
  <si>
    <t>1.2.3.20</t>
  </si>
  <si>
    <t>Платежи за уборку территорий, вывоз мусора, переработку ТБО  (расходы постоянного характера по основной деятельности)</t>
  </si>
  <si>
    <t>1.2.3.21</t>
  </si>
  <si>
    <t>Платежи за стандартизацию, сертификацию производства  (расходы постоянного характера по основной деятельности)</t>
  </si>
  <si>
    <t>1.2.3.22.1</t>
  </si>
  <si>
    <t>Платежи за услуги по рекламе (за искл. спонсорства)  (расходы постоянного характера по основной деятельности)</t>
  </si>
  <si>
    <t>1.2.3.22.2</t>
  </si>
  <si>
    <t>Прочие платежи за PR и взаимодействие со СМИ  (расходы постоянного характера по основной деятельности)</t>
  </si>
  <si>
    <t>1.2.3.23</t>
  </si>
  <si>
    <t>Платежи за услуги по маркетингу  (расходы постоянного характера по основной деятельности)</t>
  </si>
  <si>
    <t>1.2.3.24</t>
  </si>
  <si>
    <t>Платежи по расходам на спонсорство  (расходы постоянного характера по основной деятельности)</t>
  </si>
  <si>
    <t>1.2.3.25.1</t>
  </si>
  <si>
    <t>Платежи по расходам на проведение зарубежных выставок  (расходы постоянного характера по основной деятельности)</t>
  </si>
  <si>
    <t>1.2.3.25.2</t>
  </si>
  <si>
    <t>Платежи по расходам на проведение выставок в РФ  (расходы постоянного характера по основной деятельности)</t>
  </si>
  <si>
    <t>1.2.3.26</t>
  </si>
  <si>
    <t>Платежи за работы и услуги головной организации ХК (ИС) (за исключением комиссионных вознаграждений)  (расходы постоянного характера по основной деятельности)</t>
  </si>
  <si>
    <t>1.2.3.27</t>
  </si>
  <si>
    <t>Экологические платежи  (расходы постоянного характера по основной деятельности)</t>
  </si>
  <si>
    <t>1.2.3.28</t>
  </si>
  <si>
    <t>Платежи за обучение, профессиональную подготовку и переподготовку  (расходы постоянного характера по основной деятельности)</t>
  </si>
  <si>
    <t>1.2.3.29</t>
  </si>
  <si>
    <t>Прочие постоянные расходы по текущей деятельности  (расходы постоянного характера по основной деятельности)</t>
  </si>
  <si>
    <t>1.2.5</t>
  </si>
  <si>
    <t>I.1.1.1</t>
  </si>
  <si>
    <t>I.1.1.2</t>
  </si>
  <si>
    <t>Оборудование в составе проекта (платежи в составе проектов по техническому перевооружению и реконструкции действующих предприятий)</t>
  </si>
  <si>
    <t>I.1.1.3</t>
  </si>
  <si>
    <t>I.1.1.4</t>
  </si>
  <si>
    <t>I.1.2.1</t>
  </si>
  <si>
    <t>I.1.2.3</t>
  </si>
  <si>
    <t>I.1.2.4</t>
  </si>
  <si>
    <t>I.1.3.1</t>
  </si>
  <si>
    <t>I.1.3.2</t>
  </si>
  <si>
    <t>I.1.3.3</t>
  </si>
  <si>
    <t>I.1.3.5</t>
  </si>
  <si>
    <t>I.1.4.1</t>
  </si>
  <si>
    <t>I.1.4.2</t>
  </si>
  <si>
    <t>I.1.4.3</t>
  </si>
  <si>
    <t>I.1.5</t>
  </si>
  <si>
    <t>I.1.6</t>
  </si>
  <si>
    <t>Приобретение имущественных комплексов (зданий и объектов недвижимости) (платежи в составе проектов)</t>
  </si>
  <si>
    <t>I.1.7</t>
  </si>
  <si>
    <t>I.1.8</t>
  </si>
  <si>
    <t>I.1.9</t>
  </si>
  <si>
    <t>I.1.10</t>
  </si>
  <si>
    <t>I.1.11</t>
  </si>
  <si>
    <t>I.1.12</t>
  </si>
  <si>
    <t>II.1.1</t>
  </si>
  <si>
    <t>Приобретение и реконструкция техники и оборудования (в рамках инвестиций в производственные активы по отдельным капитализированным затратам)</t>
  </si>
  <si>
    <t>II.1.2</t>
  </si>
  <si>
    <t>Прочие капитализируемые расходы  (в рамках инвестиций в производственные активы по отдельным капитализированным затратам)</t>
  </si>
  <si>
    <t>II.2.1</t>
  </si>
  <si>
    <t>Приобретение транспортных средств (вкл. реконструкцию)  (в рамках инвестиций в коммерческие активы по отдельным капитализированным затратам)</t>
  </si>
  <si>
    <t>II.2.2</t>
  </si>
  <si>
    <t>Приобретение оборудования, спецтранспорта (вкл. реконструкцию)  (в рамках инвестиций в коммерческие активы по отдельным капитализированным затратам)</t>
  </si>
  <si>
    <t>II.2.3</t>
  </si>
  <si>
    <t>Реконструкция и капитализируемый ремонт автодорог (находящихся вне территории предприятия)  (в рамках инвестиций в коммерческие активы по отдельным капитализированным затратам)</t>
  </si>
  <si>
    <t>II.2.4</t>
  </si>
  <si>
    <t>Прочие капитализируемые расходы  (в рамках инвестиций в коммерческие активы по отдельным капитализированным затратам)</t>
  </si>
  <si>
    <t>II.3.1</t>
  </si>
  <si>
    <t>Приобретение оборудования  (в рамках инвестиций в общехозяйственные активы по отдельным капитализированным затратам)</t>
  </si>
  <si>
    <t>II.3.1.1</t>
  </si>
  <si>
    <t>в т.ч. IT-оборудования   (в рамках инвестиций в общехозяйственные активы по отдельным капитализированным затратам)</t>
  </si>
  <si>
    <t>II.3.2</t>
  </si>
  <si>
    <t>Приобретение административного транспорта   (в рамках инвестиций в общехозяйственные активы по отдельным капитализированным затратам)</t>
  </si>
  <si>
    <t>II.3.3</t>
  </si>
  <si>
    <t>Приобретение офисной мебели   (в рамках инвестиций в общехозяйственные активы по отдельным капитализированным затратам)</t>
  </si>
  <si>
    <t>II.3.4</t>
  </si>
  <si>
    <t>Приобретение специализированного программного обеспечения (НМА)   (в рамках инвестиций в общехозяйственные активы по отдельным капитализированным затратам)</t>
  </si>
  <si>
    <t>II.3.5</t>
  </si>
  <si>
    <t>Приобретение средств и систем связи  (в рамках инвестиций в общехозяйственные активы по отдельным капитализированным затратам)</t>
  </si>
  <si>
    <t>II.3.6</t>
  </si>
  <si>
    <t>Капитализируемые расходы на бренд  (в рамках инвестиций в общехозяйственные активы по отдельным капитализированным затратам)</t>
  </si>
  <si>
    <t>II.3.7</t>
  </si>
  <si>
    <t>Строительство и капитальный ремонт  (в рамках инвестиций в общехозяйственные активы по отдельным капитализированным затратам)</t>
  </si>
  <si>
    <t>II.3.7.1</t>
  </si>
  <si>
    <t>в т.ч. ИТ  - инфрастркутуры  (в рамках инвестиций в общехозяйственные активы по отдельным капитализированным затратам)</t>
  </si>
  <si>
    <t>II.3.8</t>
  </si>
  <si>
    <t>Услуги сторонних организаций по ИТ - расходам  (в рамках инвестиций в общехозяйственные активы по отдельным капитализированным затратам)</t>
  </si>
  <si>
    <t>II.3.9</t>
  </si>
  <si>
    <t>Прочие капитализируемые расходы  (в рамках инвестиций в общехозяйственные активы по отдельным капитализированным затратам)</t>
  </si>
  <si>
    <t>II.4.1</t>
  </si>
  <si>
    <t>Приобретение оборудования  (в рамках инвестиций в непрофильные активы и объекты социальной сферы по отдельным капитализированным затратам)</t>
  </si>
  <si>
    <t>II.4.2</t>
  </si>
  <si>
    <t>Cтроительство  (в рамках инвестиций в непрофильные активы и объекты социальной сферы по отдельным капитализированным затратам)</t>
  </si>
  <si>
    <t>II.4.3</t>
  </si>
  <si>
    <t>Прочие капитализируемые расходы  (в рамках инвестиций в непрофильные активы и объекты социальной сферы по отдельным капитализированным затратам)</t>
  </si>
  <si>
    <t>Сумма заключенных договоров, кроме исключений, предусмотренных п.7 ПП1352</t>
  </si>
  <si>
    <t>Сумма договоров, заключенных с субъектами МСП по результатам закупок, участниками которых являются любые лица (п.4а ПП1352)</t>
  </si>
  <si>
    <t>Сумма договоров, заключенных с субъектами МСП по результатам закупок, участниками которых являются только субъекты МСП (п.4б ПП1352)</t>
  </si>
  <si>
    <t xml:space="preserve">Годовой объем закупок у субъектов МСП, с учетом закупок до 100 / 500 тыс.руб. </t>
  </si>
  <si>
    <t>% закупок до 100/500 тыс. руб.</t>
  </si>
  <si>
    <t>п.7, ПП 1352</t>
  </si>
  <si>
    <t>15.13</t>
  </si>
  <si>
    <t>Годовой объем закупок, которые планируется осуществить по результатам закупок, участниками которых являются только субъекты малого и среднего предпринимательства.</t>
  </si>
  <si>
    <t>Совокупный годовой объем закупок, планируемый к осуществлению в соответствии с РПЗ, кроме исключений, предусмотренных п.7 ПП1352.</t>
  </si>
  <si>
    <t>Годовой объем закупок, которые планируется осуществить по результатам закупок, участниками которых являются только субъекты малого и среднего предпринимательства по отношению к совокупному годовому объему закупок, планируемому к осуществлению в соответствии с РПЗ, кроме исключений, предусмотренных п.7 ПП1352.</t>
  </si>
  <si>
    <t>Планируемый годовой объем закупок у субъектов МСП</t>
  </si>
  <si>
    <t>Количество организаций</t>
  </si>
  <si>
    <t>ГК</t>
  </si>
  <si>
    <t>ООО "РТ-СоцСтрой"</t>
  </si>
  <si>
    <t>АО "Рособоронэкспорт"</t>
  </si>
  <si>
    <t>АО "Росэлектроника"</t>
  </si>
  <si>
    <t>АО "Объединенная приборостроительная корпорация"</t>
  </si>
  <si>
    <t>ООО "РТ-Энергоэффективность"</t>
  </si>
  <si>
    <t>АО "Научно-производственный концерн "Технологии машиностроения"</t>
  </si>
  <si>
    <t>АО "АВТОВАЗТРАНС"</t>
  </si>
  <si>
    <t>АО "Калининградский янтарный комбинат"</t>
  </si>
  <si>
    <t>АО "Центральный научно-исследовательский институт точного машиностроения"</t>
  </si>
  <si>
    <t>АО "РТ-Логистика"</t>
  </si>
  <si>
    <t>АО "Научно-производственное объединение "СПЛАВ"</t>
  </si>
  <si>
    <t>ОАО "Промышленные технологии"</t>
  </si>
  <si>
    <t>АО "Внешнеэкономическое объединение "Технопромэкспорт"</t>
  </si>
  <si>
    <t>АО "Внешнеэкономическое объединение "Тяжпромэкспорт"</t>
  </si>
  <si>
    <t>ООО "Автоград-Водоканал"</t>
  </si>
  <si>
    <t>АО "Нефтегазавтоматика"</t>
  </si>
  <si>
    <t>АО "РТ-Техприемка"</t>
  </si>
  <si>
    <t>ООО "РТ-Капитал"</t>
  </si>
  <si>
    <t>АО "Ижевский механический завод-2"</t>
  </si>
  <si>
    <t>АО "Транспортно-выставочный комплекс "Россия"</t>
  </si>
  <si>
    <t>АО "Научно-исследовательский институт медицинских полимеров"</t>
  </si>
  <si>
    <t>АО "Нижегородский научно-технический центр программных средств вычислительной техники"</t>
  </si>
  <si>
    <t>АО "Центральная больница экспертизы летно-испытательного состава"</t>
  </si>
  <si>
    <t>АО "РТ-Металлургия"</t>
  </si>
  <si>
    <t>АО "Главный информационно-вычислительный центр металлургии "Центринформ"</t>
  </si>
  <si>
    <t>ОАО "Проектно-конструкторское бюро металлургической теплотехники и энерготехнологии цветной металлургии"</t>
  </si>
  <si>
    <t>АО "Щербинская типография"</t>
  </si>
  <si>
    <t>АО "90 экспериментальный завод"</t>
  </si>
  <si>
    <t>АО "Проектмашдеталь"</t>
  </si>
  <si>
    <t>АО "Самарский электромеханический завод"</t>
  </si>
  <si>
    <t>АО "Перовский опытный завод "Нестандартмаш"</t>
  </si>
  <si>
    <t>АО "Техника и технология товаров"</t>
  </si>
  <si>
    <t>ОАО "Волгоградхимреактив"</t>
  </si>
  <si>
    <t>АО "Научно-технический комплекс Ленэлектронмаш"</t>
  </si>
  <si>
    <t>ООО "Страховой брокер "РТ-Страхование"</t>
  </si>
  <si>
    <t>ОАО "РТ-Проектные технологии"</t>
  </si>
  <si>
    <t>АО "РТ-Медицина"</t>
  </si>
  <si>
    <t>АО "РТ-Финанс"</t>
  </si>
  <si>
    <t>ООО "РТ-Интеллектэкспорт"</t>
  </si>
  <si>
    <t>ООО "Инжиниринговая компания "Технопромэкспорт"</t>
  </si>
  <si>
    <t>АО "Топливная компания ТВК"</t>
  </si>
  <si>
    <t>ООО "Ситиэнерго"</t>
  </si>
  <si>
    <t>АО "Объединенная промышленная корпорация "ОБОРОНПРОМ"</t>
  </si>
  <si>
    <t>ООО "Национальная лизинговая компания по развитию промышленности"</t>
  </si>
  <si>
    <t>ООО "Национальный Центр Информатизации"</t>
  </si>
  <si>
    <t>ОАО "Московское производственное объединение "Металлист"</t>
  </si>
  <si>
    <t>АО "Ротор"</t>
  </si>
  <si>
    <t>АО "РТ-Строительные технологии"</t>
  </si>
  <si>
    <t>АО "Научно-исследовательский институт резиновых полимерных изделий"</t>
  </si>
  <si>
    <t>ООО "Завод индустриальных покрытий"</t>
  </si>
  <si>
    <t>ОАО "Казанский научно-исследовательский технологический институт вычислительной техники"</t>
  </si>
  <si>
    <t>ОАО "Октава"</t>
  </si>
  <si>
    <t>АО "Конструкторское бюро приборостроения им. Академика А.Г.Шипунова"</t>
  </si>
  <si>
    <t>АО "Конструкторское бюро точного машиностроения им. А.Э.Нудельмана"</t>
  </si>
  <si>
    <t>АО "Сафоновский завод "Гидрометприбор"</t>
  </si>
  <si>
    <t>АО "Научно-производственная корпорация Конструкторское бюро машиностроения"</t>
  </si>
  <si>
    <t>АО "Всероссийский научно-исследовательский институт "Сигнал"</t>
  </si>
  <si>
    <t>АО "Вольский механический завод"</t>
  </si>
  <si>
    <t>АО "Саратовский агрегатный завод"</t>
  </si>
  <si>
    <t>АО "Центральный научно-исследовательский институт автоматики и гидравлики"</t>
  </si>
  <si>
    <t>АО "Щегловский вал"</t>
  </si>
  <si>
    <t>ООО "Тулаоборонстрой"</t>
  </si>
  <si>
    <t>АО Башкирское Производственное Объединение "Прогресс"</t>
  </si>
  <si>
    <t>0275076276</t>
  </si>
  <si>
    <t>АО "Калугаприбор"</t>
  </si>
  <si>
    <t>АО "Калужский электромеханический завод"</t>
  </si>
  <si>
    <t>АО "Пензенское производственное объединение "Электроприбор"</t>
  </si>
  <si>
    <t>АО "Уфимский завод микроэлектроники Магнетрон"</t>
  </si>
  <si>
    <t>0278185756</t>
  </si>
  <si>
    <t>АО "Научно-производственное предприятие "Сигнал"</t>
  </si>
  <si>
    <t>АО "Внешнеэкономическое объединение "Станкоимпорт"</t>
  </si>
  <si>
    <t>ООО "Внешнеэкономическое объединение "Станкоимпорт"</t>
  </si>
  <si>
    <t>АО "ВНИИавтогенмаш"</t>
  </si>
  <si>
    <t>АО "Научно-исследовательский институт природных, синтетических алмазов и инструмента"</t>
  </si>
  <si>
    <t>ОАО "Научно-исследовательский проектно-технологический институт "МИКРОН"</t>
  </si>
  <si>
    <t>АО "Омский опытно-промышленный завод "Нефтехимавтоматика"</t>
  </si>
  <si>
    <t>ОАО "РТ-Станкоинструмент"</t>
  </si>
  <si>
    <t>ООО "Савеловский машиностроительный завод"</t>
  </si>
  <si>
    <t>ОАО "ВНИИИНСТРУМЕНТ"</t>
  </si>
  <si>
    <t>ОАО "Всероссийский научно-исследовательский проектно-конструкторский и технологический институт электромашиностроения"</t>
  </si>
  <si>
    <t>АО "РЭМОС-Пермские моторы"</t>
  </si>
  <si>
    <t>АО "Ульяновский научно-исследовательский институт авиационной технологии и организации производства"</t>
  </si>
  <si>
    <t>АО "Инструментальный завод-Пермские моторы"</t>
  </si>
  <si>
    <t>АО "Научно-исследовательский институт "Гириконд"</t>
  </si>
  <si>
    <t>АО "Научно-исследовательский институт газоразрядных приборов "Плазма"</t>
  </si>
  <si>
    <t>АО "Мосэлектронпроект"</t>
  </si>
  <si>
    <t>АО "Рязанский завод металлокерамических приборов"</t>
  </si>
  <si>
    <t>АО "Российский научно-исследовательский институт "Электронстандарт"</t>
  </si>
  <si>
    <t>АО "Научно-исследовательский институт "Феррит-Домен"</t>
  </si>
  <si>
    <t>АО "Центральный научно-исследовательский институт измерительной аппаратуры"</t>
  </si>
  <si>
    <t>ЗАО "Торговый дом "РОСЭЛ"</t>
  </si>
  <si>
    <t>ОАО "РЗМ Технологии"</t>
  </si>
  <si>
    <t>АО "Центральный научно-исследовательский институт  "Электрон"</t>
  </si>
  <si>
    <t>ОАО "Центральный научно-исследовательский институт "Циклон"</t>
  </si>
  <si>
    <t>ОАО "Научно-исследовательский институт электронных приборов" (ОАО "НИИЭПР")</t>
  </si>
  <si>
    <t>АО "Нижегородский институт технологии и организации производства"</t>
  </si>
  <si>
    <t>АО "Оптрон"</t>
  </si>
  <si>
    <t>ЗАО "Новые технологии света"</t>
  </si>
  <si>
    <t>АО "Германий"</t>
  </si>
  <si>
    <t>АО "Научно-исследовательский институт полупроводниковых приборов"</t>
  </si>
  <si>
    <t>АО "Завод полупроводниковых приборов"</t>
  </si>
  <si>
    <t>ЗАО "Научно-производственное объединение "Пульсар"</t>
  </si>
  <si>
    <t>АО "Научно-производственное предприятие "Циклон-Тест"</t>
  </si>
  <si>
    <t>АО "Научно-производственное предприятие "Восток"</t>
  </si>
  <si>
    <t>АО "Государственный завод "Пульсар"</t>
  </si>
  <si>
    <t>АО "Новосибирский завод радиодеталей "Оксид"</t>
  </si>
  <si>
    <t>АО "Научно-исследовательский институт "Платан" с заводом при НИИ"</t>
  </si>
  <si>
    <t>АО "Научно-производственное предприятие "Контакт"</t>
  </si>
  <si>
    <t>ОАО "Научно-производственное предприятие "Салют"</t>
  </si>
  <si>
    <t>АО "Омега"</t>
  </si>
  <si>
    <t>АО "Специальное конструкторско-технологическое бюро по релейной технике"</t>
  </si>
  <si>
    <t>АО "Внешнеэкономическое объединение "Радиоэкспорт"</t>
  </si>
  <si>
    <t>АО "Научно-исследовательский институт программных средств"</t>
  </si>
  <si>
    <t>АО "Информакустика"</t>
  </si>
  <si>
    <t>АО "Специальное проектно-конструкторское бюро средств управления"</t>
  </si>
  <si>
    <t>АО "Новосибирский завод полупроводниковых приборов с ОКБ"</t>
  </si>
  <si>
    <t>АО "Научно-исследовательский институт микроэлектронной аппаратуры "Прогресс"</t>
  </si>
  <si>
    <t>АО "Научно-исследовательский институт средств вычислительной техники"</t>
  </si>
  <si>
    <t>АО "Центральное конструкторское бюро специальных радиоматериалов"</t>
  </si>
  <si>
    <t>АО "Калужский завод телеграфной аппаратуры"</t>
  </si>
  <si>
    <t>АО "Специальное конструкторское бюро вычислительной техники"</t>
  </si>
  <si>
    <t>АО Научно-исследовательский институт промышленного телевидения "Растр"</t>
  </si>
  <si>
    <t>ОАО "Научно-исследовательский информационный вычислительный центр "Контакт"</t>
  </si>
  <si>
    <t>АО "Спецмагнит"</t>
  </si>
  <si>
    <t>АО "Научно-исследовательский и проектно-технологический институт электроугольных изделий"</t>
  </si>
  <si>
    <t>АО "Завод "Марс"</t>
  </si>
  <si>
    <t>АО "Центральное конструкторское бюро "Дейтон"</t>
  </si>
  <si>
    <t>АО "Омский приборостроительный ордена Трудового Красного Знамени завод им. Н.Г.Козицкого"</t>
  </si>
  <si>
    <t>АО "Внешнеторговое объединение "Электронинторг"</t>
  </si>
  <si>
    <t>ОАО "Саратовэлектронпроект"</t>
  </si>
  <si>
    <t>ОАО "Научно-исследовательский институт электронных материалов"</t>
  </si>
  <si>
    <t>ОАО "Алагирский завод сопротивлений"</t>
  </si>
  <si>
    <t>ОАО "Научно-исследовательский институт электронно-механических приборов"</t>
  </si>
  <si>
    <t>АО "Научно-производственное предприятие "Исток" имени А.И. Шокина"</t>
  </si>
  <si>
    <t>АО "Научно-производственное предприятие "Пульсар"</t>
  </si>
  <si>
    <t>ОАО "Научно-исследовательский институт вакуумной техники им. С.А.Векшинского"</t>
  </si>
  <si>
    <t>АО "Научно-производственное предприятие "Алмаз"</t>
  </si>
  <si>
    <t>ОАО "Концерн "Орион"</t>
  </si>
  <si>
    <t>АО "Научно-исследовательский институт телевидения"</t>
  </si>
  <si>
    <t>ОАО "Научно-исследовательский и опытно-экспериментальный центр интеллектуальных технологий "Петрокомета"</t>
  </si>
  <si>
    <t>АО "Конструкторское бюро полупроводникового машиностроения"</t>
  </si>
  <si>
    <t>АО "Научно-производственное предприятие "Кант"</t>
  </si>
  <si>
    <t>АО "Научно-технический центр современных навигационных технологий "Интернавигация"</t>
  </si>
  <si>
    <t>АО "Омский научно-исследовательский институт приборостроения"</t>
  </si>
  <si>
    <t>АО "Барнаульское специальное конструкторское бюро "Восток"</t>
  </si>
  <si>
    <t>АО "Радиозавод"</t>
  </si>
  <si>
    <t>ОАО "Супертел ДАЛС"</t>
  </si>
  <si>
    <t>АО "Омское производственное объединение "Иртыш"</t>
  </si>
  <si>
    <t>ОАО "Внешнеэкономическое объединение "Машприборинторг"</t>
  </si>
  <si>
    <t>АО "НПП "Торий"</t>
  </si>
  <si>
    <t>АО "ЦНИТИ "Техномаш"</t>
  </si>
  <si>
    <t>ОАО "Аркус-Д"</t>
  </si>
  <si>
    <t>ООО "Тенрон"</t>
  </si>
  <si>
    <t>ООО "Дочернее предприятие Медикотехнический центр НИИПП"</t>
  </si>
  <si>
    <t>АО "Научно-производственное предприятие "Салют-25"</t>
  </si>
  <si>
    <t>ЗАО "Научно-производственное предприятие "Салют-МИКРО"</t>
  </si>
  <si>
    <t>ОАО "Завод "Метеор"</t>
  </si>
  <si>
    <t>АО "Концерн радиостроения "Вега"</t>
  </si>
  <si>
    <t>АО "Научно-производственное предприятие "Рубин"</t>
  </si>
  <si>
    <t>АО "Московский научно-исследовательский институт связи"</t>
  </si>
  <si>
    <t>АО "Рыбинский завод приборостроения"</t>
  </si>
  <si>
    <t>АО "Конструкторское бюро "Луч"</t>
  </si>
  <si>
    <t>АО "Всероссийский научно-исследовательский институт "ЭТАЛОН"</t>
  </si>
  <si>
    <t>АО "Научно-исследователський институт "Кулон"</t>
  </si>
  <si>
    <t>АО "Инженерно-маркетинговый центр Концерна "Вега"</t>
  </si>
  <si>
    <t>АО "Челябинский радиозавод "Полет"</t>
  </si>
  <si>
    <t>АО "Опытный завод "Интеграл"</t>
  </si>
  <si>
    <t>АО "Научно-исследовательский центр электронной вычислительной техники"</t>
  </si>
  <si>
    <t>АО "Научно-исследовательский институт "Вектор"</t>
  </si>
  <si>
    <t>АО "Завод "Энергия"</t>
  </si>
  <si>
    <t>АО "Калужский научно-исследовательский институт телемеханических устройств"</t>
  </si>
  <si>
    <t>АО "Долгопрудненское конструкторское бюро автоматики"</t>
  </si>
  <si>
    <t>АО "Научно-исследовательский институт "Аргон"</t>
  </si>
  <si>
    <t>АО "Москвский ордена трудового красного знамени научно-исследовательский радиотехнический институт"</t>
  </si>
  <si>
    <t>АО "Московский радитехнический институт Российской академии наук"</t>
  </si>
  <si>
    <t>АО "Научно-исследовательский институт технологии и автоматизации производства"</t>
  </si>
  <si>
    <t>АО "Специальное констукторское бюро"Топаз"</t>
  </si>
  <si>
    <t>АО "Концерн "Созвездие"</t>
  </si>
  <si>
    <t>АО "Воронежский научно-иследовательский институт "Вега"</t>
  </si>
  <si>
    <t>АО "Конструкторское бюро опытных работ"</t>
  </si>
  <si>
    <t>АО "Алмаз"</t>
  </si>
  <si>
    <t>АО "Воронежское центральное конструкторское бюро"Полюс"</t>
  </si>
  <si>
    <t>АО "Краснодарский приборный завод "Каскад"</t>
  </si>
  <si>
    <t>АО "Тамбовский научно-исследовательский институт радиотехники "Эфир"</t>
  </si>
  <si>
    <t>АО "Конструкторское бюро"Селена"</t>
  </si>
  <si>
    <t>АО "Научно-производственное предприятие "Старт"</t>
  </si>
  <si>
    <t>АО "Тамбовский завод "Октябрь"</t>
  </si>
  <si>
    <t>АО "Тамбовский завод "Ревтруд"</t>
  </si>
  <si>
    <t>АО "Научно-производственное предприятие "Волна"</t>
  </si>
  <si>
    <t>АО "Научно-исследовательский институт систем связи и управления"</t>
  </si>
  <si>
    <t>АО "Научно-исследовательский институт электронной техники"</t>
  </si>
  <si>
    <t>АО "Завод "Тамбоваппарат"</t>
  </si>
  <si>
    <t>АО "Рязанский радиозавод"</t>
  </si>
  <si>
    <t>АО "Янтарь"</t>
  </si>
  <si>
    <t>АО "Системы управления"</t>
  </si>
  <si>
    <t>АО "Кимовский радиоэлектромеханический завод"</t>
  </si>
  <si>
    <t>АО "Концерн "Системпром"</t>
  </si>
  <si>
    <t>АО "Научно-исследовательский институт автоматизированных систем и комлексов связи "Нептун"</t>
  </si>
  <si>
    <t>АО "Научно-исследовательский институт информационных технологий"</t>
  </si>
  <si>
    <t>АО "Научно-исследовательский институт "Масштаб"</t>
  </si>
  <si>
    <t>АО "Научно-исследовательский институт "Рубин"</t>
  </si>
  <si>
    <t>АО "Научно- производственное объединение "Импульс"</t>
  </si>
  <si>
    <t>АО "Научно- производственное предприятие "Полет"</t>
  </si>
  <si>
    <t>АО "Научно- производственный центр "Вигстар"</t>
  </si>
  <si>
    <t>АО "Ордена трудового красного знамени научно-исследовательский институт автоматической аппаратуры им. Академика В. С. Семенихина"</t>
  </si>
  <si>
    <t>ПАО "Информационные телекоммуникационные технологии"</t>
  </si>
  <si>
    <t>ОАО "Научно-производственный комплекс "Красная Заря"</t>
  </si>
  <si>
    <t>АО "ЦНИИ ЭИСУ"</t>
  </si>
  <si>
    <t>АО "Научно-производственное предприятие "Радиосвязь"</t>
  </si>
  <si>
    <t>ОАО "Научно-координаторский центр "Новые технологии"</t>
  </si>
  <si>
    <t>ПАО "Институт электронных управляющих машин им. И.С. Брука"</t>
  </si>
  <si>
    <t>АО "Солнечногорский приборный завод"</t>
  </si>
  <si>
    <t>АО "Федеральный испытательный исследовательский центр машиностроения"</t>
  </si>
  <si>
    <t>АО "Научно-исследовательский конструкторско-технологический институт двигателей"</t>
  </si>
  <si>
    <t>ООО "Промышленный холдинг "Автокомпоненты"</t>
  </si>
  <si>
    <t>АО "Объединенные автомобильные технологии"</t>
  </si>
  <si>
    <t>АО "Димитровградский автоагрегатный завод"</t>
  </si>
  <si>
    <t>АО "Скопинский автоагрегатный завод"</t>
  </si>
  <si>
    <t>АО "Сердобский машиностроительный завод"</t>
  </si>
  <si>
    <t>АО Сельскохозяйственное предприятие "ЛИДЕР"</t>
  </si>
  <si>
    <t>АО "Научно-исследовательский машиностроительный институт"</t>
  </si>
  <si>
    <t>АО "Ремонтно-механический завод "Енисей"</t>
  </si>
  <si>
    <t>АО "Центральный институт по проектированию машиностроительных предприятий "Центромашпроект"</t>
  </si>
  <si>
    <t>АО "Центральное конструкторско-технологическое бюро полимерных материалов с опытным производством"</t>
  </si>
  <si>
    <t>АО "Новосибирский механический завод "Искра"</t>
  </si>
  <si>
    <t>АО "Ордена Трудового Красного Знамени специальный научно-исследовательский и проектный институт "СоюзпромНИИпроект"</t>
  </si>
  <si>
    <t>ОАО "Центральное научно-конструкторское бюро"</t>
  </si>
  <si>
    <t>ОАО "Федеральный научно-технический центр "Информхиммаш"</t>
  </si>
  <si>
    <t>ОАО "Расчет"</t>
  </si>
  <si>
    <t>ОАО "Бийское производственное объединение "Сибприбормаш"</t>
  </si>
  <si>
    <t>АО "Техмашсервис"</t>
  </si>
  <si>
    <t>ОАО "Научно-производственное предприятие "Темп"</t>
  </si>
  <si>
    <t>ОАО "Испытательно-контрактное предприятие "РИТМ"</t>
  </si>
  <si>
    <t>АО "Чебоксарское производственное объединение имени В.И.Чапаева"</t>
  </si>
  <si>
    <t>ОАО "Кемеровский механический завод"</t>
  </si>
  <si>
    <t>АО "Ленинградский механический завод имени Карла Либкнехта"</t>
  </si>
  <si>
    <t>АО "Научно-исследовательский инженерный институт"</t>
  </si>
  <si>
    <t>АО "Государственный научно-исследовательский институт "Кристалл"</t>
  </si>
  <si>
    <t>АО "Красноармейский научно-исследовательский институт механизации"</t>
  </si>
  <si>
    <t>АО "Завод "Пластмасс"</t>
  </si>
  <si>
    <t>АО "Химический завод "Планта"</t>
  </si>
  <si>
    <t>АО "Научно-производственное объединение "Прибор"</t>
  </si>
  <si>
    <t>АО "Научно-производственное предприятие "Краснознаменец"</t>
  </si>
  <si>
    <t>АО "Научно-исследовательский институт полимерных материалов"</t>
  </si>
  <si>
    <t>АО "Научно-исследовательский институт электронных приборов" (АО "НИИЭП")</t>
  </si>
  <si>
    <t>ОАО "Федеральный научно-производственный центр "Научно- исследовательский институт прикладной химии"</t>
  </si>
  <si>
    <t>АО "Муромский приборостроительный завод"</t>
  </si>
  <si>
    <t>АО "Научно-исследовательский технологический институт имени П.И.Снегирева"</t>
  </si>
  <si>
    <t>АО "Производственное объединение "Завод имени Серго"</t>
  </si>
  <si>
    <t>ОАО "Научно-производственное предприятие "Дельта"</t>
  </si>
  <si>
    <t>ОАО "Верхнетуринский машиностроительный завод"</t>
  </si>
  <si>
    <t>АО "Серовский механический завод"</t>
  </si>
  <si>
    <t>ОАО "Завод имени М.И. Калинина"</t>
  </si>
  <si>
    <t>ОАО "Машиностроительный завод "Штамп" имени Б.Л. Ванникова"</t>
  </si>
  <si>
    <t>ОАО "Нижнеломовский электромеханический завод"</t>
  </si>
  <si>
    <t>ОАО "Сигнал"</t>
  </si>
  <si>
    <t>АО "Научно-производственное объединение "Базальт"</t>
  </si>
  <si>
    <t>ОАО "Соликамский завод "Урал"</t>
  </si>
  <si>
    <t>АО "Ново-Вятка"</t>
  </si>
  <si>
    <t>ОАО "Нововятский механический завод"</t>
  </si>
  <si>
    <t>АО "Научно-производственное объединение "Поиск"</t>
  </si>
  <si>
    <t>АО "Алексинский опытный механический завод"</t>
  </si>
  <si>
    <t>АО "Краснозаводский химический завод"</t>
  </si>
  <si>
    <t>АО "Калиновский химический завод"</t>
  </si>
  <si>
    <t>ОАО "Смоленский завод радиодеталей"</t>
  </si>
  <si>
    <t>ОАО "Полимер"</t>
  </si>
  <si>
    <t>АО "РТ-Биотехпром"</t>
  </si>
  <si>
    <t>АО "Государственный научно-исследовательский институт биосинтеза белковых веществ"</t>
  </si>
  <si>
    <t>АО "Кожа"</t>
  </si>
  <si>
    <t>ОАО "Колюбакинский игольный завод"</t>
  </si>
  <si>
    <t>ФГУП "НПО "Микроген"</t>
  </si>
  <si>
    <t>ООО "НИК Логистика"</t>
  </si>
  <si>
    <t>АО "Государственный оптический институт имени С.И. Вавилова"</t>
  </si>
  <si>
    <t>АО "Загорский оптико-механический завод"</t>
  </si>
  <si>
    <t>АО "Национальный центр лазерных систем и комплексов "Астрофизика"</t>
  </si>
  <si>
    <t>АО "Научно-исследовательский институт "Полюс" им. М.Ф. Стельмаха"</t>
  </si>
  <si>
    <t>АО "Научно-исследовательский и технологический институт оптического материаловедения Всероссийского научного центра "Государственный оптический институт им. С.И. Вавилова"</t>
  </si>
  <si>
    <t>АО "Научно-производственное объединение "Государственный институт прикладной оптики"</t>
  </si>
  <si>
    <t>АО "Научно-производственное объединение "Оптика"</t>
  </si>
  <si>
    <t>АО "Производственное объединение "Уральский оптико-механический завод" имени Э.С. Яламова"</t>
  </si>
  <si>
    <t>АО "Швабе – Исследования"</t>
  </si>
  <si>
    <t>АО "Швабе – Оборона и Защита"</t>
  </si>
  <si>
    <t>АО "Швабе – Технологическая лаборатория"</t>
  </si>
  <si>
    <t>АО "Швабе – Фотоприбор"</t>
  </si>
  <si>
    <t>ОАО "Швабе – Фотосистемы"</t>
  </si>
  <si>
    <t>АО "Вологодский оптико-механический завод"</t>
  </si>
  <si>
    <t>ООО "Швабе – Урал"</t>
  </si>
  <si>
    <t>ООО "Швабе – Капитал"</t>
  </si>
  <si>
    <t>ООО "Швабе – Инжиниринг"</t>
  </si>
  <si>
    <t>ООО "Швабе – Медиа"</t>
  </si>
  <si>
    <t>ООО "Швабе-Ростов-на-Дону"</t>
  </si>
  <si>
    <t>АО "Северная теплоэнергетическая компания"</t>
  </si>
  <si>
    <t>ООО "Швабе – Москва"</t>
  </si>
  <si>
    <t>ООО "Швабе – Казань"</t>
  </si>
  <si>
    <t>ООО "Швабе – Северо-Запад"</t>
  </si>
  <si>
    <t>ООО "Швабе – Красноярск"</t>
  </si>
  <si>
    <t>ООО "Швабе – Иркутск"</t>
  </si>
  <si>
    <t>ООО "Швабе – Лаборатория 1"</t>
  </si>
  <si>
    <t>ООО "Швабе – Комбинат питания"</t>
  </si>
  <si>
    <t>ООО "Швабе – Пермь"</t>
  </si>
  <si>
    <t>ООО "Швабе – Самара"</t>
  </si>
  <si>
    <t>ООО "Швабе – Волгоград"</t>
  </si>
  <si>
    <t>АО "Лыткаринский завод оптического стекла"</t>
  </si>
  <si>
    <t>ПАО "Красногорский завод имени С. А. Зверева"</t>
  </si>
  <si>
    <t>АО "НПО "Орион"</t>
  </si>
  <si>
    <t>АО "Уфимское агрегатное предприятие "Гидравлика"</t>
  </si>
  <si>
    <t>0278179819</t>
  </si>
  <si>
    <t>АО "Уфимское агрегатное производственное объединение"</t>
  </si>
  <si>
    <t>0275074279</t>
  </si>
  <si>
    <t>АО "Уфимское научно- производственное предприятие "Молния"</t>
  </si>
  <si>
    <t>0275074110</t>
  </si>
  <si>
    <t>ОАО "Иркутский научно-исследовательский институт авиационной технологии и организации производства"</t>
  </si>
  <si>
    <t>АО "Научно-производственное предприятие "Респиратор"</t>
  </si>
  <si>
    <t>АО "Уфимский проектно-конструкторский институт авиационной промышленности "Уфаавиапроект"</t>
  </si>
  <si>
    <t>0273047745</t>
  </si>
  <si>
    <t>АО "Электропривод"</t>
  </si>
  <si>
    <t>АО "Ульяновский государственный проектно-конструкторский институт авиационной промышленности"</t>
  </si>
  <si>
    <t>ОАО "Московский завод электромеханизмов"</t>
  </si>
  <si>
    <t>ОАО "Научно-исследовательский институт текстильных материалов"</t>
  </si>
  <si>
    <t>АО "Ленинградский Северный завод"</t>
  </si>
  <si>
    <t>АО "Научно-исследовательский институт парашютостроения"</t>
  </si>
  <si>
    <t>АО "Авиационно-сервисный центр "Авиационное оборудование"</t>
  </si>
  <si>
    <t>АО "Котласский электромеханический завод"</t>
  </si>
  <si>
    <t>АО "Авиаагрегат"</t>
  </si>
  <si>
    <t>ОАО "Машиностроительный завод "Маяк"</t>
  </si>
  <si>
    <t>АО "Научно-производственное предприятие "Старт" им. А.И. Яскина"</t>
  </si>
  <si>
    <t>АО "Московский машиностроительный завод "Знамя"</t>
  </si>
  <si>
    <t>ОАО "Московский конструкторско-производственный комплекс "Универсал"</t>
  </si>
  <si>
    <t>АО "Научно-производственное объединение "Квант"</t>
  </si>
  <si>
    <t>АО "Брянский электромеханический завод"</t>
  </si>
  <si>
    <t>АО "Всероссийский научно-исследовательский институт "Градиент"</t>
  </si>
  <si>
    <t>АО "Калужский научно-исследовательский радиотехнический институт"</t>
  </si>
  <si>
    <t>АО "Научно-исследовательский институт "Экран"</t>
  </si>
  <si>
    <t>АО "Научно-исследовательский институт специальных информационно-измерительных систем"</t>
  </si>
  <si>
    <t>ОАО "Микротехника"</t>
  </si>
  <si>
    <t>ПАО "Брянское специальное конструкторское бюро"</t>
  </si>
  <si>
    <t>АО "Телевизионный завод "Садко"</t>
  </si>
  <si>
    <t>АО "Научно-производственное объединение "Радиоэлектроника" им.В.И.Шимко"</t>
  </si>
  <si>
    <t>АО "Казанское приборостроительное конструкторское бюро"</t>
  </si>
  <si>
    <t>АО "Научно-исследовательский институт развития соединителей и изделий специальной электроники"</t>
  </si>
  <si>
    <t>ОАО "Научно – производственный центр "САПСАН"</t>
  </si>
  <si>
    <t>АО "Автоматика"</t>
  </si>
  <si>
    <t>АО "Радиоприборснаб"</t>
  </si>
  <si>
    <t>ОАО "Научно-технический центр системы и средства государственного опознавания"</t>
  </si>
  <si>
    <t>АО "Нижегородское научно-производственное объединение имени М.В. Фрунзе"</t>
  </si>
  <si>
    <t>АО "Курский Завод "Маяк"</t>
  </si>
  <si>
    <t>АО "Ульяновский центр микроэлектроники и автоматизации"</t>
  </si>
  <si>
    <t>АО "Конструкторское бюро завода "Россия"</t>
  </si>
  <si>
    <t>ОАО "Научно-исследовательское и опытно-конструкторское предприятие "Планета"</t>
  </si>
  <si>
    <t>АО "Научно-производственная компания "РИТМ"</t>
  </si>
  <si>
    <t>АО "Концерн "Авиаприборостроение"</t>
  </si>
  <si>
    <t>АО "Научно-исследовательский институт авиационного оборудования"</t>
  </si>
  <si>
    <t>АО "Инженерное сопровождение испытаний "Взлет"</t>
  </si>
  <si>
    <t>АО "Государственный Рязанский приборный завод"</t>
  </si>
  <si>
    <t>АО "Опытно-конструкторское бюро "Электроавтоматика" имени П.А. Ефимова</t>
  </si>
  <si>
    <t>АО "Уфимское приборостроительное производственное объединение"</t>
  </si>
  <si>
    <t>0276140862</t>
  </si>
  <si>
    <t>АО "Жигулевский радиозавод"</t>
  </si>
  <si>
    <t>АО "Концерн "Авионика"</t>
  </si>
  <si>
    <t>АО "Корпорация "Аэрокосмическое оборудование"</t>
  </si>
  <si>
    <t>АО "Научно-производственное предприятие "ЭлТом"</t>
  </si>
  <si>
    <t>ОАО "Конструкторское бюро автоматических систем"</t>
  </si>
  <si>
    <t>АО "Владыкинский механический завод"</t>
  </si>
  <si>
    <t>ЗАО "Ф-Финанс"</t>
  </si>
  <si>
    <t>ЗАО "Ф-Капитал"</t>
  </si>
  <si>
    <t>АО "Научно-производственное предприятие "Измеритель"</t>
  </si>
  <si>
    <t>АО "Альметьевский завод "Радиоприбор"</t>
  </si>
  <si>
    <t>АО "Измеритель-авто"</t>
  </si>
  <si>
    <t>АО "Московский радиозавод "Темп"</t>
  </si>
  <si>
    <t>АО "Научно-производственное объединение "Рязаньприбор"</t>
  </si>
  <si>
    <t>АО "Раменский приборостроительный завод"</t>
  </si>
  <si>
    <t>АО "Уральский приборостроительный завод"</t>
  </si>
  <si>
    <t>АО "Радиоприбор"</t>
  </si>
  <si>
    <t>АО "Таганрогский научно-исследовательский институт связи"</t>
  </si>
  <si>
    <t>АО "Московское конструкторское бюро "Компас"</t>
  </si>
  <si>
    <t>АО "РТ-Охрана"</t>
  </si>
  <si>
    <t>АО "РТ-Пожарная безопасность"</t>
  </si>
  <si>
    <t>ООО "Частная охранная организация "РТО-Гард"</t>
  </si>
  <si>
    <t>АО "Московский вертолетный завод им. М.Л. Миля"</t>
  </si>
  <si>
    <t>АО "Камов"</t>
  </si>
  <si>
    <t>АО "Ступинское машиностроительное производственное предприятие"</t>
  </si>
  <si>
    <t>АО "Редуктор-ПМ"</t>
  </si>
  <si>
    <t>АО "Вертолетная сервисная компания"</t>
  </si>
  <si>
    <t>ПАО "Роствертол"</t>
  </si>
  <si>
    <t>ООО "Центр закупок и логистики вертолетостроительной индустрии""</t>
  </si>
  <si>
    <t>АО "Новосибирский авиаремонтный завод"</t>
  </si>
  <si>
    <t>АО "356 авиационный ремонтный завод"</t>
  </si>
  <si>
    <t>АО "419 авиационный ремонтный завод"</t>
  </si>
  <si>
    <t>АО "810 авиационный ремонтный завод"</t>
  </si>
  <si>
    <t>АО "12 Авиационный ремонтный завод"</t>
  </si>
  <si>
    <t>АО "150 авиационный ремонтный завод"</t>
  </si>
  <si>
    <t>АО "99 завод авиационного технологического оборудования"</t>
  </si>
  <si>
    <t>АО "Улан-Удэнский авиационный завод"</t>
  </si>
  <si>
    <t>0323018510</t>
  </si>
  <si>
    <t>ПАО "Казанский вертолетный завод"</t>
  </si>
  <si>
    <t>АО "Кумертауское авиационное производственное предприятие"</t>
  </si>
  <si>
    <t>0262016287</t>
  </si>
  <si>
    <t>ПАО "Арсеньевская авиационная компания "Прогресс" им. Н.И. Сазыкина"</t>
  </si>
  <si>
    <t>ООО "ВР Литейное производство"</t>
  </si>
  <si>
    <t>АО "Авиадвигатель"</t>
  </si>
  <si>
    <t>АО "Климов"</t>
  </si>
  <si>
    <t>ПАО "КУЗНЕЦОВ"</t>
  </si>
  <si>
    <t>ПАО "Научно-производственное объединение "Сатурн"</t>
  </si>
  <si>
    <t>АО "СТАР"</t>
  </si>
  <si>
    <t>ПАО "Уфимское моторостроительное производственное объединение"</t>
  </si>
  <si>
    <t>0273008320</t>
  </si>
  <si>
    <t>АО "Московское машиностроительное предприятие имени В.В. Чернышева"</t>
  </si>
  <si>
    <t>АО "ОДК-газовые турбины"</t>
  </si>
  <si>
    <t>АО "ЭНЕРГЕТИК-ПЕРМСКИЕ МОТОРЫ</t>
  </si>
  <si>
    <t>АО "ОДК-Пермские моторы"</t>
  </si>
  <si>
    <t>АО "570 авиационный ремонтный завод"</t>
  </si>
  <si>
    <t>АО "218 авиационный ремонтный завод"</t>
  </si>
  <si>
    <t>АО "712 авиационный ремонтный завод"</t>
  </si>
  <si>
    <t>АО "Арамильский авиационный ремонтный завод"</t>
  </si>
  <si>
    <t>АО "Научно-производственный центр газотурбостроения "Салют"</t>
  </si>
  <si>
    <t>АО "Сатурн – Инструментальный завод"</t>
  </si>
  <si>
    <t>АО "Наро-Фоминский машиностроительный завод"</t>
  </si>
  <si>
    <t>АО "Уфа-АвиаГаз"</t>
  </si>
  <si>
    <t>0273034055</t>
  </si>
  <si>
    <t>ООО "Пансионат "Головинка"</t>
  </si>
  <si>
    <t>АО "Инвест Альянс"</t>
  </si>
  <si>
    <t>ОАО "Управляющая компания "Уфимские моторы"</t>
  </si>
  <si>
    <t>0273055464</t>
  </si>
  <si>
    <t>ООО "УФА МОТОР ИНВЕСТ"</t>
  </si>
  <si>
    <t>0273017691</t>
  </si>
  <si>
    <t>ООО "ДБА-Инжиниринг"</t>
  </si>
  <si>
    <t>0273087427</t>
  </si>
  <si>
    <t>АО "Металлист-ПМ"</t>
  </si>
  <si>
    <t>ООО "РТ-Глобальные ресурсы"</t>
  </si>
  <si>
    <t>ООО "Авиакапитал-Сервис"</t>
  </si>
  <si>
    <t>ОАО "Государственный научно-исследовательский проектный и конструкторский институт горного дела и металлургии цветных металлов"</t>
  </si>
  <si>
    <t>ОАО "Всероссийский научно-исследовательский институт по осушению месторождений полезных ископаемых, защите инженерных сооружений от обводнения, специальным горным работам, геомеханике, геофизике, гидротехнике, геологии и маркшейдерскому делу"</t>
  </si>
  <si>
    <t>ОАО "Научно-исследовательский институт цветных металлов" "ГИНЦВЕТМЕТ"</t>
  </si>
  <si>
    <t>ООО "РТ-ТМТ"</t>
  </si>
  <si>
    <t>ООО "РТ-Мобильные решения"</t>
  </si>
  <si>
    <t>ООО "Русинформэкспорт"</t>
  </si>
  <si>
    <t>АО "Научно-исследовательский институт технического стекла"</t>
  </si>
  <si>
    <t>АО "Уральский научно-исследовательский химический институт с опытным заводом"</t>
  </si>
  <si>
    <t>АО "Восточный научно-исследовательский углехимический институт"</t>
  </si>
  <si>
    <t>АО "Обнинское научно-производственное предприятие "Технология" им. А.Г.Ромашина"</t>
  </si>
  <si>
    <t>ООО "Хим-Трейд"</t>
  </si>
  <si>
    <t>АО "Государственный ордена Трудового Красного Знамени научно-исследовательский институт химии и технологии элементоорганических соединений"</t>
  </si>
  <si>
    <t>АО "Научно-исследовательский институт синтетического волокна с экспериментальным заводом"</t>
  </si>
  <si>
    <t>АО "Всероссийский научно-исследовательский институт токов высокой частоты имени В.П.Вологдина"</t>
  </si>
  <si>
    <t>ОАО "ВНЕШНЕЭКОНОМИЧЕСКОЕ ОБЪЕДИНЕНИЕ "СОЮЗХИМЭКСПОРТ"</t>
  </si>
  <si>
    <t>ООО "РТ Брокер"</t>
  </si>
  <si>
    <t>АО "Новосибирский завод искусственного волокна"</t>
  </si>
  <si>
    <t>АО "Брянский химический завод имени 50-летия СССР"</t>
  </si>
  <si>
    <t>ГО (ХК)/ОПУ</t>
  </si>
  <si>
    <t>ООО "РТЛ-Таможенный оператор" (входит в состав АО "РТ-Логистика")</t>
  </si>
  <si>
    <t>ООО "РТ-Череповецкий завод модульных строительных конструкций" (входит в состав ООО "РТ-СоцСтрой")</t>
  </si>
  <si>
    <t>АО "Банк "Российская финансовая корпорация" (входит в состав АО "Рособоронэкспорт")</t>
  </si>
  <si>
    <t>АО "ПРОМПОСТАВКА" (входит в состав АО "Рособоронэкспорт")</t>
  </si>
  <si>
    <t>ООО "РТ-ТехСервис" (входит в состав АО "Рособоронэкспорт")</t>
  </si>
  <si>
    <t>АО "ТЕВИС" (входит в состав ООО "РТ-Энергоэффективность")</t>
  </si>
  <si>
    <t>АО "Тольяттинская энергосбытовая компания" (входит в состав ООО "РТ-Энергоэффективность")</t>
  </si>
  <si>
    <t>ООО "Внешнеэкономическое объединение "Технопромэкспорт" (входит в состав ООО "РТ-Энергоэффективность")</t>
  </si>
  <si>
    <t>АО "Янтарный Ювелирпром" (входит в состав АО "Калининградский янтарный комбинат")</t>
  </si>
  <si>
    <t>АО "Конструкторское бюро автоматических линий им. Л.Н.Кошкина" (входит в состав АО "Центральный научно-исследовательский институт точного машиностроения")</t>
  </si>
  <si>
    <t>АО "Электронный паспорт" (входит в состав АО "РТ-Логистика")</t>
  </si>
  <si>
    <t>АО "Московский завод радиотехнической аппаратуры" (входит в состав АО "РТ-Строительные технологии")</t>
  </si>
  <si>
    <t>ООО "Бизнес комплекс на Русаковской" (входит в состав АО "РТ-Строительные технологии")</t>
  </si>
  <si>
    <t>Объем закупок у субъектов МСП по отношению к совокупному годовому стоимостному объему договоров, заключенных заказчиком по результатам закупок</t>
  </si>
  <si>
    <t>Совокупный стоимостной объем договоров, заключенных заказчиками с субъектами МСП по результатам закупок, участниками которых являются только субъекты МСП (п.4б ПП1352), по отношению к совокупному годовому стоимостному объему договоров, заключенных заказчиком по результатам закупок.</t>
  </si>
  <si>
    <t>АО "Серпуховский завод "Металлист"</t>
  </si>
  <si>
    <t>АО Специальное конструкторское бюро "Турбина"</t>
  </si>
  <si>
    <t>АО Центральное конструкторское бюро аппаратостроения</t>
  </si>
  <si>
    <t>Общество с ограниченной ответственностью "УВЗ-Медиа Сервис" (ООО "УВЗ-Медиа Сервис")</t>
  </si>
  <si>
    <t>Акционерное общество "Уралкриомаш" (АО "Уралкриомаш")</t>
  </si>
  <si>
    <t>6623029538</t>
  </si>
  <si>
    <t>5505204171</t>
  </si>
  <si>
    <t>7017298902</t>
  </si>
  <si>
    <t>6659190900</t>
  </si>
  <si>
    <t>7842436263</t>
  </si>
  <si>
    <t>6673189640</t>
  </si>
  <si>
    <t>5259075468</t>
  </si>
  <si>
    <t>6666000100</t>
  </si>
  <si>
    <t>0261013879</t>
  </si>
  <si>
    <t>6623091790</t>
  </si>
  <si>
    <t>7819310752</t>
  </si>
  <si>
    <t>7524015624</t>
  </si>
  <si>
    <t>2340020470</t>
  </si>
  <si>
    <t>2811005250</t>
  </si>
  <si>
    <t>2302060955</t>
  </si>
  <si>
    <t>6674331056</t>
  </si>
  <si>
    <t>3233502418</t>
  </si>
  <si>
    <t>5027150193</t>
  </si>
  <si>
    <t>7452125336</t>
  </si>
  <si>
    <t>7449044990</t>
  </si>
  <si>
    <t>Общество с ограниченной ответственностью "Юргинский машиностроительный завод" (ООО "ЮМЗ")</t>
  </si>
  <si>
    <t>Акционерное общество "Ремонтно-строительный комплекс Урала"                                                                                                                                                                     (АО "РСКУ")</t>
  </si>
  <si>
    <t>6623117390</t>
  </si>
  <si>
    <t>7449035700</t>
  </si>
  <si>
    <t>АО "Научно-производственная корпорация "Уралвагонзавод"</t>
  </si>
  <si>
    <t>Акционерное общество "УБТ-ИНВЕСТ" (АО "УБТ-ИНВЕСТ")</t>
  </si>
  <si>
    <t>Общество с ограниченной ответственностью "УБТ-Отель" (ООО "УБТ-Отель")</t>
  </si>
  <si>
    <t>Общество с ограниченной ответственностью "Уральское конструкторское бюро вагоностроения" (ООО"УКБВ")</t>
  </si>
  <si>
    <t>Акционерное общество "Уральская большегрузная техника - Уралвагонзавод" (АО "УБТ-Уралвагонзавод")</t>
  </si>
  <si>
    <t>Акционерное общество  "Муромское специальное конструкторское бюро" (АО "Муромское СКБ")</t>
  </si>
  <si>
    <t>Акционерное общество "Омский завод транспортного  машиностроения" (АО "Омсктрансмаш")</t>
  </si>
  <si>
    <t>Акционерное общество "Уральское конструкторское бюро транспортного машиностроения" (АО "УКБТМ")</t>
  </si>
  <si>
    <t>Акционерное общество "Томский электротехнический завод" (АО "ТЭТЗ")</t>
  </si>
  <si>
    <t>Акционерное общество "Научно-исследовательский институт двигателей" (АО "НИИД")</t>
  </si>
  <si>
    <t>Акционерное общество "Уральский завод  транспортного машиностроения" (АО "Уралтрансмаш")</t>
  </si>
  <si>
    <t>Акционерное общество "Центральный научно-исследовательский институт материалов" (АО "ЦНИИМ")</t>
  </si>
  <si>
    <t>Акционерное общество "Завод № 9" (АО "Завод № 9")</t>
  </si>
  <si>
    <t>Акционерное общество "Центральный научно-исследовательский институт "Буревестник" (АО "ЦНИИ "Буревестник")</t>
  </si>
  <si>
    <t>Открытое акционерное общество "Всероссийский научно-исследовательский институт транспортного машиностроения" (ОАО "ВНИИТрансмаш")</t>
  </si>
  <si>
    <t>Акционерное общество  "Каменск – Уральский литейный завод" (АО "КУЛЗ")</t>
  </si>
  <si>
    <t>Общество с ограниченной ответственностью "Производственная фирма "Новый стиль" (ООО "ПФ "Новый стиль")</t>
  </si>
  <si>
    <t>Общество с ограниченной ответственностью "Торговый дом "Северный регион" (ООО "ТД "Северный регион")</t>
  </si>
  <si>
    <t>Акционерное общество "УралВагонЗавод - Транс" (АО "УВЗ-Транс")</t>
  </si>
  <si>
    <t>Акционерное общество "Машиностроительная компания "Витязь" (АО "МК "Витязь")</t>
  </si>
  <si>
    <t>Общество с ограниченной ответственностью "УВЗ-ЭНЕРГО" (ООО "УВЗ-ЭНЕРГО")</t>
  </si>
  <si>
    <t>Общество с ограниченной ответственностью "УБТ-Экология" (ООО "УБТ-Экология")</t>
  </si>
  <si>
    <t>Общество с ограниченной ответственностью "Бизнес-Консультант" (ООО "Бизнес-Консультант")</t>
  </si>
  <si>
    <t>Общество с ограниченной ответственностью "Дирекция технического заказчика Уралвагонзавод" (ООО "ДТЗ УВЗ")</t>
  </si>
  <si>
    <t>Акционерное общество "61 бронетанковый ремонтный завод" (АО "61 БТРЗ")</t>
  </si>
  <si>
    <t>Акционерное общество "103 бронетанковый ремонтный завод"  (АО "103 БТРЗ")</t>
  </si>
  <si>
    <t>Акционерное общество "163 бронетанковый ремонтный завод" (АО "163 БТРЗ")</t>
  </si>
  <si>
    <t>Акционерное общество "560 бронетанковый ремонтный завод" (АО "560 БТРЗ")</t>
  </si>
  <si>
    <t>Акционерное общество "81 бронетанковый ремонтный завод" (АО "81 БТРЗ")</t>
  </si>
  <si>
    <t>Акционерное общество "144 бронетанковый ремонтный завод" (АО "144 БТРЗ")</t>
  </si>
  <si>
    <t>Акционерное общество "192 Центральный завод железнодорожной техники" (АО "192 ЦЗЖТ")</t>
  </si>
  <si>
    <t>Открытое акционерное общество "41 центральный завод железнодорожной техники" (ОАО "41 центральный завод")</t>
  </si>
  <si>
    <t>Общество с ограниченной ответственностью "УВЗ-Логистик" (ООО "УВЗ-Логистик")</t>
  </si>
  <si>
    <t>Общество с ограниченной ответственностью "Челябинский тракторный завод - УРАЛТРАК" (ООО "ЧТЗ-УРАЛТРАК")</t>
  </si>
  <si>
    <t>Общество с ограниченной ответственностью "ЧТЗ-Инженерные машины" (ООО "ЧТЗ-ИнжеМаш")</t>
  </si>
  <si>
    <t>Акционерное общество "Научно-производственное объединение "Электромашина" (АО "НПО "Электромашина")</t>
  </si>
  <si>
    <t>Общество с ограниченной ответственностью "Технопарк "Тракторозаводский" (ООО "Технопарк "Тракторозаводский")</t>
  </si>
  <si>
    <t>Общество с ограниченной ответственностью "Торговый дом "Электромашина" (ООО "ТД "Электромашина")</t>
  </si>
  <si>
    <t>Общество с ограниченной ответственностью "УБТ-ИНТЕГРА" (ООО "УБТ-ИНТЕГРА")</t>
  </si>
  <si>
    <t>Общество с ограниченной ответственностью "УВЗ-Девелопмент" (ООО "УВЗ-Девелопмент")</t>
  </si>
  <si>
    <t>Общество с ограниченной ответственностью "Новый стиль" (ООО "Новый стиль")</t>
  </si>
  <si>
    <t>Общество с ограниченной ответственностью "УБТ-Технология" (ООО "УБТ-Технология")</t>
  </si>
  <si>
    <t>Общество с ограниченной ответственностью "Паркинг-плюс" (ООО "Паркинг-плюс")</t>
  </si>
  <si>
    <t>Общество с ограниченной ответственностью "УБТ-Сервис" (ООО "УБТ-Сервис")</t>
  </si>
  <si>
    <t>Общество с ограниченной ответственностью "УБТ-Уральский завод поглощающих аппаратов" (ООО "УБТ-УЗПА")</t>
  </si>
  <si>
    <t>Общество с ограниченной ответственностью "Солнечное" (ООО "Солнечное")</t>
  </si>
  <si>
    <t>Общество с ограниченной ответственностью Управляющая компания "Индустриальный парк "Машиностроительный" (ООО УК "Индустриальный парк "Машиностроительный")</t>
  </si>
  <si>
    <t>Общество с ограниченной ответственностью "Специализированная бухгалтерская организация - Завод Электромашин" (ООО "СБО-ЗЭМ")</t>
  </si>
  <si>
    <t>Закрытая закупка у единственного поставщика</t>
  </si>
  <si>
    <t>ЗЕП</t>
  </si>
  <si>
    <t>Аннулирована</t>
  </si>
  <si>
    <t>АО "Пензенский научно-исследовательский электротехнический институт"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</si>
</sst>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_-* #,##0.00_р_._-;\-* #,##0.00_р_._-;_-* &quot;-&quot;??_р_._-;_-@_-"/>
    <numFmt numFmtId="165" formatCode="#,##0.00_р_."/>
    <numFmt numFmtId="166" formatCode="[$-419]mmmm\ yyyy;@"/>
    <numFmt numFmtId="167" formatCode="#\ ###.00_р_."/>
    <numFmt numFmtId="168" formatCode="#\ ###\ ###\ ###\ ##0.00_р_."/>
  </numFmts>
  <fonts count="33" x14ac:knownFonts="1">
    <font>
      <sz val="11"/>
      <color theme="1"/>
      <name val="Calibri"/>
      <family val="2"/>
      <charset val="204"/>
      <scheme val="minor"/>
    </font>
    <font>
      <b/>
      <sz val="10"/>
      <color rgb="FF00008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Helv"/>
    </font>
    <font>
      <sz val="11"/>
      <color theme="1"/>
      <name val="Calibri"/>
      <family val="2"/>
      <scheme val="minor"/>
    </font>
    <font>
      <sz val="10"/>
      <color theme="1" tint="0.499984740745262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theme="1" tint="0.499984740745262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34998626667073579"/>
        <bgColor indexed="64"/>
      </patternFill>
    </fill>
  </fills>
  <borders count="10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00206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</borders>
  <cellStyleXfs count="18">
    <xf numFmtId="0" fontId="0" fillId="0" borderId="0"/>
    <xf numFmtId="9" fontId="3" fillId="0" borderId="0" applyFon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4" fillId="0" borderId="0"/>
    <xf numFmtId="9" fontId="15" fillId="0" borderId="0" applyFont="0" applyFill="0" applyBorder="0" applyAlignment="0" applyProtection="0"/>
    <xf numFmtId="0" fontId="3" fillId="0" borderId="0"/>
    <xf numFmtId="0" fontId="15" fillId="0" borderId="0"/>
    <xf numFmtId="0" fontId="12" fillId="0" borderId="0"/>
    <xf numFmtId="0" fontId="17" fillId="0" borderId="0"/>
    <xf numFmtId="0" fontId="16" fillId="0" borderId="0" applyNumberFormat="0" applyFont="0" applyFill="0" applyBorder="0" applyAlignment="0" applyProtection="0">
      <alignment vertical="top"/>
    </xf>
    <xf numFmtId="0" fontId="14" fillId="0" borderId="0"/>
    <xf numFmtId="0" fontId="18" fillId="0" borderId="0"/>
    <xf numFmtId="0" fontId="1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809">
    <xf numFmtId="0" fontId="0" fillId="0" borderId="0" xfId="0"/>
    <xf numFmtId="0" fontId="0" fillId="0" borderId="0" xfId="0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34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35" xfId="0" applyFont="1" applyFill="1" applyBorder="1" applyAlignment="1">
      <alignment horizontal="center" vertical="center" wrapText="1"/>
    </xf>
    <xf numFmtId="14" fontId="2" fillId="0" borderId="35" xfId="0" applyNumberFormat="1" applyFont="1" applyFill="1" applyBorder="1" applyAlignment="1">
      <alignment horizontal="center" vertical="center" wrapText="1"/>
    </xf>
    <xf numFmtId="166" fontId="2" fillId="2" borderId="3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vertical="center" wrapText="1"/>
    </xf>
    <xf numFmtId="166" fontId="6" fillId="0" borderId="11" xfId="0" applyNumberFormat="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vertical="center" wrapText="1"/>
    </xf>
    <xf numFmtId="166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16" xfId="0" applyFont="1" applyBorder="1" applyAlignment="1">
      <alignment horizontal="justify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6" fillId="0" borderId="46" xfId="0" applyFont="1" applyBorder="1" applyAlignment="1">
      <alignment horizontal="left" vertical="center" wrapText="1"/>
    </xf>
    <xf numFmtId="0" fontId="6" fillId="0" borderId="0" xfId="0" applyFont="1"/>
    <xf numFmtId="0" fontId="7" fillId="2" borderId="4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2" borderId="24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7" fillId="5" borderId="43" xfId="0" applyFont="1" applyFill="1" applyBorder="1" applyAlignment="1">
      <alignment horizontal="right" vertical="center" wrapText="1"/>
    </xf>
    <xf numFmtId="0" fontId="6" fillId="5" borderId="23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right" vertical="center"/>
    </xf>
    <xf numFmtId="0" fontId="6" fillId="0" borderId="46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right" wrapText="1"/>
    </xf>
    <xf numFmtId="0" fontId="7" fillId="6" borderId="43" xfId="0" applyFont="1" applyFill="1" applyBorder="1" applyAlignment="1">
      <alignment horizontal="right" vertical="center" wrapText="1"/>
    </xf>
    <xf numFmtId="0" fontId="7" fillId="2" borderId="57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3" fontId="6" fillId="0" borderId="23" xfId="0" applyNumberFormat="1" applyFont="1" applyBorder="1" applyAlignment="1">
      <alignment horizontal="center" vertical="center" wrapText="1"/>
    </xf>
    <xf numFmtId="9" fontId="6" fillId="0" borderId="30" xfId="0" applyNumberFormat="1" applyFont="1" applyBorder="1" applyAlignment="1">
      <alignment horizontal="center" vertical="center" wrapText="1"/>
    </xf>
    <xf numFmtId="9" fontId="6" fillId="0" borderId="31" xfId="1" applyFont="1" applyBorder="1" applyAlignment="1">
      <alignment horizontal="center" vertical="center" wrapText="1"/>
    </xf>
    <xf numFmtId="0" fontId="6" fillId="0" borderId="49" xfId="0" applyFont="1" applyBorder="1" applyAlignment="1">
      <alignment wrapText="1"/>
    </xf>
    <xf numFmtId="0" fontId="6" fillId="0" borderId="44" xfId="0" applyFont="1" applyBorder="1" applyAlignment="1">
      <alignment horizontal="center" wrapText="1"/>
    </xf>
    <xf numFmtId="0" fontId="7" fillId="0" borderId="52" xfId="0" applyFont="1" applyFill="1" applyBorder="1" applyAlignment="1">
      <alignment horizontal="right" vertical="center" wrapText="1"/>
    </xf>
    <xf numFmtId="0" fontId="6" fillId="0" borderId="53" xfId="0" applyFont="1" applyFill="1" applyBorder="1" applyAlignment="1">
      <alignment horizontal="center" vertical="center"/>
    </xf>
    <xf numFmtId="0" fontId="6" fillId="0" borderId="59" xfId="0" applyFont="1" applyBorder="1" applyAlignment="1">
      <alignment horizontal="justify" vertical="center" wrapText="1"/>
    </xf>
    <xf numFmtId="0" fontId="6" fillId="0" borderId="47" xfId="0" applyFont="1" applyBorder="1" applyAlignment="1">
      <alignment horizontal="justify" vertical="center" wrapText="1"/>
    </xf>
    <xf numFmtId="0" fontId="6" fillId="5" borderId="23" xfId="0" applyFont="1" applyFill="1" applyBorder="1" applyAlignment="1">
      <alignment horizont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 wrapText="1"/>
    </xf>
    <xf numFmtId="0" fontId="7" fillId="2" borderId="62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justify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vertical="center" wrapText="1"/>
    </xf>
    <xf numFmtId="0" fontId="6" fillId="0" borderId="5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7" fontId="6" fillId="2" borderId="10" xfId="0" applyNumberFormat="1" applyFont="1" applyFill="1" applyBorder="1" applyAlignment="1">
      <alignment vertical="center" wrapText="1"/>
    </xf>
    <xf numFmtId="168" fontId="2" fillId="0" borderId="35" xfId="0" applyNumberFormat="1" applyFont="1" applyFill="1" applyBorder="1" applyAlignment="1">
      <alignment horizontal="center" vertical="center" wrapText="1"/>
    </xf>
    <xf numFmtId="168" fontId="0" fillId="0" borderId="35" xfId="0" applyNumberFormat="1" applyFont="1" applyFill="1" applyBorder="1" applyAlignment="1">
      <alignment horizontal="center" vertical="center"/>
    </xf>
    <xf numFmtId="168" fontId="6" fillId="2" borderId="11" xfId="0" applyNumberFormat="1" applyFont="1" applyFill="1" applyBorder="1" applyAlignment="1">
      <alignment vertical="center" wrapText="1"/>
    </xf>
    <xf numFmtId="168" fontId="6" fillId="0" borderId="11" xfId="0" applyNumberFormat="1" applyFont="1" applyFill="1" applyBorder="1" applyAlignment="1">
      <alignment vertical="center" wrapText="1"/>
    </xf>
    <xf numFmtId="168" fontId="6" fillId="0" borderId="1" xfId="0" applyNumberFormat="1" applyFont="1" applyFill="1" applyBorder="1" applyAlignment="1">
      <alignment vertical="center" wrapText="1"/>
    </xf>
    <xf numFmtId="168" fontId="6" fillId="2" borderId="10" xfId="0" applyNumberFormat="1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7" borderId="34" xfId="0" applyFont="1" applyFill="1" applyBorder="1" applyAlignment="1">
      <alignment vertical="center" wrapText="1"/>
    </xf>
    <xf numFmtId="0" fontId="2" fillId="7" borderId="35" xfId="0" applyFont="1" applyFill="1" applyBorder="1" applyAlignment="1">
      <alignment vertical="center" wrapText="1"/>
    </xf>
    <xf numFmtId="0" fontId="2" fillId="7" borderId="36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6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wrapText="1"/>
    </xf>
    <xf numFmtId="0" fontId="6" fillId="5" borderId="2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wrapText="1"/>
    </xf>
    <xf numFmtId="0" fontId="6" fillId="9" borderId="2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10" borderId="26" xfId="0" applyFont="1" applyFill="1" applyBorder="1" applyAlignment="1">
      <alignment horizontal="center" vertical="center" wrapText="1"/>
    </xf>
    <xf numFmtId="0" fontId="6" fillId="10" borderId="67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80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79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2" borderId="67" xfId="0" applyFont="1" applyFill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 wrapText="1"/>
    </xf>
    <xf numFmtId="0" fontId="6" fillId="10" borderId="79" xfId="0" applyFont="1" applyFill="1" applyBorder="1" applyAlignment="1">
      <alignment horizontal="center" vertical="center" wrapText="1"/>
    </xf>
    <xf numFmtId="0" fontId="6" fillId="2" borderId="7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10" borderId="3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7" fillId="2" borderId="66" xfId="0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 wrapText="1"/>
    </xf>
    <xf numFmtId="1" fontId="6" fillId="10" borderId="43" xfId="0" applyNumberFormat="1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 wrapText="1"/>
    </xf>
    <xf numFmtId="0" fontId="6" fillId="11" borderId="79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 wrapText="1"/>
    </xf>
    <xf numFmtId="1" fontId="6" fillId="11" borderId="43" xfId="0" applyNumberFormat="1" applyFont="1" applyFill="1" applyBorder="1" applyAlignment="1">
      <alignment horizontal="center" vertical="center" wrapText="1"/>
    </xf>
    <xf numFmtId="1" fontId="6" fillId="9" borderId="43" xfId="0" applyNumberFormat="1" applyFont="1" applyFill="1" applyBorder="1" applyAlignment="1">
      <alignment horizontal="center" vertical="center" wrapText="1"/>
    </xf>
    <xf numFmtId="0" fontId="6" fillId="9" borderId="79" xfId="0" applyFont="1" applyFill="1" applyBorder="1" applyAlignment="1">
      <alignment horizontal="center" vertical="center" wrapText="1"/>
    </xf>
    <xf numFmtId="0" fontId="6" fillId="9" borderId="30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1" fontId="6" fillId="3" borderId="43" xfId="0" applyNumberFormat="1" applyFont="1" applyFill="1" applyBorder="1" applyAlignment="1">
      <alignment horizontal="center" vertical="center" wrapText="1"/>
    </xf>
    <xf numFmtId="0" fontId="6" fillId="10" borderId="66" xfId="0" applyFont="1" applyFill="1" applyBorder="1" applyAlignment="1">
      <alignment horizontal="center" vertical="center" wrapText="1"/>
    </xf>
    <xf numFmtId="0" fontId="6" fillId="10" borderId="29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6" fillId="3" borderId="67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0" fontId="6" fillId="9" borderId="43" xfId="0" applyFont="1" applyFill="1" applyBorder="1" applyAlignment="1">
      <alignment horizontal="center" vertical="center" wrapText="1"/>
    </xf>
    <xf numFmtId="0" fontId="6" fillId="9" borderId="66" xfId="0" applyFont="1" applyFill="1" applyBorder="1" applyAlignment="1">
      <alignment horizontal="center"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6" fillId="11" borderId="43" xfId="0" applyFont="1" applyFill="1" applyBorder="1" applyAlignment="1">
      <alignment horizontal="center" vertical="center" wrapText="1"/>
    </xf>
    <xf numFmtId="0" fontId="6" fillId="11" borderId="66" xfId="0" applyFont="1" applyFill="1" applyBorder="1" applyAlignment="1">
      <alignment horizontal="center" vertical="center" wrapText="1"/>
    </xf>
    <xf numFmtId="0" fontId="6" fillId="11" borderId="29" xfId="0" applyFont="1" applyFill="1" applyBorder="1" applyAlignment="1">
      <alignment horizontal="center" vertical="center" wrapText="1"/>
    </xf>
    <xf numFmtId="0" fontId="6" fillId="11" borderId="6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84" xfId="0" applyFont="1" applyBorder="1" applyAlignment="1">
      <alignment horizontal="center" vertical="center" wrapText="1"/>
    </xf>
    <xf numFmtId="0" fontId="7" fillId="8" borderId="45" xfId="0" applyFont="1" applyFill="1" applyBorder="1" applyAlignment="1">
      <alignment vertical="center"/>
    </xf>
    <xf numFmtId="0" fontId="7" fillId="8" borderId="40" xfId="0" applyFont="1" applyFill="1" applyBorder="1" applyAlignment="1">
      <alignment vertical="center"/>
    </xf>
    <xf numFmtId="49" fontId="1" fillId="0" borderId="0" xfId="0" applyNumberFormat="1" applyFont="1" applyAlignment="1">
      <alignment horizontal="right" vertical="center" wrapText="1"/>
    </xf>
    <xf numFmtId="0" fontId="6" fillId="9" borderId="80" xfId="0" applyFont="1" applyFill="1" applyBorder="1" applyAlignment="1">
      <alignment horizontal="center" vertical="center" wrapText="1"/>
    </xf>
    <xf numFmtId="0" fontId="6" fillId="11" borderId="80" xfId="0" applyFont="1" applyFill="1" applyBorder="1" applyAlignment="1">
      <alignment horizontal="center" vertical="center" wrapText="1"/>
    </xf>
    <xf numFmtId="0" fontId="6" fillId="11" borderId="74" xfId="0" applyFont="1" applyFill="1" applyBorder="1" applyAlignment="1">
      <alignment horizontal="center" vertical="center" wrapText="1"/>
    </xf>
    <xf numFmtId="0" fontId="6" fillId="3" borderId="80" xfId="0" applyFont="1" applyFill="1" applyBorder="1" applyAlignment="1">
      <alignment horizontal="center" vertical="center" wrapText="1"/>
    </xf>
    <xf numFmtId="0" fontId="6" fillId="3" borderId="74" xfId="0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168" fontId="2" fillId="2" borderId="34" xfId="0" applyNumberFormat="1" applyFont="1" applyFill="1" applyBorder="1" applyAlignment="1">
      <alignment horizontal="center" vertical="center" wrapText="1"/>
    </xf>
    <xf numFmtId="10" fontId="2" fillId="2" borderId="34" xfId="1" applyNumberFormat="1" applyFont="1" applyFill="1" applyBorder="1" applyAlignment="1">
      <alignment horizontal="center" vertical="center" wrapText="1"/>
    </xf>
    <xf numFmtId="168" fontId="2" fillId="2" borderId="35" xfId="0" applyNumberFormat="1" applyFont="1" applyFill="1" applyBorder="1" applyAlignment="1">
      <alignment horizontal="center" vertical="center" wrapText="1"/>
    </xf>
    <xf numFmtId="3" fontId="2" fillId="0" borderId="35" xfId="0" applyNumberFormat="1" applyFont="1" applyFill="1" applyBorder="1" applyAlignment="1">
      <alignment horizontal="center" vertical="center" wrapText="1"/>
    </xf>
    <xf numFmtId="0" fontId="2" fillId="0" borderId="35" xfId="0" applyNumberFormat="1" applyFont="1" applyFill="1" applyBorder="1" applyAlignment="1">
      <alignment horizontal="center" vertical="center" wrapText="1"/>
    </xf>
    <xf numFmtId="3" fontId="6" fillId="0" borderId="79" xfId="0" applyNumberFormat="1" applyFont="1" applyBorder="1" applyAlignment="1">
      <alignment horizontal="center" vertical="center"/>
    </xf>
    <xf numFmtId="3" fontId="6" fillId="0" borderId="39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10" fontId="6" fillId="10" borderId="16" xfId="1" applyNumberFormat="1" applyFont="1" applyFill="1" applyBorder="1" applyAlignment="1" applyProtection="1">
      <alignment horizontal="center" vertical="center" wrapText="1"/>
    </xf>
    <xf numFmtId="10" fontId="6" fillId="3" borderId="16" xfId="1" applyNumberFormat="1" applyFont="1" applyFill="1" applyBorder="1" applyAlignment="1">
      <alignment horizontal="center" vertical="center" wrapText="1"/>
    </xf>
    <xf numFmtId="10" fontId="6" fillId="10" borderId="43" xfId="1" applyNumberFormat="1" applyFont="1" applyFill="1" applyBorder="1" applyAlignment="1" applyProtection="1">
      <alignment horizontal="center" vertical="center" wrapText="1"/>
    </xf>
    <xf numFmtId="10" fontId="6" fillId="3" borderId="43" xfId="1" applyNumberFormat="1" applyFont="1" applyFill="1" applyBorder="1" applyAlignment="1">
      <alignment horizontal="center" vertical="center" wrapText="1"/>
    </xf>
    <xf numFmtId="10" fontId="6" fillId="9" borderId="81" xfId="1" applyNumberFormat="1" applyFont="1" applyFill="1" applyBorder="1" applyAlignment="1">
      <alignment horizontal="center" vertical="center" wrapText="1"/>
    </xf>
    <xf numFmtId="10" fontId="6" fillId="9" borderId="16" xfId="1" applyNumberFormat="1" applyFont="1" applyFill="1" applyBorder="1" applyAlignment="1">
      <alignment horizontal="center" vertical="center" wrapText="1"/>
    </xf>
    <xf numFmtId="10" fontId="6" fillId="9" borderId="64" xfId="1" applyNumberFormat="1" applyFont="1" applyFill="1" applyBorder="1" applyAlignment="1">
      <alignment horizontal="center" vertical="center" wrapText="1"/>
    </xf>
    <xf numFmtId="10" fontId="6" fillId="9" borderId="43" xfId="1" applyNumberFormat="1" applyFont="1" applyFill="1" applyBorder="1" applyAlignment="1">
      <alignment horizontal="center" vertical="center" wrapText="1"/>
    </xf>
    <xf numFmtId="10" fontId="6" fillId="11" borderId="64" xfId="1" applyNumberFormat="1" applyFont="1" applyFill="1" applyBorder="1" applyAlignment="1">
      <alignment horizontal="center" vertical="center" wrapText="1"/>
    </xf>
    <xf numFmtId="10" fontId="6" fillId="11" borderId="16" xfId="1" applyNumberFormat="1" applyFont="1" applyFill="1" applyBorder="1" applyAlignment="1">
      <alignment horizontal="center" vertical="center" wrapText="1"/>
    </xf>
    <xf numFmtId="10" fontId="6" fillId="11" borderId="27" xfId="1" applyNumberFormat="1" applyFont="1" applyFill="1" applyBorder="1" applyAlignment="1">
      <alignment horizontal="center" vertical="center" wrapText="1"/>
    </xf>
    <xf numFmtId="10" fontId="6" fillId="11" borderId="28" xfId="1" applyNumberFormat="1" applyFont="1" applyFill="1" applyBorder="1" applyAlignment="1">
      <alignment horizontal="center" vertical="center" wrapText="1"/>
    </xf>
    <xf numFmtId="10" fontId="6" fillId="11" borderId="43" xfId="1" applyNumberFormat="1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6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6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/>
    </xf>
    <xf numFmtId="10" fontId="7" fillId="5" borderId="43" xfId="1" applyNumberFormat="1" applyFont="1" applyFill="1" applyBorder="1" applyAlignment="1">
      <alignment horizontal="center" vertical="center" wrapText="1"/>
    </xf>
    <xf numFmtId="9" fontId="7" fillId="5" borderId="24" xfId="1" applyFont="1" applyFill="1" applyBorder="1" applyAlignment="1">
      <alignment horizontal="center" vertical="center" wrapText="1"/>
    </xf>
    <xf numFmtId="9" fontId="7" fillId="5" borderId="25" xfId="1" applyFont="1" applyFill="1" applyBorder="1" applyAlignment="1">
      <alignment horizontal="center" wrapText="1"/>
    </xf>
    <xf numFmtId="9" fontId="7" fillId="5" borderId="43" xfId="1" applyFont="1" applyFill="1" applyBorder="1" applyAlignment="1">
      <alignment horizontal="center" wrapText="1"/>
    </xf>
    <xf numFmtId="9" fontId="7" fillId="5" borderId="24" xfId="1" applyFont="1" applyFill="1" applyBorder="1" applyAlignment="1">
      <alignment horizontal="center" wrapText="1"/>
    </xf>
    <xf numFmtId="0" fontId="7" fillId="2" borderId="71" xfId="0" applyFont="1" applyFill="1" applyBorder="1" applyAlignment="1">
      <alignment horizontal="center" vertical="center" wrapText="1"/>
    </xf>
    <xf numFmtId="0" fontId="6" fillId="0" borderId="70" xfId="0" applyFont="1" applyBorder="1" applyAlignment="1">
      <alignment wrapText="1"/>
    </xf>
    <xf numFmtId="0" fontId="6" fillId="0" borderId="76" xfId="0" applyFont="1" applyBorder="1" applyAlignment="1">
      <alignment wrapText="1"/>
    </xf>
    <xf numFmtId="0" fontId="6" fillId="0" borderId="76" xfId="0" applyFont="1" applyBorder="1"/>
    <xf numFmtId="0" fontId="6" fillId="2" borderId="86" xfId="0" applyFont="1" applyFill="1" applyBorder="1" applyAlignment="1">
      <alignment horizontal="center" vertical="center" wrapText="1"/>
    </xf>
    <xf numFmtId="0" fontId="6" fillId="2" borderId="88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10" fontId="7" fillId="5" borderId="24" xfId="1" applyNumberFormat="1" applyFont="1" applyFill="1" applyBorder="1" applyAlignment="1">
      <alignment horizontal="center" vertical="center" wrapText="1"/>
    </xf>
    <xf numFmtId="10" fontId="7" fillId="5" borderId="25" xfId="1" applyNumberFormat="1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vertical="center" wrapText="1"/>
    </xf>
    <xf numFmtId="0" fontId="7" fillId="2" borderId="55" xfId="0" applyFont="1" applyFill="1" applyBorder="1" applyAlignment="1">
      <alignment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/>
    </xf>
    <xf numFmtId="14" fontId="0" fillId="0" borderId="0" xfId="0" applyNumberFormat="1" applyAlignment="1">
      <alignment wrapText="1"/>
    </xf>
    <xf numFmtId="49" fontId="20" fillId="4" borderId="0" xfId="0" applyNumberFormat="1" applyFont="1" applyFill="1" applyBorder="1" applyAlignment="1">
      <alignment horizontal="center" vertical="center" wrapText="1"/>
    </xf>
    <xf numFmtId="49" fontId="20" fillId="4" borderId="8" xfId="0" applyNumberFormat="1" applyFont="1" applyFill="1" applyBorder="1" applyAlignment="1">
      <alignment horizontal="center" vertical="center" wrapText="1"/>
    </xf>
    <xf numFmtId="49" fontId="22" fillId="0" borderId="0" xfId="0" applyNumberFormat="1" applyFont="1"/>
    <xf numFmtId="0" fontId="2" fillId="2" borderId="3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1" fillId="12" borderId="89" xfId="0" applyNumberFormat="1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10" fontId="7" fillId="2" borderId="25" xfId="1" applyNumberFormat="1" applyFont="1" applyFill="1" applyBorder="1" applyAlignment="1">
      <alignment horizontal="center" vertical="center"/>
    </xf>
    <xf numFmtId="9" fontId="7" fillId="5" borderId="30" xfId="1" applyFont="1" applyFill="1" applyBorder="1" applyAlignment="1">
      <alignment horizontal="center" vertical="center" wrapText="1"/>
    </xf>
    <xf numFmtId="168" fontId="7" fillId="5" borderId="30" xfId="0" applyNumberFormat="1" applyFont="1" applyFill="1" applyBorder="1" applyAlignment="1">
      <alignment horizontal="center" vertical="center" wrapText="1"/>
    </xf>
    <xf numFmtId="168" fontId="7" fillId="5" borderId="38" xfId="0" applyNumberFormat="1" applyFont="1" applyFill="1" applyBorder="1" applyAlignment="1">
      <alignment horizontal="center" vertical="center" wrapText="1"/>
    </xf>
    <xf numFmtId="10" fontId="7" fillId="5" borderId="31" xfId="1" applyNumberFormat="1" applyFont="1" applyFill="1" applyBorder="1" applyAlignment="1">
      <alignment horizontal="center" vertical="center" wrapText="1"/>
    </xf>
    <xf numFmtId="168" fontId="6" fillId="10" borderId="64" xfId="0" applyNumberFormat="1" applyFont="1" applyFill="1" applyBorder="1" applyAlignment="1">
      <alignment horizontal="center" vertical="center" wrapText="1"/>
    </xf>
    <xf numFmtId="168" fontId="6" fillId="10" borderId="43" xfId="0" applyNumberFormat="1" applyFont="1" applyFill="1" applyBorder="1" applyAlignment="1">
      <alignment horizontal="center" vertical="center" wrapText="1"/>
    </xf>
    <xf numFmtId="168" fontId="6" fillId="3" borderId="64" xfId="0" applyNumberFormat="1" applyFont="1" applyFill="1" applyBorder="1" applyAlignment="1">
      <alignment horizontal="center" vertical="center" wrapText="1"/>
    </xf>
    <xf numFmtId="168" fontId="6" fillId="3" borderId="43" xfId="0" applyNumberFormat="1" applyFont="1" applyFill="1" applyBorder="1" applyAlignment="1">
      <alignment horizontal="center" vertical="center" wrapText="1"/>
    </xf>
    <xf numFmtId="168" fontId="6" fillId="9" borderId="64" xfId="0" applyNumberFormat="1" applyFont="1" applyFill="1" applyBorder="1" applyAlignment="1">
      <alignment horizontal="center" vertical="center" wrapText="1"/>
    </xf>
    <xf numFmtId="168" fontId="6" fillId="9" borderId="43" xfId="0" applyNumberFormat="1" applyFont="1" applyFill="1" applyBorder="1" applyAlignment="1">
      <alignment horizontal="center" vertical="center" wrapText="1"/>
    </xf>
    <xf numFmtId="168" fontId="6" fillId="11" borderId="64" xfId="0" applyNumberFormat="1" applyFont="1" applyFill="1" applyBorder="1" applyAlignment="1">
      <alignment horizontal="center" vertical="center" wrapText="1"/>
    </xf>
    <xf numFmtId="168" fontId="6" fillId="11" borderId="43" xfId="0" applyNumberFormat="1" applyFont="1" applyFill="1" applyBorder="1" applyAlignment="1">
      <alignment horizontal="center" vertical="center" wrapText="1"/>
    </xf>
    <xf numFmtId="168" fontId="6" fillId="10" borderId="16" xfId="0" applyNumberFormat="1" applyFont="1" applyFill="1" applyBorder="1" applyAlignment="1">
      <alignment horizontal="center" vertical="center" wrapText="1"/>
    </xf>
    <xf numFmtId="168" fontId="6" fillId="10" borderId="74" xfId="0" applyNumberFormat="1" applyFont="1" applyFill="1" applyBorder="1" applyAlignment="1">
      <alignment horizontal="center" vertical="center" wrapText="1"/>
    </xf>
    <xf numFmtId="168" fontId="6" fillId="5" borderId="24" xfId="0" applyNumberFormat="1" applyFont="1" applyFill="1" applyBorder="1" applyAlignment="1">
      <alignment horizontal="center" vertical="center" wrapText="1"/>
    </xf>
    <xf numFmtId="168" fontId="6" fillId="5" borderId="37" xfId="0" applyNumberFormat="1" applyFont="1" applyFill="1" applyBorder="1" applyAlignment="1">
      <alignment horizontal="center" vertical="center" wrapText="1"/>
    </xf>
    <xf numFmtId="168" fontId="6" fillId="5" borderId="43" xfId="0" applyNumberFormat="1" applyFont="1" applyFill="1" applyBorder="1" applyAlignment="1">
      <alignment horizontal="center" vertical="center" wrapText="1"/>
    </xf>
    <xf numFmtId="0" fontId="6" fillId="0" borderId="52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73" xfId="0" applyFont="1" applyBorder="1" applyAlignment="1">
      <alignment horizontal="center" wrapText="1"/>
    </xf>
    <xf numFmtId="168" fontId="6" fillId="5" borderId="25" xfId="0" applyNumberFormat="1" applyFont="1" applyFill="1" applyBorder="1" applyAlignment="1">
      <alignment horizontal="center" vertical="center" wrapText="1"/>
    </xf>
    <xf numFmtId="10" fontId="6" fillId="0" borderId="27" xfId="1" applyNumberFormat="1" applyFont="1" applyBorder="1" applyAlignment="1">
      <alignment horizontal="center" vertical="center" wrapText="1"/>
    </xf>
    <xf numFmtId="168" fontId="6" fillId="0" borderId="66" xfId="0" applyNumberFormat="1" applyFont="1" applyFill="1" applyBorder="1" applyAlignment="1">
      <alignment horizontal="center" vertical="center" wrapText="1"/>
    </xf>
    <xf numFmtId="10" fontId="6" fillId="0" borderId="63" xfId="1" applyNumberFormat="1" applyFont="1" applyBorder="1" applyAlignment="1">
      <alignment horizontal="center" wrapText="1"/>
    </xf>
    <xf numFmtId="168" fontId="6" fillId="0" borderId="67" xfId="0" applyNumberFormat="1" applyFont="1" applyFill="1" applyBorder="1" applyAlignment="1">
      <alignment horizontal="center" vertical="center" wrapText="1"/>
    </xf>
    <xf numFmtId="168" fontId="6" fillId="0" borderId="29" xfId="0" applyNumberFormat="1" applyFont="1" applyFill="1" applyBorder="1" applyAlignment="1">
      <alignment horizontal="center" vertical="center" wrapText="1"/>
    </xf>
    <xf numFmtId="10" fontId="6" fillId="0" borderId="58" xfId="1" applyNumberFormat="1" applyFont="1" applyFill="1" applyBorder="1" applyAlignment="1">
      <alignment horizontal="center" vertical="center"/>
    </xf>
    <xf numFmtId="165" fontId="6" fillId="0" borderId="53" xfId="0" applyNumberFormat="1" applyFont="1" applyFill="1" applyBorder="1" applyAlignment="1">
      <alignment horizontal="center" vertical="center"/>
    </xf>
    <xf numFmtId="10" fontId="6" fillId="0" borderId="44" xfId="1" applyNumberFormat="1" applyFont="1" applyBorder="1" applyAlignment="1">
      <alignment horizontal="center" wrapText="1"/>
    </xf>
    <xf numFmtId="165" fontId="6" fillId="0" borderId="44" xfId="0" applyNumberFormat="1" applyFont="1" applyBorder="1" applyAlignment="1">
      <alignment horizontal="center" vertical="center" wrapText="1"/>
    </xf>
    <xf numFmtId="10" fontId="6" fillId="0" borderId="27" xfId="1" applyNumberFormat="1" applyFont="1" applyBorder="1" applyAlignment="1">
      <alignment horizontal="center" wrapText="1"/>
    </xf>
    <xf numFmtId="168" fontId="6" fillId="0" borderId="26" xfId="0" applyNumberFormat="1" applyFont="1" applyBorder="1" applyAlignment="1">
      <alignment horizontal="center" vertical="center" wrapText="1"/>
    </xf>
    <xf numFmtId="10" fontId="6" fillId="0" borderId="28" xfId="1" applyNumberFormat="1" applyFont="1" applyBorder="1" applyAlignment="1">
      <alignment horizontal="center" wrapText="1"/>
    </xf>
    <xf numFmtId="168" fontId="6" fillId="0" borderId="67" xfId="0" applyNumberFormat="1" applyFont="1" applyBorder="1" applyAlignment="1">
      <alignment horizontal="center" vertical="center" wrapText="1"/>
    </xf>
    <xf numFmtId="10" fontId="6" fillId="0" borderId="31" xfId="1" applyNumberFormat="1" applyFont="1" applyBorder="1" applyAlignment="1">
      <alignment horizontal="center" wrapText="1"/>
    </xf>
    <xf numFmtId="168" fontId="6" fillId="0" borderId="29" xfId="0" applyNumberFormat="1" applyFont="1" applyBorder="1" applyAlignment="1">
      <alignment horizontal="center" vertical="center" wrapText="1"/>
    </xf>
    <xf numFmtId="168" fontId="6" fillId="5" borderId="41" xfId="0" applyNumberFormat="1" applyFont="1" applyFill="1" applyBorder="1" applyAlignment="1">
      <alignment horizontal="center" wrapText="1"/>
    </xf>
    <xf numFmtId="168" fontId="6" fillId="10" borderId="79" xfId="0" applyNumberFormat="1" applyFont="1" applyFill="1" applyBorder="1" applyAlignment="1">
      <alignment horizontal="center" vertical="center" wrapText="1"/>
    </xf>
    <xf numFmtId="168" fontId="6" fillId="10" borderId="39" xfId="0" applyNumberFormat="1" applyFont="1" applyFill="1" applyBorder="1" applyAlignment="1">
      <alignment horizontal="center" vertical="center" wrapText="1"/>
    </xf>
    <xf numFmtId="168" fontId="6" fillId="3" borderId="79" xfId="0" applyNumberFormat="1" applyFont="1" applyFill="1" applyBorder="1" applyAlignment="1">
      <alignment horizontal="center" vertical="center" wrapText="1"/>
    </xf>
    <xf numFmtId="168" fontId="6" fillId="3" borderId="39" xfId="0" applyNumberFormat="1" applyFont="1" applyFill="1" applyBorder="1" applyAlignment="1">
      <alignment horizontal="center" vertical="center" wrapText="1"/>
    </xf>
    <xf numFmtId="168" fontId="6" fillId="9" borderId="79" xfId="0" applyNumberFormat="1" applyFont="1" applyFill="1" applyBorder="1" applyAlignment="1">
      <alignment horizontal="center" vertical="center" wrapText="1"/>
    </xf>
    <xf numFmtId="168" fontId="6" fillId="9" borderId="39" xfId="0" applyNumberFormat="1" applyFont="1" applyFill="1" applyBorder="1" applyAlignment="1">
      <alignment horizontal="center" vertical="center" wrapText="1"/>
    </xf>
    <xf numFmtId="168" fontId="6" fillId="11" borderId="79" xfId="0" applyNumberFormat="1" applyFont="1" applyFill="1" applyBorder="1" applyAlignment="1">
      <alignment horizontal="center" vertical="center" wrapText="1"/>
    </xf>
    <xf numFmtId="168" fontId="6" fillId="11" borderId="39" xfId="0" applyNumberFormat="1" applyFont="1" applyFill="1" applyBorder="1" applyAlignment="1">
      <alignment horizontal="center" vertical="center" wrapText="1"/>
    </xf>
    <xf numFmtId="168" fontId="6" fillId="10" borderId="28" xfId="0" applyNumberFormat="1" applyFont="1" applyFill="1" applyBorder="1" applyAlignment="1">
      <alignment horizontal="center" vertical="center" wrapText="1"/>
    </xf>
    <xf numFmtId="168" fontId="6" fillId="3" borderId="16" xfId="0" applyNumberFormat="1" applyFont="1" applyFill="1" applyBorder="1" applyAlignment="1">
      <alignment horizontal="center" vertical="center" wrapText="1"/>
    </xf>
    <xf numFmtId="168" fontId="6" fillId="3" borderId="28" xfId="0" applyNumberFormat="1" applyFont="1" applyFill="1" applyBorder="1" applyAlignment="1">
      <alignment horizontal="center" vertical="center" wrapText="1"/>
    </xf>
    <xf numFmtId="168" fontId="6" fillId="9" borderId="16" xfId="0" applyNumberFormat="1" applyFont="1" applyFill="1" applyBorder="1" applyAlignment="1">
      <alignment horizontal="center" vertical="center" wrapText="1"/>
    </xf>
    <xf numFmtId="168" fontId="6" fillId="9" borderId="28" xfId="0" applyNumberFormat="1" applyFont="1" applyFill="1" applyBorder="1" applyAlignment="1">
      <alignment horizontal="center" vertical="center" wrapText="1"/>
    </xf>
    <xf numFmtId="168" fontId="6" fillId="11" borderId="16" xfId="0" applyNumberFormat="1" applyFont="1" applyFill="1" applyBorder="1" applyAlignment="1">
      <alignment horizontal="center" vertical="center" wrapText="1"/>
    </xf>
    <xf numFmtId="168" fontId="6" fillId="11" borderId="28" xfId="0" applyNumberFormat="1" applyFont="1" applyFill="1" applyBorder="1" applyAlignment="1">
      <alignment horizontal="center" vertical="center" wrapText="1"/>
    </xf>
    <xf numFmtId="168" fontId="6" fillId="3" borderId="74" xfId="0" applyNumberFormat="1" applyFont="1" applyFill="1" applyBorder="1" applyAlignment="1">
      <alignment horizontal="center" vertical="center" wrapText="1"/>
    </xf>
    <xf numFmtId="168" fontId="6" fillId="9" borderId="74" xfId="0" applyNumberFormat="1" applyFont="1" applyFill="1" applyBorder="1" applyAlignment="1">
      <alignment horizontal="center" vertical="center" wrapText="1"/>
    </xf>
    <xf numFmtId="168" fontId="6" fillId="11" borderId="74" xfId="0" applyNumberFormat="1" applyFont="1" applyFill="1" applyBorder="1" applyAlignment="1">
      <alignment horizontal="center" vertical="center" wrapText="1"/>
    </xf>
    <xf numFmtId="168" fontId="6" fillId="10" borderId="30" xfId="0" applyNumberFormat="1" applyFont="1" applyFill="1" applyBorder="1" applyAlignment="1">
      <alignment horizontal="center" vertical="center" wrapText="1"/>
    </xf>
    <xf numFmtId="168" fontId="6" fillId="10" borderId="31" xfId="0" applyNumberFormat="1" applyFont="1" applyFill="1" applyBorder="1" applyAlignment="1">
      <alignment horizontal="center" vertical="center" wrapText="1"/>
    </xf>
    <xf numFmtId="168" fontId="6" fillId="3" borderId="30" xfId="0" applyNumberFormat="1" applyFont="1" applyFill="1" applyBorder="1" applyAlignment="1">
      <alignment horizontal="center" vertical="center" wrapText="1"/>
    </xf>
    <xf numFmtId="168" fontId="6" fillId="3" borderId="31" xfId="0" applyNumberFormat="1" applyFont="1" applyFill="1" applyBorder="1" applyAlignment="1">
      <alignment horizontal="center" vertical="center" wrapText="1"/>
    </xf>
    <xf numFmtId="168" fontId="6" fillId="9" borderId="30" xfId="0" applyNumberFormat="1" applyFont="1" applyFill="1" applyBorder="1" applyAlignment="1">
      <alignment horizontal="center" vertical="center" wrapText="1"/>
    </xf>
    <xf numFmtId="168" fontId="6" fillId="9" borderId="31" xfId="0" applyNumberFormat="1" applyFont="1" applyFill="1" applyBorder="1" applyAlignment="1">
      <alignment horizontal="center" vertical="center" wrapText="1"/>
    </xf>
    <xf numFmtId="168" fontId="6" fillId="11" borderId="30" xfId="0" applyNumberFormat="1" applyFont="1" applyFill="1" applyBorder="1" applyAlignment="1">
      <alignment horizontal="center" vertical="center" wrapText="1"/>
    </xf>
    <xf numFmtId="168" fontId="6" fillId="11" borderId="31" xfId="0" applyNumberFormat="1" applyFont="1" applyFill="1" applyBorder="1" applyAlignment="1">
      <alignment horizontal="center" vertical="center" wrapText="1"/>
    </xf>
    <xf numFmtId="168" fontId="6" fillId="5" borderId="24" xfId="0" applyNumberFormat="1" applyFont="1" applyFill="1" applyBorder="1" applyAlignment="1">
      <alignment horizontal="center" wrapText="1"/>
    </xf>
    <xf numFmtId="168" fontId="6" fillId="5" borderId="25" xfId="0" applyNumberFormat="1" applyFont="1" applyFill="1" applyBorder="1" applyAlignment="1">
      <alignment horizontal="center" wrapText="1"/>
    </xf>
    <xf numFmtId="168" fontId="6" fillId="5" borderId="43" xfId="0" applyNumberFormat="1" applyFont="1" applyFill="1" applyBorder="1" applyAlignment="1">
      <alignment horizontal="center" wrapText="1"/>
    </xf>
    <xf numFmtId="168" fontId="6" fillId="5" borderId="33" xfId="0" applyNumberFormat="1" applyFont="1" applyFill="1" applyBorder="1" applyAlignment="1">
      <alignment horizontal="center" wrapText="1"/>
    </xf>
    <xf numFmtId="168" fontId="6" fillId="3" borderId="82" xfId="0" applyNumberFormat="1" applyFont="1" applyFill="1" applyBorder="1" applyAlignment="1">
      <alignment horizontal="center" vertical="center" wrapText="1"/>
    </xf>
    <xf numFmtId="168" fontId="6" fillId="3" borderId="38" xfId="0" applyNumberFormat="1" applyFont="1" applyFill="1" applyBorder="1" applyAlignment="1">
      <alignment horizontal="center" vertical="center" wrapText="1"/>
    </xf>
    <xf numFmtId="10" fontId="6" fillId="0" borderId="39" xfId="1" applyNumberFormat="1" applyFont="1" applyBorder="1" applyAlignment="1">
      <alignment horizontal="center" wrapText="1"/>
    </xf>
    <xf numFmtId="168" fontId="6" fillId="0" borderId="30" xfId="0" applyNumberFormat="1" applyFont="1" applyBorder="1" applyAlignment="1">
      <alignment horizontal="center" vertical="center" wrapText="1"/>
    </xf>
    <xf numFmtId="10" fontId="7" fillId="5" borderId="25" xfId="1" applyNumberFormat="1" applyFont="1" applyFill="1" applyBorder="1" applyAlignment="1">
      <alignment horizontal="center" vertical="center"/>
    </xf>
    <xf numFmtId="168" fontId="7" fillId="5" borderId="23" xfId="0" applyNumberFormat="1" applyFont="1" applyFill="1" applyBorder="1" applyAlignment="1">
      <alignment horizontal="center" vertical="center" wrapText="1"/>
    </xf>
    <xf numFmtId="10" fontId="7" fillId="6" borderId="25" xfId="1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wrapText="1"/>
    </xf>
    <xf numFmtId="9" fontId="7" fillId="5" borderId="37" xfId="1" applyFont="1" applyFill="1" applyBorder="1" applyAlignment="1">
      <alignment horizontal="center" wrapText="1"/>
    </xf>
    <xf numFmtId="9" fontId="7" fillId="5" borderId="25" xfId="0" applyNumberFormat="1" applyFont="1" applyFill="1" applyBorder="1" applyAlignment="1">
      <alignment horizontal="center" wrapText="1"/>
    </xf>
    <xf numFmtId="168" fontId="7" fillId="5" borderId="43" xfId="0" applyNumberFormat="1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wrapText="1"/>
    </xf>
    <xf numFmtId="0" fontId="7" fillId="5" borderId="23" xfId="0" applyFont="1" applyFill="1" applyBorder="1" applyAlignment="1">
      <alignment horizontal="center" vertical="center" wrapText="1"/>
    </xf>
    <xf numFmtId="10" fontId="7" fillId="5" borderId="25" xfId="1" applyNumberFormat="1" applyFont="1" applyFill="1" applyBorder="1" applyAlignment="1">
      <alignment horizontal="center" wrapText="1"/>
    </xf>
    <xf numFmtId="168" fontId="7" fillId="5" borderId="41" xfId="0" applyNumberFormat="1" applyFont="1" applyFill="1" applyBorder="1" applyAlignment="1">
      <alignment horizontal="center" wrapText="1"/>
    </xf>
    <xf numFmtId="10" fontId="7" fillId="5" borderId="25" xfId="0" applyNumberFormat="1" applyFont="1" applyFill="1" applyBorder="1" applyAlignment="1">
      <alignment horizontal="center" wrapText="1"/>
    </xf>
    <xf numFmtId="2" fontId="7" fillId="0" borderId="43" xfId="1" applyNumberFormat="1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right"/>
    </xf>
    <xf numFmtId="0" fontId="7" fillId="5" borderId="43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 vertical="center" wrapText="1"/>
    </xf>
    <xf numFmtId="10" fontId="6" fillId="2" borderId="46" xfId="0" applyNumberFormat="1" applyFont="1" applyFill="1" applyBorder="1" applyAlignment="1">
      <alignment horizontal="center" vertical="center" wrapText="1"/>
    </xf>
    <xf numFmtId="10" fontId="6" fillId="0" borderId="27" xfId="1" applyNumberFormat="1" applyFont="1" applyBorder="1" applyAlignment="1">
      <alignment horizontal="center" vertical="center"/>
    </xf>
    <xf numFmtId="168" fontId="6" fillId="2" borderId="26" xfId="0" applyNumberFormat="1" applyFont="1" applyFill="1" applyBorder="1" applyAlignment="1">
      <alignment horizontal="center" vertical="center" wrapText="1"/>
    </xf>
    <xf numFmtId="10" fontId="6" fillId="2" borderId="27" xfId="1" applyNumberFormat="1" applyFont="1" applyFill="1" applyBorder="1" applyAlignment="1">
      <alignment horizontal="center" vertical="center" wrapText="1"/>
    </xf>
    <xf numFmtId="168" fontId="6" fillId="0" borderId="42" xfId="0" applyNumberFormat="1" applyFont="1" applyBorder="1" applyAlignment="1">
      <alignment horizontal="center" vertical="center"/>
    </xf>
    <xf numFmtId="10" fontId="7" fillId="2" borderId="45" xfId="0" applyNumberFormat="1" applyFont="1" applyFill="1" applyBorder="1" applyAlignment="1">
      <alignment horizontal="center" vertical="center" wrapText="1"/>
    </xf>
    <xf numFmtId="168" fontId="7" fillId="2" borderId="23" xfId="1" applyNumberFormat="1" applyFont="1" applyFill="1" applyBorder="1" applyAlignment="1">
      <alignment horizontal="center" vertical="center"/>
    </xf>
    <xf numFmtId="168" fontId="7" fillId="5" borderId="41" xfId="0" applyNumberFormat="1" applyFont="1" applyFill="1" applyBorder="1" applyAlignment="1">
      <alignment horizontal="center" vertical="center"/>
    </xf>
    <xf numFmtId="168" fontId="7" fillId="6" borderId="42" xfId="0" applyNumberFormat="1" applyFont="1" applyFill="1" applyBorder="1" applyAlignment="1">
      <alignment horizontal="center" vertical="center"/>
    </xf>
    <xf numFmtId="10" fontId="7" fillId="2" borderId="45" xfId="0" applyNumberFormat="1" applyFont="1" applyFill="1" applyBorder="1" applyAlignment="1">
      <alignment horizontal="center" vertical="center"/>
    </xf>
    <xf numFmtId="10" fontId="7" fillId="5" borderId="25" xfId="0" applyNumberFormat="1" applyFont="1" applyFill="1" applyBorder="1" applyAlignment="1">
      <alignment horizontal="center" vertical="center"/>
    </xf>
    <xf numFmtId="168" fontId="6" fillId="2" borderId="79" xfId="0" applyNumberFormat="1" applyFont="1" applyFill="1" applyBorder="1" applyAlignment="1">
      <alignment horizontal="center" vertical="center" wrapText="1"/>
    </xf>
    <xf numFmtId="168" fontId="6" fillId="2" borderId="43" xfId="0" applyNumberFormat="1" applyFont="1" applyFill="1" applyBorder="1" applyAlignment="1">
      <alignment horizontal="center" vertical="center" wrapText="1"/>
    </xf>
    <xf numFmtId="168" fontId="6" fillId="2" borderId="16" xfId="0" applyNumberFormat="1" applyFont="1" applyFill="1" applyBorder="1" applyAlignment="1">
      <alignment horizontal="center" vertical="center" wrapText="1"/>
    </xf>
    <xf numFmtId="168" fontId="6" fillId="2" borderId="30" xfId="0" applyNumberFormat="1" applyFont="1" applyFill="1" applyBorder="1" applyAlignment="1">
      <alignment horizontal="center" vertical="center" wrapText="1"/>
    </xf>
    <xf numFmtId="168" fontId="6" fillId="2" borderId="24" xfId="0" applyNumberFormat="1" applyFont="1" applyFill="1" applyBorder="1" applyAlignment="1">
      <alignment horizontal="center" vertical="center" wrapText="1"/>
    </xf>
    <xf numFmtId="168" fontId="6" fillId="2" borderId="66" xfId="0" applyNumberFormat="1" applyFont="1" applyFill="1" applyBorder="1" applyAlignment="1">
      <alignment horizontal="center" vertical="center" wrapText="1"/>
    </xf>
    <xf numFmtId="168" fontId="6" fillId="2" borderId="64" xfId="0" applyNumberFormat="1" applyFont="1" applyFill="1" applyBorder="1" applyAlignment="1">
      <alignment horizontal="center" vertical="center" wrapText="1"/>
    </xf>
    <xf numFmtId="168" fontId="6" fillId="2" borderId="67" xfId="0" applyNumberFormat="1" applyFont="1" applyFill="1" applyBorder="1" applyAlignment="1">
      <alignment horizontal="center" vertical="center" wrapText="1"/>
    </xf>
    <xf numFmtId="168" fontId="6" fillId="2" borderId="74" xfId="0" applyNumberFormat="1" applyFont="1" applyFill="1" applyBorder="1" applyAlignment="1">
      <alignment horizontal="center" vertical="center" wrapText="1"/>
    </xf>
    <xf numFmtId="168" fontId="6" fillId="2" borderId="29" xfId="0" applyNumberFormat="1" applyFont="1" applyFill="1" applyBorder="1" applyAlignment="1">
      <alignment horizontal="center" vertical="center" wrapText="1"/>
    </xf>
    <xf numFmtId="168" fontId="7" fillId="2" borderId="23" xfId="0" applyNumberFormat="1" applyFont="1" applyFill="1" applyBorder="1" applyAlignment="1">
      <alignment horizontal="center" vertical="center" wrapText="1"/>
    </xf>
    <xf numFmtId="168" fontId="7" fillId="5" borderId="24" xfId="0" applyNumberFormat="1" applyFont="1" applyFill="1" applyBorder="1" applyAlignment="1">
      <alignment horizontal="center" vertical="center" wrapText="1"/>
    </xf>
    <xf numFmtId="168" fontId="7" fillId="2" borderId="24" xfId="0" applyNumberFormat="1" applyFont="1" applyFill="1" applyBorder="1" applyAlignment="1">
      <alignment horizontal="center" vertical="center" wrapText="1"/>
    </xf>
    <xf numFmtId="168" fontId="7" fillId="2" borderId="43" xfId="0" applyNumberFormat="1" applyFont="1" applyFill="1" applyBorder="1" applyAlignment="1">
      <alignment horizontal="center" vertical="center" wrapText="1"/>
    </xf>
    <xf numFmtId="168" fontId="6" fillId="2" borderId="27" xfId="0" applyNumberFormat="1" applyFont="1" applyFill="1" applyBorder="1" applyAlignment="1">
      <alignment horizontal="center" vertical="center" wrapText="1"/>
    </xf>
    <xf numFmtId="10" fontId="6" fillId="0" borderId="64" xfId="0" applyNumberFormat="1" applyFont="1" applyFill="1" applyBorder="1" applyAlignment="1">
      <alignment horizontal="center" vertical="center" wrapText="1"/>
    </xf>
    <xf numFmtId="168" fontId="6" fillId="0" borderId="65" xfId="0" applyNumberFormat="1" applyFont="1" applyBorder="1" applyAlignment="1">
      <alignment horizontal="center" vertical="center"/>
    </xf>
    <xf numFmtId="168" fontId="7" fillId="2" borderId="25" xfId="0" applyNumberFormat="1" applyFont="1" applyFill="1" applyBorder="1" applyAlignment="1">
      <alignment horizontal="center" wrapText="1"/>
    </xf>
    <xf numFmtId="10" fontId="7" fillId="6" borderId="24" xfId="0" applyNumberFormat="1" applyFont="1" applyFill="1" applyBorder="1" applyAlignment="1">
      <alignment horizontal="center" wrapText="1"/>
    </xf>
    <xf numFmtId="168" fontId="7" fillId="5" borderId="43" xfId="0" applyNumberFormat="1" applyFont="1" applyFill="1" applyBorder="1" applyAlignment="1">
      <alignment horizontal="center" wrapText="1"/>
    </xf>
    <xf numFmtId="10" fontId="6" fillId="2" borderId="81" xfId="0" applyNumberFormat="1" applyFont="1" applyFill="1" applyBorder="1" applyAlignment="1">
      <alignment horizontal="center" vertical="center" wrapText="1"/>
    </xf>
    <xf numFmtId="10" fontId="6" fillId="2" borderId="39" xfId="0" applyNumberFormat="1" applyFont="1" applyFill="1" applyBorder="1" applyAlignment="1">
      <alignment horizontal="center" vertical="center" wrapText="1"/>
    </xf>
    <xf numFmtId="168" fontId="6" fillId="2" borderId="56" xfId="0" applyNumberFormat="1" applyFont="1" applyFill="1" applyBorder="1" applyAlignment="1">
      <alignment horizontal="center" vertical="center" wrapText="1"/>
    </xf>
    <xf numFmtId="10" fontId="6" fillId="2" borderId="57" xfId="0" applyNumberFormat="1" applyFont="1" applyFill="1" applyBorder="1" applyAlignment="1">
      <alignment horizontal="center" vertical="center" wrapText="1"/>
    </xf>
    <xf numFmtId="10" fontId="7" fillId="2" borderId="25" xfId="0" applyNumberFormat="1" applyFont="1" applyFill="1" applyBorder="1" applyAlignment="1">
      <alignment horizontal="center" wrapText="1"/>
    </xf>
    <xf numFmtId="168" fontId="7" fillId="2" borderId="23" xfId="0" applyNumberFormat="1" applyFont="1" applyFill="1" applyBorder="1" applyAlignment="1">
      <alignment horizontal="center" wrapText="1"/>
    </xf>
    <xf numFmtId="0" fontId="6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8" fontId="8" fillId="2" borderId="11" xfId="0" applyNumberFormat="1" applyFont="1" applyFill="1" applyBorder="1" applyAlignment="1">
      <alignment horizontal="center" vertical="center" wrapText="1"/>
    </xf>
    <xf numFmtId="0" fontId="23" fillId="8" borderId="16" xfId="2" applyFont="1" applyFill="1" applyBorder="1" applyAlignment="1">
      <alignment horizontal="center" vertical="center" wrapText="1" shrinkToFit="1"/>
    </xf>
    <xf numFmtId="0" fontId="7" fillId="2" borderId="88" xfId="0" applyFont="1" applyFill="1" applyBorder="1" applyAlignment="1">
      <alignment horizontal="center" vertical="center" wrapText="1"/>
    </xf>
    <xf numFmtId="2" fontId="24" fillId="0" borderId="63" xfId="0" applyNumberFormat="1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165" fontId="0" fillId="0" borderId="19" xfId="0" applyNumberFormat="1" applyFont="1" applyFill="1" applyBorder="1" applyAlignment="1">
      <alignment horizontal="center" vertical="center"/>
    </xf>
    <xf numFmtId="165" fontId="2" fillId="0" borderId="92" xfId="0" applyNumberFormat="1" applyFont="1" applyFill="1" applyBorder="1" applyAlignment="1">
      <alignment horizontal="center" vertical="center" wrapText="1"/>
    </xf>
    <xf numFmtId="165" fontId="2" fillId="0" borderId="93" xfId="0" applyNumberFormat="1" applyFont="1" applyFill="1" applyBorder="1" applyAlignment="1">
      <alignment horizontal="center" vertical="center" wrapText="1"/>
    </xf>
    <xf numFmtId="165" fontId="2" fillId="0" borderId="94" xfId="0" applyNumberFormat="1" applyFont="1" applyFill="1" applyBorder="1" applyAlignment="1">
      <alignment horizontal="center" vertical="center" wrapText="1"/>
    </xf>
    <xf numFmtId="165" fontId="2" fillId="0" borderId="54" xfId="0" applyNumberFormat="1" applyFont="1" applyFill="1" applyBorder="1" applyAlignment="1">
      <alignment horizontal="center" vertical="center" wrapText="1"/>
    </xf>
    <xf numFmtId="165" fontId="2" fillId="0" borderId="72" xfId="0" applyNumberFormat="1" applyFont="1" applyFill="1" applyBorder="1" applyAlignment="1">
      <alignment horizontal="center" vertical="center" wrapText="1"/>
    </xf>
    <xf numFmtId="165" fontId="2" fillId="0" borderId="55" xfId="0" applyNumberFormat="1" applyFont="1" applyFill="1" applyBorder="1" applyAlignment="1">
      <alignment horizontal="center" vertical="center" wrapText="1"/>
    </xf>
    <xf numFmtId="1" fontId="19" fillId="12" borderId="91" xfId="0" applyNumberFormat="1" applyFont="1" applyFill="1" applyBorder="1" applyAlignment="1">
      <alignment horizontal="center" vertical="center" wrapText="1"/>
    </xf>
    <xf numFmtId="49" fontId="2" fillId="0" borderId="35" xfId="0" applyNumberFormat="1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6" fillId="0" borderId="60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10" fontId="7" fillId="5" borderId="40" xfId="1" applyNumberFormat="1" applyFont="1" applyFill="1" applyBorder="1" applyAlignment="1">
      <alignment horizontal="center" vertical="center" wrapText="1"/>
    </xf>
    <xf numFmtId="10" fontId="25" fillId="0" borderId="40" xfId="1" applyNumberFormat="1" applyFont="1" applyBorder="1" applyAlignment="1">
      <alignment horizont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168" fontId="6" fillId="0" borderId="50" xfId="0" applyNumberFormat="1" applyFont="1" applyBorder="1" applyAlignment="1">
      <alignment horizontal="center" vertical="center" wrapText="1"/>
    </xf>
    <xf numFmtId="168" fontId="6" fillId="0" borderId="65" xfId="0" applyNumberFormat="1" applyFont="1" applyBorder="1" applyAlignment="1">
      <alignment horizontal="center" vertical="center" wrapText="1"/>
    </xf>
    <xf numFmtId="168" fontId="6" fillId="0" borderId="55" xfId="0" applyNumberFormat="1" applyFont="1" applyBorder="1" applyAlignment="1">
      <alignment horizontal="center" vertical="center" wrapText="1"/>
    </xf>
    <xf numFmtId="0" fontId="25" fillId="0" borderId="66" xfId="0" applyFont="1" applyFill="1" applyBorder="1" applyAlignment="1">
      <alignment horizontal="center" vertical="center" wrapText="1"/>
    </xf>
    <xf numFmtId="168" fontId="25" fillId="0" borderId="79" xfId="0" applyNumberFormat="1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168" fontId="25" fillId="0" borderId="43" xfId="0" applyNumberFormat="1" applyFont="1" applyFill="1" applyBorder="1" applyAlignment="1">
      <alignment horizontal="center" vertical="center" wrapText="1"/>
    </xf>
    <xf numFmtId="168" fontId="25" fillId="0" borderId="82" xfId="0" applyNumberFormat="1" applyFont="1" applyFill="1" applyBorder="1" applyAlignment="1">
      <alignment horizontal="center" vertical="center" wrapText="1"/>
    </xf>
    <xf numFmtId="10" fontId="6" fillId="5" borderId="24" xfId="0" applyNumberFormat="1" applyFont="1" applyFill="1" applyBorder="1" applyAlignment="1">
      <alignment horizontal="center" vertical="center" wrapText="1"/>
    </xf>
    <xf numFmtId="43" fontId="24" fillId="5" borderId="43" xfId="16" applyFont="1" applyFill="1" applyBorder="1" applyAlignment="1">
      <alignment horizontal="center" vertical="center" wrapText="1"/>
    </xf>
    <xf numFmtId="10" fontId="6" fillId="5" borderId="43" xfId="1" applyNumberFormat="1" applyFont="1" applyFill="1" applyBorder="1" applyAlignment="1" applyProtection="1">
      <alignment horizontal="center" vertical="center" wrapText="1"/>
    </xf>
    <xf numFmtId="10" fontId="6" fillId="5" borderId="43" xfId="1" applyNumberFormat="1" applyFont="1" applyFill="1" applyBorder="1" applyAlignment="1">
      <alignment horizontal="center" vertical="center" wrapText="1"/>
    </xf>
    <xf numFmtId="43" fontId="24" fillId="0" borderId="73" xfId="16" applyFont="1" applyFill="1" applyBorder="1" applyAlignment="1">
      <alignment horizontal="center" vertical="center" wrapText="1"/>
    </xf>
    <xf numFmtId="43" fontId="24" fillId="0" borderId="63" xfId="16" applyFont="1" applyFill="1" applyBorder="1" applyAlignment="1">
      <alignment horizontal="center" vertical="center" wrapText="1"/>
    </xf>
    <xf numFmtId="10" fontId="24" fillId="0" borderId="51" xfId="1" applyNumberFormat="1" applyFont="1" applyBorder="1" applyAlignment="1">
      <alignment horizontal="center" vertical="center"/>
    </xf>
    <xf numFmtId="0" fontId="2" fillId="3" borderId="35" xfId="0" applyNumberFormat="1" applyFont="1" applyFill="1" applyBorder="1" applyAlignment="1">
      <alignment horizontal="center" vertical="center" wrapText="1"/>
    </xf>
    <xf numFmtId="10" fontId="2" fillId="2" borderId="35" xfId="1" applyNumberFormat="1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horizontal="center" vertical="center"/>
    </xf>
    <xf numFmtId="165" fontId="0" fillId="0" borderId="35" xfId="0" applyNumberFormat="1" applyFont="1" applyFill="1" applyBorder="1" applyAlignment="1">
      <alignment horizontal="center" vertical="center"/>
    </xf>
    <xf numFmtId="9" fontId="24" fillId="0" borderId="51" xfId="1" applyFont="1" applyBorder="1" applyAlignment="1">
      <alignment horizontal="center" vertical="center"/>
    </xf>
    <xf numFmtId="168" fontId="6" fillId="10" borderId="44" xfId="0" applyNumberFormat="1" applyFont="1" applyFill="1" applyBorder="1" applyAlignment="1">
      <alignment horizontal="center" vertical="center" wrapText="1"/>
    </xf>
    <xf numFmtId="10" fontId="6" fillId="10" borderId="74" xfId="1" applyNumberFormat="1" applyFont="1" applyFill="1" applyBorder="1" applyAlignment="1" applyProtection="1">
      <alignment horizontal="center" vertical="center" wrapText="1"/>
    </xf>
    <xf numFmtId="168" fontId="6" fillId="2" borderId="54" xfId="0" applyNumberFormat="1" applyFont="1" applyFill="1" applyBorder="1" applyAlignment="1">
      <alignment horizontal="center" vertical="center" wrapText="1"/>
    </xf>
    <xf numFmtId="168" fontId="6" fillId="10" borderId="54" xfId="0" applyNumberFormat="1" applyFont="1" applyFill="1" applyBorder="1" applyAlignment="1">
      <alignment horizontal="center" vertical="center" wrapText="1"/>
    </xf>
    <xf numFmtId="10" fontId="6" fillId="10" borderId="54" xfId="1" applyNumberFormat="1" applyFont="1" applyFill="1" applyBorder="1" applyAlignment="1" applyProtection="1">
      <alignment horizontal="center" vertical="center" wrapText="1"/>
    </xf>
    <xf numFmtId="168" fontId="6" fillId="3" borderId="44" xfId="0" applyNumberFormat="1" applyFont="1" applyFill="1" applyBorder="1" applyAlignment="1">
      <alignment horizontal="center" vertical="center" wrapText="1"/>
    </xf>
    <xf numFmtId="10" fontId="6" fillId="3" borderId="74" xfId="1" applyNumberFormat="1" applyFont="1" applyFill="1" applyBorder="1" applyAlignment="1">
      <alignment horizontal="center" vertical="center" wrapText="1"/>
    </xf>
    <xf numFmtId="168" fontId="6" fillId="3" borderId="54" xfId="0" applyNumberFormat="1" applyFont="1" applyFill="1" applyBorder="1" applyAlignment="1">
      <alignment horizontal="center" vertical="center" wrapText="1"/>
    </xf>
    <xf numFmtId="10" fontId="6" fillId="3" borderId="54" xfId="1" applyNumberFormat="1" applyFont="1" applyFill="1" applyBorder="1" applyAlignment="1">
      <alignment horizontal="center" vertical="center" wrapText="1"/>
    </xf>
    <xf numFmtId="168" fontId="6" fillId="9" borderId="44" xfId="0" applyNumberFormat="1" applyFont="1" applyFill="1" applyBorder="1" applyAlignment="1">
      <alignment horizontal="center" vertical="center" wrapText="1"/>
    </xf>
    <xf numFmtId="10" fontId="6" fillId="9" borderId="74" xfId="1" applyNumberFormat="1" applyFont="1" applyFill="1" applyBorder="1" applyAlignment="1">
      <alignment horizontal="center" vertical="center" wrapText="1"/>
    </xf>
    <xf numFmtId="168" fontId="6" fillId="9" borderId="54" xfId="0" applyNumberFormat="1" applyFont="1" applyFill="1" applyBorder="1" applyAlignment="1">
      <alignment horizontal="center" vertical="center" wrapText="1"/>
    </xf>
    <xf numFmtId="10" fontId="6" fillId="9" borderId="54" xfId="1" applyNumberFormat="1" applyFont="1" applyFill="1" applyBorder="1" applyAlignment="1">
      <alignment horizontal="center" vertical="center" wrapText="1"/>
    </xf>
    <xf numFmtId="168" fontId="6" fillId="11" borderId="44" xfId="0" applyNumberFormat="1" applyFont="1" applyFill="1" applyBorder="1" applyAlignment="1">
      <alignment horizontal="center" vertical="center" wrapText="1"/>
    </xf>
    <xf numFmtId="10" fontId="6" fillId="11" borderId="74" xfId="1" applyNumberFormat="1" applyFont="1" applyFill="1" applyBorder="1" applyAlignment="1">
      <alignment horizontal="center" vertical="center" wrapText="1"/>
    </xf>
    <xf numFmtId="10" fontId="6" fillId="11" borderId="85" xfId="1" applyNumberFormat="1" applyFont="1" applyFill="1" applyBorder="1" applyAlignment="1">
      <alignment horizontal="center" vertical="center" wrapText="1"/>
    </xf>
    <xf numFmtId="168" fontId="6" fillId="11" borderId="54" xfId="0" applyNumberFormat="1" applyFont="1" applyFill="1" applyBorder="1" applyAlignment="1">
      <alignment horizontal="center" vertical="center" wrapText="1"/>
    </xf>
    <xf numFmtId="10" fontId="6" fillId="11" borderId="54" xfId="1" applyNumberFormat="1" applyFont="1" applyFill="1" applyBorder="1" applyAlignment="1">
      <alignment horizontal="center" vertical="center" wrapText="1"/>
    </xf>
    <xf numFmtId="10" fontId="6" fillId="10" borderId="64" xfId="1" applyNumberFormat="1" applyFont="1" applyFill="1" applyBorder="1" applyAlignment="1" applyProtection="1">
      <alignment horizontal="center" vertical="center" wrapText="1"/>
    </xf>
    <xf numFmtId="168" fontId="6" fillId="2" borderId="55" xfId="0" applyNumberFormat="1" applyFont="1" applyFill="1" applyBorder="1" applyAlignment="1">
      <alignment horizontal="center" vertical="center" wrapText="1"/>
    </xf>
    <xf numFmtId="168" fontId="6" fillId="10" borderId="55" xfId="0" applyNumberFormat="1" applyFont="1" applyFill="1" applyBorder="1" applyAlignment="1">
      <alignment horizontal="center" vertical="center" wrapText="1"/>
    </xf>
    <xf numFmtId="10" fontId="6" fillId="10" borderId="55" xfId="1" applyNumberFormat="1" applyFont="1" applyFill="1" applyBorder="1" applyAlignment="1" applyProtection="1">
      <alignment horizontal="center" vertical="center" wrapText="1"/>
    </xf>
    <xf numFmtId="10" fontId="6" fillId="3" borderId="64" xfId="1" applyNumberFormat="1" applyFont="1" applyFill="1" applyBorder="1" applyAlignment="1">
      <alignment horizontal="center" vertical="center" wrapText="1"/>
    </xf>
    <xf numFmtId="168" fontId="6" fillId="3" borderId="55" xfId="0" applyNumberFormat="1" applyFont="1" applyFill="1" applyBorder="1" applyAlignment="1">
      <alignment horizontal="center" vertical="center" wrapText="1"/>
    </xf>
    <xf numFmtId="10" fontId="6" fillId="3" borderId="55" xfId="1" applyNumberFormat="1" applyFont="1" applyFill="1" applyBorder="1" applyAlignment="1">
      <alignment horizontal="center" vertical="center" wrapText="1"/>
    </xf>
    <xf numFmtId="168" fontId="6" fillId="9" borderId="55" xfId="0" applyNumberFormat="1" applyFont="1" applyFill="1" applyBorder="1" applyAlignment="1">
      <alignment horizontal="center" vertical="center" wrapText="1"/>
    </xf>
    <xf numFmtId="10" fontId="6" fillId="9" borderId="55" xfId="1" applyNumberFormat="1" applyFont="1" applyFill="1" applyBorder="1" applyAlignment="1">
      <alignment horizontal="center" vertical="center" wrapText="1"/>
    </xf>
    <xf numFmtId="168" fontId="6" fillId="11" borderId="55" xfId="0" applyNumberFormat="1" applyFont="1" applyFill="1" applyBorder="1" applyAlignment="1">
      <alignment horizontal="center" vertical="center" wrapText="1"/>
    </xf>
    <xf numFmtId="10" fontId="6" fillId="11" borderId="55" xfId="1" applyNumberFormat="1" applyFont="1" applyFill="1" applyBorder="1" applyAlignment="1">
      <alignment horizontal="center" vertical="center" wrapText="1"/>
    </xf>
    <xf numFmtId="10" fontId="6" fillId="5" borderId="24" xfId="1" applyNumberFormat="1" applyFont="1" applyFill="1" applyBorder="1" applyAlignment="1" applyProtection="1">
      <alignment horizontal="center" vertical="center" wrapText="1"/>
    </xf>
    <xf numFmtId="10" fontId="6" fillId="5" borderId="24" xfId="1" applyNumberFormat="1" applyFont="1" applyFill="1" applyBorder="1" applyAlignment="1">
      <alignment horizontal="center" vertical="center" wrapText="1"/>
    </xf>
    <xf numFmtId="10" fontId="6" fillId="5" borderId="25" xfId="1" applyNumberFormat="1" applyFont="1" applyFill="1" applyBorder="1" applyAlignment="1">
      <alignment horizontal="center" vertical="center" wrapText="1"/>
    </xf>
    <xf numFmtId="168" fontId="6" fillId="2" borderId="80" xfId="0" applyNumberFormat="1" applyFont="1" applyFill="1" applyBorder="1" applyAlignment="1">
      <alignment horizontal="center" vertical="center" wrapText="1"/>
    </xf>
    <xf numFmtId="168" fontId="6" fillId="10" borderId="61" xfId="0" applyNumberFormat="1" applyFont="1" applyFill="1" applyBorder="1" applyAlignment="1">
      <alignment horizontal="center" vertical="center" wrapText="1"/>
    </xf>
    <xf numFmtId="10" fontId="6" fillId="10" borderId="61" xfId="1" applyNumberFormat="1" applyFont="1" applyFill="1" applyBorder="1" applyAlignment="1" applyProtection="1">
      <alignment horizontal="center" vertical="center" wrapText="1"/>
    </xf>
    <xf numFmtId="168" fontId="6" fillId="2" borderId="61" xfId="0" applyNumberFormat="1" applyFont="1" applyFill="1" applyBorder="1" applyAlignment="1">
      <alignment horizontal="center" vertical="center" wrapText="1"/>
    </xf>
    <xf numFmtId="168" fontId="6" fillId="3" borderId="61" xfId="0" applyNumberFormat="1" applyFont="1" applyFill="1" applyBorder="1" applyAlignment="1">
      <alignment horizontal="center" vertical="center" wrapText="1"/>
    </xf>
    <xf numFmtId="10" fontId="6" fillId="3" borderId="61" xfId="1" applyNumberFormat="1" applyFont="1" applyFill="1" applyBorder="1" applyAlignment="1">
      <alignment horizontal="center" vertical="center" wrapText="1"/>
    </xf>
    <xf numFmtId="168" fontId="6" fillId="9" borderId="61" xfId="0" applyNumberFormat="1" applyFont="1" applyFill="1" applyBorder="1" applyAlignment="1">
      <alignment horizontal="center" vertical="center" wrapText="1"/>
    </xf>
    <xf numFmtId="10" fontId="6" fillId="9" borderId="61" xfId="1" applyNumberFormat="1" applyFont="1" applyFill="1" applyBorder="1" applyAlignment="1">
      <alignment horizontal="center" vertical="center" wrapText="1"/>
    </xf>
    <xf numFmtId="168" fontId="6" fillId="11" borderId="61" xfId="0" applyNumberFormat="1" applyFont="1" applyFill="1" applyBorder="1" applyAlignment="1">
      <alignment horizontal="center" vertical="center" wrapText="1"/>
    </xf>
    <xf numFmtId="10" fontId="6" fillId="11" borderId="61" xfId="1" applyNumberFormat="1" applyFont="1" applyFill="1" applyBorder="1" applyAlignment="1">
      <alignment horizontal="center" vertical="center" wrapText="1"/>
    </xf>
    <xf numFmtId="10" fontId="6" fillId="11" borderId="57" xfId="1" applyNumberFormat="1" applyFont="1" applyFill="1" applyBorder="1" applyAlignment="1">
      <alignment horizontal="center" vertical="center" wrapText="1"/>
    </xf>
    <xf numFmtId="49" fontId="4" fillId="13" borderId="11" xfId="0" applyNumberFormat="1" applyFont="1" applyFill="1" applyBorder="1" applyAlignment="1">
      <alignment horizontal="center" vertical="center" wrapText="1"/>
    </xf>
    <xf numFmtId="49" fontId="21" fillId="12" borderId="95" xfId="0" applyNumberFormat="1" applyFont="1" applyFill="1" applyBorder="1" applyAlignment="1">
      <alignment horizontal="center" vertical="center" wrapText="1"/>
    </xf>
    <xf numFmtId="1" fontId="19" fillId="12" borderId="95" xfId="0" applyNumberFormat="1" applyFont="1" applyFill="1" applyBorder="1" applyAlignment="1">
      <alignment horizontal="center" vertical="center" wrapText="1"/>
    </xf>
    <xf numFmtId="0" fontId="6" fillId="0" borderId="43" xfId="0" applyFont="1" applyBorder="1" applyAlignment="1">
      <alignment wrapText="1"/>
    </xf>
    <xf numFmtId="43" fontId="6" fillId="0" borderId="63" xfId="16" applyFont="1" applyFill="1" applyBorder="1" applyAlignment="1">
      <alignment horizontal="center" vertical="center" wrapText="1"/>
    </xf>
    <xf numFmtId="10" fontId="6" fillId="0" borderId="51" xfId="1" applyNumberFormat="1" applyFont="1" applyBorder="1" applyAlignment="1">
      <alignment horizontal="center" vertical="center"/>
    </xf>
    <xf numFmtId="14" fontId="6" fillId="0" borderId="11" xfId="0" applyNumberFormat="1" applyFont="1" applyFill="1" applyBorder="1" applyAlignment="1">
      <alignment vertical="center" wrapText="1"/>
    </xf>
    <xf numFmtId="1" fontId="19" fillId="12" borderId="97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center" vertical="center" wrapText="1"/>
    </xf>
    <xf numFmtId="49" fontId="8" fillId="13" borderId="16" xfId="0" applyNumberFormat="1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16" xfId="0" applyNumberFormat="1" applyFont="1" applyFill="1" applyBorder="1" applyAlignment="1">
      <alignment horizontal="center" vertical="center" wrapText="1"/>
    </xf>
    <xf numFmtId="168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166" fontId="8" fillId="13" borderId="16" xfId="0" applyNumberFormat="1" applyFont="1" applyFill="1" applyBorder="1" applyAlignment="1">
      <alignment horizontal="center" vertical="center" wrapText="1"/>
    </xf>
    <xf numFmtId="166" fontId="8" fillId="0" borderId="16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166" fontId="16" fillId="2" borderId="35" xfId="0" applyNumberFormat="1" applyFont="1" applyFill="1" applyBorder="1" applyAlignment="1">
      <alignment horizontal="center" vertical="center" wrapText="1"/>
    </xf>
    <xf numFmtId="0" fontId="2" fillId="0" borderId="54" xfId="0" applyNumberFormat="1" applyFont="1" applyFill="1" applyBorder="1" applyAlignment="1">
      <alignment horizontal="center" vertical="center" wrapText="1"/>
    </xf>
    <xf numFmtId="0" fontId="2" fillId="0" borderId="72" xfId="0" applyNumberFormat="1" applyFont="1" applyFill="1" applyBorder="1" applyAlignment="1">
      <alignment horizontal="center" vertical="center" wrapText="1"/>
    </xf>
    <xf numFmtId="0" fontId="2" fillId="0" borderId="55" xfId="0" applyNumberFormat="1" applyFont="1" applyFill="1" applyBorder="1" applyAlignment="1">
      <alignment horizontal="center" vertical="center" wrapText="1"/>
    </xf>
    <xf numFmtId="0" fontId="8" fillId="2" borderId="35" xfId="0" applyNumberFormat="1" applyFont="1" applyFill="1" applyBorder="1" applyAlignment="1">
      <alignment horizontal="center" vertical="center"/>
    </xf>
    <xf numFmtId="0" fontId="8" fillId="2" borderId="16" xfId="0" applyNumberFormat="1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right" vertical="center" wrapText="1"/>
    </xf>
    <xf numFmtId="4" fontId="28" fillId="0" borderId="0" xfId="0" applyNumberFormat="1" applyFont="1" applyFill="1" applyAlignment="1">
      <alignment horizontal="left" vertical="center" wrapText="1"/>
    </xf>
    <xf numFmtId="0" fontId="16" fillId="0" borderId="16" xfId="0" applyFont="1" applyFill="1" applyBorder="1" applyAlignment="1">
      <alignment horizontal="center" vertical="center" wrapText="1"/>
    </xf>
    <xf numFmtId="14" fontId="16" fillId="0" borderId="16" xfId="0" applyNumberFormat="1" applyFont="1" applyFill="1" applyBorder="1" applyAlignment="1">
      <alignment horizontal="center" vertical="center" wrapText="1"/>
    </xf>
    <xf numFmtId="4" fontId="16" fillId="0" borderId="16" xfId="0" applyNumberFormat="1" applyFont="1" applyFill="1" applyBorder="1" applyAlignment="1">
      <alignment horizontal="center" vertical="center" wrapText="1"/>
    </xf>
    <xf numFmtId="0" fontId="5" fillId="4" borderId="64" xfId="0" applyFont="1" applyFill="1" applyBorder="1" applyAlignment="1">
      <alignment horizontal="center" vertical="center" wrapText="1"/>
    </xf>
    <xf numFmtId="49" fontId="5" fillId="4" borderId="64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16" fillId="0" borderId="87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81" xfId="0" applyFont="1" applyFill="1" applyBorder="1" applyAlignment="1">
      <alignment horizontal="center" vertical="center" wrapText="1"/>
    </xf>
    <xf numFmtId="0" fontId="16" fillId="0" borderId="98" xfId="0" applyFont="1" applyFill="1" applyBorder="1" applyAlignment="1">
      <alignment horizontal="center" vertical="center" wrapText="1"/>
    </xf>
    <xf numFmtId="0" fontId="16" fillId="0" borderId="74" xfId="0" applyFont="1" applyFill="1" applyBorder="1" applyAlignment="1">
      <alignment horizontal="center" vertical="center" wrapText="1"/>
    </xf>
    <xf numFmtId="14" fontId="16" fillId="0" borderId="74" xfId="0" applyNumberFormat="1" applyFont="1" applyFill="1" applyBorder="1" applyAlignment="1">
      <alignment horizontal="center" vertical="center" wrapText="1"/>
    </xf>
    <xf numFmtId="4" fontId="16" fillId="0" borderId="74" xfId="0" applyNumberFormat="1" applyFont="1" applyFill="1" applyBorder="1" applyAlignment="1">
      <alignment horizontal="center" vertical="center" wrapText="1"/>
    </xf>
    <xf numFmtId="17" fontId="16" fillId="0" borderId="74" xfId="0" applyNumberFormat="1" applyFont="1" applyFill="1" applyBorder="1" applyAlignment="1">
      <alignment horizontal="center" vertical="center" wrapText="1"/>
    </xf>
    <xf numFmtId="0" fontId="16" fillId="0" borderId="96" xfId="0" applyFont="1" applyFill="1" applyBorder="1" applyAlignment="1">
      <alignment horizontal="center" vertical="center" wrapText="1"/>
    </xf>
    <xf numFmtId="10" fontId="0" fillId="0" borderId="16" xfId="1" applyNumberFormat="1" applyFont="1" applyFill="1" applyBorder="1" applyAlignment="1">
      <alignment horizontal="center" vertical="center" wrapText="1"/>
    </xf>
    <xf numFmtId="10" fontId="6" fillId="2" borderId="31" xfId="0" applyNumberFormat="1" applyFont="1" applyFill="1" applyBorder="1" applyAlignment="1">
      <alignment horizontal="center" vertical="center" wrapText="1"/>
    </xf>
    <xf numFmtId="4" fontId="6" fillId="2" borderId="3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7" borderId="17" xfId="0" applyFont="1" applyFill="1" applyBorder="1" applyAlignment="1">
      <alignment vertical="center" wrapText="1"/>
    </xf>
    <xf numFmtId="0" fontId="2" fillId="7" borderId="19" xfId="0" applyFont="1" applyFill="1" applyBorder="1" applyAlignment="1">
      <alignment vertical="center" wrapText="1"/>
    </xf>
    <xf numFmtId="0" fontId="2" fillId="7" borderId="2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4" fontId="28" fillId="11" borderId="16" xfId="0" applyNumberFormat="1" applyFont="1" applyFill="1" applyBorder="1" applyAlignment="1">
      <alignment horizontal="center" vertical="center" wrapText="1"/>
    </xf>
    <xf numFmtId="0" fontId="6" fillId="0" borderId="67" xfId="0" applyFont="1" applyBorder="1" applyAlignment="1">
      <alignment wrapText="1"/>
    </xf>
    <xf numFmtId="0" fontId="6" fillId="0" borderId="29" xfId="0" applyFont="1" applyBorder="1" applyAlignment="1">
      <alignment wrapText="1"/>
    </xf>
    <xf numFmtId="3" fontId="6" fillId="5" borderId="28" xfId="0" applyNumberFormat="1" applyFont="1" applyFill="1" applyBorder="1" applyAlignment="1">
      <alignment vertical="center"/>
    </xf>
    <xf numFmtId="10" fontId="6" fillId="5" borderId="28" xfId="1" applyNumberFormat="1" applyFont="1" applyFill="1" applyBorder="1" applyAlignment="1">
      <alignment horizontal="right" vertical="center"/>
    </xf>
    <xf numFmtId="10" fontId="6" fillId="5" borderId="31" xfId="1" applyNumberFormat="1" applyFont="1" applyFill="1" applyBorder="1" applyAlignment="1">
      <alignment horizontal="right" vertical="center"/>
    </xf>
    <xf numFmtId="0" fontId="6" fillId="0" borderId="67" xfId="0" applyFont="1" applyBorder="1" applyAlignment="1">
      <alignment vertical="center" wrapText="1"/>
    </xf>
    <xf numFmtId="0" fontId="27" fillId="0" borderId="16" xfId="0" applyFont="1" applyFill="1" applyBorder="1" applyAlignment="1">
      <alignment vertical="center"/>
    </xf>
    <xf numFmtId="0" fontId="27" fillId="0" borderId="16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14" borderId="16" xfId="0" applyFont="1" applyFill="1" applyBorder="1" applyAlignment="1">
      <alignment horizontal="left" vertical="center" wrapText="1"/>
    </xf>
    <xf numFmtId="0" fontId="30" fillId="8" borderId="16" xfId="0" applyFont="1" applyFill="1" applyBorder="1" applyAlignment="1">
      <alignment vertical="center"/>
    </xf>
    <xf numFmtId="0" fontId="9" fillId="14" borderId="16" xfId="0" applyFont="1" applyFill="1" applyBorder="1" applyAlignment="1">
      <alignment horizontal="center" vertical="center" wrapText="1"/>
    </xf>
    <xf numFmtId="0" fontId="10" fillId="0" borderId="16" xfId="0" applyNumberFormat="1" applyFont="1" applyFill="1" applyBorder="1" applyAlignment="1">
      <alignment horizontal="left" vertical="center" wrapText="1"/>
    </xf>
    <xf numFmtId="0" fontId="10" fillId="0" borderId="16" xfId="0" applyNumberFormat="1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0" fontId="10" fillId="13" borderId="16" xfId="0" applyNumberFormat="1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vertical="center"/>
    </xf>
    <xf numFmtId="0" fontId="9" fillId="14" borderId="16" xfId="0" applyFont="1" applyFill="1" applyBorder="1" applyAlignment="1">
      <alignment horizontal="left" vertical="center"/>
    </xf>
    <xf numFmtId="0" fontId="9" fillId="14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left" vertical="center"/>
    </xf>
    <xf numFmtId="49" fontId="10" fillId="0" borderId="16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49" fontId="27" fillId="0" borderId="16" xfId="0" applyNumberFormat="1" applyFont="1" applyFill="1" applyBorder="1" applyAlignment="1">
      <alignment vertical="center"/>
    </xf>
    <xf numFmtId="49" fontId="26" fillId="0" borderId="16" xfId="0" applyNumberFormat="1" applyFont="1" applyFill="1" applyBorder="1" applyAlignment="1">
      <alignment horizontal="center" vertical="center"/>
    </xf>
    <xf numFmtId="49" fontId="10" fillId="0" borderId="16" xfId="14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6" xfId="0" applyFont="1" applyFill="1" applyBorder="1" applyAlignment="1">
      <alignment horizontal="left" vertical="center" wrapText="1"/>
    </xf>
    <xf numFmtId="0" fontId="31" fillId="15" borderId="16" xfId="0" applyFont="1" applyFill="1" applyBorder="1" applyAlignment="1">
      <alignment horizontal="left" vertical="center"/>
    </xf>
    <xf numFmtId="0" fontId="31" fillId="15" borderId="16" xfId="0" applyFont="1" applyFill="1" applyBorder="1" applyAlignment="1">
      <alignment vertical="center"/>
    </xf>
    <xf numFmtId="0" fontId="32" fillId="15" borderId="16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49" fontId="5" fillId="4" borderId="8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49" fontId="11" fillId="0" borderId="19" xfId="0" applyNumberFormat="1" applyFont="1" applyFill="1" applyBorder="1" applyAlignment="1">
      <alignment horizontal="center" vertical="center" wrapText="1"/>
    </xf>
    <xf numFmtId="49" fontId="11" fillId="0" borderId="2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9" fillId="12" borderId="90" xfId="0" applyFont="1" applyFill="1" applyBorder="1" applyAlignment="1">
      <alignment horizontal="center" vertical="center" textRotation="90" wrapText="1"/>
    </xf>
    <xf numFmtId="0" fontId="19" fillId="12" borderId="91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2" borderId="66" xfId="0" applyNumberFormat="1" applyFont="1" applyFill="1" applyBorder="1" applyAlignment="1">
      <alignment horizontal="center" vertical="center" wrapText="1"/>
    </xf>
    <xf numFmtId="0" fontId="7" fillId="2" borderId="79" xfId="0" applyNumberFormat="1" applyFont="1" applyFill="1" applyBorder="1" applyAlignment="1">
      <alignment horizontal="center" vertical="center" wrapText="1"/>
    </xf>
    <xf numFmtId="0" fontId="7" fillId="2" borderId="39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0" fontId="7" fillId="10" borderId="70" xfId="0" applyFont="1" applyFill="1" applyBorder="1" applyAlignment="1">
      <alignment horizontal="center" vertical="center" wrapText="1"/>
    </xf>
    <xf numFmtId="0" fontId="7" fillId="10" borderId="78" xfId="0" applyFont="1" applyFill="1" applyBorder="1" applyAlignment="1">
      <alignment horizontal="center" vertical="center" wrapText="1"/>
    </xf>
    <xf numFmtId="0" fontId="7" fillId="10" borderId="76" xfId="0" applyFont="1" applyFill="1" applyBorder="1" applyAlignment="1">
      <alignment horizontal="center" vertical="center" wrapText="1"/>
    </xf>
    <xf numFmtId="0" fontId="7" fillId="10" borderId="75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7" fillId="10" borderId="77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8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7" fillId="3" borderId="75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7" fillId="9" borderId="70" xfId="0" applyFont="1" applyFill="1" applyBorder="1" applyAlignment="1">
      <alignment horizontal="center" vertical="center" wrapText="1"/>
    </xf>
    <xf numFmtId="0" fontId="7" fillId="9" borderId="78" xfId="0" applyFont="1" applyFill="1" applyBorder="1" applyAlignment="1">
      <alignment horizontal="center" vertical="center" wrapText="1"/>
    </xf>
    <xf numFmtId="0" fontId="7" fillId="9" borderId="76" xfId="0" applyFont="1" applyFill="1" applyBorder="1" applyAlignment="1">
      <alignment horizontal="center" vertical="center" wrapText="1"/>
    </xf>
    <xf numFmtId="0" fontId="7" fillId="9" borderId="75" xfId="0" applyFont="1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 vertical="center" wrapText="1"/>
    </xf>
    <xf numFmtId="0" fontId="7" fillId="9" borderId="77" xfId="0" applyFont="1" applyFill="1" applyBorder="1" applyAlignment="1">
      <alignment horizontal="center" vertical="center" wrapText="1"/>
    </xf>
    <xf numFmtId="0" fontId="7" fillId="2" borderId="82" xfId="0" applyNumberFormat="1" applyFont="1" applyFill="1" applyBorder="1" applyAlignment="1">
      <alignment horizontal="center" vertical="center" wrapText="1"/>
    </xf>
    <xf numFmtId="0" fontId="7" fillId="11" borderId="70" xfId="0" applyFont="1" applyFill="1" applyBorder="1" applyAlignment="1">
      <alignment horizontal="center" vertical="center" wrapText="1"/>
    </xf>
    <xf numFmtId="0" fontId="7" fillId="11" borderId="78" xfId="0" applyFont="1" applyFill="1" applyBorder="1" applyAlignment="1">
      <alignment horizontal="center" vertical="center" wrapText="1"/>
    </xf>
    <xf numFmtId="0" fontId="7" fillId="11" borderId="76" xfId="0" applyFont="1" applyFill="1" applyBorder="1" applyAlignment="1">
      <alignment horizontal="center" vertical="center" wrapText="1"/>
    </xf>
    <xf numFmtId="0" fontId="7" fillId="11" borderId="75" xfId="0" applyFont="1" applyFill="1" applyBorder="1" applyAlignment="1">
      <alignment horizontal="center" vertical="center" wrapText="1"/>
    </xf>
    <xf numFmtId="0" fontId="7" fillId="11" borderId="32" xfId="0" applyFont="1" applyFill="1" applyBorder="1" applyAlignment="1">
      <alignment horizontal="center" vertical="center" wrapText="1"/>
    </xf>
    <xf numFmtId="0" fontId="7" fillId="11" borderId="77" xfId="0" applyFont="1" applyFill="1" applyBorder="1" applyAlignment="1">
      <alignment horizontal="center" vertical="center" wrapText="1"/>
    </xf>
    <xf numFmtId="0" fontId="7" fillId="2" borderId="86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2" borderId="99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2" fillId="0" borderId="72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79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vertical="center" wrapText="1"/>
    </xf>
    <xf numFmtId="0" fontId="8" fillId="0" borderId="16" xfId="0" applyFont="1" applyFill="1" applyBorder="1" applyAlignment="1">
      <alignment wrapText="1"/>
    </xf>
    <xf numFmtId="0" fontId="5" fillId="0" borderId="66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2" fillId="2" borderId="66" xfId="0" applyFont="1" applyFill="1" applyBorder="1" applyAlignment="1">
      <alignment horizontal="left" vertical="center" wrapText="1"/>
    </xf>
    <xf numFmtId="0" fontId="2" fillId="2" borderId="79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7" fillId="2" borderId="45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79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69" xfId="0" applyFont="1" applyFill="1" applyBorder="1" applyAlignment="1">
      <alignment horizontal="center" vertical="center" wrapText="1"/>
    </xf>
    <xf numFmtId="0" fontId="7" fillId="2" borderId="61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68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49" fontId="2" fillId="7" borderId="19" xfId="0" applyNumberFormat="1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67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8" borderId="66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8" borderId="79" xfId="0" applyFont="1" applyFill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 textRotation="90"/>
    </xf>
    <xf numFmtId="0" fontId="7" fillId="8" borderId="67" xfId="0" applyFont="1" applyFill="1" applyBorder="1" applyAlignment="1">
      <alignment horizontal="center" vertical="center" textRotation="90"/>
    </xf>
    <xf numFmtId="0" fontId="7" fillId="8" borderId="29" xfId="0" applyFont="1" applyFill="1" applyBorder="1" applyAlignment="1">
      <alignment horizontal="center" vertical="center" textRotation="90"/>
    </xf>
    <xf numFmtId="0" fontId="7" fillId="10" borderId="45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40" xfId="0" applyFont="1" applyFill="1" applyBorder="1" applyAlignment="1">
      <alignment horizontal="center" vertical="center" wrapText="1"/>
    </xf>
    <xf numFmtId="0" fontId="7" fillId="8" borderId="43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wrapText="1"/>
    </xf>
    <xf numFmtId="0" fontId="6" fillId="0" borderId="33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7" fillId="11" borderId="45" xfId="0" applyFont="1" applyFill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40" xfId="0" applyFont="1" applyFill="1" applyBorder="1" applyAlignment="1">
      <alignment horizontal="center" vertical="center" wrapText="1"/>
    </xf>
    <xf numFmtId="0" fontId="7" fillId="9" borderId="45" xfId="0" applyFont="1" applyFill="1" applyBorder="1" applyAlignment="1">
      <alignment horizontal="center" vertical="center" wrapText="1"/>
    </xf>
    <xf numFmtId="0" fontId="7" fillId="9" borderId="33" xfId="0" applyFont="1" applyFill="1" applyBorder="1" applyAlignment="1">
      <alignment horizontal="center" vertical="center" wrapText="1"/>
    </xf>
    <xf numFmtId="0" fontId="7" fillId="9" borderId="40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0" fillId="0" borderId="33" xfId="0" applyBorder="1" applyAlignment="1"/>
    <xf numFmtId="0" fontId="6" fillId="0" borderId="54" xfId="0" applyFont="1" applyBorder="1" applyAlignment="1">
      <alignment horizontal="left" vertical="center" wrapText="1"/>
    </xf>
    <xf numFmtId="0" fontId="6" fillId="0" borderId="55" xfId="0" applyFont="1" applyBorder="1" applyAlignment="1">
      <alignment horizontal="left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8">
    <cellStyle name="Excel Built-in Normal" xfId="9"/>
    <cellStyle name="TableStyleLight1" xfId="10"/>
    <cellStyle name="Гиперссылка 2" xfId="3"/>
    <cellStyle name="Обычный" xfId="0" builtinId="0"/>
    <cellStyle name="Обычный 10 10" xfId="13"/>
    <cellStyle name="Обычный 2" xfId="6"/>
    <cellStyle name="Обычный 2 2" xfId="12"/>
    <cellStyle name="Обычный 2 3" xfId="14"/>
    <cellStyle name="Обычный 3" xfId="2"/>
    <cellStyle name="Обычный 3 2" xfId="8"/>
    <cellStyle name="Обычный 3 3" xfId="15"/>
    <cellStyle name="Процентный" xfId="1" builtinId="5"/>
    <cellStyle name="Процентный 2" xfId="7"/>
    <cellStyle name="Стиль 1" xfId="11"/>
    <cellStyle name="Финансовый" xfId="16" builtinId="3"/>
    <cellStyle name="Финансовый 2" xfId="5"/>
    <cellStyle name="Финансовый 3" xfId="4"/>
    <cellStyle name="Финансовый 3 2" xfId="17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0" tint="-9.9948118533890809E-2"/>
      </font>
    </dxf>
    <dxf>
      <font>
        <color theme="0" tint="-9.9948118533890809E-2"/>
      </font>
    </dxf>
    <dxf>
      <font>
        <color theme="0" tint="-9.9948118533890809E-2"/>
      </font>
    </dxf>
    <dxf>
      <font>
        <color theme="0" tint="-9.9948118533890809E-2"/>
      </font>
    </dxf>
    <dxf>
      <font>
        <color theme="0" tint="-9.9948118533890809E-2"/>
      </font>
    </dxf>
    <dxf>
      <font>
        <color theme="0" tint="-9.9948118533890809E-2"/>
      </font>
    </dxf>
    <dxf>
      <font>
        <color theme="0" tint="-9.9948118533890809E-2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1" formatCode="0"/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#,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#,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_р_.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4" formatCode="0.00%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-419]mmmm\ yyyy;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[$-419]mmmm\ yyyy;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  <dxf>
      <font>
        <color theme="0" tint="-9.9948118533890809E-2"/>
      </font>
    </dxf>
    <dxf>
      <font>
        <color theme="0" tint="-9.9948118533890809E-2"/>
      </font>
      <numFmt numFmtId="166" formatCode="[$-419]mmmm\ yyyy;@"/>
      <fill>
        <patternFill>
          <fgColor theme="0" tint="-9.9948118533890809E-2"/>
        </patternFill>
      </fill>
    </dxf>
    <dxf>
      <font>
        <color theme="0" tint="-9.9948118533890809E-2"/>
      </font>
      <numFmt numFmtId="166" formatCode="[$-419]mmmm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Arial"/>
        <scheme val="none"/>
      </font>
      <numFmt numFmtId="1" formatCode="0"/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[$-419]mmmm\ yy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[$-419]mmmm\ 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#\ ###\ ###\ ###\ ##0.00_р_.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solid">
          <fgColor indexed="64"/>
          <bgColor theme="0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DDDD"/>
      <color rgb="FFEAEAEA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1781175</xdr:colOff>
      <xdr:row>14</xdr:row>
      <xdr:rowOff>66675</xdr:rowOff>
    </xdr:from>
    <xdr:ext cx="184731" cy="264560"/>
    <xdr:sp macro="" textlink="">
      <xdr:nvSpPr>
        <xdr:cNvPr id="2" name="TextBox 1"/>
        <xdr:cNvSpPr txBox="1"/>
      </xdr:nvSpPr>
      <xdr:spPr>
        <a:xfrm>
          <a:off x="78200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i.lan\dfs\DATA-Z\OU-SUZD\&#1054;&#1090;&#1095;&#1077;&#1090;&#1085;&#1086;&#1089;&#1090;&#1100;%20&#1050;&#1086;&#1088;&#1087;&#1086;&#1088;&#1072;&#1094;&#1080;&#1080;\&#1056;&#1055;&#1047;-&#1086;&#1090;&#1095;&#1077;&#1090;&#1085;&#1086;&#1089;&#1090;&#1100;-100-500&#1090;&#1099;&#1089;-&#1079;&#1072;&#1082;&#1088;&#1099;&#1090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ПЗ"/>
      <sheetName val="РПЦЗ"/>
      <sheetName val="ПП"/>
      <sheetName val="Отчет РПЗ(ПЗ)_ПЗИП"/>
      <sheetName val="Отчет о ПП"/>
      <sheetName val="Коды заказчиков"/>
      <sheetName val="Справочно"/>
      <sheetName val="Закупки до 100-500т.р."/>
      <sheetName val="Отчет ЗЗ"/>
      <sheetName val="2016 (договоры с МСП)"/>
    </sheetNames>
    <sheetDataSet>
      <sheetData sheetId="0">
        <row r="4">
          <cell r="A4" t="str">
            <v>Наименование заказчика</v>
          </cell>
        </row>
        <row r="5">
          <cell r="A5" t="str">
            <v>Адрес местонахождения заказчика</v>
          </cell>
        </row>
        <row r="6">
          <cell r="A6" t="str">
            <v>Телефон заказчика</v>
          </cell>
        </row>
        <row r="7">
          <cell r="A7" t="str">
            <v>Электронная почта заказчика</v>
          </cell>
        </row>
        <row r="8">
          <cell r="A8" t="str">
            <v>ИНН</v>
          </cell>
        </row>
        <row r="9">
          <cell r="A9" t="str">
            <v>КПП</v>
          </cell>
        </row>
        <row r="10">
          <cell r="A10" t="str">
            <v>ОКАТО</v>
          </cell>
        </row>
        <row r="12">
          <cell r="A12" t="str">
            <v>Индивидуальный номер</v>
          </cell>
        </row>
        <row r="15">
          <cell r="A15" t="str">
            <v>1</v>
          </cell>
        </row>
        <row r="16">
          <cell r="A16" t="str">
            <v>0100-2017-00001</v>
          </cell>
        </row>
        <row r="17">
          <cell r="A17" t="str">
            <v>0100-2017-00002</v>
          </cell>
        </row>
        <row r="18">
          <cell r="A18" t="str">
            <v>0100-2017-00003</v>
          </cell>
        </row>
        <row r="19">
          <cell r="A19" t="str">
            <v>0100-2017-00004</v>
          </cell>
        </row>
        <row r="20">
          <cell r="A20" t="str">
            <v>0100-2017-00005</v>
          </cell>
        </row>
        <row r="21">
          <cell r="A21" t="str">
            <v>0100-2017-00006</v>
          </cell>
        </row>
        <row r="22">
          <cell r="A22" t="str">
            <v>0100-2017-00007</v>
          </cell>
        </row>
        <row r="23">
          <cell r="A23" t="str">
            <v>0100-2017-00008</v>
          </cell>
        </row>
        <row r="24">
          <cell r="A24" t="str">
            <v>0100-2017-00009</v>
          </cell>
        </row>
        <row r="25">
          <cell r="A25" t="str">
            <v>0100-2017-00010</v>
          </cell>
        </row>
        <row r="26">
          <cell r="A26" t="str">
            <v>0100-2017-00011</v>
          </cell>
        </row>
        <row r="27">
          <cell r="A27" t="str">
            <v>0100-2017-00012</v>
          </cell>
        </row>
        <row r="28">
          <cell r="A28" t="str">
            <v>0100-2017-00013</v>
          </cell>
        </row>
        <row r="29">
          <cell r="A29" t="str">
            <v>0100-2017-00014</v>
          </cell>
        </row>
        <row r="30">
          <cell r="A30" t="str">
            <v>0100-2017-00015</v>
          </cell>
        </row>
        <row r="31">
          <cell r="A31" t="str">
            <v>0100-2017-00016</v>
          </cell>
        </row>
        <row r="32">
          <cell r="A32" t="str">
            <v>0100-2017-00017</v>
          </cell>
        </row>
        <row r="33">
          <cell r="A33" t="str">
            <v>0100-2017-00018</v>
          </cell>
        </row>
        <row r="34">
          <cell r="A34" t="str">
            <v>0100-2017-00019</v>
          </cell>
        </row>
        <row r="35">
          <cell r="A35" t="str">
            <v>0100-2017-00020</v>
          </cell>
        </row>
        <row r="36">
          <cell r="A36" t="str">
            <v>0100-2017-00021</v>
          </cell>
        </row>
        <row r="37">
          <cell r="A37" t="str">
            <v>0100-2017-00022</v>
          </cell>
        </row>
        <row r="38">
          <cell r="A38" t="str">
            <v>0100-2017-00023</v>
          </cell>
        </row>
        <row r="39">
          <cell r="A39" t="str">
            <v>0100-2017-00024</v>
          </cell>
        </row>
        <row r="40">
          <cell r="A40" t="str">
            <v>0100-2017-00025</v>
          </cell>
        </row>
        <row r="41">
          <cell r="A41" t="str">
            <v>0100-2017-00026</v>
          </cell>
        </row>
        <row r="42">
          <cell r="A42" t="str">
            <v>0100-2017-00027</v>
          </cell>
        </row>
        <row r="43">
          <cell r="A43" t="str">
            <v>0100-2017-00028</v>
          </cell>
        </row>
        <row r="44">
          <cell r="A44" t="str">
            <v>0100-2017-00029</v>
          </cell>
        </row>
        <row r="45">
          <cell r="A45" t="str">
            <v>0100-2017-00030</v>
          </cell>
        </row>
        <row r="46">
          <cell r="A46" t="str">
            <v>0100-2017-00031</v>
          </cell>
        </row>
        <row r="47">
          <cell r="A47" t="str">
            <v>0100-2017-00032</v>
          </cell>
        </row>
        <row r="48">
          <cell r="A48" t="str">
            <v>0100-2017-00033</v>
          </cell>
        </row>
        <row r="49">
          <cell r="A49" t="str">
            <v>0100-2017-00034</v>
          </cell>
        </row>
        <row r="50">
          <cell r="A50" t="str">
            <v>0100-2017-00035</v>
          </cell>
        </row>
        <row r="51">
          <cell r="A51" t="str">
            <v>0100-2017-00036</v>
          </cell>
        </row>
        <row r="52">
          <cell r="A52" t="str">
            <v>0100-2017-00037</v>
          </cell>
        </row>
        <row r="53">
          <cell r="A53" t="str">
            <v>0100-2017-00038</v>
          </cell>
        </row>
        <row r="54">
          <cell r="A54" t="str">
            <v>0100-2017-00039</v>
          </cell>
        </row>
        <row r="55">
          <cell r="A55" t="str">
            <v>0100-2017-00040</v>
          </cell>
        </row>
        <row r="56">
          <cell r="A56" t="str">
            <v>0100-2017-00041</v>
          </cell>
        </row>
        <row r="57">
          <cell r="A57" t="str">
            <v>0100-2017-00042</v>
          </cell>
        </row>
        <row r="58">
          <cell r="A58" t="str">
            <v>0100-2017-00043</v>
          </cell>
        </row>
        <row r="59">
          <cell r="A59" t="str">
            <v>0100-2017-00044</v>
          </cell>
        </row>
        <row r="60">
          <cell r="A60" t="str">
            <v>0100-2017-00045</v>
          </cell>
        </row>
        <row r="61">
          <cell r="A61" t="str">
            <v>0100-2017-00046</v>
          </cell>
        </row>
        <row r="62">
          <cell r="A62" t="str">
            <v>0100-2017-00047</v>
          </cell>
        </row>
        <row r="63">
          <cell r="A63" t="str">
            <v>0100-2017-00048</v>
          </cell>
        </row>
        <row r="64">
          <cell r="A64" t="str">
            <v>0100-2017-00049</v>
          </cell>
        </row>
        <row r="65">
          <cell r="A65" t="str">
            <v>0100-2017-00050</v>
          </cell>
        </row>
        <row r="66">
          <cell r="A66" t="str">
            <v>0100-2017-00051</v>
          </cell>
        </row>
        <row r="67">
          <cell r="A67" t="str">
            <v>0100-2017-00052</v>
          </cell>
        </row>
        <row r="68">
          <cell r="A68" t="str">
            <v>0100-2017-00053</v>
          </cell>
        </row>
        <row r="69">
          <cell r="A69" t="str">
            <v>0100-2017-00054</v>
          </cell>
        </row>
        <row r="70">
          <cell r="A70" t="str">
            <v>0100-2017-00055</v>
          </cell>
        </row>
        <row r="71">
          <cell r="A71" t="str">
            <v>0100-2017-00056</v>
          </cell>
        </row>
        <row r="72">
          <cell r="A72" t="str">
            <v>0100-2017-00057</v>
          </cell>
        </row>
        <row r="73">
          <cell r="A73" t="str">
            <v>0100-2017-00058</v>
          </cell>
        </row>
        <row r="74">
          <cell r="A74" t="str">
            <v>0100-2017-00059</v>
          </cell>
        </row>
        <row r="75">
          <cell r="A75" t="str">
            <v>0100-2017-00060</v>
          </cell>
        </row>
        <row r="76">
          <cell r="A76" t="str">
            <v>0100-2017-00061</v>
          </cell>
        </row>
        <row r="77">
          <cell r="A77" t="str">
            <v>0100-2017-00062</v>
          </cell>
        </row>
        <row r="78">
          <cell r="A78" t="str">
            <v>0100-2017-00063</v>
          </cell>
        </row>
        <row r="79">
          <cell r="A79" t="str">
            <v>0100-2017-00064</v>
          </cell>
        </row>
        <row r="80">
          <cell r="A80" t="str">
            <v>0100-2017-00065</v>
          </cell>
        </row>
        <row r="81">
          <cell r="A81" t="str">
            <v>0100-2017-00066</v>
          </cell>
        </row>
        <row r="82">
          <cell r="A82" t="str">
            <v>0100-2017-00067</v>
          </cell>
        </row>
        <row r="83">
          <cell r="A83" t="str">
            <v>0100-2017-00068</v>
          </cell>
        </row>
        <row r="84">
          <cell r="A84" t="str">
            <v>0100-2017-00069</v>
          </cell>
        </row>
        <row r="85">
          <cell r="A85" t="str">
            <v>0100-2017-00070</v>
          </cell>
        </row>
        <row r="86">
          <cell r="A86" t="str">
            <v>0100-2017-00071</v>
          </cell>
        </row>
        <row r="87">
          <cell r="A87" t="str">
            <v>0100-2017-00072</v>
          </cell>
        </row>
        <row r="88">
          <cell r="A88" t="str">
            <v>0100-2017-00073</v>
          </cell>
        </row>
        <row r="89">
          <cell r="A89" t="str">
            <v>0100-2017-00074</v>
          </cell>
        </row>
        <row r="90">
          <cell r="A90" t="str">
            <v>0100-2017-00075</v>
          </cell>
        </row>
        <row r="91">
          <cell r="A91" t="str">
            <v>0100-2017-00076</v>
          </cell>
        </row>
        <row r="92">
          <cell r="A92" t="str">
            <v>0100-2017-00077</v>
          </cell>
        </row>
        <row r="93">
          <cell r="A93" t="str">
            <v>0100-2017-00079</v>
          </cell>
        </row>
        <row r="94">
          <cell r="A94" t="str">
            <v>0100-2017-00080</v>
          </cell>
        </row>
        <row r="95">
          <cell r="A95" t="str">
            <v>0100-2017-00081</v>
          </cell>
        </row>
        <row r="96">
          <cell r="A96" t="str">
            <v>0100-2017-00082</v>
          </cell>
        </row>
        <row r="97">
          <cell r="A97" t="str">
            <v>0100-2017-00083</v>
          </cell>
        </row>
        <row r="98">
          <cell r="A98" t="str">
            <v>0100-2017-00084</v>
          </cell>
        </row>
        <row r="99">
          <cell r="A99" t="str">
            <v>0100-2017-00085</v>
          </cell>
        </row>
        <row r="100">
          <cell r="A100" t="str">
            <v>0100-2017-00086</v>
          </cell>
        </row>
        <row r="101">
          <cell r="A101" t="str">
            <v>0100-2017-00087</v>
          </cell>
        </row>
        <row r="102">
          <cell r="A102" t="str">
            <v>0100-2017-00088</v>
          </cell>
        </row>
        <row r="103">
          <cell r="A103" t="str">
            <v>0100-2017-00089</v>
          </cell>
        </row>
        <row r="104">
          <cell r="A104" t="str">
            <v>0100-2017-00090</v>
          </cell>
        </row>
        <row r="105">
          <cell r="A105" t="str">
            <v>0100-2017-00091</v>
          </cell>
        </row>
        <row r="106">
          <cell r="A106" t="str">
            <v>0100-2017-00092</v>
          </cell>
        </row>
        <row r="107">
          <cell r="A107" t="str">
            <v>0100-2017-00093</v>
          </cell>
        </row>
        <row r="108">
          <cell r="A108" t="str">
            <v>0100-2017-00094</v>
          </cell>
        </row>
        <row r="109">
          <cell r="A109" t="str">
            <v>0100-2017-00095</v>
          </cell>
        </row>
        <row r="110">
          <cell r="A110" t="str">
            <v>0100-2017-00096</v>
          </cell>
        </row>
        <row r="111">
          <cell r="A111" t="str">
            <v>0100-2017-00097</v>
          </cell>
        </row>
        <row r="112">
          <cell r="A112" t="str">
            <v>0100-2017-00098</v>
          </cell>
        </row>
        <row r="113">
          <cell r="A113" t="str">
            <v>0100-2017-00099</v>
          </cell>
        </row>
        <row r="114">
          <cell r="A114" t="str">
            <v>0100-2017-00100</v>
          </cell>
        </row>
        <row r="115">
          <cell r="A115" t="str">
            <v>0100-2017-00101</v>
          </cell>
        </row>
        <row r="116">
          <cell r="A116" t="str">
            <v>0100-2017-00102</v>
          </cell>
        </row>
        <row r="117">
          <cell r="A117" t="str">
            <v>0100-2017-00103</v>
          </cell>
        </row>
        <row r="118">
          <cell r="A118" t="str">
            <v>0100-2017-00104</v>
          </cell>
        </row>
        <row r="119">
          <cell r="A119" t="str">
            <v>0100-2017-00105</v>
          </cell>
        </row>
        <row r="120">
          <cell r="A120" t="str">
            <v>0100-2017-00106</v>
          </cell>
        </row>
        <row r="121">
          <cell r="A121" t="str">
            <v>0100-2017-00107</v>
          </cell>
        </row>
        <row r="122">
          <cell r="A122" t="str">
            <v>0100-2017-00108</v>
          </cell>
        </row>
        <row r="123">
          <cell r="A123" t="str">
            <v>0100-2017-00109</v>
          </cell>
        </row>
        <row r="124">
          <cell r="A124" t="str">
            <v>0100-2017-00110</v>
          </cell>
        </row>
        <row r="125">
          <cell r="A125" t="str">
            <v>0100-2017-00111</v>
          </cell>
        </row>
        <row r="126">
          <cell r="A126" t="str">
            <v>0100-2017-00112</v>
          </cell>
        </row>
        <row r="127">
          <cell r="A127" t="str">
            <v>0100-2017-00113</v>
          </cell>
        </row>
        <row r="128">
          <cell r="A128" t="str">
            <v>0100-2017-00114</v>
          </cell>
        </row>
        <row r="129">
          <cell r="A129" t="str">
            <v>0100-2017-00115</v>
          </cell>
        </row>
        <row r="130">
          <cell r="A130" t="str">
            <v>0100-2017-00116</v>
          </cell>
        </row>
        <row r="131">
          <cell r="A131" t="str">
            <v>0100-2017-00117</v>
          </cell>
        </row>
        <row r="132">
          <cell r="A132" t="str">
            <v>0100-2017-00118</v>
          </cell>
        </row>
        <row r="133">
          <cell r="A133" t="str">
            <v>0100-2017-00119</v>
          </cell>
        </row>
        <row r="134">
          <cell r="A134" t="str">
            <v>0100-2017-00120</v>
          </cell>
        </row>
        <row r="135">
          <cell r="A135" t="str">
            <v>0100-2017-00121</v>
          </cell>
        </row>
        <row r="136">
          <cell r="A136" t="str">
            <v>0100-2017-00122</v>
          </cell>
        </row>
        <row r="137">
          <cell r="A137" t="str">
            <v>0100-2017-00123</v>
          </cell>
        </row>
        <row r="138">
          <cell r="A138" t="str">
            <v>0100-2017-00124</v>
          </cell>
        </row>
        <row r="139">
          <cell r="A139" t="str">
            <v>0100-2017-00125</v>
          </cell>
        </row>
        <row r="140">
          <cell r="A140" t="str">
            <v>0100-2017-00126</v>
          </cell>
        </row>
        <row r="141">
          <cell r="A141" t="str">
            <v>0100-2017-00127</v>
          </cell>
        </row>
        <row r="142">
          <cell r="A142" t="str">
            <v>0100-2017-00128</v>
          </cell>
        </row>
        <row r="143">
          <cell r="A143" t="str">
            <v>0100-2017-00129</v>
          </cell>
        </row>
        <row r="144">
          <cell r="A144" t="str">
            <v>0100-2017-00130</v>
          </cell>
        </row>
        <row r="145">
          <cell r="A145" t="str">
            <v>0100-2017-00131</v>
          </cell>
        </row>
        <row r="146">
          <cell r="A146" t="str">
            <v>0100-2017-00132</v>
          </cell>
        </row>
        <row r="147">
          <cell r="A147" t="str">
            <v>0100-2017-00133</v>
          </cell>
        </row>
        <row r="148">
          <cell r="A148" t="str">
            <v>0100-2017-00134</v>
          </cell>
        </row>
        <row r="149">
          <cell r="A149" t="str">
            <v>0100-2017-00135</v>
          </cell>
        </row>
        <row r="150">
          <cell r="A150" t="str">
            <v>0100-2017-00136</v>
          </cell>
        </row>
        <row r="151">
          <cell r="A151" t="str">
            <v>0100-2017-00137</v>
          </cell>
        </row>
        <row r="152">
          <cell r="A152" t="str">
            <v>0100-2017-00138</v>
          </cell>
        </row>
        <row r="153">
          <cell r="A153" t="str">
            <v>0100-2017-00139</v>
          </cell>
        </row>
        <row r="154">
          <cell r="A154" t="str">
            <v>0100-2017-00140</v>
          </cell>
        </row>
        <row r="155">
          <cell r="A155" t="str">
            <v>0100-2017-00141</v>
          </cell>
        </row>
        <row r="156">
          <cell r="A156" t="str">
            <v>0100-2017-00142</v>
          </cell>
        </row>
        <row r="157">
          <cell r="A157" t="str">
            <v>0100-2017-00143</v>
          </cell>
        </row>
        <row r="158">
          <cell r="A158" t="str">
            <v>0100-2017-00144</v>
          </cell>
        </row>
        <row r="159">
          <cell r="A159" t="str">
            <v>0100-2017-00145</v>
          </cell>
        </row>
        <row r="160">
          <cell r="A160" t="str">
            <v>0100-2017-00146</v>
          </cell>
        </row>
        <row r="161">
          <cell r="A161" t="str">
            <v>0100-2017-00147</v>
          </cell>
        </row>
        <row r="162">
          <cell r="A162" t="str">
            <v>0100-2017-00148</v>
          </cell>
        </row>
        <row r="163">
          <cell r="A163" t="str">
            <v>0100-2017-00149</v>
          </cell>
        </row>
        <row r="164">
          <cell r="A164" t="str">
            <v>0100-2017-00150</v>
          </cell>
        </row>
        <row r="165">
          <cell r="A165" t="str">
            <v>0100-2017-00151</v>
          </cell>
        </row>
        <row r="166">
          <cell r="A166" t="str">
            <v>0100-2017-00152</v>
          </cell>
        </row>
        <row r="167">
          <cell r="A167" t="str">
            <v>0100-2017-00153</v>
          </cell>
        </row>
        <row r="168">
          <cell r="A168" t="str">
            <v>0100-2017-00154</v>
          </cell>
        </row>
        <row r="169">
          <cell r="A169" t="str">
            <v>0100-2017-00155</v>
          </cell>
        </row>
        <row r="170">
          <cell r="A170" t="str">
            <v>0100-2017-00156</v>
          </cell>
        </row>
        <row r="171">
          <cell r="A171" t="str">
            <v>0100-2017-00157</v>
          </cell>
        </row>
        <row r="172">
          <cell r="A172" t="str">
            <v>0100-2017-00158</v>
          </cell>
        </row>
        <row r="173">
          <cell r="A173" t="str">
            <v>0100-2017-00159</v>
          </cell>
        </row>
        <row r="174">
          <cell r="A174" t="str">
            <v>0100-2017-00160</v>
          </cell>
        </row>
        <row r="175">
          <cell r="A175" t="str">
            <v>0100-2017-00161</v>
          </cell>
        </row>
        <row r="176">
          <cell r="A176" t="str">
            <v>0100-2017-00162</v>
          </cell>
        </row>
        <row r="177">
          <cell r="A177" t="str">
            <v>0100-2017-00163</v>
          </cell>
        </row>
        <row r="178">
          <cell r="A178" t="str">
            <v>0100-2017-00164</v>
          </cell>
        </row>
        <row r="179">
          <cell r="A179" t="str">
            <v>0100-2017-00165</v>
          </cell>
        </row>
        <row r="180">
          <cell r="A180" t="str">
            <v>0100-2017-00166</v>
          </cell>
        </row>
        <row r="181">
          <cell r="A181" t="str">
            <v>0100-2017-00167</v>
          </cell>
        </row>
        <row r="182">
          <cell r="A182" t="str">
            <v>0100-2017-00168</v>
          </cell>
        </row>
        <row r="183">
          <cell r="A183" t="str">
            <v>0100-2017-00169</v>
          </cell>
        </row>
        <row r="184">
          <cell r="A184" t="str">
            <v>0100-2017-00170</v>
          </cell>
        </row>
        <row r="185">
          <cell r="A185" t="str">
            <v>0100-2017-00171</v>
          </cell>
        </row>
        <row r="186">
          <cell r="A186" t="str">
            <v>0100-2017-00172</v>
          </cell>
        </row>
        <row r="187">
          <cell r="A187" t="str">
            <v>0100-2017-00173</v>
          </cell>
        </row>
        <row r="188">
          <cell r="A188" t="str">
            <v>0100-2017-00174</v>
          </cell>
        </row>
        <row r="189">
          <cell r="A189" t="str">
            <v>0100-2017-00175</v>
          </cell>
        </row>
        <row r="190">
          <cell r="A190" t="str">
            <v>0100-2017-00176</v>
          </cell>
        </row>
        <row r="191">
          <cell r="A191" t="str">
            <v>0100-2017-00177</v>
          </cell>
        </row>
        <row r="192">
          <cell r="A192" t="str">
            <v>0100-2017-00178</v>
          </cell>
        </row>
        <row r="193">
          <cell r="A193" t="str">
            <v>0100-2017-00179</v>
          </cell>
        </row>
        <row r="194">
          <cell r="A194" t="str">
            <v>0100-2017-00180</v>
          </cell>
        </row>
        <row r="195">
          <cell r="A195" t="str">
            <v>0100-2017-00181</v>
          </cell>
        </row>
        <row r="196">
          <cell r="A196" t="str">
            <v>0100-2017-00182</v>
          </cell>
        </row>
        <row r="197">
          <cell r="A197" t="str">
            <v>0100-2017-00183</v>
          </cell>
        </row>
        <row r="198">
          <cell r="A198" t="str">
            <v>0100-2017-00184</v>
          </cell>
        </row>
        <row r="199">
          <cell r="A199" t="str">
            <v>0100-2017-00185</v>
          </cell>
        </row>
        <row r="200">
          <cell r="A200" t="str">
            <v>0100-2017-00186</v>
          </cell>
        </row>
        <row r="201">
          <cell r="A201" t="str">
            <v>0100-2017-00187</v>
          </cell>
        </row>
        <row r="202">
          <cell r="A202" t="str">
            <v>0100-2017-00188</v>
          </cell>
        </row>
        <row r="203">
          <cell r="A203" t="str">
            <v>0100-2017-00189</v>
          </cell>
        </row>
        <row r="204">
          <cell r="A204" t="str">
            <v>0100-2017-00190</v>
          </cell>
        </row>
        <row r="205">
          <cell r="A205" t="str">
            <v>0100-2017-00191</v>
          </cell>
        </row>
        <row r="206">
          <cell r="A206" t="str">
            <v>0100-2017-00192</v>
          </cell>
        </row>
        <row r="207">
          <cell r="A207" t="str">
            <v>0100-2017-00193</v>
          </cell>
        </row>
        <row r="208">
          <cell r="A208" t="str">
            <v>0100-2017-00194</v>
          </cell>
        </row>
        <row r="209">
          <cell r="A209" t="str">
            <v>0100-2017-00195</v>
          </cell>
        </row>
        <row r="210">
          <cell r="A210" t="str">
            <v>0100-2017-00196</v>
          </cell>
        </row>
        <row r="211">
          <cell r="A211" t="str">
            <v>0100-2017-00197</v>
          </cell>
        </row>
        <row r="212">
          <cell r="A212" t="str">
            <v>0100-2017-00198</v>
          </cell>
        </row>
        <row r="213">
          <cell r="A213" t="str">
            <v>0100-2017-00199</v>
          </cell>
        </row>
        <row r="214">
          <cell r="A214" t="str">
            <v>0100-2017-00200</v>
          </cell>
        </row>
        <row r="215">
          <cell r="A215" t="str">
            <v>0100-2017-00201</v>
          </cell>
        </row>
        <row r="216">
          <cell r="A216" t="str">
            <v>0100-2017-00202</v>
          </cell>
        </row>
        <row r="217">
          <cell r="A217" t="str">
            <v>0100-2017-00203</v>
          </cell>
        </row>
        <row r="218">
          <cell r="A218" t="str">
            <v>0100-2017-00204</v>
          </cell>
        </row>
        <row r="219">
          <cell r="A219" t="str">
            <v>0100-2017-00205</v>
          </cell>
        </row>
        <row r="220">
          <cell r="A220" t="str">
            <v>0100-2017-00206</v>
          </cell>
        </row>
        <row r="221">
          <cell r="A221" t="str">
            <v>0100-2017-00207</v>
          </cell>
        </row>
        <row r="222">
          <cell r="A222" t="str">
            <v>0100-2017-00208</v>
          </cell>
        </row>
        <row r="223">
          <cell r="A223" t="str">
            <v>0100-2017-00209</v>
          </cell>
        </row>
        <row r="224">
          <cell r="A224" t="str">
            <v>0100-2017-00210</v>
          </cell>
        </row>
        <row r="225">
          <cell r="A225" t="str">
            <v>0100-2017-00211</v>
          </cell>
        </row>
        <row r="226">
          <cell r="A226" t="str">
            <v>0100-2017-00213</v>
          </cell>
        </row>
        <row r="227">
          <cell r="A227" t="str">
            <v>0100-2017-00214</v>
          </cell>
        </row>
        <row r="228">
          <cell r="A228" t="str">
            <v>0100-2017-00218</v>
          </cell>
        </row>
        <row r="229">
          <cell r="A229" t="str">
            <v>0100-2017-00219</v>
          </cell>
        </row>
        <row r="230">
          <cell r="A230" t="str">
            <v>0100-2017-00220</v>
          </cell>
        </row>
        <row r="231">
          <cell r="A231" t="str">
            <v>0100-2017-00221</v>
          </cell>
        </row>
        <row r="232">
          <cell r="A232" t="str">
            <v>0100-2017-00223</v>
          </cell>
        </row>
        <row r="233">
          <cell r="A233" t="str">
            <v>0100-2017-00224</v>
          </cell>
        </row>
        <row r="234">
          <cell r="A234" t="str">
            <v>0100-2017-00225</v>
          </cell>
        </row>
        <row r="235">
          <cell r="A235" t="str">
            <v>0100-2017-00226</v>
          </cell>
        </row>
        <row r="236">
          <cell r="A236" t="str">
            <v>0100-2017-00227</v>
          </cell>
        </row>
        <row r="237">
          <cell r="A237" t="str">
            <v>0100-2017-00228</v>
          </cell>
        </row>
        <row r="238">
          <cell r="A238" t="str">
            <v>0100-2017-00229</v>
          </cell>
        </row>
        <row r="239">
          <cell r="A239" t="str">
            <v>0100-2017-00230</v>
          </cell>
        </row>
        <row r="240">
          <cell r="A240" t="str">
            <v>0100-2017-00231</v>
          </cell>
        </row>
        <row r="241">
          <cell r="A241" t="str">
            <v>0100-2017-00232</v>
          </cell>
        </row>
        <row r="242">
          <cell r="A242" t="str">
            <v>0100-2017-00233</v>
          </cell>
        </row>
        <row r="243">
          <cell r="A243" t="str">
            <v>0100-2017-00234</v>
          </cell>
        </row>
        <row r="244">
          <cell r="A244" t="str">
            <v>0100-2017-00235</v>
          </cell>
        </row>
        <row r="245">
          <cell r="A245" t="str">
            <v>0100-2017-00236</v>
          </cell>
        </row>
        <row r="246">
          <cell r="A246" t="str">
            <v>0100-2017-00237</v>
          </cell>
        </row>
        <row r="247">
          <cell r="A247" t="str">
            <v>0100-2017-00238</v>
          </cell>
        </row>
        <row r="248">
          <cell r="A248" t="str">
            <v>0100-2017-00239</v>
          </cell>
        </row>
        <row r="249">
          <cell r="A249" t="str">
            <v>0100-2017-00240</v>
          </cell>
        </row>
        <row r="250">
          <cell r="A250" t="str">
            <v>0100-2017-00241</v>
          </cell>
        </row>
        <row r="251">
          <cell r="A251" t="str">
            <v>0100-2017-00242</v>
          </cell>
        </row>
        <row r="252">
          <cell r="A252" t="str">
            <v>0100-2017-00243</v>
          </cell>
        </row>
        <row r="253">
          <cell r="A253" t="str">
            <v>0100-2017-00244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K3" t="str">
            <v>1.1.1</v>
          </cell>
        </row>
        <row r="4">
          <cell r="K4" t="str">
            <v>1.1.2</v>
          </cell>
        </row>
        <row r="5">
          <cell r="K5" t="str">
            <v>1.1.3</v>
          </cell>
        </row>
        <row r="6">
          <cell r="K6" t="str">
            <v>1.1.4.1</v>
          </cell>
        </row>
        <row r="7">
          <cell r="K7" t="str">
            <v>1.1.4.2</v>
          </cell>
        </row>
        <row r="8">
          <cell r="K8" t="str">
            <v>1.1.4.3</v>
          </cell>
        </row>
        <row r="9">
          <cell r="K9" t="str">
            <v>1.1.4.4</v>
          </cell>
        </row>
        <row r="10">
          <cell r="K10" t="str">
            <v>1.1.4.5</v>
          </cell>
        </row>
        <row r="11">
          <cell r="K11" t="str">
            <v>1.1.4.6</v>
          </cell>
        </row>
        <row r="12">
          <cell r="K12" t="str">
            <v>1.1.4.7</v>
          </cell>
        </row>
        <row r="13">
          <cell r="K13" t="str">
            <v>1.1.5</v>
          </cell>
        </row>
        <row r="14">
          <cell r="K14" t="str">
            <v>1.1.6</v>
          </cell>
        </row>
        <row r="15">
          <cell r="K15" t="str">
            <v>1.1.7</v>
          </cell>
        </row>
        <row r="16">
          <cell r="K16" t="str">
            <v>1.1.8</v>
          </cell>
        </row>
        <row r="17">
          <cell r="K17" t="str">
            <v>1.3.1</v>
          </cell>
        </row>
        <row r="18">
          <cell r="K18" t="str">
            <v>1.3.2</v>
          </cell>
        </row>
        <row r="19">
          <cell r="K19" t="str">
            <v>1.3.3.1</v>
          </cell>
        </row>
        <row r="20">
          <cell r="K20" t="str">
            <v>1.3.3.2</v>
          </cell>
        </row>
        <row r="21">
          <cell r="K21" t="str">
            <v>1.3.3.3</v>
          </cell>
        </row>
        <row r="22">
          <cell r="K22" t="str">
            <v>1.3.3.4</v>
          </cell>
        </row>
        <row r="23">
          <cell r="K23" t="str">
            <v>1.3.3.5</v>
          </cell>
        </row>
        <row r="24">
          <cell r="K24" t="str">
            <v>1.3.4.1</v>
          </cell>
        </row>
        <row r="25">
          <cell r="K25" t="str">
            <v>1.3.4.2</v>
          </cell>
        </row>
        <row r="26">
          <cell r="K26" t="str">
            <v>1.3.4.3</v>
          </cell>
        </row>
        <row r="27">
          <cell r="K27" t="str">
            <v>1.3.4.4</v>
          </cell>
        </row>
        <row r="28">
          <cell r="K28" t="str">
            <v>1.3.5.1</v>
          </cell>
        </row>
        <row r="29">
          <cell r="K29" t="str">
            <v>1.3.5.2</v>
          </cell>
        </row>
        <row r="30">
          <cell r="K30" t="str">
            <v>1.3.5.3</v>
          </cell>
        </row>
        <row r="31">
          <cell r="K31" t="str">
            <v>1.3.5.4</v>
          </cell>
        </row>
        <row r="32">
          <cell r="K32" t="str">
            <v>1.3.6</v>
          </cell>
        </row>
        <row r="33">
          <cell r="K33" t="str">
            <v>1.3.7</v>
          </cell>
        </row>
        <row r="34">
          <cell r="K34" t="str">
            <v>1.3.8</v>
          </cell>
        </row>
        <row r="35">
          <cell r="K35" t="str">
            <v>1.3.9</v>
          </cell>
        </row>
        <row r="36">
          <cell r="K36" t="str">
            <v>1.3.10</v>
          </cell>
        </row>
        <row r="37">
          <cell r="K37" t="str">
            <v>1.3.11</v>
          </cell>
        </row>
        <row r="38">
          <cell r="K38" t="str">
            <v>1.3.12</v>
          </cell>
        </row>
        <row r="39">
          <cell r="K39" t="str">
            <v>1.3.13</v>
          </cell>
        </row>
        <row r="40">
          <cell r="K40" t="str">
            <v>1.3.14</v>
          </cell>
        </row>
        <row r="41">
          <cell r="K41" t="str">
            <v>1.3.15</v>
          </cell>
        </row>
        <row r="42">
          <cell r="K42" t="str">
            <v>1.3.16</v>
          </cell>
        </row>
        <row r="43">
          <cell r="K43" t="str">
            <v>1.3.17</v>
          </cell>
        </row>
        <row r="44">
          <cell r="K44" t="str">
            <v>1.3.18</v>
          </cell>
        </row>
        <row r="45">
          <cell r="K45" t="str">
            <v>1.3.19</v>
          </cell>
        </row>
        <row r="46">
          <cell r="K46" t="str">
            <v>1.3.20</v>
          </cell>
        </row>
        <row r="47">
          <cell r="K47" t="str">
            <v>1.3.21</v>
          </cell>
        </row>
        <row r="48">
          <cell r="K48" t="str">
            <v>1.3.22.1</v>
          </cell>
        </row>
        <row r="49">
          <cell r="K49" t="str">
            <v>1.3.22.2</v>
          </cell>
        </row>
        <row r="50">
          <cell r="K50" t="str">
            <v>1.3.23</v>
          </cell>
        </row>
        <row r="51">
          <cell r="K51" t="str">
            <v>1.3.24</v>
          </cell>
        </row>
        <row r="52">
          <cell r="K52" t="str">
            <v>1.3.25.1</v>
          </cell>
        </row>
        <row r="53">
          <cell r="K53" t="str">
            <v>1.3.25.2</v>
          </cell>
        </row>
        <row r="54">
          <cell r="K54" t="str">
            <v>1.3.26</v>
          </cell>
        </row>
        <row r="55">
          <cell r="K55" t="str">
            <v>1.3.27</v>
          </cell>
        </row>
        <row r="56">
          <cell r="K56" t="str">
            <v>1.3.28</v>
          </cell>
        </row>
        <row r="57">
          <cell r="K57" t="str">
            <v>1.5</v>
          </cell>
        </row>
        <row r="58">
          <cell r="K58" t="str">
            <v>2.1.1.1</v>
          </cell>
        </row>
        <row r="59">
          <cell r="K59" t="str">
            <v>2.1.1.2</v>
          </cell>
        </row>
        <row r="60">
          <cell r="K60" t="str">
            <v>2.1.1.3</v>
          </cell>
        </row>
        <row r="61">
          <cell r="K61" t="str">
            <v>2.1.1.4</v>
          </cell>
        </row>
        <row r="62">
          <cell r="K62" t="str">
            <v>2.1.2.1</v>
          </cell>
        </row>
        <row r="63">
          <cell r="K63" t="str">
            <v>2.1.2.2</v>
          </cell>
        </row>
        <row r="64">
          <cell r="K64" t="str">
            <v>2.1.2.3</v>
          </cell>
        </row>
        <row r="65">
          <cell r="K65" t="str">
            <v>2.1.3.1</v>
          </cell>
        </row>
        <row r="66">
          <cell r="K66" t="str">
            <v>2.1.3.2</v>
          </cell>
        </row>
        <row r="67">
          <cell r="K67" t="str">
            <v>2.1.3.3</v>
          </cell>
        </row>
        <row r="68">
          <cell r="K68" t="str">
            <v>2.1.3.4</v>
          </cell>
        </row>
        <row r="69">
          <cell r="K69" t="str">
            <v>2.1.4.1</v>
          </cell>
        </row>
        <row r="70">
          <cell r="K70" t="str">
            <v>2.1.4.2</v>
          </cell>
        </row>
        <row r="71">
          <cell r="K71" t="str">
            <v>2.1.4.3</v>
          </cell>
        </row>
        <row r="72">
          <cell r="K72" t="str">
            <v>2.1.5</v>
          </cell>
        </row>
        <row r="73">
          <cell r="K73" t="str">
            <v>2.1.6</v>
          </cell>
        </row>
        <row r="74">
          <cell r="K74" t="str">
            <v>2.1.7</v>
          </cell>
        </row>
        <row r="75">
          <cell r="K75" t="str">
            <v>2.1.8</v>
          </cell>
        </row>
        <row r="76">
          <cell r="K76" t="str">
            <v>2.1.9</v>
          </cell>
        </row>
        <row r="77">
          <cell r="K77" t="str">
            <v>2.1.10</v>
          </cell>
        </row>
        <row r="78">
          <cell r="K78" t="str">
            <v>2.1.11</v>
          </cell>
        </row>
        <row r="79">
          <cell r="K79" t="str">
            <v>2.1.12</v>
          </cell>
        </row>
        <row r="80">
          <cell r="K80" t="str">
            <v>2.2.1.1</v>
          </cell>
        </row>
        <row r="81">
          <cell r="K81" t="str">
            <v>2.2.1.2</v>
          </cell>
        </row>
        <row r="82">
          <cell r="K82" t="str">
            <v>2.2.2.1</v>
          </cell>
        </row>
        <row r="83">
          <cell r="K83" t="str">
            <v>2.2.2.2</v>
          </cell>
        </row>
        <row r="84">
          <cell r="K84" t="str">
            <v>2.2.2.3</v>
          </cell>
        </row>
        <row r="85">
          <cell r="K85" t="str">
            <v>2.2.2.4</v>
          </cell>
        </row>
        <row r="86">
          <cell r="K86" t="str">
            <v>2.2.3.1</v>
          </cell>
        </row>
        <row r="87">
          <cell r="K87" t="str">
            <v>2.2.3.1.1</v>
          </cell>
        </row>
        <row r="88">
          <cell r="K88" t="str">
            <v>2.2.3.2</v>
          </cell>
        </row>
        <row r="89">
          <cell r="K89" t="str">
            <v>2.2.3.3</v>
          </cell>
        </row>
        <row r="90">
          <cell r="K90" t="str">
            <v>2.2.3.4</v>
          </cell>
        </row>
        <row r="91">
          <cell r="K91" t="str">
            <v>2.2.3.5</v>
          </cell>
        </row>
        <row r="92">
          <cell r="K92" t="str">
            <v>2.2.3.6</v>
          </cell>
        </row>
        <row r="93">
          <cell r="K93" t="str">
            <v>2.2.3.7</v>
          </cell>
        </row>
        <row r="94">
          <cell r="K94" t="str">
            <v>2.2.3.7.1</v>
          </cell>
        </row>
        <row r="95">
          <cell r="K95" t="str">
            <v>2.2.3.8</v>
          </cell>
        </row>
        <row r="96">
          <cell r="K96" t="str">
            <v>2.2.3.9</v>
          </cell>
        </row>
        <row r="97">
          <cell r="K97" t="str">
            <v>2.2.4.1</v>
          </cell>
        </row>
        <row r="98">
          <cell r="K98" t="str">
            <v>2.2.4.2</v>
          </cell>
        </row>
        <row r="99">
          <cell r="K99" t="str">
            <v>2.2.4.3</v>
          </cell>
        </row>
      </sheetData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Таблица1" displayName="Таблица1" ref="A15:AF53" totalsRowShown="0" headerRowDxfId="128" tableBorderDxfId="127">
  <autoFilter ref="A15:AF53"/>
  <tableColumns count="32">
    <tableColumn id="1" name="1" dataDxfId="126"/>
    <tableColumn id="2" name="2" dataDxfId="125"/>
    <tableColumn id="3" name="3" dataDxfId="124"/>
    <tableColumn id="4" name="4" dataDxfId="123"/>
    <tableColumn id="5" name="5" dataDxfId="122"/>
    <tableColumn id="6" name="6" dataDxfId="121"/>
    <tableColumn id="7" name="7" dataDxfId="120"/>
    <tableColumn id="8" name="8" dataDxfId="119"/>
    <tableColumn id="9" name="9" dataDxfId="118"/>
    <tableColumn id="10" name="10" dataDxfId="117"/>
    <tableColumn id="11" name="11" dataDxfId="116"/>
    <tableColumn id="12" name="11.1" dataDxfId="115"/>
    <tableColumn id="13" name="11.2" dataDxfId="114"/>
    <tableColumn id="14" name="11.3" dataDxfId="113"/>
    <tableColumn id="15" name="12" dataDxfId="112"/>
    <tableColumn id="16" name="13" dataDxfId="111"/>
    <tableColumn id="17" name="14" dataDxfId="110"/>
    <tableColumn id="18" name="15" dataDxfId="109"/>
    <tableColumn id="19" name="15.1" dataDxfId="108"/>
    <tableColumn id="20" name="15.2" dataDxfId="107"/>
    <tableColumn id="21" name="15.3" dataDxfId="106"/>
    <tableColumn id="22" name="15.4" dataDxfId="105"/>
    <tableColumn id="33" name="15.5" dataDxfId="104"/>
    <tableColumn id="23" name="15.6" dataDxfId="103"/>
    <tableColumn id="24" name="15.7" dataDxfId="102"/>
    <tableColumn id="25" name="15.8" dataDxfId="101"/>
    <tableColumn id="26" name="15.9" dataDxfId="100"/>
    <tableColumn id="27" name="15.10" dataDxfId="99"/>
    <tableColumn id="28" name="15.11" dataDxfId="98" dataCellStyle="Обычный 3"/>
    <tableColumn id="30" name="15.12" dataDxfId="97" dataCellStyle="Обычный 3"/>
    <tableColumn id="29" name="15.13" dataDxfId="96"/>
    <tableColumn id="31" name="112" dataDxfId="95">
      <calculatedColumnFormula>IF(O16=0,,MONTH(O16))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5" name="Таблица5" displayName="Таблица5" ref="A15:AR53" totalsRowShown="0" headerRowDxfId="91" dataDxfId="90" tableBorderDxfId="89">
  <autoFilter ref="A15:AR53"/>
  <tableColumns count="44">
    <tableColumn id="1" name="1" dataDxfId="88">
      <calculatedColumnFormula>Таблица1[1]</calculatedColumnFormula>
    </tableColumn>
    <tableColumn id="2" name="2" dataDxfId="87">
      <calculatedColumnFormula>Таблица1[4]</calculatedColumnFormula>
    </tableColumn>
    <tableColumn id="8" name="3" dataDxfId="86">
      <calculatedColumnFormula>Таблица1[15.10]</calculatedColumnFormula>
    </tableColumn>
    <tableColumn id="7" name="4" dataDxfId="85">
      <calculatedColumnFormula>Таблица1[15.11]</calculatedColumnFormula>
    </tableColumn>
    <tableColumn id="27" name="5" dataDxfId="84"/>
    <tableColumn id="3" name="6" dataDxfId="83">
      <calculatedColumnFormula>Таблица1[14]</calculatedColumnFormula>
    </tableColumn>
    <tableColumn id="25" name="7" dataDxfId="82">
      <calculatedColumnFormula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calculatedColumnFormula>
    </tableColumn>
    <tableColumn id="5" name="7.1" dataDxfId="81">
      <calculatedColumnFormula>Таблица1[15]</calculatedColumnFormula>
    </tableColumn>
    <tableColumn id="4" name="8" dataDxfId="80">
      <calculatedColumnFormula>Таблица1[15.6]</calculatedColumnFormula>
    </tableColumn>
    <tableColumn id="41" name="8.1" dataDxfId="79">
      <calculatedColumnFormula>Таблица1[15.7]</calculatedColumnFormula>
    </tableColumn>
    <tableColumn id="23" name="8.2" dataDxfId="78">
      <calculatedColumnFormula>Таблица1[15.9]</calculatedColumnFormula>
    </tableColumn>
    <tableColumn id="9" name="9" dataDxfId="77"/>
    <tableColumn id="10" name="10" dataDxfId="76">
      <calculatedColumnFormula>Таблица1[12]</calculatedColumnFormula>
    </tableColumn>
    <tableColumn id="11" name="11" dataDxfId="75">
      <calculatedColumnFormula>Таблица5[[#This Row],[10]]</calculatedColumnFormula>
    </tableColumn>
    <tableColumn id="22" name="12" dataDxfId="74"/>
    <tableColumn id="12" name="13" dataDxfId="73"/>
    <tableColumn id="13" name="14" dataDxfId="72"/>
    <tableColumn id="14" name="15" dataDxfId="71"/>
    <tableColumn id="15" name="16" dataDxfId="70"/>
    <tableColumn id="28" name="17" dataDxfId="69"/>
    <tableColumn id="16" name="18" dataDxfId="68">
      <calculatedColumnFormula>Таблица1[13]</calculatedColumnFormula>
    </tableColumn>
    <tableColumn id="17" name="19" dataDxfId="67"/>
    <tableColumn id="18" name="20" dataDxfId="66">
      <calculatedColumnFormula>Таблица1[11.1]</calculatedColumnFormula>
    </tableColumn>
    <tableColumn id="34" name="21" dataDxfId="65"/>
    <tableColumn id="35" name="22" dataDxfId="64"/>
    <tableColumn id="29" name="23" dataDxfId="63"/>
    <tableColumn id="38" name="24" dataDxfId="62"/>
    <tableColumn id="20" name="25" dataDxfId="61"/>
    <tableColumn id="21" name="26" dataDxfId="60"/>
    <tableColumn id="37" name="27" dataDxfId="59"/>
    <tableColumn id="39" name="28" dataDxfId="58"/>
    <tableColumn id="6" name="29" dataDxfId="57"/>
    <tableColumn id="36" name="30" dataDxfId="56"/>
    <tableColumn id="33" name="31" dataDxfId="55">
      <calculatedColumnFormula>IF(Таблица5[[#This Row],[30]]=0,"НД",Таблица5[[#This Row],[20]]-Таблица5[[#This Row],[30]])</calculatedColumnFormula>
    </tableColumn>
    <tableColumn id="31" name="32" dataDxfId="54" dataCellStyle="Процентный">
      <calculatedColumnFormula>IF(((1-Таблица5[[#This Row],[30]]/Таблица5[[#This Row],[20]])=1),"НД",(1-Таблица5[[#This Row],[30]]/Таблица5[[#This Row],[20]]))</calculatedColumnFormula>
    </tableColumn>
    <tableColumn id="30" name="33" dataDxfId="53"/>
    <tableColumn id="32" name="34" dataDxfId="52"/>
    <tableColumn id="26" name="35" dataDxfId="51"/>
    <tableColumn id="44" name="36" dataDxfId="50">
      <calculatedColumnFormula>Таблица1[15.5]</calculatedColumnFormula>
    </tableColumn>
    <tableColumn id="40" name="37" dataDxfId="49"/>
    <tableColumn id="43" name="38" dataDxfId="48">
      <calculatedColumnFormula>Таблица1[15.4]</calculatedColumnFormula>
    </tableColumn>
    <tableColumn id="42" name="39" dataDxfId="47">
      <calculatedColumnFormula>Таблица1[15.12]</calculatedColumnFormula>
    </tableColumn>
    <tableColumn id="19" name="40" dataDxfId="46"/>
    <tableColumn id="24" name="112" dataDxfId="45">
      <calculatedColumnFormula>IF(Таблица5[[#This Row],[11]]=0,,MONTH(Таблица5[[#This Row],[11]]))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МалыеЗакупки" displayName="МалыеЗакупки" ref="A21:L27" totalsRowShown="0" headerRowDxfId="35" dataDxfId="33" headerRowBorderDxfId="34" tableBorderDxfId="32" totalsRowBorderDxfId="31">
  <autoFilter ref="A21:L27"/>
  <tableColumns count="12">
    <tableColumn id="1" name="1" dataDxfId="30">
      <calculatedColumnFormula>ROW()-21</calculatedColumnFormula>
    </tableColumn>
    <tableColumn id="2" name="2" dataDxfId="29"/>
    <tableColumn id="3" name="3" dataDxfId="28"/>
    <tableColumn id="4" name="4" dataDxfId="27"/>
    <tableColumn id="5" name="5" dataDxfId="26"/>
    <tableColumn id="6" name="6" dataDxfId="25"/>
    <tableColumn id="7" name="7" dataDxfId="24"/>
    <tableColumn id="8" name="8" dataDxfId="23"/>
    <tableColumn id="9" name="9" dataDxfId="22"/>
    <tableColumn id="10" name="10" dataDxfId="21"/>
    <tableColumn id="12" name="11" dataDxfId="20"/>
    <tableColumn id="11" name="12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F53"/>
  <sheetViews>
    <sheetView tabSelected="1" zoomScale="70" zoomScaleNormal="70" workbookViewId="0">
      <selection activeCell="D22" sqref="D22"/>
    </sheetView>
  </sheetViews>
  <sheetFormatPr defaultRowHeight="15" x14ac:dyDescent="0.25"/>
  <cols>
    <col min="1" max="1" width="18.5703125" customWidth="1"/>
    <col min="2" max="3" width="11.42578125" style="420" customWidth="1"/>
    <col min="4" max="4" width="26" customWidth="1"/>
    <col min="5" max="5" width="27.85546875" customWidth="1"/>
    <col min="6" max="6" width="11.42578125" style="420" customWidth="1"/>
    <col min="7" max="7" width="14.5703125" customWidth="1"/>
    <col min="8" max="8" width="11.42578125" customWidth="1"/>
    <col min="9" max="9" width="18.7109375" style="420" customWidth="1"/>
    <col min="10" max="10" width="15" customWidth="1"/>
    <col min="11" max="11" width="20" customWidth="1"/>
    <col min="12" max="12" width="23.140625" customWidth="1"/>
    <col min="13" max="13" width="15.140625" customWidth="1"/>
    <col min="14" max="14" width="16" customWidth="1"/>
    <col min="15" max="15" width="22" customWidth="1"/>
    <col min="16" max="16" width="16.5703125" customWidth="1"/>
    <col min="17" max="18" width="12.42578125" customWidth="1"/>
    <col min="19" max="19" width="13.85546875" customWidth="1"/>
    <col min="20" max="20" width="21.7109375" style="420" customWidth="1"/>
    <col min="21" max="21" width="21.7109375" customWidth="1"/>
    <col min="22" max="23" width="12.42578125" customWidth="1"/>
    <col min="24" max="24" width="14.7109375" customWidth="1"/>
    <col min="25" max="25" width="14.7109375" style="420" customWidth="1"/>
    <col min="26" max="28" width="13.85546875" customWidth="1"/>
    <col min="29" max="29" width="32.7109375" bestFit="1" customWidth="1"/>
    <col min="30" max="30" width="20.28515625" customWidth="1"/>
    <col min="31" max="31" width="17.7109375" customWidth="1"/>
    <col min="33" max="33" width="9.5703125" bestFit="1" customWidth="1"/>
  </cols>
  <sheetData>
    <row r="1" spans="1:32" x14ac:dyDescent="0.25">
      <c r="B1"/>
      <c r="C1"/>
      <c r="F1"/>
      <c r="I1"/>
      <c r="T1"/>
      <c r="Y1"/>
    </row>
    <row r="2" spans="1:32" x14ac:dyDescent="0.25">
      <c r="A2" s="14"/>
      <c r="B2" s="617" t="s">
        <v>600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14"/>
      <c r="T2" s="25"/>
      <c r="U2" s="25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2" ht="15.75" thickBot="1" x14ac:dyDescent="0.3">
      <c r="A3" s="14"/>
      <c r="B3" s="617" t="s">
        <v>761</v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14"/>
      <c r="T3" s="25"/>
      <c r="U3" s="25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2" ht="25.5" x14ac:dyDescent="0.25">
      <c r="A4" s="6" t="s">
        <v>1</v>
      </c>
      <c r="B4" s="624"/>
      <c r="C4" s="625"/>
      <c r="F4"/>
      <c r="I4"/>
      <c r="T4"/>
      <c r="Y4"/>
    </row>
    <row r="5" spans="1:32" ht="38.25" x14ac:dyDescent="0.25">
      <c r="A5" s="7" t="s">
        <v>2</v>
      </c>
      <c r="B5" s="628"/>
      <c r="C5" s="629"/>
      <c r="F5"/>
      <c r="I5"/>
      <c r="T5"/>
      <c r="Y5"/>
    </row>
    <row r="6" spans="1:32" x14ac:dyDescent="0.25">
      <c r="A6" s="7" t="s">
        <v>3</v>
      </c>
      <c r="B6" s="630"/>
      <c r="C6" s="631"/>
      <c r="F6"/>
      <c r="I6"/>
      <c r="T6"/>
      <c r="Y6"/>
    </row>
    <row r="7" spans="1:32" ht="25.5" x14ac:dyDescent="0.25">
      <c r="A7" s="7" t="s">
        <v>4</v>
      </c>
      <c r="B7" s="628"/>
      <c r="C7" s="629"/>
      <c r="F7"/>
      <c r="I7"/>
      <c r="T7"/>
      <c r="Y7"/>
    </row>
    <row r="8" spans="1:32" x14ac:dyDescent="0.25">
      <c r="A8" s="7" t="s">
        <v>5</v>
      </c>
      <c r="B8" s="628"/>
      <c r="C8" s="629"/>
      <c r="F8"/>
      <c r="I8"/>
      <c r="T8"/>
      <c r="Y8"/>
    </row>
    <row r="9" spans="1:32" x14ac:dyDescent="0.25">
      <c r="A9" s="7" t="s">
        <v>6</v>
      </c>
      <c r="B9" s="628"/>
      <c r="C9" s="629"/>
      <c r="F9"/>
      <c r="I9"/>
      <c r="T9"/>
      <c r="Y9"/>
    </row>
    <row r="10" spans="1:32" ht="15.75" thickBot="1" x14ac:dyDescent="0.3">
      <c r="A10" s="8" t="s">
        <v>7</v>
      </c>
      <c r="B10" s="626"/>
      <c r="C10" s="627"/>
      <c r="F10"/>
      <c r="I10"/>
      <c r="T10"/>
      <c r="Y10"/>
    </row>
    <row r="11" spans="1:32" ht="15.75" thickBot="1" x14ac:dyDescent="0.3">
      <c r="B11"/>
      <c r="C11"/>
      <c r="F11"/>
      <c r="I11"/>
      <c r="T11"/>
      <c r="Y11"/>
    </row>
    <row r="12" spans="1:32" ht="15.75" customHeight="1" thickBot="1" x14ac:dyDescent="0.3">
      <c r="A12" s="618" t="s">
        <v>213</v>
      </c>
      <c r="B12" s="633" t="s">
        <v>602</v>
      </c>
      <c r="C12" s="633" t="s">
        <v>603</v>
      </c>
      <c r="D12" s="620" t="s">
        <v>8</v>
      </c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21"/>
      <c r="Q12" s="633" t="s">
        <v>9</v>
      </c>
      <c r="R12" s="633" t="s">
        <v>10</v>
      </c>
      <c r="S12" s="618" t="s">
        <v>11</v>
      </c>
      <c r="T12" s="618" t="s">
        <v>262</v>
      </c>
      <c r="U12" s="618" t="s">
        <v>156</v>
      </c>
      <c r="V12" s="622" t="s">
        <v>12</v>
      </c>
      <c r="W12" s="618" t="s">
        <v>862</v>
      </c>
      <c r="X12" s="639" t="s">
        <v>109</v>
      </c>
      <c r="Y12" s="641"/>
      <c r="Z12" s="641"/>
      <c r="AA12" s="641"/>
      <c r="AB12" s="618" t="s">
        <v>14</v>
      </c>
      <c r="AC12" s="618" t="s">
        <v>204</v>
      </c>
      <c r="AD12" s="644" t="s">
        <v>745</v>
      </c>
      <c r="AE12" s="639" t="s">
        <v>212</v>
      </c>
      <c r="AF12" s="637" t="s">
        <v>700</v>
      </c>
    </row>
    <row r="13" spans="1:32" ht="33" customHeight="1" thickBot="1" x14ac:dyDescent="0.3">
      <c r="A13" s="619"/>
      <c r="B13" s="634"/>
      <c r="C13" s="634"/>
      <c r="D13" s="633" t="s">
        <v>15</v>
      </c>
      <c r="E13" s="633" t="s">
        <v>16</v>
      </c>
      <c r="F13" s="620" t="s">
        <v>17</v>
      </c>
      <c r="G13" s="621"/>
      <c r="H13" s="633" t="s">
        <v>18</v>
      </c>
      <c r="I13" s="620" t="s">
        <v>19</v>
      </c>
      <c r="J13" s="621"/>
      <c r="K13" s="633" t="s">
        <v>32</v>
      </c>
      <c r="L13" s="618" t="s">
        <v>293</v>
      </c>
      <c r="M13" s="618" t="s">
        <v>20</v>
      </c>
      <c r="N13" s="618" t="s">
        <v>292</v>
      </c>
      <c r="O13" s="620" t="s">
        <v>21</v>
      </c>
      <c r="P13" s="621"/>
      <c r="Q13" s="634"/>
      <c r="R13" s="635"/>
      <c r="S13" s="619"/>
      <c r="T13" s="632"/>
      <c r="U13" s="632"/>
      <c r="V13" s="623"/>
      <c r="W13" s="619"/>
      <c r="X13" s="642"/>
      <c r="Y13" s="643"/>
      <c r="Z13" s="643"/>
      <c r="AA13" s="643"/>
      <c r="AB13" s="619"/>
      <c r="AC13" s="619"/>
      <c r="AD13" s="645"/>
      <c r="AE13" s="640"/>
      <c r="AF13" s="638"/>
    </row>
    <row r="14" spans="1:32" ht="77.25" thickBot="1" x14ac:dyDescent="0.3">
      <c r="A14" s="619"/>
      <c r="B14" s="634"/>
      <c r="C14" s="634"/>
      <c r="D14" s="634"/>
      <c r="E14" s="634"/>
      <c r="F14" s="10" t="s">
        <v>159</v>
      </c>
      <c r="G14" s="10" t="s">
        <v>22</v>
      </c>
      <c r="H14" s="634"/>
      <c r="I14" s="10" t="s">
        <v>23</v>
      </c>
      <c r="J14" s="10" t="s">
        <v>22</v>
      </c>
      <c r="K14" s="634"/>
      <c r="L14" s="619"/>
      <c r="M14" s="619"/>
      <c r="N14" s="619"/>
      <c r="O14" s="10" t="s">
        <v>63</v>
      </c>
      <c r="P14" s="10" t="s">
        <v>24</v>
      </c>
      <c r="Q14" s="634"/>
      <c r="R14" s="10" t="s">
        <v>25</v>
      </c>
      <c r="S14" s="619"/>
      <c r="T14" s="24" t="s">
        <v>211</v>
      </c>
      <c r="U14" s="24" t="s">
        <v>228</v>
      </c>
      <c r="V14" s="623"/>
      <c r="W14" s="632"/>
      <c r="X14" s="23" t="s">
        <v>13</v>
      </c>
      <c r="Y14" s="23" t="s">
        <v>207</v>
      </c>
      <c r="Z14" s="23" t="s">
        <v>206</v>
      </c>
      <c r="AA14" s="24" t="s">
        <v>26</v>
      </c>
      <c r="AB14" s="619"/>
      <c r="AC14" s="619"/>
      <c r="AD14" s="421" t="s">
        <v>25</v>
      </c>
      <c r="AE14" s="619"/>
      <c r="AF14" s="638"/>
    </row>
    <row r="15" spans="1:32" x14ac:dyDescent="0.25">
      <c r="A15" s="11" t="s">
        <v>119</v>
      </c>
      <c r="B15" s="522" t="s">
        <v>120</v>
      </c>
      <c r="C15" s="522" t="s">
        <v>121</v>
      </c>
      <c r="D15" s="522" t="s">
        <v>122</v>
      </c>
      <c r="E15" s="522" t="s">
        <v>123</v>
      </c>
      <c r="F15" s="522" t="s">
        <v>124</v>
      </c>
      <c r="G15" s="522" t="s">
        <v>125</v>
      </c>
      <c r="H15" s="522" t="s">
        <v>126</v>
      </c>
      <c r="I15" s="522" t="s">
        <v>127</v>
      </c>
      <c r="J15" s="522" t="s">
        <v>128</v>
      </c>
      <c r="K15" s="522" t="s">
        <v>129</v>
      </c>
      <c r="L15" s="11" t="s">
        <v>27</v>
      </c>
      <c r="M15" s="11" t="s">
        <v>28</v>
      </c>
      <c r="N15" s="11" t="s">
        <v>165</v>
      </c>
      <c r="O15" s="522" t="s">
        <v>130</v>
      </c>
      <c r="P15" s="522" t="s">
        <v>131</v>
      </c>
      <c r="Q15" s="522" t="s">
        <v>132</v>
      </c>
      <c r="R15" s="522" t="s">
        <v>133</v>
      </c>
      <c r="S15" s="530" t="s">
        <v>141</v>
      </c>
      <c r="T15" s="11" t="s">
        <v>294</v>
      </c>
      <c r="U15" s="11" t="s">
        <v>142</v>
      </c>
      <c r="V15" s="531" t="s">
        <v>143</v>
      </c>
      <c r="W15" s="531" t="s">
        <v>295</v>
      </c>
      <c r="X15" s="530" t="s">
        <v>296</v>
      </c>
      <c r="Y15" s="530" t="s">
        <v>297</v>
      </c>
      <c r="Z15" s="530" t="s">
        <v>144</v>
      </c>
      <c r="AA15" s="530" t="s">
        <v>145</v>
      </c>
      <c r="AB15" s="530" t="s">
        <v>146</v>
      </c>
      <c r="AC15" s="530" t="s">
        <v>157</v>
      </c>
      <c r="AD15" s="11" t="s">
        <v>744</v>
      </c>
      <c r="AE15" s="530" t="s">
        <v>1047</v>
      </c>
      <c r="AF15" s="523" t="s">
        <v>691</v>
      </c>
    </row>
    <row r="16" spans="1:32" x14ac:dyDescent="0.25">
      <c r="A16" s="532"/>
      <c r="B16" s="533"/>
      <c r="C16" s="533"/>
      <c r="D16" s="534"/>
      <c r="E16" s="534"/>
      <c r="F16" s="533"/>
      <c r="G16" s="534"/>
      <c r="H16" s="534"/>
      <c r="I16" s="533"/>
      <c r="J16" s="534"/>
      <c r="K16" s="535"/>
      <c r="L16" s="536"/>
      <c r="M16" s="537"/>
      <c r="N16" s="536"/>
      <c r="O16" s="538"/>
      <c r="P16" s="539"/>
      <c r="Q16" s="534"/>
      <c r="R16" s="534"/>
      <c r="S16" s="537"/>
      <c r="T16" s="540"/>
      <c r="U16" s="537"/>
      <c r="V16" s="537"/>
      <c r="W16" s="537"/>
      <c r="X16" s="537"/>
      <c r="Y16" s="547"/>
      <c r="Z16" s="537"/>
      <c r="AA16" s="541"/>
      <c r="AB16" s="537"/>
      <c r="AC16" s="426"/>
      <c r="AD16" s="45"/>
      <c r="AE16" s="45"/>
      <c r="AF16" s="529">
        <f>IF(O16=0,,MONTH(O16))</f>
        <v>0</v>
      </c>
    </row>
    <row r="17" spans="1:32" x14ac:dyDescent="0.25">
      <c r="A17" s="532"/>
      <c r="B17" s="533"/>
      <c r="C17" s="533"/>
      <c r="D17" s="534"/>
      <c r="E17" s="534"/>
      <c r="F17" s="533"/>
      <c r="G17" s="534"/>
      <c r="H17" s="534"/>
      <c r="I17" s="533"/>
      <c r="J17" s="534"/>
      <c r="K17" s="535"/>
      <c r="L17" s="536"/>
      <c r="M17" s="537"/>
      <c r="N17" s="536"/>
      <c r="O17" s="538"/>
      <c r="P17" s="539"/>
      <c r="Q17" s="534"/>
      <c r="R17" s="534"/>
      <c r="S17" s="537"/>
      <c r="T17" s="540"/>
      <c r="U17" s="537"/>
      <c r="V17" s="537"/>
      <c r="W17" s="537"/>
      <c r="X17" s="537"/>
      <c r="Y17" s="547"/>
      <c r="Z17" s="537"/>
      <c r="AA17" s="541"/>
      <c r="AB17" s="537"/>
      <c r="AC17" s="426"/>
      <c r="AD17" s="45"/>
      <c r="AE17" s="45"/>
      <c r="AF17" s="529">
        <f>IF(O17=0,,MONTH(O17))</f>
        <v>0</v>
      </c>
    </row>
    <row r="18" spans="1:32" x14ac:dyDescent="0.25">
      <c r="A18" s="532"/>
      <c r="B18" s="533"/>
      <c r="C18" s="533"/>
      <c r="D18" s="535"/>
      <c r="E18" s="534"/>
      <c r="F18" s="533"/>
      <c r="G18" s="534"/>
      <c r="H18" s="534"/>
      <c r="I18" s="533"/>
      <c r="J18" s="534"/>
      <c r="K18" s="535"/>
      <c r="L18" s="536"/>
      <c r="M18" s="537"/>
      <c r="N18" s="536"/>
      <c r="O18" s="538"/>
      <c r="P18" s="539"/>
      <c r="Q18" s="534"/>
      <c r="R18" s="534"/>
      <c r="S18" s="537"/>
      <c r="T18" s="540"/>
      <c r="U18" s="537"/>
      <c r="V18" s="537"/>
      <c r="W18" s="537"/>
      <c r="X18" s="537"/>
      <c r="Y18" s="547"/>
      <c r="Z18" s="537"/>
      <c r="AA18" s="541"/>
      <c r="AB18" s="537"/>
      <c r="AC18" s="426"/>
      <c r="AD18" s="45"/>
      <c r="AE18" s="45"/>
      <c r="AF18" s="524">
        <f>IF(O18=0,,MONTH(O18))</f>
        <v>0</v>
      </c>
    </row>
    <row r="19" spans="1:32" x14ac:dyDescent="0.25">
      <c r="A19" s="532"/>
      <c r="B19" s="533"/>
      <c r="C19" s="533"/>
      <c r="D19" s="535"/>
      <c r="E19" s="534"/>
      <c r="F19" s="533"/>
      <c r="G19" s="534"/>
      <c r="H19" s="534"/>
      <c r="I19" s="533"/>
      <c r="J19" s="534"/>
      <c r="K19" s="535"/>
      <c r="L19" s="536"/>
      <c r="M19" s="537"/>
      <c r="N19" s="536"/>
      <c r="O19" s="538"/>
      <c r="P19" s="539"/>
      <c r="Q19" s="534"/>
      <c r="R19" s="534"/>
      <c r="S19" s="537"/>
      <c r="T19" s="540"/>
      <c r="U19" s="537"/>
      <c r="V19" s="537"/>
      <c r="W19" s="537"/>
      <c r="X19" s="537"/>
      <c r="Y19" s="547"/>
      <c r="Z19" s="537"/>
      <c r="AA19" s="541"/>
      <c r="AB19" s="537"/>
      <c r="AC19" s="426"/>
      <c r="AD19" s="45"/>
      <c r="AE19" s="45"/>
      <c r="AF19" s="524">
        <f>IF(O19=0,,MONTH(O19))</f>
        <v>0</v>
      </c>
    </row>
    <row r="20" spans="1:32" x14ac:dyDescent="0.25">
      <c r="A20" s="532"/>
      <c r="B20" s="533"/>
      <c r="C20" s="533"/>
      <c r="D20" s="534"/>
      <c r="E20" s="534"/>
      <c r="F20" s="533"/>
      <c r="G20" s="534"/>
      <c r="H20" s="534"/>
      <c r="I20" s="533"/>
      <c r="J20" s="534"/>
      <c r="K20" s="534"/>
      <c r="L20" s="536"/>
      <c r="M20" s="537"/>
      <c r="N20" s="536"/>
      <c r="O20" s="538"/>
      <c r="P20" s="539"/>
      <c r="Q20" s="534"/>
      <c r="R20" s="534"/>
      <c r="S20" s="537"/>
      <c r="T20" s="540"/>
      <c r="U20" s="537"/>
      <c r="V20" s="537"/>
      <c r="W20" s="537"/>
      <c r="X20" s="537"/>
      <c r="Y20" s="547"/>
      <c r="Z20" s="537"/>
      <c r="AA20" s="541"/>
      <c r="AB20" s="537"/>
      <c r="AC20" s="426"/>
      <c r="AD20" s="45"/>
      <c r="AE20" s="45"/>
      <c r="AF20" s="529">
        <f t="shared" ref="AF20:AF22" si="0">IF(O20=0,,MONTH(O20))</f>
        <v>0</v>
      </c>
    </row>
    <row r="21" spans="1:32" x14ac:dyDescent="0.25">
      <c r="A21" s="532"/>
      <c r="B21" s="533"/>
      <c r="C21" s="533"/>
      <c r="D21" s="534"/>
      <c r="E21" s="534"/>
      <c r="F21" s="533"/>
      <c r="G21" s="534"/>
      <c r="H21" s="534"/>
      <c r="I21" s="533"/>
      <c r="J21" s="534"/>
      <c r="K21" s="535"/>
      <c r="L21" s="536"/>
      <c r="M21" s="537"/>
      <c r="N21" s="536"/>
      <c r="O21" s="538"/>
      <c r="P21" s="539"/>
      <c r="Q21" s="534"/>
      <c r="R21" s="534"/>
      <c r="S21" s="537"/>
      <c r="T21" s="540"/>
      <c r="U21" s="537"/>
      <c r="V21" s="537"/>
      <c r="W21" s="537"/>
      <c r="X21" s="537"/>
      <c r="Y21" s="547"/>
      <c r="Z21" s="537"/>
      <c r="AA21" s="541"/>
      <c r="AB21" s="537"/>
      <c r="AC21" s="426"/>
      <c r="AD21" s="45"/>
      <c r="AE21" s="45"/>
      <c r="AF21" s="529">
        <f t="shared" si="0"/>
        <v>0</v>
      </c>
    </row>
    <row r="22" spans="1:32" x14ac:dyDescent="0.25">
      <c r="A22" s="532"/>
      <c r="B22" s="533"/>
      <c r="C22" s="533"/>
      <c r="D22" s="534"/>
      <c r="E22" s="534"/>
      <c r="F22" s="533"/>
      <c r="G22" s="534"/>
      <c r="H22" s="534"/>
      <c r="I22" s="533"/>
      <c r="J22" s="534"/>
      <c r="K22" s="535"/>
      <c r="L22" s="536"/>
      <c r="M22" s="537"/>
      <c r="N22" s="536"/>
      <c r="O22" s="538"/>
      <c r="P22" s="539"/>
      <c r="Q22" s="534"/>
      <c r="R22" s="534"/>
      <c r="S22" s="537"/>
      <c r="T22" s="540"/>
      <c r="U22" s="537"/>
      <c r="V22" s="537"/>
      <c r="W22" s="537"/>
      <c r="X22" s="537"/>
      <c r="Y22" s="547"/>
      <c r="Z22" s="537"/>
      <c r="AA22" s="541"/>
      <c r="AB22" s="537"/>
      <c r="AC22" s="426"/>
      <c r="AD22" s="45"/>
      <c r="AE22" s="45"/>
      <c r="AF22" s="529">
        <f t="shared" si="0"/>
        <v>0</v>
      </c>
    </row>
    <row r="23" spans="1:32" x14ac:dyDescent="0.25">
      <c r="A23" s="532"/>
      <c r="B23" s="533"/>
      <c r="C23" s="533"/>
      <c r="D23" s="535"/>
      <c r="E23" s="534"/>
      <c r="F23" s="533"/>
      <c r="G23" s="534"/>
      <c r="H23" s="534"/>
      <c r="I23" s="533"/>
      <c r="J23" s="534"/>
      <c r="K23" s="535"/>
      <c r="L23" s="536"/>
      <c r="M23" s="537"/>
      <c r="N23" s="536"/>
      <c r="O23" s="538"/>
      <c r="P23" s="539"/>
      <c r="Q23" s="534"/>
      <c r="R23" s="534"/>
      <c r="S23" s="537"/>
      <c r="T23" s="540"/>
      <c r="U23" s="537"/>
      <c r="V23" s="537"/>
      <c r="W23" s="537"/>
      <c r="X23" s="537"/>
      <c r="Y23" s="547"/>
      <c r="Z23" s="537"/>
      <c r="AA23" s="541"/>
      <c r="AB23" s="537"/>
      <c r="AC23" s="426"/>
      <c r="AD23" s="45"/>
      <c r="AE23" s="45"/>
      <c r="AF23" s="529">
        <f t="shared" ref="AF23:AF29" si="1">IF(O23=0,,MONTH(O23))</f>
        <v>0</v>
      </c>
    </row>
    <row r="24" spans="1:32" x14ac:dyDescent="0.25">
      <c r="A24" s="532"/>
      <c r="B24" s="533"/>
      <c r="C24" s="533"/>
      <c r="D24" s="535"/>
      <c r="E24" s="534"/>
      <c r="F24" s="533"/>
      <c r="G24" s="534"/>
      <c r="H24" s="534"/>
      <c r="I24" s="533"/>
      <c r="J24" s="534"/>
      <c r="K24" s="535"/>
      <c r="L24" s="536"/>
      <c r="M24" s="537"/>
      <c r="N24" s="536"/>
      <c r="O24" s="538"/>
      <c r="P24" s="539"/>
      <c r="Q24" s="534"/>
      <c r="R24" s="534"/>
      <c r="S24" s="537"/>
      <c r="T24" s="540"/>
      <c r="U24" s="537"/>
      <c r="V24" s="537"/>
      <c r="W24" s="537"/>
      <c r="X24" s="537"/>
      <c r="Y24" s="547"/>
      <c r="Z24" s="537"/>
      <c r="AA24" s="541"/>
      <c r="AB24" s="537"/>
      <c r="AC24" s="426"/>
      <c r="AD24" s="45"/>
      <c r="AE24" s="45"/>
      <c r="AF24" s="529">
        <f t="shared" si="1"/>
        <v>0</v>
      </c>
    </row>
    <row r="25" spans="1:32" x14ac:dyDescent="0.25">
      <c r="A25" s="532"/>
      <c r="B25" s="533"/>
      <c r="C25" s="533"/>
      <c r="D25" s="535"/>
      <c r="E25" s="534"/>
      <c r="F25" s="533"/>
      <c r="G25" s="534"/>
      <c r="H25" s="534"/>
      <c r="I25" s="533"/>
      <c r="J25" s="534"/>
      <c r="K25" s="535"/>
      <c r="L25" s="536"/>
      <c r="M25" s="537"/>
      <c r="N25" s="536"/>
      <c r="O25" s="538"/>
      <c r="P25" s="539"/>
      <c r="Q25" s="534"/>
      <c r="R25" s="534"/>
      <c r="S25" s="537"/>
      <c r="T25" s="540"/>
      <c r="U25" s="537"/>
      <c r="V25" s="537"/>
      <c r="W25" s="537"/>
      <c r="X25" s="537"/>
      <c r="Y25" s="547"/>
      <c r="Z25" s="537"/>
      <c r="AA25" s="541"/>
      <c r="AB25" s="537"/>
      <c r="AC25" s="426"/>
      <c r="AD25" s="45"/>
      <c r="AE25" s="45"/>
      <c r="AF25" s="529">
        <f t="shared" si="1"/>
        <v>0</v>
      </c>
    </row>
    <row r="26" spans="1:32" x14ac:dyDescent="0.25">
      <c r="A26" s="532"/>
      <c r="B26" s="533"/>
      <c r="C26" s="533"/>
      <c r="D26" s="535"/>
      <c r="E26" s="534"/>
      <c r="F26" s="533"/>
      <c r="G26" s="534"/>
      <c r="H26" s="534"/>
      <c r="I26" s="533"/>
      <c r="J26" s="534"/>
      <c r="K26" s="535"/>
      <c r="L26" s="536"/>
      <c r="M26" s="537"/>
      <c r="N26" s="536"/>
      <c r="O26" s="538"/>
      <c r="P26" s="539"/>
      <c r="Q26" s="534"/>
      <c r="R26" s="534"/>
      <c r="S26" s="537"/>
      <c r="T26" s="540"/>
      <c r="U26" s="537"/>
      <c r="V26" s="537"/>
      <c r="W26" s="537"/>
      <c r="X26" s="537"/>
      <c r="Y26" s="547"/>
      <c r="Z26" s="537"/>
      <c r="AA26" s="541"/>
      <c r="AB26" s="537"/>
      <c r="AC26" s="426"/>
      <c r="AD26" s="45"/>
      <c r="AE26" s="45"/>
      <c r="AF26" s="529">
        <f t="shared" si="1"/>
        <v>0</v>
      </c>
    </row>
    <row r="27" spans="1:32" x14ac:dyDescent="0.25">
      <c r="A27" s="532"/>
      <c r="B27" s="533"/>
      <c r="C27" s="533"/>
      <c r="D27" s="535"/>
      <c r="E27" s="534"/>
      <c r="F27" s="533"/>
      <c r="G27" s="534"/>
      <c r="H27" s="534"/>
      <c r="I27" s="533"/>
      <c r="J27" s="534"/>
      <c r="K27" s="535"/>
      <c r="L27" s="536"/>
      <c r="M27" s="537"/>
      <c r="N27" s="536"/>
      <c r="O27" s="538"/>
      <c r="P27" s="539"/>
      <c r="Q27" s="534"/>
      <c r="R27" s="534"/>
      <c r="S27" s="537"/>
      <c r="T27" s="540"/>
      <c r="U27" s="537"/>
      <c r="V27" s="537"/>
      <c r="W27" s="537"/>
      <c r="X27" s="537"/>
      <c r="Y27" s="547"/>
      <c r="Z27" s="537"/>
      <c r="AA27" s="541"/>
      <c r="AB27" s="537"/>
      <c r="AC27" s="426"/>
      <c r="AD27" s="45"/>
      <c r="AE27" s="45"/>
      <c r="AF27" s="529">
        <f t="shared" si="1"/>
        <v>0</v>
      </c>
    </row>
    <row r="28" spans="1:32" x14ac:dyDescent="0.25">
      <c r="A28" s="532"/>
      <c r="B28" s="533"/>
      <c r="C28" s="533"/>
      <c r="D28" s="535"/>
      <c r="E28" s="534"/>
      <c r="F28" s="533"/>
      <c r="G28" s="534"/>
      <c r="H28" s="534"/>
      <c r="I28" s="533"/>
      <c r="J28" s="534"/>
      <c r="K28" s="535"/>
      <c r="L28" s="536"/>
      <c r="M28" s="537"/>
      <c r="N28" s="536"/>
      <c r="O28" s="538"/>
      <c r="P28" s="539"/>
      <c r="Q28" s="534"/>
      <c r="R28" s="534"/>
      <c r="S28" s="537"/>
      <c r="T28" s="540"/>
      <c r="U28" s="537"/>
      <c r="V28" s="537"/>
      <c r="W28" s="537"/>
      <c r="X28" s="537"/>
      <c r="Y28" s="547"/>
      <c r="Z28" s="537"/>
      <c r="AA28" s="541"/>
      <c r="AB28" s="537"/>
      <c r="AC28" s="426"/>
      <c r="AD28" s="45"/>
      <c r="AE28" s="45"/>
      <c r="AF28" s="529">
        <f t="shared" si="1"/>
        <v>0</v>
      </c>
    </row>
    <row r="29" spans="1:32" x14ac:dyDescent="0.25">
      <c r="A29" s="532"/>
      <c r="B29" s="533"/>
      <c r="C29" s="533"/>
      <c r="D29" s="535"/>
      <c r="E29" s="534"/>
      <c r="F29" s="533"/>
      <c r="G29" s="534"/>
      <c r="H29" s="534"/>
      <c r="I29" s="533"/>
      <c r="J29" s="534"/>
      <c r="K29" s="535"/>
      <c r="L29" s="536"/>
      <c r="M29" s="537"/>
      <c r="N29" s="536"/>
      <c r="O29" s="538"/>
      <c r="P29" s="539"/>
      <c r="Q29" s="534"/>
      <c r="R29" s="534"/>
      <c r="S29" s="537"/>
      <c r="T29" s="540"/>
      <c r="U29" s="537"/>
      <c r="V29" s="537"/>
      <c r="W29" s="537"/>
      <c r="X29" s="537"/>
      <c r="Y29" s="547"/>
      <c r="Z29" s="537"/>
      <c r="AA29" s="541"/>
      <c r="AB29" s="537"/>
      <c r="AC29" s="426"/>
      <c r="AD29" s="45"/>
      <c r="AE29" s="45"/>
      <c r="AF29" s="529">
        <f t="shared" si="1"/>
        <v>0</v>
      </c>
    </row>
    <row r="30" spans="1:32" x14ac:dyDescent="0.25">
      <c r="A30" s="532"/>
      <c r="B30" s="533"/>
      <c r="C30" s="533"/>
      <c r="D30" s="535"/>
      <c r="E30" s="534"/>
      <c r="F30" s="533"/>
      <c r="G30" s="534"/>
      <c r="H30" s="534"/>
      <c r="I30" s="533"/>
      <c r="J30" s="534"/>
      <c r="K30" s="535"/>
      <c r="L30" s="536"/>
      <c r="M30" s="537"/>
      <c r="N30" s="536"/>
      <c r="O30" s="538"/>
      <c r="P30" s="539"/>
      <c r="Q30" s="534"/>
      <c r="R30" s="534"/>
      <c r="S30" s="537"/>
      <c r="T30" s="540"/>
      <c r="U30" s="537"/>
      <c r="V30" s="537"/>
      <c r="W30" s="537"/>
      <c r="X30" s="537"/>
      <c r="Y30" s="547"/>
      <c r="Z30" s="537"/>
      <c r="AA30" s="541"/>
      <c r="AB30" s="537"/>
      <c r="AC30" s="426"/>
      <c r="AD30" s="45"/>
      <c r="AE30" s="45"/>
      <c r="AF30" s="524">
        <f t="shared" ref="AF30:AF53" si="2">IF(O30=0,,MONTH(O30))</f>
        <v>0</v>
      </c>
    </row>
    <row r="31" spans="1:32" x14ac:dyDescent="0.25">
      <c r="A31" s="532"/>
      <c r="B31" s="533"/>
      <c r="C31" s="533"/>
      <c r="D31" s="535"/>
      <c r="E31" s="534"/>
      <c r="F31" s="533"/>
      <c r="G31" s="534"/>
      <c r="H31" s="534"/>
      <c r="I31" s="533"/>
      <c r="J31" s="534"/>
      <c r="K31" s="535"/>
      <c r="L31" s="536"/>
      <c r="M31" s="537"/>
      <c r="N31" s="536"/>
      <c r="O31" s="538"/>
      <c r="P31" s="539"/>
      <c r="Q31" s="534"/>
      <c r="R31" s="534"/>
      <c r="S31" s="537"/>
      <c r="T31" s="540"/>
      <c r="U31" s="537"/>
      <c r="V31" s="537"/>
      <c r="W31" s="537"/>
      <c r="X31" s="537"/>
      <c r="Y31" s="547"/>
      <c r="Z31" s="537"/>
      <c r="AA31" s="541"/>
      <c r="AB31" s="537"/>
      <c r="AC31" s="426"/>
      <c r="AD31" s="45"/>
      <c r="AE31" s="45"/>
      <c r="AF31" s="524">
        <f t="shared" si="2"/>
        <v>0</v>
      </c>
    </row>
    <row r="32" spans="1:32" x14ac:dyDescent="0.25">
      <c r="A32" s="532"/>
      <c r="B32" s="533"/>
      <c r="C32" s="533"/>
      <c r="D32" s="535"/>
      <c r="E32" s="534"/>
      <c r="F32" s="533"/>
      <c r="G32" s="534"/>
      <c r="H32" s="534"/>
      <c r="I32" s="533"/>
      <c r="J32" s="534"/>
      <c r="K32" s="535"/>
      <c r="L32" s="536"/>
      <c r="M32" s="537"/>
      <c r="N32" s="536"/>
      <c r="O32" s="538"/>
      <c r="P32" s="539"/>
      <c r="Q32" s="534"/>
      <c r="R32" s="534"/>
      <c r="S32" s="537"/>
      <c r="T32" s="540"/>
      <c r="U32" s="537"/>
      <c r="V32" s="537"/>
      <c r="W32" s="537"/>
      <c r="X32" s="537"/>
      <c r="Y32" s="547"/>
      <c r="Z32" s="537"/>
      <c r="AA32" s="541"/>
      <c r="AB32" s="537"/>
      <c r="AC32" s="426"/>
      <c r="AD32" s="45"/>
      <c r="AE32" s="45"/>
      <c r="AF32" s="524">
        <f t="shared" si="2"/>
        <v>0</v>
      </c>
    </row>
    <row r="33" spans="1:32" x14ac:dyDescent="0.25">
      <c r="A33" s="532"/>
      <c r="B33" s="533"/>
      <c r="C33" s="533"/>
      <c r="D33" s="535"/>
      <c r="E33" s="534"/>
      <c r="F33" s="533"/>
      <c r="G33" s="534"/>
      <c r="H33" s="534"/>
      <c r="I33" s="533"/>
      <c r="J33" s="534"/>
      <c r="K33" s="535"/>
      <c r="L33" s="536"/>
      <c r="M33" s="537"/>
      <c r="N33" s="536"/>
      <c r="O33" s="538"/>
      <c r="P33" s="539"/>
      <c r="Q33" s="534"/>
      <c r="R33" s="534"/>
      <c r="S33" s="537"/>
      <c r="T33" s="540"/>
      <c r="U33" s="537"/>
      <c r="V33" s="537"/>
      <c r="W33" s="537"/>
      <c r="X33" s="537"/>
      <c r="Y33" s="547"/>
      <c r="Z33" s="537"/>
      <c r="AA33" s="541"/>
      <c r="AB33" s="537"/>
      <c r="AC33" s="426"/>
      <c r="AD33" s="45"/>
      <c r="AE33" s="45"/>
      <c r="AF33" s="524">
        <f t="shared" si="2"/>
        <v>0</v>
      </c>
    </row>
    <row r="34" spans="1:32" x14ac:dyDescent="0.25">
      <c r="A34" s="532"/>
      <c r="B34" s="533"/>
      <c r="C34" s="533"/>
      <c r="D34" s="535"/>
      <c r="E34" s="534"/>
      <c r="F34" s="533"/>
      <c r="G34" s="534"/>
      <c r="H34" s="534"/>
      <c r="I34" s="533"/>
      <c r="J34" s="534"/>
      <c r="K34" s="535"/>
      <c r="L34" s="536"/>
      <c r="M34" s="537"/>
      <c r="N34" s="536"/>
      <c r="O34" s="538"/>
      <c r="P34" s="539"/>
      <c r="Q34" s="534"/>
      <c r="R34" s="534"/>
      <c r="S34" s="537"/>
      <c r="T34" s="540"/>
      <c r="U34" s="537"/>
      <c r="V34" s="537"/>
      <c r="W34" s="537"/>
      <c r="X34" s="537"/>
      <c r="Y34" s="547"/>
      <c r="Z34" s="537"/>
      <c r="AA34" s="541"/>
      <c r="AB34" s="537"/>
      <c r="AC34" s="426"/>
      <c r="AD34" s="45"/>
      <c r="AE34" s="45"/>
      <c r="AF34" s="524">
        <f t="shared" si="2"/>
        <v>0</v>
      </c>
    </row>
    <row r="35" spans="1:32" x14ac:dyDescent="0.25">
      <c r="A35" s="532"/>
      <c r="B35" s="533"/>
      <c r="C35" s="533"/>
      <c r="D35" s="535"/>
      <c r="E35" s="534"/>
      <c r="F35" s="533"/>
      <c r="G35" s="534"/>
      <c r="H35" s="534"/>
      <c r="I35" s="533"/>
      <c r="J35" s="534"/>
      <c r="K35" s="535"/>
      <c r="L35" s="536"/>
      <c r="M35" s="537"/>
      <c r="N35" s="536"/>
      <c r="O35" s="538"/>
      <c r="P35" s="539"/>
      <c r="Q35" s="534"/>
      <c r="R35" s="534"/>
      <c r="S35" s="537"/>
      <c r="T35" s="540"/>
      <c r="U35" s="537"/>
      <c r="V35" s="537"/>
      <c r="W35" s="537"/>
      <c r="X35" s="537"/>
      <c r="Y35" s="547"/>
      <c r="Z35" s="537"/>
      <c r="AA35" s="541"/>
      <c r="AB35" s="537"/>
      <c r="AC35" s="426"/>
      <c r="AD35" s="45"/>
      <c r="AE35" s="45"/>
      <c r="AF35" s="524">
        <f t="shared" si="2"/>
        <v>0</v>
      </c>
    </row>
    <row r="36" spans="1:32" x14ac:dyDescent="0.25">
      <c r="A36" s="532"/>
      <c r="B36" s="533"/>
      <c r="C36" s="533"/>
      <c r="D36" s="535"/>
      <c r="E36" s="534"/>
      <c r="F36" s="533"/>
      <c r="G36" s="534"/>
      <c r="H36" s="534"/>
      <c r="I36" s="533"/>
      <c r="J36" s="534"/>
      <c r="K36" s="535"/>
      <c r="L36" s="536"/>
      <c r="M36" s="537"/>
      <c r="N36" s="536"/>
      <c r="O36" s="538"/>
      <c r="P36" s="539"/>
      <c r="Q36" s="534"/>
      <c r="R36" s="534"/>
      <c r="S36" s="537"/>
      <c r="T36" s="540"/>
      <c r="U36" s="537"/>
      <c r="V36" s="537"/>
      <c r="W36" s="537"/>
      <c r="X36" s="537"/>
      <c r="Y36" s="547"/>
      <c r="Z36" s="537"/>
      <c r="AA36" s="541"/>
      <c r="AB36" s="537"/>
      <c r="AC36" s="426"/>
      <c r="AD36" s="45"/>
      <c r="AE36" s="45"/>
      <c r="AF36" s="524">
        <f t="shared" si="2"/>
        <v>0</v>
      </c>
    </row>
    <row r="37" spans="1:32" x14ac:dyDescent="0.25">
      <c r="A37" s="532"/>
      <c r="B37" s="533"/>
      <c r="C37" s="533"/>
      <c r="D37" s="535"/>
      <c r="E37" s="534"/>
      <c r="F37" s="533"/>
      <c r="G37" s="534"/>
      <c r="H37" s="534"/>
      <c r="I37" s="533"/>
      <c r="J37" s="534"/>
      <c r="K37" s="535"/>
      <c r="L37" s="536"/>
      <c r="M37" s="537"/>
      <c r="N37" s="536"/>
      <c r="O37" s="538"/>
      <c r="P37" s="539"/>
      <c r="Q37" s="534"/>
      <c r="R37" s="534"/>
      <c r="S37" s="537"/>
      <c r="T37" s="540"/>
      <c r="U37" s="537"/>
      <c r="V37" s="537"/>
      <c r="W37" s="537"/>
      <c r="X37" s="537"/>
      <c r="Y37" s="547"/>
      <c r="Z37" s="537"/>
      <c r="AA37" s="541"/>
      <c r="AB37" s="537"/>
      <c r="AC37" s="426"/>
      <c r="AD37" s="45"/>
      <c r="AE37" s="45"/>
      <c r="AF37" s="524">
        <f t="shared" si="2"/>
        <v>0</v>
      </c>
    </row>
    <row r="38" spans="1:32" x14ac:dyDescent="0.25">
      <c r="A38" s="532"/>
      <c r="B38" s="533"/>
      <c r="C38" s="533"/>
      <c r="D38" s="535"/>
      <c r="E38" s="534"/>
      <c r="F38" s="533"/>
      <c r="G38" s="534"/>
      <c r="H38" s="534"/>
      <c r="I38" s="533"/>
      <c r="J38" s="534"/>
      <c r="K38" s="535"/>
      <c r="L38" s="536"/>
      <c r="M38" s="537"/>
      <c r="N38" s="536"/>
      <c r="O38" s="538"/>
      <c r="P38" s="539"/>
      <c r="Q38" s="534"/>
      <c r="R38" s="534"/>
      <c r="S38" s="537"/>
      <c r="T38" s="540"/>
      <c r="U38" s="537"/>
      <c r="V38" s="537"/>
      <c r="W38" s="537"/>
      <c r="X38" s="537"/>
      <c r="Y38" s="547"/>
      <c r="Z38" s="537"/>
      <c r="AA38" s="541"/>
      <c r="AB38" s="537"/>
      <c r="AC38" s="426"/>
      <c r="AD38" s="45"/>
      <c r="AE38" s="45"/>
      <c r="AF38" s="524">
        <f t="shared" si="2"/>
        <v>0</v>
      </c>
    </row>
    <row r="39" spans="1:32" x14ac:dyDescent="0.25">
      <c r="A39" s="532"/>
      <c r="B39" s="533"/>
      <c r="C39" s="533"/>
      <c r="D39" s="535"/>
      <c r="E39" s="534"/>
      <c r="F39" s="533"/>
      <c r="G39" s="534"/>
      <c r="H39" s="534"/>
      <c r="I39" s="533"/>
      <c r="J39" s="534"/>
      <c r="K39" s="535"/>
      <c r="L39" s="536"/>
      <c r="M39" s="537"/>
      <c r="N39" s="536"/>
      <c r="O39" s="538"/>
      <c r="P39" s="539"/>
      <c r="Q39" s="534"/>
      <c r="R39" s="534"/>
      <c r="S39" s="537"/>
      <c r="T39" s="540"/>
      <c r="U39" s="537"/>
      <c r="V39" s="537"/>
      <c r="W39" s="537"/>
      <c r="X39" s="537"/>
      <c r="Y39" s="547"/>
      <c r="Z39" s="537"/>
      <c r="AA39" s="541"/>
      <c r="AB39" s="537"/>
      <c r="AC39" s="426"/>
      <c r="AD39" s="45"/>
      <c r="AE39" s="45"/>
      <c r="AF39" s="524">
        <f t="shared" si="2"/>
        <v>0</v>
      </c>
    </row>
    <row r="40" spans="1:32" x14ac:dyDescent="0.25">
      <c r="A40" s="532"/>
      <c r="B40" s="533"/>
      <c r="C40" s="533"/>
      <c r="D40" s="535"/>
      <c r="E40" s="534"/>
      <c r="F40" s="533"/>
      <c r="G40" s="534"/>
      <c r="H40" s="534"/>
      <c r="I40" s="533"/>
      <c r="J40" s="534"/>
      <c r="K40" s="535"/>
      <c r="L40" s="536"/>
      <c r="M40" s="537"/>
      <c r="N40" s="536"/>
      <c r="O40" s="538"/>
      <c r="P40" s="539"/>
      <c r="Q40" s="534"/>
      <c r="R40" s="534"/>
      <c r="S40" s="537"/>
      <c r="T40" s="540"/>
      <c r="U40" s="537"/>
      <c r="V40" s="537"/>
      <c r="W40" s="537"/>
      <c r="X40" s="537"/>
      <c r="Y40" s="547"/>
      <c r="Z40" s="537"/>
      <c r="AA40" s="541"/>
      <c r="AB40" s="537"/>
      <c r="AC40" s="426"/>
      <c r="AD40" s="45"/>
      <c r="AE40" s="45"/>
      <c r="AF40" s="524">
        <f t="shared" si="2"/>
        <v>0</v>
      </c>
    </row>
    <row r="41" spans="1:32" x14ac:dyDescent="0.25">
      <c r="A41" s="532"/>
      <c r="B41" s="533"/>
      <c r="C41" s="533"/>
      <c r="D41" s="535"/>
      <c r="E41" s="534"/>
      <c r="F41" s="533"/>
      <c r="G41" s="534"/>
      <c r="H41" s="534"/>
      <c r="I41" s="533"/>
      <c r="J41" s="534"/>
      <c r="K41" s="535"/>
      <c r="L41" s="536"/>
      <c r="M41" s="537"/>
      <c r="N41" s="536"/>
      <c r="O41" s="538"/>
      <c r="P41" s="539"/>
      <c r="Q41" s="534"/>
      <c r="R41" s="534"/>
      <c r="S41" s="537"/>
      <c r="T41" s="540"/>
      <c r="U41" s="537"/>
      <c r="V41" s="537"/>
      <c r="W41" s="537"/>
      <c r="X41" s="537"/>
      <c r="Y41" s="547"/>
      <c r="Z41" s="537"/>
      <c r="AA41" s="541"/>
      <c r="AB41" s="537"/>
      <c r="AC41" s="426"/>
      <c r="AD41" s="45"/>
      <c r="AE41" s="45"/>
      <c r="AF41" s="524">
        <f t="shared" si="2"/>
        <v>0</v>
      </c>
    </row>
    <row r="42" spans="1:32" x14ac:dyDescent="0.25">
      <c r="A42" s="532"/>
      <c r="B42" s="533"/>
      <c r="C42" s="533"/>
      <c r="D42" s="535"/>
      <c r="E42" s="534"/>
      <c r="F42" s="533"/>
      <c r="G42" s="534"/>
      <c r="H42" s="534"/>
      <c r="I42" s="533"/>
      <c r="J42" s="534"/>
      <c r="K42" s="535"/>
      <c r="L42" s="536"/>
      <c r="M42" s="537"/>
      <c r="N42" s="536"/>
      <c r="O42" s="538"/>
      <c r="P42" s="539"/>
      <c r="Q42" s="534"/>
      <c r="R42" s="534"/>
      <c r="S42" s="537"/>
      <c r="T42" s="540"/>
      <c r="U42" s="537"/>
      <c r="V42" s="537"/>
      <c r="W42" s="537"/>
      <c r="X42" s="537"/>
      <c r="Y42" s="547"/>
      <c r="Z42" s="537"/>
      <c r="AA42" s="541"/>
      <c r="AB42" s="537"/>
      <c r="AC42" s="426"/>
      <c r="AD42" s="45"/>
      <c r="AE42" s="45"/>
      <c r="AF42" s="524">
        <f t="shared" si="2"/>
        <v>0</v>
      </c>
    </row>
    <row r="43" spans="1:32" x14ac:dyDescent="0.25">
      <c r="A43" s="532"/>
      <c r="B43" s="533"/>
      <c r="C43" s="533"/>
      <c r="D43" s="535"/>
      <c r="E43" s="534"/>
      <c r="F43" s="533"/>
      <c r="G43" s="534"/>
      <c r="H43" s="534"/>
      <c r="I43" s="533"/>
      <c r="J43" s="534"/>
      <c r="K43" s="535"/>
      <c r="L43" s="536"/>
      <c r="M43" s="537"/>
      <c r="N43" s="536"/>
      <c r="O43" s="538"/>
      <c r="P43" s="539"/>
      <c r="Q43" s="534"/>
      <c r="R43" s="534"/>
      <c r="S43" s="537"/>
      <c r="T43" s="540"/>
      <c r="U43" s="537"/>
      <c r="V43" s="537"/>
      <c r="W43" s="537"/>
      <c r="X43" s="537"/>
      <c r="Y43" s="547"/>
      <c r="Z43" s="537"/>
      <c r="AA43" s="541"/>
      <c r="AB43" s="537"/>
      <c r="AC43" s="426"/>
      <c r="AD43" s="45"/>
      <c r="AE43" s="45"/>
      <c r="AF43" s="524">
        <f t="shared" si="2"/>
        <v>0</v>
      </c>
    </row>
    <row r="44" spans="1:32" x14ac:dyDescent="0.25">
      <c r="A44" s="532"/>
      <c r="B44" s="533"/>
      <c r="C44" s="533"/>
      <c r="D44" s="535"/>
      <c r="E44" s="534"/>
      <c r="F44" s="533"/>
      <c r="G44" s="534"/>
      <c r="H44" s="534"/>
      <c r="I44" s="533"/>
      <c r="J44" s="534"/>
      <c r="K44" s="535"/>
      <c r="L44" s="536"/>
      <c r="M44" s="537"/>
      <c r="N44" s="536"/>
      <c r="O44" s="538"/>
      <c r="P44" s="539"/>
      <c r="Q44" s="534"/>
      <c r="R44" s="534"/>
      <c r="S44" s="537"/>
      <c r="T44" s="540"/>
      <c r="U44" s="537"/>
      <c r="V44" s="537"/>
      <c r="W44" s="537"/>
      <c r="X44" s="537"/>
      <c r="Y44" s="547"/>
      <c r="Z44" s="537"/>
      <c r="AA44" s="541"/>
      <c r="AB44" s="537"/>
      <c r="AC44" s="426"/>
      <c r="AD44" s="45"/>
      <c r="AE44" s="45"/>
      <c r="AF44" s="524">
        <f t="shared" si="2"/>
        <v>0</v>
      </c>
    </row>
    <row r="45" spans="1:32" x14ac:dyDescent="0.25">
      <c r="A45" s="532"/>
      <c r="B45" s="533"/>
      <c r="C45" s="533"/>
      <c r="D45" s="535"/>
      <c r="E45" s="534"/>
      <c r="F45" s="533"/>
      <c r="G45" s="534"/>
      <c r="H45" s="534"/>
      <c r="I45" s="533"/>
      <c r="J45" s="534"/>
      <c r="K45" s="535"/>
      <c r="L45" s="536"/>
      <c r="M45" s="537"/>
      <c r="N45" s="536"/>
      <c r="O45" s="538"/>
      <c r="P45" s="539"/>
      <c r="Q45" s="534"/>
      <c r="R45" s="534"/>
      <c r="S45" s="537"/>
      <c r="T45" s="540"/>
      <c r="U45" s="537"/>
      <c r="V45" s="537"/>
      <c r="W45" s="537"/>
      <c r="X45" s="537"/>
      <c r="Y45" s="547"/>
      <c r="Z45" s="537"/>
      <c r="AA45" s="541"/>
      <c r="AB45" s="537"/>
      <c r="AC45" s="426"/>
      <c r="AD45" s="45"/>
      <c r="AE45" s="45"/>
      <c r="AF45" s="524">
        <f t="shared" si="2"/>
        <v>0</v>
      </c>
    </row>
    <row r="46" spans="1:32" x14ac:dyDescent="0.25">
      <c r="A46" s="532"/>
      <c r="B46" s="533"/>
      <c r="C46" s="533"/>
      <c r="D46" s="535"/>
      <c r="E46" s="534"/>
      <c r="F46" s="533"/>
      <c r="G46" s="534"/>
      <c r="H46" s="534"/>
      <c r="I46" s="533"/>
      <c r="J46" s="534"/>
      <c r="K46" s="535"/>
      <c r="L46" s="536"/>
      <c r="M46" s="537"/>
      <c r="N46" s="536"/>
      <c r="O46" s="538"/>
      <c r="P46" s="539"/>
      <c r="Q46" s="534"/>
      <c r="R46" s="534"/>
      <c r="S46" s="537"/>
      <c r="T46" s="540"/>
      <c r="U46" s="537"/>
      <c r="V46" s="537"/>
      <c r="W46" s="537"/>
      <c r="X46" s="537"/>
      <c r="Y46" s="547"/>
      <c r="Z46" s="537"/>
      <c r="AA46" s="541"/>
      <c r="AB46" s="537"/>
      <c r="AC46" s="426"/>
      <c r="AD46" s="45"/>
      <c r="AE46" s="45"/>
      <c r="AF46" s="524">
        <f t="shared" si="2"/>
        <v>0</v>
      </c>
    </row>
    <row r="47" spans="1:32" x14ac:dyDescent="0.25">
      <c r="A47" s="532"/>
      <c r="B47" s="533"/>
      <c r="C47" s="533"/>
      <c r="D47" s="535"/>
      <c r="E47" s="534"/>
      <c r="F47" s="533"/>
      <c r="G47" s="534"/>
      <c r="H47" s="534"/>
      <c r="I47" s="533"/>
      <c r="J47" s="534"/>
      <c r="K47" s="535"/>
      <c r="L47" s="536"/>
      <c r="M47" s="537"/>
      <c r="N47" s="536"/>
      <c r="O47" s="538"/>
      <c r="P47" s="539"/>
      <c r="Q47" s="534"/>
      <c r="R47" s="534"/>
      <c r="S47" s="537"/>
      <c r="T47" s="540"/>
      <c r="U47" s="537"/>
      <c r="V47" s="537"/>
      <c r="W47" s="537"/>
      <c r="X47" s="537"/>
      <c r="Y47" s="547"/>
      <c r="Z47" s="537"/>
      <c r="AA47" s="541"/>
      <c r="AB47" s="537"/>
      <c r="AC47" s="426"/>
      <c r="AD47" s="45"/>
      <c r="AE47" s="45"/>
      <c r="AF47" s="524">
        <f t="shared" si="2"/>
        <v>0</v>
      </c>
    </row>
    <row r="48" spans="1:32" x14ac:dyDescent="0.25">
      <c r="A48" s="532"/>
      <c r="B48" s="533"/>
      <c r="C48" s="533"/>
      <c r="D48" s="535"/>
      <c r="E48" s="534"/>
      <c r="F48" s="533"/>
      <c r="G48" s="534"/>
      <c r="H48" s="534"/>
      <c r="I48" s="533"/>
      <c r="J48" s="534"/>
      <c r="K48" s="535"/>
      <c r="L48" s="536"/>
      <c r="M48" s="537"/>
      <c r="N48" s="536"/>
      <c r="O48" s="538"/>
      <c r="P48" s="539"/>
      <c r="Q48" s="534"/>
      <c r="R48" s="534"/>
      <c r="S48" s="537"/>
      <c r="T48" s="540"/>
      <c r="U48" s="537"/>
      <c r="V48" s="537"/>
      <c r="W48" s="537"/>
      <c r="X48" s="537"/>
      <c r="Y48" s="547"/>
      <c r="Z48" s="537"/>
      <c r="AA48" s="541"/>
      <c r="AB48" s="537"/>
      <c r="AC48" s="426"/>
      <c r="AD48" s="45"/>
      <c r="AE48" s="45"/>
      <c r="AF48" s="524">
        <f t="shared" si="2"/>
        <v>0</v>
      </c>
    </row>
    <row r="49" spans="1:32" x14ac:dyDescent="0.25">
      <c r="A49" s="532"/>
      <c r="B49" s="533"/>
      <c r="C49" s="533"/>
      <c r="D49" s="535"/>
      <c r="E49" s="534"/>
      <c r="F49" s="533"/>
      <c r="G49" s="534"/>
      <c r="H49" s="534"/>
      <c r="I49" s="533"/>
      <c r="J49" s="534"/>
      <c r="K49" s="535"/>
      <c r="L49" s="536"/>
      <c r="M49" s="537"/>
      <c r="N49" s="536"/>
      <c r="O49" s="538"/>
      <c r="P49" s="539"/>
      <c r="Q49" s="534"/>
      <c r="R49" s="534"/>
      <c r="S49" s="537"/>
      <c r="T49" s="540"/>
      <c r="U49" s="537"/>
      <c r="V49" s="537"/>
      <c r="W49" s="537"/>
      <c r="X49" s="537"/>
      <c r="Y49" s="547"/>
      <c r="Z49" s="537"/>
      <c r="AA49" s="541"/>
      <c r="AB49" s="537"/>
      <c r="AC49" s="426"/>
      <c r="AD49" s="45"/>
      <c r="AE49" s="45"/>
      <c r="AF49" s="524">
        <f t="shared" si="2"/>
        <v>0</v>
      </c>
    </row>
    <row r="50" spans="1:32" x14ac:dyDescent="0.25">
      <c r="A50" s="532"/>
      <c r="B50" s="533"/>
      <c r="C50" s="533"/>
      <c r="D50" s="535"/>
      <c r="E50" s="534"/>
      <c r="F50" s="533"/>
      <c r="G50" s="534"/>
      <c r="H50" s="534"/>
      <c r="I50" s="533"/>
      <c r="J50" s="534"/>
      <c r="K50" s="535"/>
      <c r="L50" s="536"/>
      <c r="M50" s="537"/>
      <c r="N50" s="536"/>
      <c r="O50" s="538"/>
      <c r="P50" s="539"/>
      <c r="Q50" s="534"/>
      <c r="R50" s="534"/>
      <c r="S50" s="537"/>
      <c r="T50" s="540"/>
      <c r="U50" s="537"/>
      <c r="V50" s="537"/>
      <c r="W50" s="537"/>
      <c r="X50" s="537"/>
      <c r="Y50" s="547"/>
      <c r="Z50" s="537"/>
      <c r="AA50" s="541"/>
      <c r="AB50" s="537"/>
      <c r="AC50" s="426"/>
      <c r="AD50" s="45"/>
      <c r="AE50" s="45"/>
      <c r="AF50" s="524">
        <f t="shared" si="2"/>
        <v>0</v>
      </c>
    </row>
    <row r="51" spans="1:32" x14ac:dyDescent="0.25">
      <c r="A51" s="532"/>
      <c r="B51" s="533"/>
      <c r="C51" s="533"/>
      <c r="D51" s="535"/>
      <c r="E51" s="534"/>
      <c r="F51" s="533"/>
      <c r="G51" s="534"/>
      <c r="H51" s="534"/>
      <c r="I51" s="533"/>
      <c r="J51" s="534"/>
      <c r="K51" s="535"/>
      <c r="L51" s="536"/>
      <c r="M51" s="537"/>
      <c r="N51" s="536"/>
      <c r="O51" s="538"/>
      <c r="P51" s="539"/>
      <c r="Q51" s="534"/>
      <c r="R51" s="534"/>
      <c r="S51" s="537"/>
      <c r="T51" s="540"/>
      <c r="U51" s="537"/>
      <c r="V51" s="537"/>
      <c r="W51" s="537"/>
      <c r="X51" s="537"/>
      <c r="Y51" s="547"/>
      <c r="Z51" s="537"/>
      <c r="AA51" s="541"/>
      <c r="AB51" s="537"/>
      <c r="AC51" s="426"/>
      <c r="AD51" s="45"/>
      <c r="AE51" s="45"/>
      <c r="AF51" s="524">
        <f t="shared" si="2"/>
        <v>0</v>
      </c>
    </row>
    <row r="52" spans="1:32" x14ac:dyDescent="0.25">
      <c r="A52" s="532"/>
      <c r="B52" s="533"/>
      <c r="C52" s="533"/>
      <c r="D52" s="535"/>
      <c r="E52" s="534"/>
      <c r="F52" s="533"/>
      <c r="G52" s="534"/>
      <c r="H52" s="534"/>
      <c r="I52" s="533"/>
      <c r="J52" s="534"/>
      <c r="K52" s="535"/>
      <c r="L52" s="536"/>
      <c r="M52" s="537"/>
      <c r="N52" s="536"/>
      <c r="O52" s="538"/>
      <c r="P52" s="539"/>
      <c r="Q52" s="534"/>
      <c r="R52" s="534"/>
      <c r="S52" s="537"/>
      <c r="T52" s="540"/>
      <c r="U52" s="537"/>
      <c r="V52" s="537"/>
      <c r="W52" s="537"/>
      <c r="X52" s="537"/>
      <c r="Y52" s="547"/>
      <c r="Z52" s="537"/>
      <c r="AA52" s="541"/>
      <c r="AB52" s="537"/>
      <c r="AC52" s="426"/>
      <c r="AD52" s="45"/>
      <c r="AE52" s="45"/>
      <c r="AF52" s="524">
        <f t="shared" si="2"/>
        <v>0</v>
      </c>
    </row>
    <row r="53" spans="1:32" x14ac:dyDescent="0.25">
      <c r="A53" s="532"/>
      <c r="B53" s="533"/>
      <c r="C53" s="533"/>
      <c r="D53" s="535"/>
      <c r="E53" s="534"/>
      <c r="F53" s="533"/>
      <c r="G53" s="534"/>
      <c r="H53" s="534"/>
      <c r="I53" s="533"/>
      <c r="J53" s="534"/>
      <c r="K53" s="535"/>
      <c r="L53" s="536"/>
      <c r="M53" s="537"/>
      <c r="N53" s="536"/>
      <c r="O53" s="538"/>
      <c r="P53" s="539"/>
      <c r="Q53" s="534"/>
      <c r="R53" s="534"/>
      <c r="S53" s="537"/>
      <c r="T53" s="540"/>
      <c r="U53" s="537"/>
      <c r="V53" s="537"/>
      <c r="W53" s="537"/>
      <c r="X53" s="537"/>
      <c r="Y53" s="547"/>
      <c r="Z53" s="537"/>
      <c r="AA53" s="541"/>
      <c r="AB53" s="537"/>
      <c r="AC53" s="426"/>
      <c r="AD53" s="45"/>
      <c r="AE53" s="45"/>
      <c r="AF53" s="524">
        <f t="shared" si="2"/>
        <v>0</v>
      </c>
    </row>
  </sheetData>
  <mergeCells count="36">
    <mergeCell ref="AF12:AF14"/>
    <mergeCell ref="AE12:AE14"/>
    <mergeCell ref="C12:C14"/>
    <mergeCell ref="U12:U13"/>
    <mergeCell ref="X12:AA13"/>
    <mergeCell ref="K13:K14"/>
    <mergeCell ref="T12:T13"/>
    <mergeCell ref="S12:S14"/>
    <mergeCell ref="AD12:AD13"/>
    <mergeCell ref="A12:A14"/>
    <mergeCell ref="B12:B14"/>
    <mergeCell ref="Q12:Q14"/>
    <mergeCell ref="R12:R13"/>
    <mergeCell ref="D12:P12"/>
    <mergeCell ref="D13:D14"/>
    <mergeCell ref="E13:E14"/>
    <mergeCell ref="F13:G13"/>
    <mergeCell ref="I13:J13"/>
    <mergeCell ref="H13:H14"/>
    <mergeCell ref="L13:L14"/>
    <mergeCell ref="B2:R2"/>
    <mergeCell ref="B3:R3"/>
    <mergeCell ref="AC12:AC14"/>
    <mergeCell ref="M13:M14"/>
    <mergeCell ref="N13:N14"/>
    <mergeCell ref="O13:P13"/>
    <mergeCell ref="V12:V14"/>
    <mergeCell ref="AB12:AB14"/>
    <mergeCell ref="B4:C4"/>
    <mergeCell ref="B10:C10"/>
    <mergeCell ref="B5:C5"/>
    <mergeCell ref="B6:C6"/>
    <mergeCell ref="B7:C7"/>
    <mergeCell ref="B8:C8"/>
    <mergeCell ref="B9:C9"/>
    <mergeCell ref="W12:W14"/>
  </mergeCells>
  <conditionalFormatting sqref="AC16:AC53">
    <cfRule type="cellIs" dxfId="129" priority="36" operator="equal">
      <formula>0</formula>
    </cfRule>
  </conditionalFormatting>
  <dataValidations count="9">
    <dataValidation type="decimal" operator="greaterThanOrEqual" allowBlank="1" showInputMessage="1" showErrorMessage="1" sqref="K16">
      <formula1>0</formula1>
    </dataValidation>
    <dataValidation type="decimal" operator="greaterThanOrEqual" allowBlank="1" showInputMessage="1" showErrorMessage="1" errorTitle="Неверный формат данных" error="Введенное значение не является числом" sqref="L16:L53 AA16:AA53 N16:N53">
      <formula1>0</formula1>
    </dataValidation>
    <dataValidation type="date" operator="greaterThanOrEqual" allowBlank="1" showInputMessage="1" showErrorMessage="1" errorTitle="Неверный формат данных" error="Введенное значение не является датой, либо введенная дата относится к периоду до 2018 года." sqref="O16:O53">
      <formula1>43101</formula1>
    </dataValidation>
    <dataValidation type="date" operator="greaterThan" allowBlank="1" showInputMessage="1" showErrorMessage="1" errorTitle="Неверный формат данных" error="Введеное значение не является датой, либо введенная дата должна быть позже планируемой даты размещения извещения" sqref="P16:P53">
      <formula1>$O16</formula1>
    </dataValidation>
    <dataValidation type="custom" allowBlank="1" showInputMessage="1" showErrorMessage="1" errorTitle="Неверный формат данных" error="Не указан Индивидуальный номер лота перед предметом договора, _x000a_либо Индивидуальный номер лота не соответствует значению в Поле 1" sqref="D16:D53">
      <formula1>MID($D16,1,LEN($A16))=$A16</formula1>
    </dataValidation>
    <dataValidation type="custom" allowBlank="1" showInputMessage="1" showErrorMessage="1" errorTitle="Неверный формат данных" error="Неверный формат Индивидуального номера лота._x000a_Требуемый формат: AAAA-BBBB-CCCCC[-ПЗИП], где_x000a_AAAA - код заказчика,_x000a_BBBB - год размещения извещения,_x000a_ССССС - уникальный порядковый номер строки" sqref="A16:A53">
      <formula1>AND(MID($A16,5,3)="-20",MID($A16,10,1)="-")</formula1>
    </dataValidation>
    <dataValidation type="list" allowBlank="1" showInputMessage="1" showErrorMessage="1" sqref="M16:M1048576">
      <formula1>Источник_112</formula1>
    </dataValidation>
    <dataValidation type="custom" operator="equal" allowBlank="1" showInputMessage="1" showErrorMessage="1" errorTitle="Неверный формат данных" error="ИНН указывается в числовом формате и должен содержать 10 или 12 знаков" sqref="Y16:Y53">
      <formula1>OR(AND(LEN(Y16)=10,ISNUMBER(Y16)),AND(LEN(Y16)=12,ISNUMBER(Y16)))</formula1>
    </dataValidation>
    <dataValidation type="list" operator="greaterThanOrEqual" allowBlank="1" showInputMessage="1" showErrorMessage="1" errorTitle="Неверный формат данных" error="Введенное значение не предусмотрено п.7 ПП 1352" sqref="W16:W53">
      <formula1>п7_1352</formula1>
    </dataValidation>
  </dataValidations>
  <pageMargins left="0.25" right="0.25" top="0.75" bottom="0.75" header="0.3" footer="0.3"/>
  <pageSetup paperSize="8" fitToWidth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Справочно!$E$21:$E$45</xm:f>
          </x14:formula1>
          <xm:sqref>AC16:AC53</xm:sqref>
        </x14:dataValidation>
        <x14:dataValidation type="list" allowBlank="1" showInputMessage="1" showErrorMessage="1">
          <x14:formula1>
            <xm:f>Справочно!$C$3:$C$8</xm:f>
          </x14:formula1>
          <xm:sqref>V54:W1048576</xm:sqref>
        </x14:dataValidation>
        <x14:dataValidation type="list" allowBlank="1" showInputMessage="1" showErrorMessage="1">
          <x14:formula1>
            <xm:f>Справочно!$C$12:$C$33</xm:f>
          </x14:formula1>
          <xm:sqref>Q54:Q1048576</xm:sqref>
        </x14:dataValidation>
        <x14:dataValidation type="list" allowBlank="1" showInputMessage="1" showErrorMessage="1">
          <x14:formula1>
            <xm:f>Справочно!$E$16:$E$17</xm:f>
          </x14:formula1>
          <xm:sqref>AD16:AD1048576 R16:R1048576</xm:sqref>
        </x14:dataValidation>
        <x14:dataValidation type="list" allowBlank="1" showInputMessage="1" showErrorMessage="1">
          <x14:formula1>
            <xm:f>Справочно!$G$3:$G$63</xm:f>
          </x14:formula1>
          <xm:sqref>X16:X1048576</xm:sqref>
        </x14:dataValidation>
        <x14:dataValidation type="list" allowBlank="1" showInputMessage="1">
          <x14:formula1>
            <xm:f>Справочно!$C$3:$C$9</xm:f>
          </x14:formula1>
          <xm:sqref>V16:V53</xm:sqref>
        </x14:dataValidation>
        <x14:dataValidation type="list" allowBlank="1" showInputMessage="1" showErrorMessage="1">
          <x14:formula1>
            <xm:f>Справочно!$C$12:$C$34</xm:f>
          </x14:formula1>
          <xm:sqref>Q16:Q53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5"/>
  <sheetViews>
    <sheetView zoomScale="70" zoomScaleNormal="70" workbookViewId="0"/>
  </sheetViews>
  <sheetFormatPr defaultRowHeight="15" x14ac:dyDescent="0.25"/>
  <cols>
    <col min="1" max="1" width="18.5703125" customWidth="1"/>
    <col min="2" max="3" width="11.42578125" customWidth="1"/>
    <col min="4" max="4" width="26" customWidth="1"/>
    <col min="5" max="5" width="21.140625" customWidth="1"/>
    <col min="6" max="6" width="11.42578125" customWidth="1"/>
    <col min="7" max="7" width="13.7109375" customWidth="1"/>
    <col min="8" max="9" width="11.42578125" customWidth="1"/>
    <col min="10" max="10" width="13.5703125" customWidth="1"/>
    <col min="11" max="11" width="20" customWidth="1"/>
    <col min="12" max="12" width="23.140625" customWidth="1"/>
    <col min="13" max="13" width="15.140625" customWidth="1"/>
    <col min="14" max="14" width="16" customWidth="1"/>
    <col min="15" max="15" width="22" customWidth="1"/>
    <col min="16" max="18" width="12.42578125" customWidth="1"/>
    <col min="19" max="19" width="13.85546875" customWidth="1"/>
    <col min="20" max="20" width="22.5703125" customWidth="1"/>
    <col min="21" max="21" width="21.7109375" customWidth="1"/>
    <col min="22" max="22" width="12.42578125" customWidth="1"/>
    <col min="23" max="24" width="14.7109375" customWidth="1"/>
    <col min="25" max="27" width="13.85546875" customWidth="1"/>
    <col min="28" max="28" width="32.7109375" bestFit="1" customWidth="1"/>
    <col min="29" max="29" width="17.7109375" customWidth="1"/>
  </cols>
  <sheetData>
    <row r="2" spans="1:29" ht="15" customHeight="1" x14ac:dyDescent="0.25">
      <c r="A2" s="14"/>
      <c r="B2" s="617" t="s">
        <v>594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  <c r="R2" s="617"/>
      <c r="S2" s="14"/>
      <c r="T2" s="131"/>
      <c r="U2" s="131"/>
      <c r="V2" s="14"/>
      <c r="W2" s="14"/>
      <c r="X2" s="14"/>
      <c r="Y2" s="14"/>
      <c r="Z2" s="14"/>
      <c r="AA2" s="14"/>
      <c r="AB2" s="14"/>
      <c r="AC2" s="14"/>
    </row>
    <row r="3" spans="1:29" ht="15.75" customHeight="1" thickBot="1" x14ac:dyDescent="0.3">
      <c r="A3" s="14"/>
      <c r="B3" s="617" t="s">
        <v>0</v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  <c r="R3" s="617"/>
      <c r="S3" s="14"/>
      <c r="T3" s="131"/>
      <c r="U3" s="131"/>
      <c r="V3" s="14"/>
      <c r="W3" s="14"/>
      <c r="X3" s="14"/>
      <c r="Y3" s="14"/>
      <c r="Z3" s="14"/>
      <c r="AA3" s="14"/>
      <c r="AB3" s="14"/>
      <c r="AC3" s="14"/>
    </row>
    <row r="4" spans="1:29" ht="27.75" customHeight="1" x14ac:dyDescent="0.25">
      <c r="A4" s="6" t="s">
        <v>1</v>
      </c>
      <c r="B4" s="648"/>
      <c r="C4" s="649"/>
    </row>
    <row r="5" spans="1:29" ht="38.25" x14ac:dyDescent="0.25">
      <c r="A5" s="7" t="s">
        <v>2</v>
      </c>
      <c r="B5" s="646"/>
      <c r="C5" s="647"/>
    </row>
    <row r="6" spans="1:29" ht="15" customHeight="1" x14ac:dyDescent="0.25">
      <c r="A6" s="7" t="s">
        <v>3</v>
      </c>
      <c r="B6" s="646"/>
      <c r="C6" s="647"/>
    </row>
    <row r="7" spans="1:29" ht="25.5" x14ac:dyDescent="0.25">
      <c r="A7" s="7" t="s">
        <v>4</v>
      </c>
      <c r="B7" s="646"/>
      <c r="C7" s="647"/>
    </row>
    <row r="8" spans="1:29" x14ac:dyDescent="0.25">
      <c r="A8" s="7" t="s">
        <v>5</v>
      </c>
      <c r="B8" s="646"/>
      <c r="C8" s="647"/>
    </row>
    <row r="9" spans="1:29" x14ac:dyDescent="0.25">
      <c r="A9" s="7" t="s">
        <v>6</v>
      </c>
      <c r="B9" s="646"/>
      <c r="C9" s="647"/>
    </row>
    <row r="10" spans="1:29" ht="15.75" thickBot="1" x14ac:dyDescent="0.3">
      <c r="A10" s="8" t="s">
        <v>7</v>
      </c>
      <c r="B10" s="650"/>
      <c r="C10" s="651"/>
    </row>
    <row r="11" spans="1:29" ht="15.75" thickBot="1" x14ac:dyDescent="0.3"/>
    <row r="12" spans="1:29" ht="15.75" customHeight="1" thickBot="1" x14ac:dyDescent="0.3">
      <c r="A12" s="618" t="s">
        <v>213</v>
      </c>
      <c r="B12" s="633" t="s">
        <v>602</v>
      </c>
      <c r="C12" s="633" t="s">
        <v>601</v>
      </c>
      <c r="D12" s="620" t="s">
        <v>8</v>
      </c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21"/>
      <c r="Q12" s="633" t="s">
        <v>9</v>
      </c>
      <c r="R12" s="633" t="s">
        <v>10</v>
      </c>
      <c r="S12" s="618" t="s">
        <v>11</v>
      </c>
      <c r="T12" s="618" t="s">
        <v>262</v>
      </c>
      <c r="U12" s="618" t="s">
        <v>156</v>
      </c>
      <c r="V12" s="622" t="s">
        <v>12</v>
      </c>
      <c r="W12" s="639" t="s">
        <v>109</v>
      </c>
      <c r="X12" s="641"/>
      <c r="Y12" s="641"/>
      <c r="Z12" s="641"/>
      <c r="AA12" s="618" t="s">
        <v>14</v>
      </c>
      <c r="AB12" s="618" t="s">
        <v>263</v>
      </c>
      <c r="AC12" s="618" t="s">
        <v>212</v>
      </c>
    </row>
    <row r="13" spans="1:29" ht="41.25" customHeight="1" thickBot="1" x14ac:dyDescent="0.3">
      <c r="A13" s="619"/>
      <c r="B13" s="634"/>
      <c r="C13" s="634"/>
      <c r="D13" s="633" t="s">
        <v>15</v>
      </c>
      <c r="E13" s="633" t="s">
        <v>16</v>
      </c>
      <c r="F13" s="620" t="s">
        <v>17</v>
      </c>
      <c r="G13" s="621"/>
      <c r="H13" s="633" t="s">
        <v>18</v>
      </c>
      <c r="I13" s="620" t="s">
        <v>19</v>
      </c>
      <c r="J13" s="621"/>
      <c r="K13" s="633" t="s">
        <v>32</v>
      </c>
      <c r="L13" s="618" t="s">
        <v>293</v>
      </c>
      <c r="M13" s="618" t="s">
        <v>20</v>
      </c>
      <c r="N13" s="618" t="s">
        <v>292</v>
      </c>
      <c r="O13" s="620" t="s">
        <v>21</v>
      </c>
      <c r="P13" s="621"/>
      <c r="Q13" s="634"/>
      <c r="R13" s="635"/>
      <c r="S13" s="619"/>
      <c r="T13" s="632"/>
      <c r="U13" s="632"/>
      <c r="V13" s="623"/>
      <c r="W13" s="642"/>
      <c r="X13" s="643"/>
      <c r="Y13" s="643"/>
      <c r="Z13" s="643"/>
      <c r="AA13" s="619"/>
      <c r="AB13" s="619"/>
      <c r="AC13" s="619"/>
    </row>
    <row r="14" spans="1:29" ht="77.25" thickBot="1" x14ac:dyDescent="0.3">
      <c r="A14" s="619"/>
      <c r="B14" s="634"/>
      <c r="C14" s="634"/>
      <c r="D14" s="634"/>
      <c r="E14" s="634"/>
      <c r="F14" s="10" t="s">
        <v>159</v>
      </c>
      <c r="G14" s="10" t="s">
        <v>22</v>
      </c>
      <c r="H14" s="634"/>
      <c r="I14" s="10" t="s">
        <v>23</v>
      </c>
      <c r="J14" s="10" t="s">
        <v>22</v>
      </c>
      <c r="K14" s="634"/>
      <c r="L14" s="619"/>
      <c r="M14" s="619"/>
      <c r="N14" s="619"/>
      <c r="O14" s="10" t="s">
        <v>63</v>
      </c>
      <c r="P14" s="10" t="s">
        <v>24</v>
      </c>
      <c r="Q14" s="634"/>
      <c r="R14" s="10" t="s">
        <v>25</v>
      </c>
      <c r="S14" s="619"/>
      <c r="T14" s="130" t="s">
        <v>211</v>
      </c>
      <c r="U14" s="130" t="s">
        <v>228</v>
      </c>
      <c r="V14" s="623"/>
      <c r="W14" s="129" t="s">
        <v>13</v>
      </c>
      <c r="X14" s="129" t="s">
        <v>207</v>
      </c>
      <c r="Y14" s="129" t="s">
        <v>206</v>
      </c>
      <c r="Z14" s="130" t="s">
        <v>26</v>
      </c>
      <c r="AA14" s="619"/>
      <c r="AB14" s="619"/>
      <c r="AC14" s="619"/>
    </row>
    <row r="15" spans="1:29" ht="15.75" thickBot="1" x14ac:dyDescent="0.3">
      <c r="A15" s="11" t="s">
        <v>119</v>
      </c>
      <c r="B15" s="12" t="s">
        <v>120</v>
      </c>
      <c r="C15" s="12" t="s">
        <v>121</v>
      </c>
      <c r="D15" s="12" t="s">
        <v>122</v>
      </c>
      <c r="E15" s="12" t="s">
        <v>123</v>
      </c>
      <c r="F15" s="12" t="s">
        <v>124</v>
      </c>
      <c r="G15" s="12" t="s">
        <v>125</v>
      </c>
      <c r="H15" s="12" t="s">
        <v>126</v>
      </c>
      <c r="I15" s="12" t="s">
        <v>127</v>
      </c>
      <c r="J15" s="12" t="s">
        <v>128</v>
      </c>
      <c r="K15" s="12" t="s">
        <v>129</v>
      </c>
      <c r="L15" s="11" t="s">
        <v>27</v>
      </c>
      <c r="M15" s="11" t="s">
        <v>28</v>
      </c>
      <c r="N15" s="11" t="s">
        <v>165</v>
      </c>
      <c r="O15" s="12" t="s">
        <v>130</v>
      </c>
      <c r="P15" s="12" t="s">
        <v>131</v>
      </c>
      <c r="Q15" s="12" t="s">
        <v>132</v>
      </c>
      <c r="R15" s="12" t="s">
        <v>133</v>
      </c>
      <c r="S15" s="13" t="s">
        <v>141</v>
      </c>
      <c r="T15" s="11" t="s">
        <v>294</v>
      </c>
      <c r="U15" s="11" t="s">
        <v>142</v>
      </c>
      <c r="V15" s="26" t="s">
        <v>143</v>
      </c>
      <c r="W15" s="13" t="s">
        <v>295</v>
      </c>
      <c r="X15" s="11" t="s">
        <v>296</v>
      </c>
      <c r="Y15" s="13" t="s">
        <v>297</v>
      </c>
      <c r="Z15" s="11" t="s">
        <v>144</v>
      </c>
      <c r="AA15" s="13" t="s">
        <v>145</v>
      </c>
      <c r="AB15" s="13" t="s">
        <v>146</v>
      </c>
      <c r="AC15" s="13" t="s">
        <v>157</v>
      </c>
    </row>
    <row r="16" spans="1:29" ht="15" customHeight="1" thickBot="1" x14ac:dyDescent="0.3">
      <c r="A16" s="107"/>
      <c r="B16" s="27"/>
      <c r="C16" s="27"/>
      <c r="D16" s="28"/>
      <c r="E16" s="28"/>
      <c r="F16" s="27"/>
      <c r="G16" s="28"/>
      <c r="H16" s="27"/>
      <c r="I16" s="27"/>
      <c r="J16" s="27"/>
      <c r="K16" s="117"/>
      <c r="L16" s="116"/>
      <c r="M16" s="29"/>
      <c r="N16" s="116"/>
      <c r="O16" s="30"/>
      <c r="P16" s="27"/>
      <c r="Q16" s="31"/>
      <c r="R16" s="31"/>
      <c r="S16" s="29"/>
      <c r="T16" s="32"/>
      <c r="U16" s="33"/>
      <c r="V16" s="34"/>
      <c r="W16" s="32"/>
      <c r="X16" s="29"/>
      <c r="Y16" s="29"/>
      <c r="Z16" s="29"/>
      <c r="AA16" s="29"/>
      <c r="AB16" s="120"/>
      <c r="AC16" s="35"/>
    </row>
    <row r="17" spans="1:29" ht="15" customHeight="1" thickBot="1" x14ac:dyDescent="0.3">
      <c r="A17" s="107"/>
      <c r="B17" s="27"/>
      <c r="C17" s="27"/>
      <c r="D17" s="28"/>
      <c r="E17" s="28"/>
      <c r="F17" s="27"/>
      <c r="G17" s="28"/>
      <c r="H17" s="27"/>
      <c r="I17" s="27"/>
      <c r="J17" s="27"/>
      <c r="K17" s="117"/>
      <c r="L17" s="116"/>
      <c r="M17" s="29"/>
      <c r="N17" s="116"/>
      <c r="O17" s="30"/>
      <c r="P17" s="27"/>
      <c r="Q17" s="31"/>
      <c r="R17" s="31"/>
      <c r="S17" s="29"/>
      <c r="T17" s="32"/>
      <c r="U17" s="33"/>
      <c r="V17" s="34"/>
      <c r="W17" s="32"/>
      <c r="X17" s="29"/>
      <c r="Y17" s="29"/>
      <c r="Z17" s="29"/>
      <c r="AA17" s="29"/>
      <c r="AB17" s="120"/>
      <c r="AC17" s="35"/>
    </row>
    <row r="18" spans="1:29" ht="15" customHeight="1" thickBot="1" x14ac:dyDescent="0.3">
      <c r="A18" s="107"/>
      <c r="B18" s="27"/>
      <c r="C18" s="27"/>
      <c r="D18" s="28"/>
      <c r="E18" s="28"/>
      <c r="F18" s="27"/>
      <c r="G18" s="28"/>
      <c r="H18" s="27"/>
      <c r="I18" s="27"/>
      <c r="J18" s="27"/>
      <c r="K18" s="117"/>
      <c r="L18" s="116"/>
      <c r="M18" s="29"/>
      <c r="N18" s="116"/>
      <c r="O18" s="30"/>
      <c r="P18" s="27"/>
      <c r="Q18" s="31"/>
      <c r="R18" s="31"/>
      <c r="S18" s="29"/>
      <c r="T18" s="32"/>
      <c r="U18" s="33"/>
      <c r="V18" s="34"/>
      <c r="W18" s="32"/>
      <c r="X18" s="29"/>
      <c r="Y18" s="29"/>
      <c r="Z18" s="29"/>
      <c r="AA18" s="29"/>
      <c r="AB18" s="120"/>
      <c r="AC18" s="35"/>
    </row>
    <row r="19" spans="1:29" ht="15" customHeight="1" thickBot="1" x14ac:dyDescent="0.3">
      <c r="A19" s="107"/>
      <c r="B19" s="27"/>
      <c r="C19" s="27"/>
      <c r="D19" s="28"/>
      <c r="E19" s="28"/>
      <c r="F19" s="27"/>
      <c r="G19" s="28"/>
      <c r="H19" s="27"/>
      <c r="I19" s="27"/>
      <c r="J19" s="27"/>
      <c r="K19" s="117"/>
      <c r="L19" s="116"/>
      <c r="M19" s="29"/>
      <c r="N19" s="116"/>
      <c r="O19" s="30"/>
      <c r="P19" s="27"/>
      <c r="Q19" s="31"/>
      <c r="R19" s="31"/>
      <c r="S19" s="29"/>
      <c r="T19" s="32"/>
      <c r="U19" s="33"/>
      <c r="V19" s="34"/>
      <c r="W19" s="32"/>
      <c r="X19" s="29"/>
      <c r="Y19" s="29"/>
      <c r="Z19" s="29"/>
      <c r="AA19" s="29"/>
      <c r="AB19" s="120"/>
      <c r="AC19" s="35"/>
    </row>
    <row r="20" spans="1:29" ht="15" customHeight="1" thickBot="1" x14ac:dyDescent="0.3">
      <c r="A20" s="107"/>
      <c r="B20" s="27"/>
      <c r="C20" s="27"/>
      <c r="D20" s="28"/>
      <c r="E20" s="28"/>
      <c r="F20" s="27"/>
      <c r="G20" s="28"/>
      <c r="H20" s="27"/>
      <c r="I20" s="27"/>
      <c r="J20" s="27"/>
      <c r="K20" s="117"/>
      <c r="L20" s="116"/>
      <c r="M20" s="29"/>
      <c r="N20" s="116"/>
      <c r="O20" s="30"/>
      <c r="P20" s="27"/>
      <c r="Q20" s="31"/>
      <c r="R20" s="31"/>
      <c r="S20" s="29"/>
      <c r="T20" s="32"/>
      <c r="U20" s="33"/>
      <c r="V20" s="34"/>
      <c r="W20" s="32"/>
      <c r="X20" s="29"/>
      <c r="Y20" s="29"/>
      <c r="Z20" s="29"/>
      <c r="AA20" s="29"/>
      <c r="AB20" s="120"/>
      <c r="AC20" s="35"/>
    </row>
    <row r="21" spans="1:29" ht="15" customHeight="1" thickBot="1" x14ac:dyDescent="0.3">
      <c r="A21" s="107"/>
      <c r="B21" s="27"/>
      <c r="C21" s="27"/>
      <c r="D21" s="28"/>
      <c r="E21" s="28"/>
      <c r="F21" s="27"/>
      <c r="G21" s="28"/>
      <c r="H21" s="27"/>
      <c r="I21" s="27"/>
      <c r="J21" s="27"/>
      <c r="K21" s="117"/>
      <c r="L21" s="116"/>
      <c r="M21" s="29"/>
      <c r="N21" s="116"/>
      <c r="O21" s="30"/>
      <c r="P21" s="27"/>
      <c r="Q21" s="31"/>
      <c r="R21" s="31"/>
      <c r="S21" s="29"/>
      <c r="T21" s="32"/>
      <c r="U21" s="33"/>
      <c r="V21" s="34"/>
      <c r="W21" s="32"/>
      <c r="X21" s="29"/>
      <c r="Y21" s="29"/>
      <c r="Z21" s="29"/>
      <c r="AA21" s="29"/>
      <c r="AB21" s="120"/>
      <c r="AC21" s="35"/>
    </row>
    <row r="22" spans="1:29" ht="15" customHeight="1" thickBot="1" x14ac:dyDescent="0.3">
      <c r="A22" s="107"/>
      <c r="B22" s="27"/>
      <c r="C22" s="27"/>
      <c r="D22" s="28"/>
      <c r="E22" s="28"/>
      <c r="F22" s="27"/>
      <c r="G22" s="28"/>
      <c r="H22" s="27"/>
      <c r="I22" s="27"/>
      <c r="J22" s="27"/>
      <c r="K22" s="117"/>
      <c r="L22" s="116"/>
      <c r="M22" s="29"/>
      <c r="N22" s="116"/>
      <c r="O22" s="30"/>
      <c r="P22" s="27"/>
      <c r="Q22" s="31"/>
      <c r="R22" s="31"/>
      <c r="S22" s="29"/>
      <c r="T22" s="32"/>
      <c r="U22" s="33"/>
      <c r="V22" s="34"/>
      <c r="W22" s="32"/>
      <c r="X22" s="29"/>
      <c r="Y22" s="29"/>
      <c r="Z22" s="29"/>
      <c r="AA22" s="29"/>
      <c r="AB22" s="120"/>
      <c r="AC22" s="35"/>
    </row>
    <row r="23" spans="1:29" ht="15" customHeight="1" thickBot="1" x14ac:dyDescent="0.3">
      <c r="A23" s="107"/>
      <c r="B23" s="27"/>
      <c r="C23" s="27"/>
      <c r="D23" s="28"/>
      <c r="E23" s="28"/>
      <c r="F23" s="27"/>
      <c r="G23" s="28"/>
      <c r="H23" s="27"/>
      <c r="I23" s="27"/>
      <c r="J23" s="27"/>
      <c r="K23" s="117"/>
      <c r="L23" s="116"/>
      <c r="M23" s="29"/>
      <c r="N23" s="116"/>
      <c r="O23" s="30"/>
      <c r="P23" s="27"/>
      <c r="Q23" s="31"/>
      <c r="R23" s="31"/>
      <c r="S23" s="29"/>
      <c r="T23" s="32"/>
      <c r="U23" s="33"/>
      <c r="V23" s="34"/>
      <c r="W23" s="32"/>
      <c r="X23" s="29"/>
      <c r="Y23" s="29"/>
      <c r="Z23" s="29"/>
      <c r="AA23" s="29"/>
      <c r="AB23" s="120"/>
      <c r="AC23" s="35"/>
    </row>
    <row r="24" spans="1:29" ht="15" customHeight="1" thickBot="1" x14ac:dyDescent="0.3">
      <c r="A24" s="107"/>
      <c r="B24" s="27"/>
      <c r="C24" s="27"/>
      <c r="D24" s="28"/>
      <c r="E24" s="28"/>
      <c r="F24" s="27"/>
      <c r="G24" s="28"/>
      <c r="H24" s="27"/>
      <c r="I24" s="27"/>
      <c r="J24" s="27"/>
      <c r="K24" s="117"/>
      <c r="L24" s="116"/>
      <c r="M24" s="29"/>
      <c r="N24" s="116"/>
      <c r="O24" s="30"/>
      <c r="P24" s="528"/>
      <c r="Q24" s="31"/>
      <c r="R24" s="31"/>
      <c r="S24" s="29"/>
      <c r="T24" s="32"/>
      <c r="U24" s="33"/>
      <c r="V24" s="34"/>
      <c r="W24" s="32"/>
      <c r="X24" s="29"/>
      <c r="Y24" s="29"/>
      <c r="Z24" s="29"/>
      <c r="AA24" s="29"/>
      <c r="AB24" s="120"/>
      <c r="AC24" s="35"/>
    </row>
    <row r="25" spans="1:29" ht="15" customHeight="1" thickBot="1" x14ac:dyDescent="0.3">
      <c r="A25" s="107"/>
      <c r="B25" s="27"/>
      <c r="C25" s="27"/>
      <c r="D25" s="28"/>
      <c r="E25" s="28"/>
      <c r="F25" s="27"/>
      <c r="G25" s="28"/>
      <c r="H25" s="27"/>
      <c r="I25" s="27"/>
      <c r="J25" s="27"/>
      <c r="K25" s="117"/>
      <c r="L25" s="116"/>
      <c r="M25" s="29"/>
      <c r="N25" s="116"/>
      <c r="O25" s="30"/>
      <c r="P25" s="27"/>
      <c r="Q25" s="31"/>
      <c r="R25" s="31"/>
      <c r="S25" s="29"/>
      <c r="T25" s="32"/>
      <c r="U25" s="33"/>
      <c r="V25" s="34"/>
      <c r="W25" s="32"/>
      <c r="X25" s="29"/>
      <c r="Y25" s="29"/>
      <c r="Z25" s="29"/>
      <c r="AA25" s="29"/>
      <c r="AB25" s="120"/>
      <c r="AC25" s="35"/>
    </row>
    <row r="26" spans="1:29" ht="15" customHeight="1" thickBot="1" x14ac:dyDescent="0.3">
      <c r="A26" s="107"/>
      <c r="B26" s="27"/>
      <c r="C26" s="27"/>
      <c r="D26" s="28"/>
      <c r="E26" s="28"/>
      <c r="F26" s="27"/>
      <c r="G26" s="28"/>
      <c r="H26" s="27"/>
      <c r="I26" s="27"/>
      <c r="J26" s="27"/>
      <c r="K26" s="117"/>
      <c r="L26" s="116"/>
      <c r="M26" s="29"/>
      <c r="N26" s="116"/>
      <c r="O26" s="30"/>
      <c r="P26" s="27"/>
      <c r="Q26" s="31"/>
      <c r="R26" s="31"/>
      <c r="S26" s="29"/>
      <c r="T26" s="32"/>
      <c r="U26" s="33"/>
      <c r="V26" s="34"/>
      <c r="W26" s="32"/>
      <c r="X26" s="29"/>
      <c r="Y26" s="29"/>
      <c r="Z26" s="29"/>
      <c r="AA26" s="29"/>
      <c r="AB26" s="120"/>
      <c r="AC26" s="35"/>
    </row>
    <row r="27" spans="1:29" ht="15" customHeight="1" thickBot="1" x14ac:dyDescent="0.3">
      <c r="A27" s="107"/>
      <c r="B27" s="27"/>
      <c r="C27" s="27"/>
      <c r="D27" s="28"/>
      <c r="E27" s="28"/>
      <c r="F27" s="27"/>
      <c r="G27" s="28"/>
      <c r="H27" s="27"/>
      <c r="I27" s="27"/>
      <c r="J27" s="27"/>
      <c r="K27" s="117"/>
      <c r="L27" s="116"/>
      <c r="M27" s="29"/>
      <c r="N27" s="116"/>
      <c r="O27" s="30"/>
      <c r="P27" s="27"/>
      <c r="Q27" s="31"/>
      <c r="R27" s="31"/>
      <c r="S27" s="29"/>
      <c r="T27" s="32"/>
      <c r="U27" s="33"/>
      <c r="V27" s="34"/>
      <c r="W27" s="32"/>
      <c r="X27" s="29"/>
      <c r="Y27" s="29"/>
      <c r="Z27" s="29"/>
      <c r="AA27" s="29"/>
      <c r="AB27" s="120"/>
      <c r="AC27" s="35"/>
    </row>
    <row r="28" spans="1:29" ht="15" customHeight="1" thickBot="1" x14ac:dyDescent="0.3">
      <c r="A28" s="107"/>
      <c r="B28" s="27"/>
      <c r="C28" s="27"/>
      <c r="D28" s="28"/>
      <c r="E28" s="28"/>
      <c r="F28" s="27"/>
      <c r="G28" s="28"/>
      <c r="H28" s="27"/>
      <c r="I28" s="27"/>
      <c r="J28" s="27"/>
      <c r="K28" s="117"/>
      <c r="L28" s="116"/>
      <c r="M28" s="29"/>
      <c r="N28" s="116"/>
      <c r="O28" s="30"/>
      <c r="P28" s="27"/>
      <c r="Q28" s="31"/>
      <c r="R28" s="31"/>
      <c r="S28" s="29"/>
      <c r="T28" s="32"/>
      <c r="U28" s="33"/>
      <c r="V28" s="34"/>
      <c r="W28" s="32"/>
      <c r="X28" s="29"/>
      <c r="Y28" s="29"/>
      <c r="Z28" s="29"/>
      <c r="AA28" s="29"/>
      <c r="AB28" s="120"/>
      <c r="AC28" s="35"/>
    </row>
    <row r="29" spans="1:29" ht="15" customHeight="1" thickBot="1" x14ac:dyDescent="0.3">
      <c r="A29" s="107"/>
      <c r="B29" s="27"/>
      <c r="C29" s="27"/>
      <c r="D29" s="28"/>
      <c r="E29" s="28"/>
      <c r="F29" s="27"/>
      <c r="G29" s="28"/>
      <c r="H29" s="27"/>
      <c r="I29" s="27"/>
      <c r="J29" s="27"/>
      <c r="K29" s="117"/>
      <c r="L29" s="116"/>
      <c r="M29" s="29"/>
      <c r="N29" s="116"/>
      <c r="O29" s="30"/>
      <c r="P29" s="27"/>
      <c r="Q29" s="31"/>
      <c r="R29" s="31"/>
      <c r="S29" s="29"/>
      <c r="T29" s="32"/>
      <c r="U29" s="33"/>
      <c r="V29" s="34"/>
      <c r="W29" s="32"/>
      <c r="X29" s="29"/>
      <c r="Y29" s="29"/>
      <c r="Z29" s="29"/>
      <c r="AA29" s="29"/>
      <c r="AB29" s="120"/>
      <c r="AC29" s="35"/>
    </row>
    <row r="30" spans="1:29" ht="15" customHeight="1" thickBot="1" x14ac:dyDescent="0.3">
      <c r="A30" s="107"/>
      <c r="B30" s="27"/>
      <c r="C30" s="27"/>
      <c r="D30" s="28"/>
      <c r="E30" s="28"/>
      <c r="F30" s="27"/>
      <c r="G30" s="28"/>
      <c r="H30" s="27"/>
      <c r="I30" s="27"/>
      <c r="J30" s="27"/>
      <c r="K30" s="117"/>
      <c r="L30" s="116"/>
      <c r="M30" s="29"/>
      <c r="N30" s="116"/>
      <c r="O30" s="30"/>
      <c r="P30" s="27"/>
      <c r="Q30" s="31"/>
      <c r="R30" s="31"/>
      <c r="S30" s="29"/>
      <c r="T30" s="32"/>
      <c r="U30" s="33"/>
      <c r="V30" s="34"/>
      <c r="W30" s="32"/>
      <c r="X30" s="29"/>
      <c r="Y30" s="29"/>
      <c r="Z30" s="29"/>
      <c r="AA30" s="29"/>
      <c r="AB30" s="120"/>
      <c r="AC30" s="35"/>
    </row>
    <row r="31" spans="1:29" ht="15" customHeight="1" thickBot="1" x14ac:dyDescent="0.3">
      <c r="A31" s="107"/>
      <c r="B31" s="27"/>
      <c r="C31" s="27"/>
      <c r="D31" s="28"/>
      <c r="E31" s="28"/>
      <c r="F31" s="27"/>
      <c r="G31" s="28"/>
      <c r="H31" s="27"/>
      <c r="I31" s="27"/>
      <c r="J31" s="27"/>
      <c r="K31" s="117"/>
      <c r="L31" s="116"/>
      <c r="M31" s="29"/>
      <c r="N31" s="116"/>
      <c r="O31" s="30"/>
      <c r="P31" s="27"/>
      <c r="Q31" s="31"/>
      <c r="R31" s="31"/>
      <c r="S31" s="29"/>
      <c r="T31" s="32"/>
      <c r="U31" s="33"/>
      <c r="V31" s="34"/>
      <c r="W31" s="32"/>
      <c r="X31" s="29"/>
      <c r="Y31" s="29"/>
      <c r="Z31" s="29"/>
      <c r="AA31" s="29"/>
      <c r="AB31" s="120"/>
      <c r="AC31" s="35"/>
    </row>
    <row r="32" spans="1:29" ht="15" customHeight="1" thickBot="1" x14ac:dyDescent="0.3">
      <c r="A32" s="107"/>
      <c r="B32" s="27"/>
      <c r="C32" s="27"/>
      <c r="D32" s="28"/>
      <c r="E32" s="28"/>
      <c r="F32" s="27"/>
      <c r="G32" s="28"/>
      <c r="H32" s="27"/>
      <c r="I32" s="27"/>
      <c r="J32" s="27"/>
      <c r="K32" s="117"/>
      <c r="L32" s="116"/>
      <c r="M32" s="29"/>
      <c r="N32" s="116"/>
      <c r="O32" s="30"/>
      <c r="P32" s="27"/>
      <c r="Q32" s="31"/>
      <c r="R32" s="31"/>
      <c r="S32" s="29"/>
      <c r="T32" s="32"/>
      <c r="U32" s="33"/>
      <c r="V32" s="34"/>
      <c r="W32" s="32"/>
      <c r="X32" s="29"/>
      <c r="Y32" s="29"/>
      <c r="Z32" s="29"/>
      <c r="AA32" s="29"/>
      <c r="AB32" s="120"/>
      <c r="AC32" s="35"/>
    </row>
    <row r="33" spans="1:29" ht="15" customHeight="1" thickBot="1" x14ac:dyDescent="0.3">
      <c r="A33" s="107"/>
      <c r="B33" s="27"/>
      <c r="C33" s="27"/>
      <c r="D33" s="28"/>
      <c r="E33" s="28"/>
      <c r="F33" s="27"/>
      <c r="G33" s="28"/>
      <c r="H33" s="27"/>
      <c r="I33" s="27"/>
      <c r="J33" s="27"/>
      <c r="K33" s="117"/>
      <c r="L33" s="116"/>
      <c r="M33" s="29"/>
      <c r="N33" s="116"/>
      <c r="O33" s="30"/>
      <c r="P33" s="27"/>
      <c r="Q33" s="31"/>
      <c r="R33" s="31"/>
      <c r="S33" s="29"/>
      <c r="T33" s="32"/>
      <c r="U33" s="33"/>
      <c r="V33" s="34"/>
      <c r="W33" s="32"/>
      <c r="X33" s="29"/>
      <c r="Y33" s="29"/>
      <c r="Z33" s="29"/>
      <c r="AA33" s="29"/>
      <c r="AB33" s="120"/>
      <c r="AC33" s="35"/>
    </row>
    <row r="34" spans="1:29" ht="15" customHeight="1" thickBot="1" x14ac:dyDescent="0.3">
      <c r="A34" s="107"/>
      <c r="B34" s="27"/>
      <c r="C34" s="27"/>
      <c r="D34" s="28"/>
      <c r="E34" s="28"/>
      <c r="F34" s="27"/>
      <c r="G34" s="28"/>
      <c r="H34" s="27"/>
      <c r="I34" s="27"/>
      <c r="J34" s="27"/>
      <c r="K34" s="117"/>
      <c r="L34" s="116"/>
      <c r="M34" s="29"/>
      <c r="N34" s="116"/>
      <c r="O34" s="30"/>
      <c r="P34" s="27"/>
      <c r="Q34" s="31"/>
      <c r="R34" s="31"/>
      <c r="S34" s="29"/>
      <c r="T34" s="32"/>
      <c r="U34" s="33"/>
      <c r="V34" s="34"/>
      <c r="W34" s="32"/>
      <c r="X34" s="29"/>
      <c r="Y34" s="29"/>
      <c r="Z34" s="29"/>
      <c r="AA34" s="29"/>
      <c r="AB34" s="120"/>
      <c r="AC34" s="35"/>
    </row>
    <row r="35" spans="1:29" ht="15" customHeight="1" thickBot="1" x14ac:dyDescent="0.3">
      <c r="A35" s="29"/>
      <c r="B35" s="27"/>
      <c r="C35" s="27"/>
      <c r="D35" s="28"/>
      <c r="E35" s="28"/>
      <c r="F35" s="27"/>
      <c r="G35" s="28"/>
      <c r="H35" s="27"/>
      <c r="I35" s="27"/>
      <c r="J35" s="27"/>
      <c r="K35" s="117"/>
      <c r="L35" s="116"/>
      <c r="M35" s="29"/>
      <c r="N35" s="116"/>
      <c r="O35" s="30"/>
      <c r="P35" s="27"/>
      <c r="Q35" s="31"/>
      <c r="R35" s="31"/>
      <c r="S35" s="29"/>
      <c r="T35" s="32"/>
      <c r="U35" s="33"/>
      <c r="V35" s="34"/>
      <c r="W35" s="32"/>
      <c r="X35" s="29"/>
      <c r="Y35" s="29"/>
      <c r="Z35" s="29"/>
      <c r="AA35" s="29"/>
      <c r="AB35" s="120"/>
      <c r="AC35" s="35"/>
    </row>
    <row r="36" spans="1:29" ht="15" customHeight="1" thickBot="1" x14ac:dyDescent="0.3">
      <c r="A36" s="38"/>
      <c r="B36" s="36"/>
      <c r="C36" s="36"/>
      <c r="D36" s="37"/>
      <c r="E36" s="37"/>
      <c r="F36" s="36"/>
      <c r="G36" s="37"/>
      <c r="H36" s="36"/>
      <c r="I36" s="36"/>
      <c r="J36" s="36"/>
      <c r="K36" s="118"/>
      <c r="L36" s="119"/>
      <c r="M36" s="38"/>
      <c r="N36" s="113"/>
      <c r="O36" s="39"/>
      <c r="P36" s="36"/>
      <c r="Q36" s="40"/>
      <c r="R36" s="40"/>
      <c r="S36" s="38"/>
      <c r="T36" s="41"/>
      <c r="U36" s="42"/>
      <c r="V36" s="43"/>
      <c r="W36" s="41"/>
      <c r="X36" s="38"/>
      <c r="Y36" s="38"/>
      <c r="Z36" s="38"/>
      <c r="AA36" s="38"/>
      <c r="AB36" s="121"/>
      <c r="AC36" s="44"/>
    </row>
    <row r="41" spans="1:29" x14ac:dyDescent="0.25">
      <c r="A41" t="s">
        <v>29</v>
      </c>
    </row>
    <row r="43" spans="1:29" x14ac:dyDescent="0.25">
      <c r="A43" t="s">
        <v>30</v>
      </c>
    </row>
    <row r="45" spans="1:29" x14ac:dyDescent="0.25">
      <c r="A45" t="s">
        <v>31</v>
      </c>
    </row>
  </sheetData>
  <mergeCells count="33">
    <mergeCell ref="O13:P13"/>
    <mergeCell ref="V12:V14"/>
    <mergeCell ref="W12:Z13"/>
    <mergeCell ref="AA12:AA14"/>
    <mergeCell ref="AB12:AB14"/>
    <mergeCell ref="AC12:AC14"/>
    <mergeCell ref="D13:D14"/>
    <mergeCell ref="E13:E14"/>
    <mergeCell ref="F13:G13"/>
    <mergeCell ref="H13:H14"/>
    <mergeCell ref="I13:J13"/>
    <mergeCell ref="D12:P12"/>
    <mergeCell ref="Q12:Q14"/>
    <mergeCell ref="R12:R13"/>
    <mergeCell ref="S12:S14"/>
    <mergeCell ref="T12:T13"/>
    <mergeCell ref="U12:U13"/>
    <mergeCell ref="K13:K14"/>
    <mergeCell ref="L13:L14"/>
    <mergeCell ref="M13:M14"/>
    <mergeCell ref="N13:N14"/>
    <mergeCell ref="B8:C8"/>
    <mergeCell ref="B9:C9"/>
    <mergeCell ref="B10:C10"/>
    <mergeCell ref="A12:A14"/>
    <mergeCell ref="B12:B14"/>
    <mergeCell ref="C12:C14"/>
    <mergeCell ref="B7:C7"/>
    <mergeCell ref="B2:R2"/>
    <mergeCell ref="B3:R3"/>
    <mergeCell ref="B4:C4"/>
    <mergeCell ref="B5:C5"/>
    <mergeCell ref="B6:C6"/>
  </mergeCells>
  <dataValidations count="28">
    <dataValidation allowBlank="1" showInputMessage="1" showErrorMessage="1" promptTitle="Подсказка:" prompt="В случае, если проведение закупки планируется на официальной Электронной торговой площадке Государственной корпорации «Ростех» и ОАО «АК «Транснефть» (www.etprf.ru)  в данном поле указывается сокращение: etprf" sqref="S12:S14"/>
    <dataValidation allowBlank="1" showInputMessage="1" showErrorMessage="1" promptTitle="Пример:" prompt="45000000000 Москва_x000a_70000000000 Тульская область" sqref="I13:J13"/>
    <dataValidation allowBlank="1" showInputMessage="1" showErrorMessage="1" promptTitle="Подсказка:" prompt="Выбрать из выпадающего списка пункт Единого положения, на основании которого проводится закупка у единственного поставщика или указать: Не применимо._x000a__x000a_Перечень пунктов приведен во вкладке &quot;Справочно&quot;." sqref="W14"/>
    <dataValidation allowBlank="1" showInputMessage="1" showErrorMessage="1" promptTitle="Подсказка:" prompt="Выбрать из выпадающего списка или заполнить вручную._x000a__x000a_Перечень сокращений с расшифровками приведен во вкладке &quot;Справочно&quot;." sqref="V12:V14"/>
    <dataValidation allowBlank="1" showInputMessage="1" showErrorMessage="1" promptTitle="Подсказка:" prompt="Указывается перечень поставщиков, выбранных по результатам квалификационного отбора и/или для закрытых закупок." sqref="U14"/>
    <dataValidation allowBlank="1" showInputMessage="1" showErrorMessage="1" promptTitle="Подсказка:" prompt="Указать индивидуальный номер закупки (квалификационного отбора для серии закупок), по результатам которой проводится лот._x000a__x000a_Или указать: Не применимо" sqref="T14"/>
    <dataValidation allowBlank="1" showInputMessage="1" showErrorMessage="1" promptTitle="Пример:" prompt="Декабрь 2015" sqref="P14"/>
    <dataValidation allowBlank="1" showInputMessage="1" showErrorMessage="1" promptTitle="Пример:" prompt="Январь 2015" sqref="O14"/>
    <dataValidation allowBlank="1" showInputMessage="1" showErrorMessage="1" promptTitle="Подсказка:" prompt="Способ закупки выбирается из всплывающего списка или заполняется вручную" sqref="Q12:Q14"/>
    <dataValidation allowBlank="1" showInputMessage="1" showErrorMessage="1" promptTitle="Подсказка:" prompt="Пересчет на рубли осуществляется по курсу ЦБ РФ, установленному на день формирования НМЦ_x000a__x000a_Сведения о курсе пересчета указываются в столбце &quot;Примечание&quot;" sqref="L13:L14"/>
    <dataValidation allowBlank="1" showInputMessage="1" showErrorMessage="1" promptTitle="Пример:" prompt="Москва_x000a__x000a_Тульская область" sqref="J14"/>
    <dataValidation allowBlank="1" showInputMessage="1" showErrorMessage="1" promptTitle="Пример: " prompt="45000000000_x000a_для Москвы_x000a__x000a_70000000000_x000a_для Тульской области" sqref="I14"/>
    <dataValidation allowBlank="1" showInputMessage="1" showErrorMessage="1" promptTitle="Подсказка:" prompt="Указать количество (объем) закупаемой продукции._x000a__x000a_*При указании в поле «Единица измерения» признака «Не применимо», в поле «Сведения о количестве (объеме)» указывается:_x000a__x000a_Не применимо" sqref="H13:H14"/>
    <dataValidation allowBlank="1" showInputMessage="1" showErrorMessage="1" promptTitle="Пример: Килограмм" prompt="_x000a_*При отсутствии кода и наименования единицы изменения, предусмотренного ОКЕИ в соответствующем поле указать:_x000a__x000a_Не применимо" sqref="G14"/>
    <dataValidation allowBlank="1" showInputMessage="1" showErrorMessage="1" promptTitle="Пример: 166" prompt="_x000a_*При отсутствии кода и наименования единицы изменения, предусмотренного ОКЕИ в соответствующем поле указать:_x000a__x000a_Не применимо" sqref="F14"/>
    <dataValidation allowBlank="1" showInputMessage="1" showErrorMessage="1" promptTitle="Пример: F 4560234" prompt="Для газоснабжения" sqref="C12:C14"/>
    <dataValidation allowBlank="1" showInputMessage="1" showErrorMessage="1" promptTitle="Подсказка:" prompt="Предмет договора должен полно и четко описывать закупаемую продукцию._x000a__x000a_Примеры:_x000a_01-001-00001 Поставка канцелярских товаров_x000a__x000a_01-001-00002 Выполнение работ по строительству объекта &quot;...&quot;_x000a__x000a_01-001-00003 Оказание услуг по проведению конференции" sqref="D13:D14"/>
    <dataValidation allowBlank="1" showInputMessage="1" showErrorMessage="1" promptTitle="Пример: М.71.12.11 или 71.12.11" prompt="Для разработки проектов тепло-, водо-, газоснабжения" sqref="B12:B14"/>
    <dataValidation allowBlank="1" showInputMessage="1" showErrorMessage="1" promptTitle="Подсказка:" prompt="Указать не менее 2-х минимальных требований по предмету договора._x000a__x000a_Пример:_x000a_Закупаемая продукция должна соответствовать целевому назначению; быть своевременно предоставлена; соответствовать требованиям безопасности, надежности и экологичности" sqref="E13:E14"/>
    <dataValidation allowBlank="1" showInputMessage="1" showErrorMessage="1" promptTitle="Пример:" prompt="1 234 567,89 Российских рублей_x000a__x000a_2 000 000,00 долларов США_x000a__x000a_3 000 000,30 евро" sqref="K13:K14"/>
    <dataValidation allowBlank="1" showInputMessage="1" showErrorMessage="1" errorTitle="Ошибка ввода" error="Необходимо выбрать из выпадающего списка" sqref="T16:U36"/>
    <dataValidation allowBlank="1" showInputMessage="1" showErrorMessage="1" errorTitle="Ошибка ввода" error="Необходимо выбрать наименование из выпадающего списка" sqref="AB16:AB36"/>
    <dataValidation type="decimal" operator="greaterThanOrEqual" allowBlank="1" showInputMessage="1" showErrorMessage="1" errorTitle="Неверный формат данных" error="Введенное значение не является числом" sqref="L16:L36 N16:N36 Z16:Z36">
      <formula1>0</formula1>
    </dataValidation>
    <dataValidation type="date" operator="greaterThanOrEqual" allowBlank="1" showInputMessage="1" showErrorMessage="1" errorTitle="Неверный формат данных" error="Введенное значение не является датой, либо введенная дата относится к периоду до 2018 года." sqref="O16:O36">
      <formula1>43101</formula1>
    </dataValidation>
    <dataValidation type="date" operator="greaterThan" allowBlank="1" showInputMessage="1" showErrorMessage="1" errorTitle="Неверный формат данных" error="Введеное значение не является датой, либо введенная дата должна быть позже планируемой даты размещения извещения" sqref="P16:P36">
      <formula1>$O16</formula1>
    </dataValidation>
    <dataValidation type="custom" allowBlank="1" showInputMessage="1" showErrorMessage="1" errorTitle="Неверный формат данных" error="Неверный формат Индивидуального номера лота._x000a_Требуемый формат: AAAA-BBBB-CCCCC[-ПЗИП], где_x000a_AAAA - код заказчика,_x000a_BBBB - год размещения извещения,_x000a_ССССС - уникальный порядковый номер строки" sqref="A16:A36">
      <formula1>AND(MID($A16,5,3)="-20",MID($A16,10,1)="-")</formula1>
    </dataValidation>
    <dataValidation type="custom" allowBlank="1" showInputMessage="1" showErrorMessage="1" errorTitle="Неверный формат данных" error="Не указан Индивидуальный номер лота перед предметом договора, _x000a_либо Индивидуальный номер лота не соответствует значению в Поле 1" sqref="D16:D36">
      <formula1>MID($D16,1,LEN($A16))=$A16</formula1>
    </dataValidation>
    <dataValidation type="custom" operator="equal" allowBlank="1" showInputMessage="1" showErrorMessage="1" errorTitle="Неверный формат данных" error="ИНН указывается в числовом формате и должен содержать 10 или 12 знаков" sqref="X16:X36">
      <formula1>OR(AND(LEN(X16)=10,ISNUMBER(X16)),AND(LEN(X16)=12,ISNUMBER(X16)))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Ошибка ввода" error="Необходимо выбрать из выпадающего списка">
          <x14:formula1>
            <xm:f>Справочно!$E$16:$E$18</xm:f>
          </x14:formula1>
          <xm:sqref>R16:R36</xm:sqref>
        </x14:dataValidation>
        <x14:dataValidation type="list" allowBlank="1" showInputMessage="1" showErrorMessage="1" errorTitle="Ошибка ввода" error="Основание должно быть выбрано из выпадающего списка пунктов Положения о закупках">
          <x14:formula1>
            <xm:f>Справочно!$G$3:$G$63</xm:f>
          </x14:formula1>
          <xm:sqref>W16:W36</xm:sqref>
        </x14:dataValidation>
        <x14:dataValidation type="list" allowBlank="1" showInputMessage="1" showErrorMessage="1" errorTitle="Ошибка ввода" error="Необходимо выбрать способ закупки из выпадающего списка">
          <x14:formula1>
            <xm:f>Справочно!$C$12:$C$35</xm:f>
          </x14:formula1>
          <xm:sqref>Q16:Q36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6"/>
  <sheetViews>
    <sheetView zoomScale="85" zoomScaleNormal="85" workbookViewId="0">
      <selection activeCell="H17" sqref="H17"/>
    </sheetView>
  </sheetViews>
  <sheetFormatPr defaultRowHeight="12.75" x14ac:dyDescent="0.2"/>
  <cols>
    <col min="1" max="1" width="37.85546875" style="49" customWidth="1"/>
    <col min="2" max="2" width="17" style="49" customWidth="1"/>
    <col min="3" max="3" width="12.28515625" style="49" customWidth="1"/>
    <col min="4" max="4" width="23.5703125" style="49" customWidth="1"/>
    <col min="5" max="5" width="13.85546875" style="49" customWidth="1"/>
    <col min="6" max="6" width="9.140625" style="49"/>
    <col min="7" max="7" width="10.5703125" style="49" customWidth="1"/>
    <col min="8" max="8" width="17.85546875" style="49" customWidth="1"/>
    <col min="9" max="9" width="10.5703125" style="49" customWidth="1"/>
    <col min="10" max="10" width="19.28515625" style="49" customWidth="1"/>
    <col min="11" max="11" width="10.5703125" style="49" customWidth="1"/>
    <col min="12" max="12" width="19.5703125" style="49" customWidth="1"/>
    <col min="13" max="13" width="10.5703125" style="49" customWidth="1"/>
    <col min="14" max="14" width="20" style="49" customWidth="1"/>
    <col min="15" max="15" width="10.7109375" style="49" customWidth="1"/>
    <col min="16" max="16" width="22.5703125" style="49" customWidth="1"/>
    <col min="17" max="17" width="10.5703125" style="49" customWidth="1"/>
    <col min="18" max="18" width="21" style="49" customWidth="1"/>
    <col min="19" max="19" width="10.5703125" style="49" customWidth="1"/>
    <col min="20" max="20" width="19.85546875" style="49" customWidth="1"/>
    <col min="21" max="21" width="10.5703125" style="49" customWidth="1"/>
    <col min="22" max="22" width="22.140625" style="49" customWidth="1"/>
    <col min="23" max="23" width="10.5703125" style="49" customWidth="1"/>
    <col min="24" max="24" width="21.28515625" style="49" customWidth="1"/>
    <col min="25" max="25" width="10.5703125" style="49" customWidth="1"/>
    <col min="26" max="26" width="19.7109375" style="49" customWidth="1"/>
    <col min="27" max="27" width="10.5703125" style="49" customWidth="1"/>
    <col min="28" max="28" width="21.140625" style="49" customWidth="1"/>
    <col min="29" max="29" width="10.5703125" style="49" customWidth="1"/>
    <col min="30" max="30" width="26.5703125" style="49" customWidth="1"/>
    <col min="31" max="31" width="10.5703125" style="49" customWidth="1"/>
    <col min="32" max="32" width="20.42578125" style="49" customWidth="1"/>
    <col min="33" max="33" width="10.5703125" style="49" customWidth="1"/>
    <col min="34" max="34" width="27.28515625" style="49" customWidth="1"/>
    <col min="35" max="35" width="10.5703125" style="49" customWidth="1"/>
    <col min="36" max="36" width="20.42578125" style="49" customWidth="1"/>
    <col min="37" max="37" width="10.5703125" style="49" customWidth="1"/>
    <col min="38" max="38" width="21.7109375" style="49" customWidth="1"/>
    <col min="39" max="16384" width="9.140625" style="49"/>
  </cols>
  <sheetData>
    <row r="2" spans="1:38" ht="13.5" customHeight="1" x14ac:dyDescent="0.2">
      <c r="A2" s="617" t="s">
        <v>114</v>
      </c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</row>
    <row r="3" spans="1:38" ht="15.75" customHeight="1" thickBot="1" x14ac:dyDescent="0.25">
      <c r="A3" s="14"/>
      <c r="B3" s="14"/>
      <c r="C3" s="14"/>
      <c r="F3" s="205" t="s">
        <v>302</v>
      </c>
      <c r="G3" s="207"/>
      <c r="H3" s="206" t="s">
        <v>303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38" x14ac:dyDescent="0.2">
      <c r="A4" s="6" t="s">
        <v>1</v>
      </c>
      <c r="B4" s="648">
        <f>РПЗ!B4</f>
        <v>0</v>
      </c>
      <c r="C4" s="649"/>
      <c r="D4" s="111"/>
      <c r="E4" s="111"/>
      <c r="F4" s="111"/>
      <c r="G4" s="424"/>
      <c r="H4" s="112"/>
      <c r="I4" s="111"/>
      <c r="J4" s="112"/>
      <c r="K4" s="112"/>
      <c r="L4" s="112"/>
      <c r="M4" s="112"/>
      <c r="N4" s="112"/>
    </row>
    <row r="5" spans="1:38" x14ac:dyDescent="0.2">
      <c r="A5" s="7" t="s">
        <v>2</v>
      </c>
      <c r="B5" s="646">
        <f>РПЗ!B5</f>
        <v>0</v>
      </c>
      <c r="C5" s="647"/>
      <c r="D5" s="111"/>
      <c r="E5" s="111"/>
      <c r="F5" s="111"/>
      <c r="G5" s="424"/>
      <c r="H5" s="112"/>
      <c r="I5" s="111"/>
      <c r="J5" s="112"/>
      <c r="K5" s="112"/>
      <c r="L5" s="112"/>
      <c r="M5" s="112"/>
      <c r="N5" s="112"/>
    </row>
    <row r="6" spans="1:38" x14ac:dyDescent="0.2">
      <c r="A6" s="7" t="s">
        <v>3</v>
      </c>
      <c r="B6" s="646">
        <f>РПЗ!B6</f>
        <v>0</v>
      </c>
      <c r="C6" s="647"/>
      <c r="D6" s="111"/>
      <c r="E6" s="111"/>
      <c r="F6" s="111"/>
      <c r="G6" s="111"/>
      <c r="H6" s="112"/>
      <c r="I6" s="111"/>
      <c r="J6" s="112"/>
      <c r="K6" s="112"/>
      <c r="L6" s="112"/>
      <c r="M6" s="112"/>
      <c r="N6" s="112"/>
    </row>
    <row r="7" spans="1:38" x14ac:dyDescent="0.2">
      <c r="A7" s="7" t="s">
        <v>4</v>
      </c>
      <c r="B7" s="646">
        <f>РПЗ!B7</f>
        <v>0</v>
      </c>
      <c r="C7" s="647"/>
      <c r="D7" s="111"/>
      <c r="E7" s="111"/>
      <c r="F7" s="111"/>
      <c r="G7" s="111"/>
      <c r="H7" s="112"/>
      <c r="I7" s="111"/>
      <c r="J7" s="112"/>
      <c r="K7" s="112"/>
      <c r="L7" s="112"/>
      <c r="M7" s="112"/>
      <c r="N7" s="112"/>
    </row>
    <row r="8" spans="1:38" x14ac:dyDescent="0.2">
      <c r="A8" s="7" t="s">
        <v>5</v>
      </c>
      <c r="B8" s="646">
        <f>РПЗ!B8</f>
        <v>0</v>
      </c>
      <c r="C8" s="647"/>
      <c r="D8" s="111"/>
      <c r="E8" s="111"/>
      <c r="F8" s="111"/>
      <c r="G8" s="111"/>
      <c r="H8" s="112"/>
      <c r="I8" s="111"/>
      <c r="J8" s="112"/>
      <c r="K8" s="112"/>
      <c r="L8" s="112"/>
      <c r="M8" s="112"/>
      <c r="N8" s="112"/>
    </row>
    <row r="9" spans="1:38" x14ac:dyDescent="0.2">
      <c r="A9" s="7" t="s">
        <v>6</v>
      </c>
      <c r="B9" s="646">
        <f>РПЗ!B9</f>
        <v>0</v>
      </c>
      <c r="C9" s="647"/>
      <c r="D9" s="111"/>
      <c r="E9" s="111"/>
      <c r="F9" s="111"/>
      <c r="G9" s="111"/>
      <c r="H9" s="112"/>
      <c r="I9" s="111"/>
      <c r="J9" s="112"/>
      <c r="K9" s="112"/>
      <c r="L9" s="112"/>
      <c r="M9" s="112"/>
      <c r="N9" s="112"/>
    </row>
    <row r="10" spans="1:38" ht="13.5" thickBot="1" x14ac:dyDescent="0.25">
      <c r="A10" s="8" t="s">
        <v>7</v>
      </c>
      <c r="B10" s="650">
        <f>РПЗ!B10</f>
        <v>0</v>
      </c>
      <c r="C10" s="651"/>
    </row>
    <row r="11" spans="1:38" ht="13.5" thickBot="1" x14ac:dyDescent="0.25">
      <c r="A11" s="19"/>
      <c r="B11" s="136"/>
      <c r="C11" s="136"/>
    </row>
    <row r="12" spans="1:38" ht="26.25" thickBot="1" x14ac:dyDescent="0.25">
      <c r="B12" s="61" t="s">
        <v>117</v>
      </c>
      <c r="C12" s="76" t="s">
        <v>116</v>
      </c>
      <c r="D12" s="65" t="s">
        <v>118</v>
      </c>
      <c r="E12" s="77" t="s">
        <v>116</v>
      </c>
      <c r="G12" s="662" t="s">
        <v>280</v>
      </c>
      <c r="H12" s="663"/>
      <c r="I12" s="663"/>
      <c r="J12" s="663"/>
      <c r="K12" s="663"/>
      <c r="L12" s="663"/>
      <c r="M12" s="663"/>
      <c r="N12" s="664"/>
      <c r="O12" s="668" t="s">
        <v>281</v>
      </c>
      <c r="P12" s="669"/>
      <c r="Q12" s="669"/>
      <c r="R12" s="669"/>
      <c r="S12" s="669"/>
      <c r="T12" s="669"/>
      <c r="U12" s="669"/>
      <c r="V12" s="670"/>
      <c r="W12" s="674" t="s">
        <v>282</v>
      </c>
      <c r="X12" s="675"/>
      <c r="Y12" s="675"/>
      <c r="Z12" s="675"/>
      <c r="AA12" s="675"/>
      <c r="AB12" s="675"/>
      <c r="AC12" s="675"/>
      <c r="AD12" s="676"/>
      <c r="AE12" s="681" t="s">
        <v>283</v>
      </c>
      <c r="AF12" s="682"/>
      <c r="AG12" s="682"/>
      <c r="AH12" s="682"/>
      <c r="AI12" s="682"/>
      <c r="AJ12" s="682"/>
      <c r="AK12" s="682"/>
      <c r="AL12" s="683"/>
    </row>
    <row r="13" spans="1:38" ht="15.75" customHeight="1" thickBot="1" x14ac:dyDescent="0.25">
      <c r="B13" s="78">
        <f>SUM(B16:B35)+B38</f>
        <v>0</v>
      </c>
      <c r="C13" s="79">
        <v>1</v>
      </c>
      <c r="D13" s="363">
        <f>SUM(РПЗ!$L:$L)</f>
        <v>0</v>
      </c>
      <c r="E13" s="80">
        <v>1</v>
      </c>
      <c r="G13" s="665"/>
      <c r="H13" s="666"/>
      <c r="I13" s="666"/>
      <c r="J13" s="666"/>
      <c r="K13" s="666"/>
      <c r="L13" s="666"/>
      <c r="M13" s="666"/>
      <c r="N13" s="667"/>
      <c r="O13" s="671"/>
      <c r="P13" s="672"/>
      <c r="Q13" s="672"/>
      <c r="R13" s="672"/>
      <c r="S13" s="672"/>
      <c r="T13" s="672"/>
      <c r="U13" s="672"/>
      <c r="V13" s="673"/>
      <c r="W13" s="677"/>
      <c r="X13" s="678"/>
      <c r="Y13" s="678"/>
      <c r="Z13" s="678"/>
      <c r="AA13" s="678"/>
      <c r="AB13" s="678"/>
      <c r="AC13" s="678"/>
      <c r="AD13" s="679"/>
      <c r="AE13" s="684"/>
      <c r="AF13" s="685"/>
      <c r="AG13" s="685"/>
      <c r="AH13" s="685"/>
      <c r="AI13" s="685"/>
      <c r="AJ13" s="685"/>
      <c r="AK13" s="685"/>
      <c r="AL13" s="686"/>
    </row>
    <row r="14" spans="1:38" ht="18.75" customHeight="1" thickBot="1" x14ac:dyDescent="0.25">
      <c r="G14" s="658" t="str">
        <f>CONCATENATE(Справочно!$I3,ПП!$G$3)</f>
        <v xml:space="preserve">Январь </v>
      </c>
      <c r="H14" s="659"/>
      <c r="I14" s="659" t="str">
        <f>CONCATENATE(Справочно!$I4,ПП!$G$3)</f>
        <v xml:space="preserve">Февраль </v>
      </c>
      <c r="J14" s="659"/>
      <c r="K14" s="659" t="str">
        <f>CONCATENATE(Справочно!$I5,ПП!$G$3)</f>
        <v xml:space="preserve">Март </v>
      </c>
      <c r="L14" s="660"/>
      <c r="M14" s="661" t="s">
        <v>284</v>
      </c>
      <c r="N14" s="661"/>
      <c r="O14" s="658" t="str">
        <f>CONCATENATE(Справочно!$I6,ПП!$G$3)</f>
        <v xml:space="preserve">Апрель </v>
      </c>
      <c r="P14" s="659"/>
      <c r="Q14" s="658" t="str">
        <f>CONCATENATE(Справочно!$I7,ПП!$G$3)</f>
        <v xml:space="preserve">Май </v>
      </c>
      <c r="R14" s="659"/>
      <c r="S14" s="658" t="str">
        <f>CONCATENATE(Справочно!$I8,ПП!$G$3)</f>
        <v xml:space="preserve">Июнь </v>
      </c>
      <c r="T14" s="659"/>
      <c r="U14" s="661" t="s">
        <v>285</v>
      </c>
      <c r="V14" s="661"/>
      <c r="W14" s="658" t="str">
        <f>CONCATENATE(Справочно!$I9,ПП!$G$3)</f>
        <v xml:space="preserve">Июль </v>
      </c>
      <c r="X14" s="680"/>
      <c r="Y14" s="658" t="str">
        <f>CONCATENATE(Справочно!$I10,ПП!$G$3)</f>
        <v xml:space="preserve">Август </v>
      </c>
      <c r="Z14" s="660"/>
      <c r="AA14" s="658" t="str">
        <f>CONCATENATE(Справочно!$I11,ПП!$G$3)</f>
        <v xml:space="preserve">Сентябрь </v>
      </c>
      <c r="AB14" s="660"/>
      <c r="AC14" s="661" t="s">
        <v>286</v>
      </c>
      <c r="AD14" s="661"/>
      <c r="AE14" s="658" t="str">
        <f>CONCATENATE(Справочно!$I12,ПП!$G$3)</f>
        <v xml:space="preserve">Октябрь </v>
      </c>
      <c r="AF14" s="680"/>
      <c r="AG14" s="658" t="str">
        <f>CONCATENATE(Справочно!$I13,ПП!$G$3)</f>
        <v xml:space="preserve">Ноябрь </v>
      </c>
      <c r="AH14" s="660"/>
      <c r="AI14" s="687" t="str">
        <f>CONCATENATE(Справочно!$I14,ПП!$G$3)</f>
        <v xml:space="preserve">Декабрь </v>
      </c>
      <c r="AJ14" s="659"/>
      <c r="AK14" s="661" t="s">
        <v>287</v>
      </c>
      <c r="AL14" s="661"/>
    </row>
    <row r="15" spans="1:38" ht="26.25" thickBot="1" x14ac:dyDescent="0.25">
      <c r="A15" s="60" t="s">
        <v>9</v>
      </c>
      <c r="B15" s="61" t="s">
        <v>289</v>
      </c>
      <c r="C15" s="62" t="s">
        <v>241</v>
      </c>
      <c r="D15" s="61" t="s">
        <v>288</v>
      </c>
      <c r="E15" s="62" t="s">
        <v>243</v>
      </c>
      <c r="G15" s="139" t="s">
        <v>289</v>
      </c>
      <c r="H15" s="140" t="s">
        <v>288</v>
      </c>
      <c r="I15" s="140" t="s">
        <v>289</v>
      </c>
      <c r="J15" s="140" t="s">
        <v>288</v>
      </c>
      <c r="K15" s="140" t="s">
        <v>289</v>
      </c>
      <c r="L15" s="191" t="s">
        <v>288</v>
      </c>
      <c r="M15" s="173" t="s">
        <v>289</v>
      </c>
      <c r="N15" s="173" t="s">
        <v>288</v>
      </c>
      <c r="O15" s="139" t="s">
        <v>289</v>
      </c>
      <c r="P15" s="140" t="s">
        <v>288</v>
      </c>
      <c r="Q15" s="140" t="s">
        <v>289</v>
      </c>
      <c r="R15" s="140" t="s">
        <v>288</v>
      </c>
      <c r="S15" s="140" t="s">
        <v>289</v>
      </c>
      <c r="T15" s="191" t="s">
        <v>288</v>
      </c>
      <c r="U15" s="173" t="s">
        <v>289</v>
      </c>
      <c r="V15" s="173" t="s">
        <v>288</v>
      </c>
      <c r="W15" s="139" t="s">
        <v>289</v>
      </c>
      <c r="X15" s="191" t="s">
        <v>288</v>
      </c>
      <c r="Y15" s="423" t="s">
        <v>289</v>
      </c>
      <c r="Z15" s="422" t="s">
        <v>288</v>
      </c>
      <c r="AA15" s="423" t="s">
        <v>289</v>
      </c>
      <c r="AB15" s="422" t="s">
        <v>288</v>
      </c>
      <c r="AC15" s="173" t="s">
        <v>289</v>
      </c>
      <c r="AD15" s="173" t="s">
        <v>288</v>
      </c>
      <c r="AE15" s="139" t="s">
        <v>289</v>
      </c>
      <c r="AF15" s="191" t="s">
        <v>288</v>
      </c>
      <c r="AG15" s="423" t="s">
        <v>289</v>
      </c>
      <c r="AH15" s="422" t="s">
        <v>288</v>
      </c>
      <c r="AI15" s="427" t="s">
        <v>289</v>
      </c>
      <c r="AJ15" s="191" t="s">
        <v>288</v>
      </c>
      <c r="AK15" s="173" t="s">
        <v>289</v>
      </c>
      <c r="AL15" s="173" t="s">
        <v>288</v>
      </c>
    </row>
    <row r="16" spans="1:38" ht="13.5" thickBot="1" x14ac:dyDescent="0.25">
      <c r="A16" s="85" t="s">
        <v>99</v>
      </c>
      <c r="B16" s="72">
        <f>COUNTIF(РПЗ!$Q:$Q,Справочно!$C12)</f>
        <v>0</v>
      </c>
      <c r="C16" s="314" t="e">
        <f t="shared" ref="C16:C35" si="0">$B16/$B$13</f>
        <v>#DIV/0!</v>
      </c>
      <c r="D16" s="315">
        <f>SUMIF(РПЗ!$Q:$Q,Справочно!$C12,РПЗ!$L:$L)</f>
        <v>0</v>
      </c>
      <c r="E16" s="316" t="e">
        <f t="shared" ref="E16:E35" si="1">D16/$D$40</f>
        <v>#DIV/0!</v>
      </c>
      <c r="G16" s="148">
        <f>COUNTIFS(РПЗ!$Q:$Q,Справочно!$C12,РПЗ!$AF:$AF,1)</f>
        <v>0</v>
      </c>
      <c r="H16" s="297">
        <f>SUMIFS(РПЗ!$L:$L,РПЗ!$Q:$Q,Справочно!$C12,РПЗ!$AF:$AF,1)</f>
        <v>0</v>
      </c>
      <c r="I16" s="148">
        <f>COUNTIFS(РПЗ!$Q:$Q,Справочно!$C12,РПЗ!$AF:$AF,2)</f>
        <v>0</v>
      </c>
      <c r="J16" s="297">
        <f>SUMIFS(РПЗ!$L:$L,РПЗ!$Q:$Q,Справочно!$C12,РПЗ!$AF:$AF,2)</f>
        <v>0</v>
      </c>
      <c r="K16" s="148">
        <f>COUNTIFS(РПЗ!$Q:$Q,Справочно!$C12,РПЗ!$AF:$AF,3)</f>
        <v>0</v>
      </c>
      <c r="L16" s="297">
        <f>SUMIFS(РПЗ!$L:$L,РПЗ!$Q:$Q,Справочно!$C12,РПЗ!$AF:$AF,3)</f>
        <v>0</v>
      </c>
      <c r="M16" s="192">
        <f>SUM($G16,$I16,$K16)</f>
        <v>0</v>
      </c>
      <c r="N16" s="298">
        <f>SUM($H16,$J16,$L16)</f>
        <v>0</v>
      </c>
      <c r="O16" s="152">
        <f>COUNTIFS(РПЗ!$Q:$Q,Справочно!$C12,РПЗ!$AF:$AF,4)</f>
        <v>0</v>
      </c>
      <c r="P16" s="299">
        <f>SUMIFS(РПЗ!$L:$L,РПЗ!$Q:$Q,Справочно!$C12,РПЗ!$AF:$AF,4)</f>
        <v>0</v>
      </c>
      <c r="Q16" s="152">
        <f>COUNTIFS(РПЗ!$Q:$Q,Справочно!$C12,РПЗ!$AF:$AF,5)</f>
        <v>0</v>
      </c>
      <c r="R16" s="299">
        <f>SUMIFS(РПЗ!$L:$L,РПЗ!$Q:$Q,Справочно!$C12,РПЗ!$AF:$AF,5)</f>
        <v>0</v>
      </c>
      <c r="S16" s="152">
        <f>COUNTIFS(РПЗ!$Q:$Q,Справочно!$C12,РПЗ!$AF:$AF,6)</f>
        <v>0</v>
      </c>
      <c r="T16" s="299">
        <f>SUMIFS(РПЗ!$L:$L,РПЗ!$Q:$Q,Справочно!$C12,РПЗ!$AF:$AF,6)</f>
        <v>0</v>
      </c>
      <c r="U16" s="196">
        <f>SUM($O16,$Q16,$S16)</f>
        <v>0</v>
      </c>
      <c r="V16" s="300">
        <f>SUM($P16,$R16,$T16)</f>
        <v>0</v>
      </c>
      <c r="W16" s="146">
        <f>COUNTIFS(РПЗ!$Q:$Q,Справочно!$C12,РПЗ!$AF:$AF,7)</f>
        <v>0</v>
      </c>
      <c r="X16" s="301">
        <f>SUMIFS(РПЗ!$L:$L,РПЗ!$Q:$Q,Справочно!$C12,РПЗ!$AF:$AF,7)</f>
        <v>0</v>
      </c>
      <c r="Y16" s="146">
        <f>COUNTIFS(РПЗ!$Q:$Q,Справочно!$C12,РПЗ!$AF:$AF,8)</f>
        <v>0</v>
      </c>
      <c r="Z16" s="301">
        <f>SUMIFS(РПЗ!$L:$L,РПЗ!$Q:$Q,Справочно!$C12,РПЗ!$AF:$AF,8)</f>
        <v>0</v>
      </c>
      <c r="AA16" s="146">
        <f>COUNTIFS(РПЗ!$Q:$Q,Справочно!$C12,РПЗ!$AF:$AF,9)</f>
        <v>0</v>
      </c>
      <c r="AB16" s="301">
        <f>SUMIFS(РПЗ!$L:$L,РПЗ!$Q:$Q,Справочно!$C12,РПЗ!$AF:$AF,9)</f>
        <v>0</v>
      </c>
      <c r="AC16" s="197">
        <f>SUM($W16,$Y16,$AA16)</f>
        <v>0</v>
      </c>
      <c r="AD16" s="302">
        <f>SUM($X16,$Z16,$AB16)</f>
        <v>0</v>
      </c>
      <c r="AE16" s="154">
        <f>COUNTIFS(РПЗ!$Q:$Q,Справочно!$C12,РПЗ!$AF:$AF,10)</f>
        <v>0</v>
      </c>
      <c r="AF16" s="303">
        <f>SUMIFS(РПЗ!$L:$L,РПЗ!$Q:$Q,Справочно!$C12,РПЗ!$AF:$AF,10)</f>
        <v>0</v>
      </c>
      <c r="AG16" s="154">
        <f>COUNTIFS(РПЗ!$Q:$Q,Справочно!$C12,РПЗ!$AF:$AF,11)</f>
        <v>0</v>
      </c>
      <c r="AH16" s="303">
        <f>SUMIFS(РПЗ!$L:$L,РПЗ!$Q:$Q,Справочно!$C12,РПЗ!$AF:$AF,11)</f>
        <v>0</v>
      </c>
      <c r="AI16" s="154">
        <f>COUNTIFS(РПЗ!$Q:$Q,Справочно!$C12,РПЗ!$AF:$AF,12)</f>
        <v>0</v>
      </c>
      <c r="AJ16" s="303">
        <f>SUMIFS(РПЗ!$L:$L,РПЗ!$Q:$Q,Справочно!$C12,РПЗ!$AF:$AF,12)</f>
        <v>0</v>
      </c>
      <c r="AK16" s="201">
        <f>SUM($AE16,$AG16,$AI16)</f>
        <v>0</v>
      </c>
      <c r="AL16" s="304">
        <f>SUM($AF16,$AH16,$AJ16)</f>
        <v>0</v>
      </c>
    </row>
    <row r="17" spans="1:38" ht="13.5" thickBot="1" x14ac:dyDescent="0.25">
      <c r="A17" s="86" t="s">
        <v>248</v>
      </c>
      <c r="B17" s="72">
        <f>COUNTIF(РПЗ!$Q:$Q,Справочно!$C13)</f>
        <v>0</v>
      </c>
      <c r="C17" s="314" t="e">
        <f t="shared" si="0"/>
        <v>#DIV/0!</v>
      </c>
      <c r="D17" s="317">
        <f>SUMIF(РПЗ!$Q:$Q,Справочно!$C13,РПЗ!$L:$L)</f>
        <v>0</v>
      </c>
      <c r="E17" s="316" t="e">
        <f t="shared" si="1"/>
        <v>#DIV/0!</v>
      </c>
      <c r="G17" s="149">
        <f>COUNTIFS(РПЗ!$Q:$Q,Справочно!$C13,РПЗ!$AF:$AF,1)</f>
        <v>0</v>
      </c>
      <c r="H17" s="305">
        <f>SUMIFS(РПЗ!$L:$L,РПЗ!$Q:$Q,Справочно!$C13,РПЗ!$AF:$AF,1)</f>
        <v>0</v>
      </c>
      <c r="I17" s="149">
        <f>COUNTIFS(РПЗ!$Q:$Q,Справочно!$C13,РПЗ!$AF:$AF,2)</f>
        <v>0</v>
      </c>
      <c r="J17" s="305">
        <f>SUMIFS(РПЗ!$L:$L,РПЗ!$Q:$Q,Справочно!$C13,РПЗ!$AF:$AF,2)</f>
        <v>0</v>
      </c>
      <c r="K17" s="149">
        <f>COUNTIFS(РПЗ!$Q:$Q,Справочно!$C13,РПЗ!$AF:$AF,3)</f>
        <v>0</v>
      </c>
      <c r="L17" s="305">
        <f>SUMIFS(РПЗ!$L:$L,РПЗ!$Q:$Q,Справочно!$C13,РПЗ!$AF:$AF,3)</f>
        <v>0</v>
      </c>
      <c r="M17" s="192">
        <f t="shared" ref="M17:M35" si="2">SUM($G17,$I17,$K17)</f>
        <v>0</v>
      </c>
      <c r="N17" s="298">
        <f t="shared" ref="N17:N35" si="3">SUM($H17,$J17,$L17)</f>
        <v>0</v>
      </c>
      <c r="O17" s="152">
        <f>COUNTIFS(РПЗ!$Q:$Q,Справочно!$C13,РПЗ!$AF:$AF,4)</f>
        <v>0</v>
      </c>
      <c r="P17" s="299">
        <f>SUMIFS(РПЗ!$L:$L,РПЗ!$Q:$Q,Справочно!$C13,РПЗ!$AF:$AF,4)</f>
        <v>0</v>
      </c>
      <c r="Q17" s="152">
        <f>COUNTIFS(РПЗ!$Q:$Q,Справочно!$C13,РПЗ!$AF:$AF,5)</f>
        <v>0</v>
      </c>
      <c r="R17" s="299">
        <f>SUMIFS(РПЗ!$L:$L,РПЗ!$Q:$Q,Справочно!$C13,РПЗ!$AF:$AF,5)</f>
        <v>0</v>
      </c>
      <c r="S17" s="152">
        <f>COUNTIFS(РПЗ!$Q:$Q,Справочно!$C13,РПЗ!$AF:$AF,6)</f>
        <v>0</v>
      </c>
      <c r="T17" s="299">
        <f>SUMIFS(РПЗ!$L:$L,РПЗ!$Q:$Q,Справочно!$C13,РПЗ!$AF:$AF,6)</f>
        <v>0</v>
      </c>
      <c r="U17" s="196">
        <f t="shared" ref="U17:U35" si="4">SUM($O17,$Q17,$S17)</f>
        <v>0</v>
      </c>
      <c r="V17" s="300">
        <f t="shared" ref="V17:V35" si="5">SUM($P17,$R17,$T17)</f>
        <v>0</v>
      </c>
      <c r="W17" s="146">
        <f>COUNTIFS(РПЗ!$Q:$Q,Справочно!$C13,РПЗ!$AF:$AF,7)</f>
        <v>0</v>
      </c>
      <c r="X17" s="301">
        <f>SUMIFS(РПЗ!$L:$L,РПЗ!$Q:$Q,Справочно!$C13,РПЗ!$AF:$AF,7)</f>
        <v>0</v>
      </c>
      <c r="Y17" s="146">
        <f>COUNTIFS(РПЗ!$Q:$Q,Справочно!$C13,РПЗ!$AF:$AF,8)</f>
        <v>0</v>
      </c>
      <c r="Z17" s="301">
        <f>SUMIFS(РПЗ!$L:$L,РПЗ!$Q:$Q,Справочно!$C13,РПЗ!$AF:$AF,8)</f>
        <v>0</v>
      </c>
      <c r="AA17" s="146">
        <f>COUNTIFS(РПЗ!$Q:$Q,Справочно!$C13,РПЗ!$AF:$AF,9)</f>
        <v>0</v>
      </c>
      <c r="AB17" s="301">
        <f>SUMIFS(РПЗ!$L:$L,РПЗ!$Q:$Q,Справочно!$C13,РПЗ!$AF:$AF,9)</f>
        <v>0</v>
      </c>
      <c r="AC17" s="197">
        <f t="shared" ref="AC17:AC35" si="6">SUM($W17,$Y17,$AA17)</f>
        <v>0</v>
      </c>
      <c r="AD17" s="302">
        <f t="shared" ref="AD17:AD35" si="7">SUM($X17,$Z17,$AB17)</f>
        <v>0</v>
      </c>
      <c r="AE17" s="154">
        <f>COUNTIFS(РПЗ!$Q:$Q,Справочно!$C13,РПЗ!$AF:$AF,10)</f>
        <v>0</v>
      </c>
      <c r="AF17" s="303">
        <f>SUMIFS(РПЗ!$L:$L,РПЗ!$Q:$Q,Справочно!$C13,РПЗ!$AF:$AF,10)</f>
        <v>0</v>
      </c>
      <c r="AG17" s="154">
        <f>COUNTIFS(РПЗ!$Q:$Q,Справочно!$C13,РПЗ!$AF:$AF,11)</f>
        <v>0</v>
      </c>
      <c r="AH17" s="303">
        <f>SUMIFS(РПЗ!$L:$L,РПЗ!$Q:$Q,Справочно!$C13,РПЗ!$AF:$AF,11)</f>
        <v>0</v>
      </c>
      <c r="AI17" s="154">
        <f>COUNTIFS(РПЗ!$Q:$Q,Справочно!$C13,РПЗ!$AF:$AF,12)</f>
        <v>0</v>
      </c>
      <c r="AJ17" s="303">
        <f>SUMIFS(РПЗ!$L:$L,РПЗ!$Q:$Q,Справочно!$C13,РПЗ!$AF:$AF,12)</f>
        <v>0</v>
      </c>
      <c r="AK17" s="201">
        <f t="shared" ref="AK17:AK35" si="8">SUM($AE17,$AG17,$AI17)</f>
        <v>0</v>
      </c>
      <c r="AL17" s="304">
        <f t="shared" ref="AL17:AL35" si="9">SUM($AF17,$AH17,$AJ17)</f>
        <v>0</v>
      </c>
    </row>
    <row r="18" spans="1:38" ht="12.75" customHeight="1" thickBot="1" x14ac:dyDescent="0.25">
      <c r="A18" s="86" t="s">
        <v>101</v>
      </c>
      <c r="B18" s="272">
        <f>COUNTIF(РПЗ!$Q:$Q,Справочно!$C14)</f>
        <v>0</v>
      </c>
      <c r="C18" s="314" t="e">
        <f t="shared" si="0"/>
        <v>#DIV/0!</v>
      </c>
      <c r="D18" s="317">
        <f>SUMIF(РПЗ!$Q:$Q,Справочно!$C14,РПЗ!$L:$L)</f>
        <v>0</v>
      </c>
      <c r="E18" s="316" t="e">
        <f t="shared" si="1"/>
        <v>#DIV/0!</v>
      </c>
      <c r="G18" s="149">
        <f>COUNTIFS(РПЗ!$Q:$Q,Справочно!$C14,РПЗ!$AF:$AF,1)</f>
        <v>0</v>
      </c>
      <c r="H18" s="305">
        <f>SUMIFS(РПЗ!$L:$L,РПЗ!$Q:$Q,Справочно!$C14,РПЗ!$AF:$AF,1)</f>
        <v>0</v>
      </c>
      <c r="I18" s="149">
        <f>COUNTIFS(РПЗ!$Q:$Q,Справочно!$C14,РПЗ!$AF:$AF,2)</f>
        <v>0</v>
      </c>
      <c r="J18" s="305">
        <f>SUMIFS(РПЗ!$L:$L,РПЗ!$Q:$Q,Справочно!$C14,РПЗ!$AF:$AF,2)</f>
        <v>0</v>
      </c>
      <c r="K18" s="149">
        <f>COUNTIFS(РПЗ!$Q:$Q,Справочно!$C14,РПЗ!$AF:$AF,3)</f>
        <v>0</v>
      </c>
      <c r="L18" s="305">
        <f>SUMIFS(РПЗ!$L:$L,РПЗ!$Q:$Q,Справочно!$C14,РПЗ!$AF:$AF,3)</f>
        <v>0</v>
      </c>
      <c r="M18" s="192">
        <f t="shared" si="2"/>
        <v>0</v>
      </c>
      <c r="N18" s="298">
        <f t="shared" si="3"/>
        <v>0</v>
      </c>
      <c r="O18" s="152">
        <f>COUNTIFS(РПЗ!$Q:$Q,Справочно!$C14,РПЗ!$AF:$AF,4)</f>
        <v>0</v>
      </c>
      <c r="P18" s="299">
        <f>SUMIFS(РПЗ!$L:$L,РПЗ!$Q:$Q,Справочно!$C14,РПЗ!$AF:$AF,4)</f>
        <v>0</v>
      </c>
      <c r="Q18" s="152">
        <f>COUNTIFS(РПЗ!$Q:$Q,Справочно!$C14,РПЗ!$AF:$AF,5)</f>
        <v>0</v>
      </c>
      <c r="R18" s="299">
        <f>SUMIFS(РПЗ!$L:$L,РПЗ!$Q:$Q,Справочно!$C14,РПЗ!$AF:$AF,5)</f>
        <v>0</v>
      </c>
      <c r="S18" s="152">
        <f>COUNTIFS(РПЗ!$Q:$Q,Справочно!$C14,РПЗ!$AF:$AF,6)</f>
        <v>0</v>
      </c>
      <c r="T18" s="299">
        <f>SUMIFS(РПЗ!$L:$L,РПЗ!$Q:$Q,Справочно!$C14,РПЗ!$AF:$AF,6)</f>
        <v>0</v>
      </c>
      <c r="U18" s="196">
        <f t="shared" si="4"/>
        <v>0</v>
      </c>
      <c r="V18" s="300">
        <f t="shared" si="5"/>
        <v>0</v>
      </c>
      <c r="W18" s="146">
        <f>COUNTIFS(РПЗ!$Q:$Q,Справочно!$C14,РПЗ!$AF:$AF,7)</f>
        <v>0</v>
      </c>
      <c r="X18" s="301">
        <f>SUMIFS(РПЗ!$L:$L,РПЗ!$Q:$Q,Справочно!$C14,РПЗ!$AF:$AF,7)</f>
        <v>0</v>
      </c>
      <c r="Y18" s="146">
        <f>COUNTIFS(РПЗ!$Q:$Q,Справочно!$C14,РПЗ!$AF:$AF,8)</f>
        <v>0</v>
      </c>
      <c r="Z18" s="301">
        <f>SUMIFS(РПЗ!$L:$L,РПЗ!$Q:$Q,Справочно!$C14,РПЗ!$AF:$AF,8)</f>
        <v>0</v>
      </c>
      <c r="AA18" s="146">
        <f>COUNTIFS(РПЗ!$Q:$Q,Справочно!$C14,РПЗ!$AF:$AF,9)</f>
        <v>0</v>
      </c>
      <c r="AB18" s="301">
        <f>SUMIFS(РПЗ!$L:$L,РПЗ!$Q:$Q,Справочно!$C14,РПЗ!$AF:$AF,9)</f>
        <v>0</v>
      </c>
      <c r="AC18" s="197">
        <f t="shared" si="6"/>
        <v>0</v>
      </c>
      <c r="AD18" s="302">
        <f t="shared" si="7"/>
        <v>0</v>
      </c>
      <c r="AE18" s="154">
        <f>COUNTIFS(РПЗ!$Q:$Q,Справочно!$C14,РПЗ!$AF:$AF,10)</f>
        <v>0</v>
      </c>
      <c r="AF18" s="303">
        <f>SUMIFS(РПЗ!$L:$L,РПЗ!$Q:$Q,Справочно!$C14,РПЗ!$AF:$AF,10)</f>
        <v>0</v>
      </c>
      <c r="AG18" s="154">
        <f>COUNTIFS(РПЗ!$Q:$Q,Справочно!$C14,РПЗ!$AF:$AF,11)</f>
        <v>0</v>
      </c>
      <c r="AH18" s="303">
        <f>SUMIFS(РПЗ!$L:$L,РПЗ!$Q:$Q,Справочно!$C14,РПЗ!$AF:$AF,11)</f>
        <v>0</v>
      </c>
      <c r="AI18" s="154">
        <f>COUNTIFS(РПЗ!$Q:$Q,Справочно!$C14,РПЗ!$AF:$AF,12)</f>
        <v>0</v>
      </c>
      <c r="AJ18" s="303">
        <f>SUMIFS(РПЗ!$L:$L,РПЗ!$Q:$Q,Справочно!$C14,РПЗ!$AF:$AF,12)</f>
        <v>0</v>
      </c>
      <c r="AK18" s="201">
        <f t="shared" si="8"/>
        <v>0</v>
      </c>
      <c r="AL18" s="304">
        <f t="shared" si="9"/>
        <v>0</v>
      </c>
    </row>
    <row r="19" spans="1:38" ht="13.5" thickBot="1" x14ac:dyDescent="0.25">
      <c r="A19" s="86" t="s">
        <v>249</v>
      </c>
      <c r="B19" s="272">
        <f>COUNTIF(РПЗ!$Q:$Q,Справочно!$C15)</f>
        <v>0</v>
      </c>
      <c r="C19" s="314" t="e">
        <f t="shared" si="0"/>
        <v>#DIV/0!</v>
      </c>
      <c r="D19" s="317">
        <f>SUMIF(РПЗ!$Q:$Q,Справочно!$C15,РПЗ!$L:$L)</f>
        <v>0</v>
      </c>
      <c r="E19" s="316" t="e">
        <f t="shared" si="1"/>
        <v>#DIV/0!</v>
      </c>
      <c r="G19" s="149">
        <f>COUNTIFS(РПЗ!$Q:$Q,Справочно!$C15,РПЗ!$AF:$AF,1)</f>
        <v>0</v>
      </c>
      <c r="H19" s="305">
        <f>SUMIFS(РПЗ!$L:$L,РПЗ!$Q:$Q,Справочно!$C15,РПЗ!$AF:$AF,1)</f>
        <v>0</v>
      </c>
      <c r="I19" s="149">
        <f>COUNTIFS(РПЗ!$Q:$Q,Справочно!$C15,РПЗ!$AF:$AF,2)</f>
        <v>0</v>
      </c>
      <c r="J19" s="305">
        <f>SUMIFS(РПЗ!$L:$L,РПЗ!$Q:$Q,Справочно!$C15,РПЗ!$AF:$AF,2)</f>
        <v>0</v>
      </c>
      <c r="K19" s="149">
        <f>COUNTIFS(РПЗ!$Q:$Q,Справочно!$C15,РПЗ!$AF:$AF,3)</f>
        <v>0</v>
      </c>
      <c r="L19" s="305">
        <f>SUMIFS(РПЗ!$L:$L,РПЗ!$Q:$Q,Справочно!$C15,РПЗ!$AF:$AF,3)</f>
        <v>0</v>
      </c>
      <c r="M19" s="192">
        <f t="shared" si="2"/>
        <v>0</v>
      </c>
      <c r="N19" s="298">
        <f t="shared" si="3"/>
        <v>0</v>
      </c>
      <c r="O19" s="152">
        <f>COUNTIFS(РПЗ!$Q:$Q,Справочно!$C15,РПЗ!$AF:$AF,4)</f>
        <v>0</v>
      </c>
      <c r="P19" s="299">
        <f>SUMIFS(РПЗ!$L:$L,РПЗ!$Q:$Q,Справочно!$C15,РПЗ!$AF:$AF,4)</f>
        <v>0</v>
      </c>
      <c r="Q19" s="152">
        <f>COUNTIFS(РПЗ!$Q:$Q,Справочно!$C15,РПЗ!$AF:$AF,5)</f>
        <v>0</v>
      </c>
      <c r="R19" s="299">
        <f>SUMIFS(РПЗ!$L:$L,РПЗ!$Q:$Q,Справочно!$C15,РПЗ!$AF:$AF,5)</f>
        <v>0</v>
      </c>
      <c r="S19" s="152">
        <f>COUNTIFS(РПЗ!$Q:$Q,Справочно!$C15,РПЗ!$AF:$AF,6)</f>
        <v>0</v>
      </c>
      <c r="T19" s="299">
        <f>SUMIFS(РПЗ!$L:$L,РПЗ!$Q:$Q,Справочно!$C15,РПЗ!$AF:$AF,6)</f>
        <v>0</v>
      </c>
      <c r="U19" s="196">
        <f t="shared" si="4"/>
        <v>0</v>
      </c>
      <c r="V19" s="300">
        <f t="shared" si="5"/>
        <v>0</v>
      </c>
      <c r="W19" s="146">
        <f>COUNTIFS(РПЗ!$Q:$Q,Справочно!$C15,РПЗ!$AF:$AF,7)</f>
        <v>0</v>
      </c>
      <c r="X19" s="301">
        <f>SUMIFS(РПЗ!$L:$L,РПЗ!$Q:$Q,Справочно!$C15,РПЗ!$AF:$AF,7)</f>
        <v>0</v>
      </c>
      <c r="Y19" s="146">
        <f>COUNTIFS(РПЗ!$Q:$Q,Справочно!$C15,РПЗ!$AF:$AF,8)</f>
        <v>0</v>
      </c>
      <c r="Z19" s="301">
        <f>SUMIFS(РПЗ!$L:$L,РПЗ!$Q:$Q,Справочно!$C15,РПЗ!$AF:$AF,8)</f>
        <v>0</v>
      </c>
      <c r="AA19" s="146">
        <f>COUNTIFS(РПЗ!$Q:$Q,Справочно!$C15,РПЗ!$AF:$AF,9)</f>
        <v>0</v>
      </c>
      <c r="AB19" s="301">
        <f>SUMIFS(РПЗ!$L:$L,РПЗ!$Q:$Q,Справочно!$C15,РПЗ!$AF:$AF,9)</f>
        <v>0</v>
      </c>
      <c r="AC19" s="197">
        <f t="shared" si="6"/>
        <v>0</v>
      </c>
      <c r="AD19" s="302">
        <f t="shared" si="7"/>
        <v>0</v>
      </c>
      <c r="AE19" s="154">
        <f>COUNTIFS(РПЗ!$Q:$Q,Справочно!$C15,РПЗ!$AF:$AF,10)</f>
        <v>0</v>
      </c>
      <c r="AF19" s="303">
        <f>SUMIFS(РПЗ!$L:$L,РПЗ!$Q:$Q,Справочно!$C15,РПЗ!$AF:$AF,10)</f>
        <v>0</v>
      </c>
      <c r="AG19" s="154">
        <f>COUNTIFS(РПЗ!$Q:$Q,Справочно!$C15,РПЗ!$AF:$AF,11)</f>
        <v>0</v>
      </c>
      <c r="AH19" s="303">
        <f>SUMIFS(РПЗ!$L:$L,РПЗ!$Q:$Q,Справочно!$C15,РПЗ!$AF:$AF,11)</f>
        <v>0</v>
      </c>
      <c r="AI19" s="154">
        <f>COUNTIFS(РПЗ!$Q:$Q,Справочно!$C15,РПЗ!$AF:$AF,12)</f>
        <v>0</v>
      </c>
      <c r="AJ19" s="303">
        <f>SUMIFS(РПЗ!$L:$L,РПЗ!$Q:$Q,Справочно!$C15,РПЗ!$AF:$AF,12)</f>
        <v>0</v>
      </c>
      <c r="AK19" s="201">
        <f t="shared" si="8"/>
        <v>0</v>
      </c>
      <c r="AL19" s="304">
        <f t="shared" si="9"/>
        <v>0</v>
      </c>
    </row>
    <row r="20" spans="1:38" ht="13.5" thickBot="1" x14ac:dyDescent="0.25">
      <c r="A20" s="86" t="s">
        <v>103</v>
      </c>
      <c r="B20" s="272">
        <f>COUNTIF(РПЗ!$Q:$Q,Справочно!$C16)</f>
        <v>0</v>
      </c>
      <c r="C20" s="314" t="e">
        <f t="shared" si="0"/>
        <v>#DIV/0!</v>
      </c>
      <c r="D20" s="317">
        <f>SUMIF(РПЗ!$Q:$Q,Справочно!$C16,РПЗ!$L:$L)</f>
        <v>0</v>
      </c>
      <c r="E20" s="316" t="e">
        <f t="shared" si="1"/>
        <v>#DIV/0!</v>
      </c>
      <c r="G20" s="149">
        <f>COUNTIFS(РПЗ!$Q:$Q,Справочно!$C16,РПЗ!$AF:$AF,1)</f>
        <v>0</v>
      </c>
      <c r="H20" s="305">
        <f>SUMIFS(РПЗ!$L:$L,РПЗ!$Q:$Q,Справочно!$C16,РПЗ!$AF:$AF,1)</f>
        <v>0</v>
      </c>
      <c r="I20" s="149">
        <f>COUNTIFS(РПЗ!$Q:$Q,Справочно!$C16,РПЗ!$AF:$AF,2)</f>
        <v>0</v>
      </c>
      <c r="J20" s="305">
        <f>SUMIFS(РПЗ!$L:$L,РПЗ!$Q:$Q,Справочно!$C16,РПЗ!$AF:$AF,2)</f>
        <v>0</v>
      </c>
      <c r="K20" s="149">
        <f>COUNTIFS(РПЗ!$Q:$Q,Справочно!$C16,РПЗ!$AF:$AF,3)</f>
        <v>0</v>
      </c>
      <c r="L20" s="305">
        <f>SUMIFS(РПЗ!$L:$L,РПЗ!$Q:$Q,Справочно!$C16,РПЗ!$AF:$AF,3)</f>
        <v>0</v>
      </c>
      <c r="M20" s="192">
        <f t="shared" si="2"/>
        <v>0</v>
      </c>
      <c r="N20" s="298">
        <f t="shared" si="3"/>
        <v>0</v>
      </c>
      <c r="O20" s="152">
        <f>COUNTIFS(РПЗ!$Q:$Q,Справочно!$C16,РПЗ!$AF:$AF,4)</f>
        <v>0</v>
      </c>
      <c r="P20" s="299">
        <f>SUMIFS(РПЗ!$L:$L,РПЗ!$Q:$Q,Справочно!$C16,РПЗ!$AF:$AF,4)</f>
        <v>0</v>
      </c>
      <c r="Q20" s="152">
        <f>COUNTIFS(РПЗ!$Q:$Q,Справочно!$C16,РПЗ!$AF:$AF,5)</f>
        <v>0</v>
      </c>
      <c r="R20" s="299">
        <f>SUMIFS(РПЗ!$L:$L,РПЗ!$Q:$Q,Справочно!$C16,РПЗ!$AF:$AF,5)</f>
        <v>0</v>
      </c>
      <c r="S20" s="152">
        <f>COUNTIFS(РПЗ!$Q:$Q,Справочно!$C16,РПЗ!$AF:$AF,6)</f>
        <v>0</v>
      </c>
      <c r="T20" s="299">
        <f>SUMIFS(РПЗ!$L:$L,РПЗ!$Q:$Q,Справочно!$C16,РПЗ!$AF:$AF,6)</f>
        <v>0</v>
      </c>
      <c r="U20" s="196">
        <f t="shared" si="4"/>
        <v>0</v>
      </c>
      <c r="V20" s="300">
        <f t="shared" si="5"/>
        <v>0</v>
      </c>
      <c r="W20" s="146">
        <f>COUNTIFS(РПЗ!$Q:$Q,Справочно!$C16,РПЗ!$AF:$AF,7)</f>
        <v>0</v>
      </c>
      <c r="X20" s="301">
        <f>SUMIFS(РПЗ!$L:$L,РПЗ!$Q:$Q,Справочно!$C16,РПЗ!$AF:$AF,7)</f>
        <v>0</v>
      </c>
      <c r="Y20" s="146">
        <f>COUNTIFS(РПЗ!$Q:$Q,Справочно!$C16,РПЗ!$AF:$AF,8)</f>
        <v>0</v>
      </c>
      <c r="Z20" s="301">
        <f>SUMIFS(РПЗ!$L:$L,РПЗ!$Q:$Q,Справочно!$C16,РПЗ!$AF:$AF,8)</f>
        <v>0</v>
      </c>
      <c r="AA20" s="146">
        <f>COUNTIFS(РПЗ!$Q:$Q,Справочно!$C16,РПЗ!$AF:$AF,9)</f>
        <v>0</v>
      </c>
      <c r="AB20" s="301">
        <f>SUMIFS(РПЗ!$L:$L,РПЗ!$Q:$Q,Справочно!$C16,РПЗ!$AF:$AF,9)</f>
        <v>0</v>
      </c>
      <c r="AC20" s="197">
        <f t="shared" si="6"/>
        <v>0</v>
      </c>
      <c r="AD20" s="302">
        <f t="shared" si="7"/>
        <v>0</v>
      </c>
      <c r="AE20" s="154">
        <f>COUNTIFS(РПЗ!$Q:$Q,Справочно!$C16,РПЗ!$AF:$AF,10)</f>
        <v>0</v>
      </c>
      <c r="AF20" s="303">
        <f>SUMIFS(РПЗ!$L:$L,РПЗ!$Q:$Q,Справочно!$C16,РПЗ!$AF:$AF,10)</f>
        <v>0</v>
      </c>
      <c r="AG20" s="154">
        <f>COUNTIFS(РПЗ!$Q:$Q,Справочно!$C16,РПЗ!$AF:$AF,11)</f>
        <v>0</v>
      </c>
      <c r="AH20" s="303">
        <f>SUMIFS(РПЗ!$L:$L,РПЗ!$Q:$Q,Справочно!$C16,РПЗ!$AF:$AF,11)</f>
        <v>0</v>
      </c>
      <c r="AI20" s="154">
        <f>COUNTIFS(РПЗ!$Q:$Q,Справочно!$C16,РПЗ!$AF:$AF,12)</f>
        <v>0</v>
      </c>
      <c r="AJ20" s="303">
        <f>SUMIFS(РПЗ!$L:$L,РПЗ!$Q:$Q,Справочно!$C16,РПЗ!$AF:$AF,12)</f>
        <v>0</v>
      </c>
      <c r="AK20" s="201">
        <f t="shared" si="8"/>
        <v>0</v>
      </c>
      <c r="AL20" s="304">
        <f t="shared" si="9"/>
        <v>0</v>
      </c>
    </row>
    <row r="21" spans="1:38" ht="13.5" thickBot="1" x14ac:dyDescent="0.25">
      <c r="A21" s="86" t="s">
        <v>250</v>
      </c>
      <c r="B21" s="272">
        <f>COUNTIF(РПЗ!$Q:$Q,Справочно!$C17)</f>
        <v>0</v>
      </c>
      <c r="C21" s="314" t="e">
        <f t="shared" si="0"/>
        <v>#DIV/0!</v>
      </c>
      <c r="D21" s="317">
        <f>SUMIF(РПЗ!$Q:$Q,Справочно!$C17,РПЗ!$L:$L)</f>
        <v>0</v>
      </c>
      <c r="E21" s="316" t="e">
        <f t="shared" si="1"/>
        <v>#DIV/0!</v>
      </c>
      <c r="G21" s="149">
        <f>COUNTIFS(РПЗ!$Q:$Q,Справочно!$C17,РПЗ!$AF:$AF,1)</f>
        <v>0</v>
      </c>
      <c r="H21" s="305">
        <f>SUMIFS(РПЗ!$L:$L,РПЗ!$Q:$Q,Справочно!$C17,РПЗ!$AF:$AF,1)</f>
        <v>0</v>
      </c>
      <c r="I21" s="149">
        <f>COUNTIFS(РПЗ!$Q:$Q,Справочно!$C17,РПЗ!$AF:$AF,2)</f>
        <v>0</v>
      </c>
      <c r="J21" s="305">
        <f>SUMIFS(РПЗ!$L:$L,РПЗ!$Q:$Q,Справочно!$C17,РПЗ!$AF:$AF,2)</f>
        <v>0</v>
      </c>
      <c r="K21" s="149">
        <f>COUNTIFS(РПЗ!$Q:$Q,Справочно!$C17,РПЗ!$AF:$AF,3)</f>
        <v>0</v>
      </c>
      <c r="L21" s="305">
        <f>SUMIFS(РПЗ!$L:$L,РПЗ!$Q:$Q,Справочно!$C17,РПЗ!$AF:$AF,3)</f>
        <v>0</v>
      </c>
      <c r="M21" s="192">
        <f t="shared" si="2"/>
        <v>0</v>
      </c>
      <c r="N21" s="298">
        <f t="shared" si="3"/>
        <v>0</v>
      </c>
      <c r="O21" s="152">
        <f>COUNTIFS(РПЗ!$Q:$Q,Справочно!$C17,РПЗ!$AF:$AF,4)</f>
        <v>0</v>
      </c>
      <c r="P21" s="299">
        <f>SUMIFS(РПЗ!$L:$L,РПЗ!$Q:$Q,Справочно!$C17,РПЗ!$AF:$AF,4)</f>
        <v>0</v>
      </c>
      <c r="Q21" s="152">
        <f>COUNTIFS(РПЗ!$Q:$Q,Справочно!$C17,РПЗ!$AF:$AF,5)</f>
        <v>0</v>
      </c>
      <c r="R21" s="299">
        <f>SUMIFS(РПЗ!$L:$L,РПЗ!$Q:$Q,Справочно!$C17,РПЗ!$AF:$AF,5)</f>
        <v>0</v>
      </c>
      <c r="S21" s="152">
        <f>COUNTIFS(РПЗ!$Q:$Q,Справочно!$C17,РПЗ!$AF:$AF,6)</f>
        <v>0</v>
      </c>
      <c r="T21" s="299">
        <f>SUMIFS(РПЗ!$L:$L,РПЗ!$Q:$Q,Справочно!$C17,РПЗ!$AF:$AF,6)</f>
        <v>0</v>
      </c>
      <c r="U21" s="196">
        <f t="shared" si="4"/>
        <v>0</v>
      </c>
      <c r="V21" s="300">
        <f t="shared" si="5"/>
        <v>0</v>
      </c>
      <c r="W21" s="146">
        <f>COUNTIFS(РПЗ!$Q:$Q,Справочно!$C17,РПЗ!$AF:$AF,7)</f>
        <v>0</v>
      </c>
      <c r="X21" s="301">
        <f>SUMIFS(РПЗ!$L:$L,РПЗ!$Q:$Q,Справочно!$C17,РПЗ!$AF:$AF,7)</f>
        <v>0</v>
      </c>
      <c r="Y21" s="146">
        <f>COUNTIFS(РПЗ!$Q:$Q,Справочно!$C17,РПЗ!$AF:$AF,8)</f>
        <v>0</v>
      </c>
      <c r="Z21" s="301">
        <f>SUMIFS(РПЗ!$L:$L,РПЗ!$Q:$Q,Справочно!$C17,РПЗ!$AF:$AF,8)</f>
        <v>0</v>
      </c>
      <c r="AA21" s="146">
        <f>COUNTIFS(РПЗ!$Q:$Q,Справочно!$C17,РПЗ!$AF:$AF,9)</f>
        <v>0</v>
      </c>
      <c r="AB21" s="301">
        <f>SUMIFS(РПЗ!$L:$L,РПЗ!$Q:$Q,Справочно!$C17,РПЗ!$AF:$AF,9)</f>
        <v>0</v>
      </c>
      <c r="AC21" s="197">
        <f t="shared" si="6"/>
        <v>0</v>
      </c>
      <c r="AD21" s="302">
        <f t="shared" si="7"/>
        <v>0</v>
      </c>
      <c r="AE21" s="154">
        <f>COUNTIFS(РПЗ!$Q:$Q,Справочно!$C17,РПЗ!$AF:$AF,10)</f>
        <v>0</v>
      </c>
      <c r="AF21" s="303">
        <f>SUMIFS(РПЗ!$L:$L,РПЗ!$Q:$Q,Справочно!$C17,РПЗ!$AF:$AF,10)</f>
        <v>0</v>
      </c>
      <c r="AG21" s="154">
        <f>COUNTIFS(РПЗ!$Q:$Q,Справочно!$C17,РПЗ!$AF:$AF,11)</f>
        <v>0</v>
      </c>
      <c r="AH21" s="303">
        <f>SUMIFS(РПЗ!$L:$L,РПЗ!$Q:$Q,Справочно!$C17,РПЗ!$AF:$AF,11)</f>
        <v>0</v>
      </c>
      <c r="AI21" s="154">
        <f>COUNTIFS(РПЗ!$Q:$Q,Справочно!$C17,РПЗ!$AF:$AF,12)</f>
        <v>0</v>
      </c>
      <c r="AJ21" s="303">
        <f>SUMIFS(РПЗ!$L:$L,РПЗ!$Q:$Q,Справочно!$C17,РПЗ!$AF:$AF,12)</f>
        <v>0</v>
      </c>
      <c r="AK21" s="201">
        <f t="shared" si="8"/>
        <v>0</v>
      </c>
      <c r="AL21" s="304">
        <f t="shared" si="9"/>
        <v>0</v>
      </c>
    </row>
    <row r="22" spans="1:38" ht="13.5" thickBot="1" x14ac:dyDescent="0.25">
      <c r="A22" s="86" t="s">
        <v>105</v>
      </c>
      <c r="B22" s="272">
        <f>COUNTIF(РПЗ!$Q:$Q,Справочно!$C18)</f>
        <v>0</v>
      </c>
      <c r="C22" s="314" t="e">
        <f t="shared" si="0"/>
        <v>#DIV/0!</v>
      </c>
      <c r="D22" s="317">
        <f>SUMIF(РПЗ!$Q:$Q,Справочно!$C18,РПЗ!$L:$L)</f>
        <v>0</v>
      </c>
      <c r="E22" s="316" t="e">
        <f t="shared" si="1"/>
        <v>#DIV/0!</v>
      </c>
      <c r="G22" s="149">
        <f>COUNTIFS(РПЗ!$Q:$Q,Справочно!$C18,РПЗ!$AF:$AF,1)</f>
        <v>0</v>
      </c>
      <c r="H22" s="305">
        <f>SUMIFS(РПЗ!$L:$L,РПЗ!$Q:$Q,Справочно!$C18,РПЗ!$AF:$AF,1)</f>
        <v>0</v>
      </c>
      <c r="I22" s="149">
        <f>COUNTIFS(РПЗ!$Q:$Q,Справочно!$C18,РПЗ!$AF:$AF,2)</f>
        <v>0</v>
      </c>
      <c r="J22" s="305">
        <f>SUMIFS(РПЗ!$L:$L,РПЗ!$Q:$Q,Справочно!$C18,РПЗ!$AF:$AF,2)</f>
        <v>0</v>
      </c>
      <c r="K22" s="149">
        <f>COUNTIFS(РПЗ!$Q:$Q,Справочно!$C18,РПЗ!$AF:$AF,3)</f>
        <v>0</v>
      </c>
      <c r="L22" s="305">
        <f>SUMIFS(РПЗ!$L:$L,РПЗ!$Q:$Q,Справочно!$C18,РПЗ!$AF:$AF,3)</f>
        <v>0</v>
      </c>
      <c r="M22" s="192">
        <f t="shared" si="2"/>
        <v>0</v>
      </c>
      <c r="N22" s="298">
        <f t="shared" si="3"/>
        <v>0</v>
      </c>
      <c r="O22" s="152">
        <f>COUNTIFS(РПЗ!$Q:$Q,Справочно!$C18,РПЗ!$AF:$AF,4)</f>
        <v>0</v>
      </c>
      <c r="P22" s="299">
        <f>SUMIFS(РПЗ!$L:$L,РПЗ!$Q:$Q,Справочно!$C18,РПЗ!$AF:$AF,4)</f>
        <v>0</v>
      </c>
      <c r="Q22" s="152">
        <f>COUNTIFS(РПЗ!$Q:$Q,Справочно!$C18,РПЗ!$AF:$AF,5)</f>
        <v>0</v>
      </c>
      <c r="R22" s="299">
        <f>SUMIFS(РПЗ!$L:$L,РПЗ!$Q:$Q,Справочно!$C18,РПЗ!$AF:$AF,5)</f>
        <v>0</v>
      </c>
      <c r="S22" s="152">
        <f>COUNTIFS(РПЗ!$Q:$Q,Справочно!$C18,РПЗ!$AF:$AF,6)</f>
        <v>0</v>
      </c>
      <c r="T22" s="299">
        <f>SUMIFS(РПЗ!$L:$L,РПЗ!$Q:$Q,Справочно!$C18,РПЗ!$AF:$AF,6)</f>
        <v>0</v>
      </c>
      <c r="U22" s="196">
        <f t="shared" si="4"/>
        <v>0</v>
      </c>
      <c r="V22" s="300">
        <f t="shared" si="5"/>
        <v>0</v>
      </c>
      <c r="W22" s="146">
        <f>COUNTIFS(РПЗ!$Q:$Q,Справочно!$C18,РПЗ!$AF:$AF,7)</f>
        <v>0</v>
      </c>
      <c r="X22" s="301">
        <f>SUMIFS(РПЗ!$L:$L,РПЗ!$Q:$Q,Справочно!$C18,РПЗ!$AF:$AF,7)</f>
        <v>0</v>
      </c>
      <c r="Y22" s="146">
        <f>COUNTIFS(РПЗ!$Q:$Q,Справочно!$C18,РПЗ!$AF:$AF,8)</f>
        <v>0</v>
      </c>
      <c r="Z22" s="301">
        <f>SUMIFS(РПЗ!$L:$L,РПЗ!$Q:$Q,Справочно!$C18,РПЗ!$AF:$AF,8)</f>
        <v>0</v>
      </c>
      <c r="AA22" s="146">
        <f>COUNTIFS(РПЗ!$Q:$Q,Справочно!$C18,РПЗ!$AF:$AF,9)</f>
        <v>0</v>
      </c>
      <c r="AB22" s="301">
        <f>SUMIFS(РПЗ!$L:$L,РПЗ!$Q:$Q,Справочно!$C18,РПЗ!$AF:$AF,9)</f>
        <v>0</v>
      </c>
      <c r="AC22" s="197">
        <f t="shared" si="6"/>
        <v>0</v>
      </c>
      <c r="AD22" s="302">
        <f t="shared" si="7"/>
        <v>0</v>
      </c>
      <c r="AE22" s="154">
        <f>COUNTIFS(РПЗ!$Q:$Q,Справочно!$C18,РПЗ!$AF:$AF,10)</f>
        <v>0</v>
      </c>
      <c r="AF22" s="303">
        <f>SUMIFS(РПЗ!$L:$L,РПЗ!$Q:$Q,Справочно!$C18,РПЗ!$AF:$AF,10)</f>
        <v>0</v>
      </c>
      <c r="AG22" s="154">
        <f>COUNTIFS(РПЗ!$Q:$Q,Справочно!$C18,РПЗ!$AF:$AF,11)</f>
        <v>0</v>
      </c>
      <c r="AH22" s="303">
        <f>SUMIFS(РПЗ!$L:$L,РПЗ!$Q:$Q,Справочно!$C18,РПЗ!$AF:$AF,11)</f>
        <v>0</v>
      </c>
      <c r="AI22" s="154">
        <f>COUNTIFS(РПЗ!$Q:$Q,Справочно!$C18,РПЗ!$AF:$AF,12)</f>
        <v>0</v>
      </c>
      <c r="AJ22" s="303">
        <f>SUMIFS(РПЗ!$L:$L,РПЗ!$Q:$Q,Справочно!$C18,РПЗ!$AF:$AF,12)</f>
        <v>0</v>
      </c>
      <c r="AK22" s="201">
        <f t="shared" si="8"/>
        <v>0</v>
      </c>
      <c r="AL22" s="304">
        <f t="shared" si="9"/>
        <v>0</v>
      </c>
    </row>
    <row r="23" spans="1:38" ht="13.5" thickBot="1" x14ac:dyDescent="0.25">
      <c r="A23" s="86" t="s">
        <v>251</v>
      </c>
      <c r="B23" s="272">
        <f>COUNTIF(РПЗ!$Q:$Q,Справочно!$C19)</f>
        <v>0</v>
      </c>
      <c r="C23" s="314" t="e">
        <f t="shared" si="0"/>
        <v>#DIV/0!</v>
      </c>
      <c r="D23" s="317">
        <f>SUMIF(РПЗ!$Q:$Q,Справочно!$C19,РПЗ!$L:$L)</f>
        <v>0</v>
      </c>
      <c r="E23" s="316" t="e">
        <f t="shared" si="1"/>
        <v>#DIV/0!</v>
      </c>
      <c r="G23" s="149">
        <f>COUNTIFS(РПЗ!$Q:$Q,Справочно!$C19,РПЗ!$AF:$AF,1)</f>
        <v>0</v>
      </c>
      <c r="H23" s="305">
        <f>SUMIFS(РПЗ!$L:$L,РПЗ!$Q:$Q,Справочно!$C19,РПЗ!$AF:$AF,1)</f>
        <v>0</v>
      </c>
      <c r="I23" s="149">
        <f>COUNTIFS(РПЗ!$Q:$Q,Справочно!$C19,РПЗ!$AF:$AF,2)</f>
        <v>0</v>
      </c>
      <c r="J23" s="305">
        <f>SUMIFS(РПЗ!$L:$L,РПЗ!$Q:$Q,Справочно!$C19,РПЗ!$AF:$AF,2)</f>
        <v>0</v>
      </c>
      <c r="K23" s="149">
        <f>COUNTIFS(РПЗ!$Q:$Q,Справочно!$C19,РПЗ!$AF:$AF,3)</f>
        <v>0</v>
      </c>
      <c r="L23" s="305">
        <f>SUMIFS(РПЗ!$L:$L,РПЗ!$Q:$Q,Справочно!$C19,РПЗ!$AF:$AF,3)</f>
        <v>0</v>
      </c>
      <c r="M23" s="192">
        <f t="shared" si="2"/>
        <v>0</v>
      </c>
      <c r="N23" s="298">
        <f t="shared" si="3"/>
        <v>0</v>
      </c>
      <c r="O23" s="152">
        <f>COUNTIFS(РПЗ!$Q:$Q,Справочно!$C19,РПЗ!$AF:$AF,4)</f>
        <v>0</v>
      </c>
      <c r="P23" s="299">
        <f>SUMIFS(РПЗ!$L:$L,РПЗ!$Q:$Q,Справочно!$C19,РПЗ!$AF:$AF,4)</f>
        <v>0</v>
      </c>
      <c r="Q23" s="152">
        <f>COUNTIFS(РПЗ!$Q:$Q,Справочно!$C19,РПЗ!$AF:$AF,5)</f>
        <v>0</v>
      </c>
      <c r="R23" s="299">
        <f>SUMIFS(РПЗ!$L:$L,РПЗ!$Q:$Q,Справочно!$C19,РПЗ!$AF:$AF,5)</f>
        <v>0</v>
      </c>
      <c r="S23" s="152">
        <f>COUNTIFS(РПЗ!$Q:$Q,Справочно!$C19,РПЗ!$AF:$AF,6)</f>
        <v>0</v>
      </c>
      <c r="T23" s="299">
        <f>SUMIFS(РПЗ!$L:$L,РПЗ!$Q:$Q,Справочно!$C19,РПЗ!$AF:$AF,6)</f>
        <v>0</v>
      </c>
      <c r="U23" s="196">
        <f t="shared" si="4"/>
        <v>0</v>
      </c>
      <c r="V23" s="300">
        <f t="shared" si="5"/>
        <v>0</v>
      </c>
      <c r="W23" s="146">
        <f>COUNTIFS(РПЗ!$Q:$Q,Справочно!$C19,РПЗ!$AF:$AF,7)</f>
        <v>0</v>
      </c>
      <c r="X23" s="301">
        <f>SUMIFS(РПЗ!$L:$L,РПЗ!$Q:$Q,Справочно!$C19,РПЗ!$AF:$AF,7)</f>
        <v>0</v>
      </c>
      <c r="Y23" s="146">
        <f>COUNTIFS(РПЗ!$Q:$Q,Справочно!$C19,РПЗ!$AF:$AF,8)</f>
        <v>0</v>
      </c>
      <c r="Z23" s="301">
        <f>SUMIFS(РПЗ!$L:$L,РПЗ!$Q:$Q,Справочно!$C19,РПЗ!$AF:$AF,8)</f>
        <v>0</v>
      </c>
      <c r="AA23" s="146">
        <f>COUNTIFS(РПЗ!$Q:$Q,Справочно!$C19,РПЗ!$AF:$AF,9)</f>
        <v>0</v>
      </c>
      <c r="AB23" s="301">
        <f>SUMIFS(РПЗ!$L:$L,РПЗ!$Q:$Q,Справочно!$C19,РПЗ!$AF:$AF,9)</f>
        <v>0</v>
      </c>
      <c r="AC23" s="197">
        <f t="shared" si="6"/>
        <v>0</v>
      </c>
      <c r="AD23" s="302">
        <f t="shared" si="7"/>
        <v>0</v>
      </c>
      <c r="AE23" s="154">
        <f>COUNTIFS(РПЗ!$Q:$Q,Справочно!$C19,РПЗ!$AF:$AF,10)</f>
        <v>0</v>
      </c>
      <c r="AF23" s="303">
        <f>SUMIFS(РПЗ!$L:$L,РПЗ!$Q:$Q,Справочно!$C19,РПЗ!$AF:$AF,10)</f>
        <v>0</v>
      </c>
      <c r="AG23" s="154">
        <f>COUNTIFS(РПЗ!$Q:$Q,Справочно!$C19,РПЗ!$AF:$AF,11)</f>
        <v>0</v>
      </c>
      <c r="AH23" s="303">
        <f>SUMIFS(РПЗ!$L:$L,РПЗ!$Q:$Q,Справочно!$C19,РПЗ!$AF:$AF,11)</f>
        <v>0</v>
      </c>
      <c r="AI23" s="154">
        <f>COUNTIFS(РПЗ!$Q:$Q,Справочно!$C19,РПЗ!$AF:$AF,12)</f>
        <v>0</v>
      </c>
      <c r="AJ23" s="303">
        <f>SUMIFS(РПЗ!$L:$L,РПЗ!$Q:$Q,Справочно!$C19,РПЗ!$AF:$AF,12)</f>
        <v>0</v>
      </c>
      <c r="AK23" s="201">
        <f t="shared" si="8"/>
        <v>0</v>
      </c>
      <c r="AL23" s="304">
        <f t="shared" si="9"/>
        <v>0</v>
      </c>
    </row>
    <row r="24" spans="1:38" ht="13.5" thickBot="1" x14ac:dyDescent="0.25">
      <c r="A24" s="86" t="s">
        <v>107</v>
      </c>
      <c r="B24" s="272">
        <f>COUNTIF(РПЗ!$Q:$Q,Справочно!$C20)</f>
        <v>0</v>
      </c>
      <c r="C24" s="314" t="e">
        <f t="shared" si="0"/>
        <v>#DIV/0!</v>
      </c>
      <c r="D24" s="317">
        <f>SUMIF(РПЗ!$Q:$Q,Справочно!$C20,РПЗ!$L:$L)</f>
        <v>0</v>
      </c>
      <c r="E24" s="316" t="e">
        <f t="shared" si="1"/>
        <v>#DIV/0!</v>
      </c>
      <c r="G24" s="149">
        <f>COUNTIFS(РПЗ!$Q:$Q,Справочно!$C20,РПЗ!$AF:$AF,1)</f>
        <v>0</v>
      </c>
      <c r="H24" s="305">
        <f>SUMIFS(РПЗ!$L:$L,РПЗ!$Q:$Q,Справочно!$C20,РПЗ!$AF:$AF,1)</f>
        <v>0</v>
      </c>
      <c r="I24" s="149">
        <f>COUNTIFS(РПЗ!$Q:$Q,Справочно!$C20,РПЗ!$AF:$AF,2)</f>
        <v>0</v>
      </c>
      <c r="J24" s="305">
        <f>SUMIFS(РПЗ!$L:$L,РПЗ!$Q:$Q,Справочно!$C20,РПЗ!$AF:$AF,2)</f>
        <v>0</v>
      </c>
      <c r="K24" s="149">
        <f>COUNTIFS(РПЗ!$Q:$Q,Справочно!$C20,РПЗ!$AF:$AF,3)</f>
        <v>0</v>
      </c>
      <c r="L24" s="305">
        <f>SUMIFS(РПЗ!$L:$L,РПЗ!$Q:$Q,Справочно!$C20,РПЗ!$AF:$AF,3)</f>
        <v>0</v>
      </c>
      <c r="M24" s="192">
        <f t="shared" si="2"/>
        <v>0</v>
      </c>
      <c r="N24" s="298">
        <f t="shared" si="3"/>
        <v>0</v>
      </c>
      <c r="O24" s="152">
        <f>COUNTIFS(РПЗ!$Q:$Q,Справочно!$C20,РПЗ!$AF:$AF,4)</f>
        <v>0</v>
      </c>
      <c r="P24" s="299">
        <f>SUMIFS(РПЗ!$L:$L,РПЗ!$Q:$Q,Справочно!$C20,РПЗ!$AF:$AF,4)</f>
        <v>0</v>
      </c>
      <c r="Q24" s="152">
        <f>COUNTIFS(РПЗ!$Q:$Q,Справочно!$C20,РПЗ!$AF:$AF,5)</f>
        <v>0</v>
      </c>
      <c r="R24" s="299">
        <f>SUMIFS(РПЗ!$L:$L,РПЗ!$Q:$Q,Справочно!$C20,РПЗ!$AF:$AF,5)</f>
        <v>0</v>
      </c>
      <c r="S24" s="152">
        <f>COUNTIFS(РПЗ!$Q:$Q,Справочно!$C20,РПЗ!$AF:$AF,6)</f>
        <v>0</v>
      </c>
      <c r="T24" s="299">
        <f>SUMIFS(РПЗ!$L:$L,РПЗ!$Q:$Q,Справочно!$C20,РПЗ!$AF:$AF,6)</f>
        <v>0</v>
      </c>
      <c r="U24" s="196">
        <f t="shared" si="4"/>
        <v>0</v>
      </c>
      <c r="V24" s="300">
        <f t="shared" si="5"/>
        <v>0</v>
      </c>
      <c r="W24" s="146">
        <f>COUNTIFS(РПЗ!$Q:$Q,Справочно!$C20,РПЗ!$AF:$AF,7)</f>
        <v>0</v>
      </c>
      <c r="X24" s="301">
        <f>SUMIFS(РПЗ!$L:$L,РПЗ!$Q:$Q,Справочно!$C20,РПЗ!$AF:$AF,7)</f>
        <v>0</v>
      </c>
      <c r="Y24" s="146">
        <f>COUNTIFS(РПЗ!$Q:$Q,Справочно!$C20,РПЗ!$AF:$AF,8)</f>
        <v>0</v>
      </c>
      <c r="Z24" s="301">
        <f>SUMIFS(РПЗ!$L:$L,РПЗ!$Q:$Q,Справочно!$C20,РПЗ!$AF:$AF,8)</f>
        <v>0</v>
      </c>
      <c r="AA24" s="146">
        <f>COUNTIFS(РПЗ!$Q:$Q,Справочно!$C20,РПЗ!$AF:$AF,9)</f>
        <v>0</v>
      </c>
      <c r="AB24" s="301">
        <f>SUMIFS(РПЗ!$L:$L,РПЗ!$Q:$Q,Справочно!$C20,РПЗ!$AF:$AF,9)</f>
        <v>0</v>
      </c>
      <c r="AC24" s="197">
        <f t="shared" si="6"/>
        <v>0</v>
      </c>
      <c r="AD24" s="302">
        <f t="shared" si="7"/>
        <v>0</v>
      </c>
      <c r="AE24" s="154">
        <f>COUNTIFS(РПЗ!$Q:$Q,Справочно!$C20,РПЗ!$AF:$AF,10)</f>
        <v>0</v>
      </c>
      <c r="AF24" s="303">
        <f>SUMIFS(РПЗ!$L:$L,РПЗ!$Q:$Q,Справочно!$C20,РПЗ!$AF:$AF,10)</f>
        <v>0</v>
      </c>
      <c r="AG24" s="154">
        <f>COUNTIFS(РПЗ!$Q:$Q,Справочно!$C20,РПЗ!$AF:$AF,11)</f>
        <v>0</v>
      </c>
      <c r="AH24" s="303">
        <f>SUMIFS(РПЗ!$L:$L,РПЗ!$Q:$Q,Справочно!$C20,РПЗ!$AF:$AF,11)</f>
        <v>0</v>
      </c>
      <c r="AI24" s="154">
        <f>COUNTIFS(РПЗ!$Q:$Q,Справочно!$C20,РПЗ!$AF:$AF,12)</f>
        <v>0</v>
      </c>
      <c r="AJ24" s="303">
        <f>SUMIFS(РПЗ!$L:$L,РПЗ!$Q:$Q,Справочно!$C20,РПЗ!$AF:$AF,12)</f>
        <v>0</v>
      </c>
      <c r="AK24" s="201">
        <f t="shared" si="8"/>
        <v>0</v>
      </c>
      <c r="AL24" s="304">
        <f t="shared" si="9"/>
        <v>0</v>
      </c>
    </row>
    <row r="25" spans="1:38" ht="13.5" thickBot="1" x14ac:dyDescent="0.25">
      <c r="A25" s="86" t="s">
        <v>252</v>
      </c>
      <c r="B25" s="272">
        <f>COUNTIF(РПЗ!$Q:$Q,Справочно!$C21)</f>
        <v>0</v>
      </c>
      <c r="C25" s="314" t="e">
        <f t="shared" si="0"/>
        <v>#DIV/0!</v>
      </c>
      <c r="D25" s="317">
        <f>SUMIF(РПЗ!$Q:$Q,Справочно!$C21,РПЗ!$L:$L)</f>
        <v>0</v>
      </c>
      <c r="E25" s="316" t="e">
        <f t="shared" si="1"/>
        <v>#DIV/0!</v>
      </c>
      <c r="G25" s="149">
        <f>COUNTIFS(РПЗ!$Q:$Q,Справочно!$C21,РПЗ!$AF:$AF,1)</f>
        <v>0</v>
      </c>
      <c r="H25" s="305">
        <f>SUMIFS(РПЗ!$L:$L,РПЗ!$Q:$Q,Справочно!$C21,РПЗ!$AF:$AF,1)</f>
        <v>0</v>
      </c>
      <c r="I25" s="149">
        <f>COUNTIFS(РПЗ!$Q:$Q,Справочно!$C21,РПЗ!$AF:$AF,2)</f>
        <v>0</v>
      </c>
      <c r="J25" s="305">
        <f>SUMIFS(РПЗ!$L:$L,РПЗ!$Q:$Q,Справочно!$C21,РПЗ!$AF:$AF,2)</f>
        <v>0</v>
      </c>
      <c r="K25" s="149">
        <f>COUNTIFS(РПЗ!$Q:$Q,Справочно!$C21,РПЗ!$AF:$AF,3)</f>
        <v>0</v>
      </c>
      <c r="L25" s="305">
        <f>SUMIFS(РПЗ!$L:$L,РПЗ!$Q:$Q,Справочно!$C21,РПЗ!$AF:$AF,3)</f>
        <v>0</v>
      </c>
      <c r="M25" s="192">
        <f t="shared" si="2"/>
        <v>0</v>
      </c>
      <c r="N25" s="298">
        <f t="shared" si="3"/>
        <v>0</v>
      </c>
      <c r="O25" s="152">
        <f>COUNTIFS(РПЗ!$Q:$Q,Справочно!$C21,РПЗ!$AF:$AF,4)</f>
        <v>0</v>
      </c>
      <c r="P25" s="299">
        <f>SUMIFS(РПЗ!$L:$L,РПЗ!$Q:$Q,Справочно!$C21,РПЗ!$AF:$AF,4)</f>
        <v>0</v>
      </c>
      <c r="Q25" s="152">
        <f>COUNTIFS(РПЗ!$Q:$Q,Справочно!$C21,РПЗ!$AF:$AF,5)</f>
        <v>0</v>
      </c>
      <c r="R25" s="299">
        <f>SUMIFS(РПЗ!$L:$L,РПЗ!$Q:$Q,Справочно!$C21,РПЗ!$AF:$AF,5)</f>
        <v>0</v>
      </c>
      <c r="S25" s="152">
        <f>COUNTIFS(РПЗ!$Q:$Q,Справочно!$C21,РПЗ!$AF:$AF,6)</f>
        <v>0</v>
      </c>
      <c r="T25" s="299">
        <f>SUMIFS(РПЗ!$L:$L,РПЗ!$Q:$Q,Справочно!$C21,РПЗ!$AF:$AF,6)</f>
        <v>0</v>
      </c>
      <c r="U25" s="196">
        <f t="shared" si="4"/>
        <v>0</v>
      </c>
      <c r="V25" s="300">
        <f t="shared" si="5"/>
        <v>0</v>
      </c>
      <c r="W25" s="146">
        <f>COUNTIFS(РПЗ!$Q:$Q,Справочно!$C21,РПЗ!$AF:$AF,7)</f>
        <v>0</v>
      </c>
      <c r="X25" s="301">
        <f>SUMIFS(РПЗ!$L:$L,РПЗ!$Q:$Q,Справочно!$C21,РПЗ!$AF:$AF,7)</f>
        <v>0</v>
      </c>
      <c r="Y25" s="146">
        <f>COUNTIFS(РПЗ!$Q:$Q,Справочно!$C21,РПЗ!$AF:$AF,8)</f>
        <v>0</v>
      </c>
      <c r="Z25" s="301">
        <f>SUMIFS(РПЗ!$L:$L,РПЗ!$Q:$Q,Справочно!$C21,РПЗ!$AF:$AF,8)</f>
        <v>0</v>
      </c>
      <c r="AA25" s="146">
        <f>COUNTIFS(РПЗ!$Q:$Q,Справочно!$C21,РПЗ!$AF:$AF,9)</f>
        <v>0</v>
      </c>
      <c r="AB25" s="301">
        <f>SUMIFS(РПЗ!$L:$L,РПЗ!$Q:$Q,Справочно!$C21,РПЗ!$AF:$AF,9)</f>
        <v>0</v>
      </c>
      <c r="AC25" s="197">
        <f t="shared" si="6"/>
        <v>0</v>
      </c>
      <c r="AD25" s="302">
        <f t="shared" si="7"/>
        <v>0</v>
      </c>
      <c r="AE25" s="154">
        <f>COUNTIFS(РПЗ!$Q:$Q,Справочно!$C21,РПЗ!$AF:$AF,10)</f>
        <v>0</v>
      </c>
      <c r="AF25" s="303">
        <f>SUMIFS(РПЗ!$L:$L,РПЗ!$Q:$Q,Справочно!$C21,РПЗ!$AF:$AF,10)</f>
        <v>0</v>
      </c>
      <c r="AG25" s="154">
        <f>COUNTIFS(РПЗ!$Q:$Q,Справочно!$C21,РПЗ!$AF:$AF,11)</f>
        <v>0</v>
      </c>
      <c r="AH25" s="303">
        <f>SUMIFS(РПЗ!$L:$L,РПЗ!$Q:$Q,Справочно!$C21,РПЗ!$AF:$AF,11)</f>
        <v>0</v>
      </c>
      <c r="AI25" s="154">
        <f>COUNTIFS(РПЗ!$Q:$Q,Справочно!$C21,РПЗ!$AF:$AF,12)</f>
        <v>0</v>
      </c>
      <c r="AJ25" s="303">
        <f>SUMIFS(РПЗ!$L:$L,РПЗ!$Q:$Q,Справочно!$C21,РПЗ!$AF:$AF,7)</f>
        <v>0</v>
      </c>
      <c r="AK25" s="201">
        <f t="shared" si="8"/>
        <v>0</v>
      </c>
      <c r="AL25" s="304">
        <f t="shared" si="9"/>
        <v>0</v>
      </c>
    </row>
    <row r="26" spans="1:38" ht="13.5" thickBot="1" x14ac:dyDescent="0.25">
      <c r="A26" s="86" t="s">
        <v>166</v>
      </c>
      <c r="B26" s="272">
        <f>COUNTIF(РПЗ!$Q:$Q,Справочно!$C22)</f>
        <v>0</v>
      </c>
      <c r="C26" s="314" t="e">
        <f t="shared" si="0"/>
        <v>#DIV/0!</v>
      </c>
      <c r="D26" s="317">
        <f>SUMIF(РПЗ!$Q:$Q,Справочно!$C22,РПЗ!$L:$L)</f>
        <v>0</v>
      </c>
      <c r="E26" s="316" t="e">
        <f t="shared" si="1"/>
        <v>#DIV/0!</v>
      </c>
      <c r="G26" s="149">
        <f>COUNTIFS(РПЗ!$Q:$Q,Справочно!$C22,РПЗ!$AF:$AF,1)</f>
        <v>0</v>
      </c>
      <c r="H26" s="305">
        <f>SUMIFS(РПЗ!$L:$L,РПЗ!$Q:$Q,Справочно!$C22,РПЗ!$AF:$AF,1)</f>
        <v>0</v>
      </c>
      <c r="I26" s="149">
        <f>COUNTIFS(РПЗ!$Q:$Q,Справочно!$C22,РПЗ!$AF:$AF,2)</f>
        <v>0</v>
      </c>
      <c r="J26" s="305">
        <f>SUMIFS(РПЗ!$L:$L,РПЗ!$Q:$Q,Справочно!$C22,РПЗ!$AF:$AF,2)</f>
        <v>0</v>
      </c>
      <c r="K26" s="149">
        <f>COUNTIFS(РПЗ!$Q:$Q,Справочно!$C22,РПЗ!$AF:$AF,3)</f>
        <v>0</v>
      </c>
      <c r="L26" s="305">
        <f>SUMIFS(РПЗ!$L:$L,РПЗ!$Q:$Q,Справочно!$C22,РПЗ!$AF:$AF,3)</f>
        <v>0</v>
      </c>
      <c r="M26" s="192">
        <f t="shared" si="2"/>
        <v>0</v>
      </c>
      <c r="N26" s="298">
        <f t="shared" si="3"/>
        <v>0</v>
      </c>
      <c r="O26" s="152">
        <f>COUNTIFS(РПЗ!$Q:$Q,Справочно!$C22,РПЗ!$AF:$AF,4)</f>
        <v>0</v>
      </c>
      <c r="P26" s="299">
        <f>SUMIFS(РПЗ!$L:$L,РПЗ!$Q:$Q,Справочно!$C22,РПЗ!$AF:$AF,4)</f>
        <v>0</v>
      </c>
      <c r="Q26" s="152">
        <f>COUNTIFS(РПЗ!$Q:$Q,Справочно!$C22,РПЗ!$AF:$AF,5)</f>
        <v>0</v>
      </c>
      <c r="R26" s="299">
        <f>SUMIFS(РПЗ!$L:$L,РПЗ!$Q:$Q,Справочно!$C22,РПЗ!$AF:$AF,5)</f>
        <v>0</v>
      </c>
      <c r="S26" s="152">
        <f>COUNTIFS(РПЗ!$Q:$Q,Справочно!$C22,РПЗ!$AF:$AF,6)</f>
        <v>0</v>
      </c>
      <c r="T26" s="299">
        <f>SUMIFS(РПЗ!$L:$L,РПЗ!$Q:$Q,Справочно!$C22,РПЗ!$AF:$AF,6)</f>
        <v>0</v>
      </c>
      <c r="U26" s="196">
        <f t="shared" si="4"/>
        <v>0</v>
      </c>
      <c r="V26" s="300">
        <f t="shared" si="5"/>
        <v>0</v>
      </c>
      <c r="W26" s="146">
        <f>COUNTIFS(РПЗ!$Q:$Q,Справочно!$C22,РПЗ!$AF:$AF,7)</f>
        <v>0</v>
      </c>
      <c r="X26" s="301">
        <f>SUMIFS(РПЗ!$L:$L,РПЗ!$Q:$Q,Справочно!$C22,РПЗ!$AF:$AF,7)</f>
        <v>0</v>
      </c>
      <c r="Y26" s="146">
        <f>COUNTIFS(РПЗ!$Q:$Q,Справочно!$C22,РПЗ!$AF:$AF,8)</f>
        <v>0</v>
      </c>
      <c r="Z26" s="301">
        <f>SUMIFS(РПЗ!$L:$L,РПЗ!$Q:$Q,Справочно!$C22,РПЗ!$AF:$AF,8)</f>
        <v>0</v>
      </c>
      <c r="AA26" s="146">
        <f>COUNTIFS(РПЗ!$Q:$Q,Справочно!$C22,РПЗ!$AF:$AF,9)</f>
        <v>0</v>
      </c>
      <c r="AB26" s="301">
        <f>SUMIFS(РПЗ!$L:$L,РПЗ!$Q:$Q,Справочно!$C22,РПЗ!$AF:$AF,9)</f>
        <v>0</v>
      </c>
      <c r="AC26" s="197">
        <f t="shared" si="6"/>
        <v>0</v>
      </c>
      <c r="AD26" s="302">
        <f t="shared" si="7"/>
        <v>0</v>
      </c>
      <c r="AE26" s="154">
        <f>COUNTIFS(РПЗ!$Q:$Q,Справочно!$C22,РПЗ!$AF:$AF,10)</f>
        <v>0</v>
      </c>
      <c r="AF26" s="303">
        <f>SUMIFS(РПЗ!$L:$L,РПЗ!$Q:$Q,Справочно!$C22,РПЗ!$AF:$AF,10)</f>
        <v>0</v>
      </c>
      <c r="AG26" s="154">
        <f>COUNTIFS(РПЗ!$Q:$Q,Справочно!$C22,РПЗ!$AF:$AF,11)</f>
        <v>0</v>
      </c>
      <c r="AH26" s="303">
        <f>SUMIFS(РПЗ!$L:$L,РПЗ!$Q:$Q,Справочно!$C22,РПЗ!$AF:$AF,11)</f>
        <v>0</v>
      </c>
      <c r="AI26" s="154">
        <f>COUNTIFS(РПЗ!$Q:$Q,Справочно!$C22,РПЗ!$AF:$AF,12)</f>
        <v>0</v>
      </c>
      <c r="AJ26" s="303">
        <f>SUMIFS(РПЗ!$L:$L,РПЗ!$Q:$Q,Справочно!$C22,РПЗ!$AF:$AF,12)</f>
        <v>0</v>
      </c>
      <c r="AK26" s="201">
        <f t="shared" si="8"/>
        <v>0</v>
      </c>
      <c r="AL26" s="304">
        <f t="shared" si="9"/>
        <v>0</v>
      </c>
    </row>
    <row r="27" spans="1:38" ht="13.5" thickBot="1" x14ac:dyDescent="0.25">
      <c r="A27" s="86" t="s">
        <v>253</v>
      </c>
      <c r="B27" s="272">
        <f>COUNTIF(РПЗ!$Q:$Q,Справочно!$C23)</f>
        <v>0</v>
      </c>
      <c r="C27" s="314" t="e">
        <f t="shared" si="0"/>
        <v>#DIV/0!</v>
      </c>
      <c r="D27" s="317">
        <f>SUMIF(РПЗ!$Q:$Q,Справочно!$C23,РПЗ!$L:$L)</f>
        <v>0</v>
      </c>
      <c r="E27" s="316" t="e">
        <f t="shared" si="1"/>
        <v>#DIV/0!</v>
      </c>
      <c r="G27" s="149">
        <f>COUNTIFS(РПЗ!$Q:$Q,Справочно!$C23,РПЗ!$AF:$AF,1)</f>
        <v>0</v>
      </c>
      <c r="H27" s="305">
        <f>SUMIFS(РПЗ!$L:$L,РПЗ!$Q:$Q,Справочно!$C23,РПЗ!$AF:$AF,1)</f>
        <v>0</v>
      </c>
      <c r="I27" s="149">
        <f>COUNTIFS(РПЗ!$Q:$Q,Справочно!$C23,РПЗ!$AF:$AF,2)</f>
        <v>0</v>
      </c>
      <c r="J27" s="305">
        <f>SUMIFS(РПЗ!$L:$L,РПЗ!$Q:$Q,Справочно!$C23,РПЗ!$AF:$AF,2)</f>
        <v>0</v>
      </c>
      <c r="K27" s="149">
        <f>COUNTIFS(РПЗ!$Q:$Q,Справочно!$C23,РПЗ!$AF:$AF,3)</f>
        <v>0</v>
      </c>
      <c r="L27" s="305">
        <f>SUMIFS(РПЗ!$L:$L,РПЗ!$Q:$Q,Справочно!$C23,РПЗ!$AF:$AF,3)</f>
        <v>0</v>
      </c>
      <c r="M27" s="192">
        <f t="shared" si="2"/>
        <v>0</v>
      </c>
      <c r="N27" s="298">
        <f t="shared" si="3"/>
        <v>0</v>
      </c>
      <c r="O27" s="152">
        <f>COUNTIFS(РПЗ!$Q:$Q,Справочно!$C23,РПЗ!$AF:$AF,4)</f>
        <v>0</v>
      </c>
      <c r="P27" s="299">
        <f>SUMIFS(РПЗ!$L:$L,РПЗ!$Q:$Q,Справочно!$C23,РПЗ!$AF:$AF,4)</f>
        <v>0</v>
      </c>
      <c r="Q27" s="152">
        <f>COUNTIFS(РПЗ!$Q:$Q,Справочно!$C23,РПЗ!$AF:$AF,5)</f>
        <v>0</v>
      </c>
      <c r="R27" s="299">
        <f>SUMIFS(РПЗ!$L:$L,РПЗ!$Q:$Q,Справочно!$C23,РПЗ!$AF:$AF,5)</f>
        <v>0</v>
      </c>
      <c r="S27" s="152">
        <f>COUNTIFS(РПЗ!$Q:$Q,Справочно!$C23,РПЗ!$AF:$AF,6)</f>
        <v>0</v>
      </c>
      <c r="T27" s="299">
        <f>SUMIFS(РПЗ!$L:$L,РПЗ!$Q:$Q,Справочно!$C23,РПЗ!$AF:$AF,6)</f>
        <v>0</v>
      </c>
      <c r="U27" s="196">
        <f t="shared" si="4"/>
        <v>0</v>
      </c>
      <c r="V27" s="300">
        <f t="shared" si="5"/>
        <v>0</v>
      </c>
      <c r="W27" s="146">
        <f>COUNTIFS(РПЗ!$Q:$Q,Справочно!$C23,РПЗ!$AF:$AF,7)</f>
        <v>0</v>
      </c>
      <c r="X27" s="301">
        <f>SUMIFS(РПЗ!$L:$L,РПЗ!$Q:$Q,Справочно!$C23,РПЗ!$AF:$AF,7)</f>
        <v>0</v>
      </c>
      <c r="Y27" s="146">
        <f>COUNTIFS(РПЗ!$Q:$Q,Справочно!$C23,РПЗ!$AF:$AF,8)</f>
        <v>0</v>
      </c>
      <c r="Z27" s="301">
        <f>SUMIFS(РПЗ!$L:$L,РПЗ!$Q:$Q,Справочно!$C23,РПЗ!$AF:$AF,8)</f>
        <v>0</v>
      </c>
      <c r="AA27" s="146">
        <f>COUNTIFS(РПЗ!$Q:$Q,Справочно!$C23,РПЗ!$AF:$AF,9)</f>
        <v>0</v>
      </c>
      <c r="AB27" s="301">
        <f>SUMIFS(РПЗ!$L:$L,РПЗ!$Q:$Q,Справочно!$C23,РПЗ!$AF:$AF,9)</f>
        <v>0</v>
      </c>
      <c r="AC27" s="197">
        <f t="shared" si="6"/>
        <v>0</v>
      </c>
      <c r="AD27" s="302">
        <f t="shared" si="7"/>
        <v>0</v>
      </c>
      <c r="AE27" s="154">
        <f>COUNTIFS(РПЗ!$Q:$Q,Справочно!$C23,РПЗ!$AF:$AF,10)</f>
        <v>0</v>
      </c>
      <c r="AF27" s="303">
        <f>SUMIFS(РПЗ!$L:$L,РПЗ!$Q:$Q,Справочно!$C23,РПЗ!$AF:$AF,10)</f>
        <v>0</v>
      </c>
      <c r="AG27" s="154">
        <f>COUNTIFS(РПЗ!$Q:$Q,Справочно!$C23,РПЗ!$AF:$AF,11)</f>
        <v>0</v>
      </c>
      <c r="AH27" s="303">
        <f>SUMIFS(РПЗ!$L:$L,РПЗ!$Q:$Q,Справочно!$C23,РПЗ!$AF:$AF,11)</f>
        <v>0</v>
      </c>
      <c r="AI27" s="154">
        <f>COUNTIFS(РПЗ!$Q:$Q,Справочно!$C23,РПЗ!$AF:$AF,12)</f>
        <v>0</v>
      </c>
      <c r="AJ27" s="303">
        <f>SUMIFS(РПЗ!$L:$L,РПЗ!$Q:$Q,Справочно!$C23,РПЗ!$AF:$AF,12)</f>
        <v>0</v>
      </c>
      <c r="AK27" s="201">
        <f t="shared" si="8"/>
        <v>0</v>
      </c>
      <c r="AL27" s="304">
        <f t="shared" si="9"/>
        <v>0</v>
      </c>
    </row>
    <row r="28" spans="1:38" ht="13.5" thickBot="1" x14ac:dyDescent="0.25">
      <c r="A28" s="86" t="s">
        <v>167</v>
      </c>
      <c r="B28" s="272">
        <f>COUNTIF(РПЗ!$Q:$Q,Справочно!$C24)</f>
        <v>0</v>
      </c>
      <c r="C28" s="314" t="e">
        <f t="shared" si="0"/>
        <v>#DIV/0!</v>
      </c>
      <c r="D28" s="317">
        <f>SUMIF(РПЗ!$Q:$Q,Справочно!$C24,РПЗ!$L:$L)</f>
        <v>0</v>
      </c>
      <c r="E28" s="316" t="e">
        <f t="shared" si="1"/>
        <v>#DIV/0!</v>
      </c>
      <c r="G28" s="149">
        <f>COUNTIFS(РПЗ!$Q:$Q,Справочно!$C24,РПЗ!$AF:$AF,1)</f>
        <v>0</v>
      </c>
      <c r="H28" s="305">
        <f>SUMIFS(РПЗ!$L:$L,РПЗ!$Q:$Q,Справочно!$C24,РПЗ!$AF:$AF,1)</f>
        <v>0</v>
      </c>
      <c r="I28" s="149">
        <f>COUNTIFS(РПЗ!$Q:$Q,Справочно!$C24,РПЗ!$AF:$AF,2)</f>
        <v>0</v>
      </c>
      <c r="J28" s="305">
        <f>SUMIFS(РПЗ!$L:$L,РПЗ!$Q:$Q,Справочно!$C24,РПЗ!$AF:$AF,2)</f>
        <v>0</v>
      </c>
      <c r="K28" s="149">
        <f>COUNTIFS(РПЗ!$Q:$Q,Справочно!$C24,РПЗ!$AF:$AF,3)</f>
        <v>0</v>
      </c>
      <c r="L28" s="305">
        <f>SUMIFS(РПЗ!$L:$L,РПЗ!$Q:$Q,Справочно!$C24,РПЗ!$AF:$AF,3)</f>
        <v>0</v>
      </c>
      <c r="M28" s="192">
        <f t="shared" si="2"/>
        <v>0</v>
      </c>
      <c r="N28" s="298">
        <f t="shared" si="3"/>
        <v>0</v>
      </c>
      <c r="O28" s="152">
        <f>COUNTIFS(РПЗ!$Q:$Q,Справочно!$C24,РПЗ!$AF:$AF,4)</f>
        <v>0</v>
      </c>
      <c r="P28" s="299">
        <f>SUMIFS(РПЗ!$L:$L,РПЗ!$Q:$Q,Справочно!$C24,РПЗ!$AF:$AF,4)</f>
        <v>0</v>
      </c>
      <c r="Q28" s="152">
        <f>COUNTIFS(РПЗ!$Q:$Q,Справочно!$C24,РПЗ!$AF:$AF,5)</f>
        <v>0</v>
      </c>
      <c r="R28" s="299">
        <f>SUMIFS(РПЗ!$L:$L,РПЗ!$Q:$Q,Справочно!$C24,РПЗ!$AF:$AF,5)</f>
        <v>0</v>
      </c>
      <c r="S28" s="152">
        <f>COUNTIFS(РПЗ!$Q:$Q,Справочно!$C24,РПЗ!$AF:$AF,6)</f>
        <v>0</v>
      </c>
      <c r="T28" s="299">
        <f>SUMIFS(РПЗ!$L:$L,РПЗ!$Q:$Q,Справочно!$C24,РПЗ!$AF:$AF,6)</f>
        <v>0</v>
      </c>
      <c r="U28" s="196">
        <f t="shared" si="4"/>
        <v>0</v>
      </c>
      <c r="V28" s="300">
        <f t="shared" si="5"/>
        <v>0</v>
      </c>
      <c r="W28" s="146">
        <f>COUNTIFS(РПЗ!$Q:$Q,Справочно!$C24,РПЗ!$AF:$AF,7)</f>
        <v>0</v>
      </c>
      <c r="X28" s="301">
        <f>SUMIFS(РПЗ!$L:$L,РПЗ!$Q:$Q,Справочно!$C24,РПЗ!$AF:$AF,7)</f>
        <v>0</v>
      </c>
      <c r="Y28" s="146">
        <f>COUNTIFS(РПЗ!$Q:$Q,Справочно!$C24,РПЗ!$AF:$AF,8)</f>
        <v>0</v>
      </c>
      <c r="Z28" s="301">
        <f>SUMIFS(РПЗ!$L:$L,РПЗ!$Q:$Q,Справочно!$C24,РПЗ!$AF:$AF,8)</f>
        <v>0</v>
      </c>
      <c r="AA28" s="146">
        <f>COUNTIFS(РПЗ!$Q:$Q,Справочно!$C24,РПЗ!$AF:$AF,9)</f>
        <v>0</v>
      </c>
      <c r="AB28" s="301">
        <f>SUMIFS(РПЗ!$L:$L,РПЗ!$Q:$Q,Справочно!$C24,РПЗ!$AF:$AF,9)</f>
        <v>0</v>
      </c>
      <c r="AC28" s="197">
        <f t="shared" si="6"/>
        <v>0</v>
      </c>
      <c r="AD28" s="302">
        <f t="shared" si="7"/>
        <v>0</v>
      </c>
      <c r="AE28" s="154">
        <f>COUNTIFS(РПЗ!$Q:$Q,Справочно!$C24,РПЗ!$AF:$AF,10)</f>
        <v>0</v>
      </c>
      <c r="AF28" s="303">
        <f>SUMIFS(РПЗ!$L:$L,РПЗ!$Q:$Q,Справочно!$C24,РПЗ!$AF:$AF,10)</f>
        <v>0</v>
      </c>
      <c r="AG28" s="154">
        <f>COUNTIFS(РПЗ!$Q:$Q,Справочно!$C24,РПЗ!$AF:$AF,11)</f>
        <v>0</v>
      </c>
      <c r="AH28" s="303">
        <f>SUMIFS(РПЗ!$L:$L,РПЗ!$Q:$Q,Справочно!$C24,РПЗ!$AF:$AF,11)</f>
        <v>0</v>
      </c>
      <c r="AI28" s="154">
        <f>COUNTIFS(РПЗ!$Q:$Q,Справочно!$C24,РПЗ!$AF:$AF,12)</f>
        <v>0</v>
      </c>
      <c r="AJ28" s="303">
        <f>SUMIFS(РПЗ!$L:$L,РПЗ!$Q:$Q,Справочно!$C24,РПЗ!$AF:$AF,12)</f>
        <v>0</v>
      </c>
      <c r="AK28" s="201">
        <f t="shared" si="8"/>
        <v>0</v>
      </c>
      <c r="AL28" s="304">
        <f t="shared" si="9"/>
        <v>0</v>
      </c>
    </row>
    <row r="29" spans="1:38" ht="13.5" thickBot="1" x14ac:dyDescent="0.25">
      <c r="A29" s="86" t="s">
        <v>254</v>
      </c>
      <c r="B29" s="272">
        <f>COUNTIF(РПЗ!$Q:$Q,Справочно!$C25)</f>
        <v>0</v>
      </c>
      <c r="C29" s="314" t="e">
        <f t="shared" si="0"/>
        <v>#DIV/0!</v>
      </c>
      <c r="D29" s="317">
        <f>SUMIF(РПЗ!$Q:$Q,Справочно!$C25,РПЗ!$L:$L)</f>
        <v>0</v>
      </c>
      <c r="E29" s="316" t="e">
        <f t="shared" si="1"/>
        <v>#DIV/0!</v>
      </c>
      <c r="G29" s="149">
        <f>COUNTIFS(РПЗ!$Q:$Q,Справочно!$C25,РПЗ!$AF:$AF,1)</f>
        <v>0</v>
      </c>
      <c r="H29" s="305">
        <f>SUMIFS(РПЗ!$L:$L,РПЗ!$Q:$Q,Справочно!$C25,РПЗ!$AF:$AF,1)</f>
        <v>0</v>
      </c>
      <c r="I29" s="149">
        <f>COUNTIFS(РПЗ!$Q:$Q,Справочно!$C25,РПЗ!$AF:$AF,2)</f>
        <v>0</v>
      </c>
      <c r="J29" s="305">
        <f>SUMIFS(РПЗ!$L:$L,РПЗ!$Q:$Q,Справочно!$C25,РПЗ!$AF:$AF,2)</f>
        <v>0</v>
      </c>
      <c r="K29" s="149">
        <f>COUNTIFS(РПЗ!$Q:$Q,Справочно!$C25,РПЗ!$AF:$AF,3)</f>
        <v>0</v>
      </c>
      <c r="L29" s="305">
        <f>SUMIFS(РПЗ!$L:$L,РПЗ!$Q:$Q,Справочно!$C25,РПЗ!$AF:$AF,3)</f>
        <v>0</v>
      </c>
      <c r="M29" s="192">
        <f t="shared" si="2"/>
        <v>0</v>
      </c>
      <c r="N29" s="298">
        <f t="shared" si="3"/>
        <v>0</v>
      </c>
      <c r="O29" s="152">
        <f>COUNTIFS(РПЗ!$Q:$Q,Справочно!$C25,РПЗ!$AF:$AF,4)</f>
        <v>0</v>
      </c>
      <c r="P29" s="299">
        <f>SUMIFS(РПЗ!$L:$L,РПЗ!$Q:$Q,Справочно!$C25,РПЗ!$AF:$AF,4)</f>
        <v>0</v>
      </c>
      <c r="Q29" s="152">
        <f>COUNTIFS(РПЗ!$Q:$Q,Справочно!$C25,РПЗ!$AF:$AF,5)</f>
        <v>0</v>
      </c>
      <c r="R29" s="299">
        <f>SUMIFS(РПЗ!$L:$L,РПЗ!$Q:$Q,Справочно!$C25,РПЗ!$AF:$AF,5)</f>
        <v>0</v>
      </c>
      <c r="S29" s="152">
        <f>COUNTIFS(РПЗ!$Q:$Q,Справочно!$C25,РПЗ!$AF:$AF,6)</f>
        <v>0</v>
      </c>
      <c r="T29" s="299">
        <f>SUMIFS(РПЗ!$L:$L,РПЗ!$Q:$Q,Справочно!$C25,РПЗ!$AF:$AF,6)</f>
        <v>0</v>
      </c>
      <c r="U29" s="196">
        <f t="shared" si="4"/>
        <v>0</v>
      </c>
      <c r="V29" s="300">
        <f t="shared" si="5"/>
        <v>0</v>
      </c>
      <c r="W29" s="146">
        <f>COUNTIFS(РПЗ!$Q:$Q,Справочно!$C25,РПЗ!$AF:$AF,7)</f>
        <v>0</v>
      </c>
      <c r="X29" s="301">
        <f>SUMIFS(РПЗ!$L:$L,РПЗ!$Q:$Q,Справочно!$C25,РПЗ!$AF:$AF,7)</f>
        <v>0</v>
      </c>
      <c r="Y29" s="146">
        <f>COUNTIFS(РПЗ!$Q:$Q,Справочно!$C25,РПЗ!$AF:$AF,8)</f>
        <v>0</v>
      </c>
      <c r="Z29" s="301">
        <f>SUMIFS(РПЗ!$L:$L,РПЗ!$Q:$Q,Справочно!$C25,РПЗ!$AF:$AF,8)</f>
        <v>0</v>
      </c>
      <c r="AA29" s="146">
        <f>COUNTIFS(РПЗ!$Q:$Q,Справочно!$C25,РПЗ!$AF:$AF,9)</f>
        <v>0</v>
      </c>
      <c r="AB29" s="301">
        <f>SUMIFS(РПЗ!$L:$L,РПЗ!$Q:$Q,Справочно!$C25,РПЗ!$AF:$AF,9)</f>
        <v>0</v>
      </c>
      <c r="AC29" s="197">
        <f t="shared" si="6"/>
        <v>0</v>
      </c>
      <c r="AD29" s="302">
        <f t="shared" si="7"/>
        <v>0</v>
      </c>
      <c r="AE29" s="154">
        <f>COUNTIFS(РПЗ!$Q:$Q,Справочно!$C25,РПЗ!$AF:$AF,10)</f>
        <v>0</v>
      </c>
      <c r="AF29" s="303">
        <f>SUMIFS(РПЗ!$L:$L,РПЗ!$Q:$Q,Справочно!$C25,РПЗ!$AF:$AF,10)</f>
        <v>0</v>
      </c>
      <c r="AG29" s="154">
        <f>COUNTIFS(РПЗ!$Q:$Q,Справочно!$C25,РПЗ!$AF:$AF,11)</f>
        <v>0</v>
      </c>
      <c r="AH29" s="303">
        <f>SUMIFS(РПЗ!$L:$L,РПЗ!$Q:$Q,Справочно!$C25,РПЗ!$AF:$AF,11)</f>
        <v>0</v>
      </c>
      <c r="AI29" s="154">
        <f>COUNTIFS(РПЗ!$Q:$Q,Справочно!$C25,РПЗ!$AF:$AF,12)</f>
        <v>0</v>
      </c>
      <c r="AJ29" s="303">
        <f>SUMIFS(РПЗ!$L:$L,РПЗ!$Q:$Q,Справочно!$C25,РПЗ!$AF:$AF,12)</f>
        <v>0</v>
      </c>
      <c r="AK29" s="201">
        <f t="shared" si="8"/>
        <v>0</v>
      </c>
      <c r="AL29" s="304">
        <f t="shared" si="9"/>
        <v>0</v>
      </c>
    </row>
    <row r="30" spans="1:38" ht="13.5" thickBot="1" x14ac:dyDescent="0.25">
      <c r="A30" s="86" t="s">
        <v>168</v>
      </c>
      <c r="B30" s="272">
        <f>COUNTIF(РПЗ!$Q:$Q,Справочно!$C26)</f>
        <v>0</v>
      </c>
      <c r="C30" s="314" t="e">
        <f t="shared" si="0"/>
        <v>#DIV/0!</v>
      </c>
      <c r="D30" s="317">
        <f>SUMIF(РПЗ!$Q:$Q,Справочно!$C26,РПЗ!$L:$L)</f>
        <v>0</v>
      </c>
      <c r="E30" s="316" t="e">
        <f t="shared" si="1"/>
        <v>#DIV/0!</v>
      </c>
      <c r="G30" s="149">
        <f>COUNTIFS(РПЗ!$Q:$Q,Справочно!$C26,РПЗ!$AF:$AF,1)</f>
        <v>0</v>
      </c>
      <c r="H30" s="305">
        <f>SUMIFS(РПЗ!$L:$L,РПЗ!$Q:$Q,Справочно!$C26,РПЗ!$AF:$AF,1)</f>
        <v>0</v>
      </c>
      <c r="I30" s="149">
        <f>COUNTIFS(РПЗ!$Q:$Q,Справочно!$C26,РПЗ!$AF:$AF,2)</f>
        <v>0</v>
      </c>
      <c r="J30" s="305">
        <f>SUMIFS(РПЗ!$L:$L,РПЗ!$Q:$Q,Справочно!$C26,РПЗ!$AF:$AF,2)</f>
        <v>0</v>
      </c>
      <c r="K30" s="149">
        <f>COUNTIFS(РПЗ!$Q:$Q,Справочно!$C26,РПЗ!$AF:$AF,3)</f>
        <v>0</v>
      </c>
      <c r="L30" s="305">
        <f>SUMIFS(РПЗ!$L:$L,РПЗ!$Q:$Q,Справочно!$C26,РПЗ!$AF:$AF,3)</f>
        <v>0</v>
      </c>
      <c r="M30" s="192">
        <f t="shared" si="2"/>
        <v>0</v>
      </c>
      <c r="N30" s="298">
        <f t="shared" si="3"/>
        <v>0</v>
      </c>
      <c r="O30" s="152">
        <f>COUNTIFS(РПЗ!$Q:$Q,Справочно!$C26,РПЗ!$AF:$AF,4)</f>
        <v>0</v>
      </c>
      <c r="P30" s="299">
        <f>SUMIFS(РПЗ!$L:$L,РПЗ!$Q:$Q,Справочно!$C26,РПЗ!$AF:$AF,4)</f>
        <v>0</v>
      </c>
      <c r="Q30" s="152">
        <f>COUNTIFS(РПЗ!$Q:$Q,Справочно!$C26,РПЗ!$AF:$AF,5)</f>
        <v>0</v>
      </c>
      <c r="R30" s="299">
        <f>SUMIFS(РПЗ!$L:$L,РПЗ!$Q:$Q,Справочно!$C26,РПЗ!$AF:$AF,5)</f>
        <v>0</v>
      </c>
      <c r="S30" s="152">
        <f>COUNTIFS(РПЗ!$Q:$Q,Справочно!$C26,РПЗ!$AF:$AF,6)</f>
        <v>0</v>
      </c>
      <c r="T30" s="299">
        <f>SUMIFS(РПЗ!$L:$L,РПЗ!$Q:$Q,Справочно!$C26,РПЗ!$AF:$AF,6)</f>
        <v>0</v>
      </c>
      <c r="U30" s="196">
        <f t="shared" si="4"/>
        <v>0</v>
      </c>
      <c r="V30" s="300">
        <f t="shared" si="5"/>
        <v>0</v>
      </c>
      <c r="W30" s="146">
        <f>COUNTIFS(РПЗ!$Q:$Q,Справочно!$C26,РПЗ!$AF:$AF,7)</f>
        <v>0</v>
      </c>
      <c r="X30" s="301">
        <f>SUMIFS(РПЗ!$L:$L,РПЗ!$Q:$Q,Справочно!$C26,РПЗ!$AF:$AF,7)</f>
        <v>0</v>
      </c>
      <c r="Y30" s="146">
        <f>COUNTIFS(РПЗ!$Q:$Q,Справочно!$C26,РПЗ!$AF:$AF,8)</f>
        <v>0</v>
      </c>
      <c r="Z30" s="301">
        <f>SUMIFS(РПЗ!$L:$L,РПЗ!$Q:$Q,Справочно!$C26,РПЗ!$AF:$AF,8)</f>
        <v>0</v>
      </c>
      <c r="AA30" s="146">
        <f>COUNTIFS(РПЗ!$Q:$Q,Справочно!$C26,РПЗ!$AF:$AF,9)</f>
        <v>0</v>
      </c>
      <c r="AB30" s="301">
        <f>SUMIFS(РПЗ!$L:$L,РПЗ!$Q:$Q,Справочно!$C26,РПЗ!$AF:$AF,9)</f>
        <v>0</v>
      </c>
      <c r="AC30" s="197">
        <f t="shared" si="6"/>
        <v>0</v>
      </c>
      <c r="AD30" s="302">
        <f t="shared" si="7"/>
        <v>0</v>
      </c>
      <c r="AE30" s="154">
        <f>COUNTIFS(РПЗ!$Q:$Q,Справочно!$C26,РПЗ!$AF:$AF,10)</f>
        <v>0</v>
      </c>
      <c r="AF30" s="303">
        <f>SUMIFS(РПЗ!$L:$L,РПЗ!$Q:$Q,Справочно!$C26,РПЗ!$AF:$AF,10)</f>
        <v>0</v>
      </c>
      <c r="AG30" s="154">
        <f>COUNTIFS(РПЗ!$Q:$Q,Справочно!$C26,РПЗ!$AF:$AF,11)</f>
        <v>0</v>
      </c>
      <c r="AH30" s="303">
        <f>SUMIFS(РПЗ!$L:$L,РПЗ!$Q:$Q,Справочно!$C26,РПЗ!$AF:$AF,11)</f>
        <v>0</v>
      </c>
      <c r="AI30" s="154">
        <f>COUNTIFS(РПЗ!$Q:$Q,Справочно!$C26,РПЗ!$AF:$AF,12)</f>
        <v>0</v>
      </c>
      <c r="AJ30" s="303">
        <f>SUMIFS(РПЗ!$L:$L,РПЗ!$Q:$Q,Справочно!$C26,РПЗ!$AF:$AF,12)</f>
        <v>0</v>
      </c>
      <c r="AK30" s="201">
        <f t="shared" si="8"/>
        <v>0</v>
      </c>
      <c r="AL30" s="304">
        <f t="shared" si="9"/>
        <v>0</v>
      </c>
    </row>
    <row r="31" spans="1:38" ht="13.5" thickBot="1" x14ac:dyDescent="0.25">
      <c r="A31" s="86" t="s">
        <v>255</v>
      </c>
      <c r="B31" s="272">
        <f>COUNTIF(РПЗ!$Q:$Q,Справочно!$C27)</f>
        <v>0</v>
      </c>
      <c r="C31" s="314" t="e">
        <f t="shared" si="0"/>
        <v>#DIV/0!</v>
      </c>
      <c r="D31" s="317">
        <f>SUMIF(РПЗ!$Q:$Q,Справочно!$C27,РПЗ!$L:$L)</f>
        <v>0</v>
      </c>
      <c r="E31" s="316" t="e">
        <f t="shared" si="1"/>
        <v>#DIV/0!</v>
      </c>
      <c r="G31" s="149">
        <f>COUNTIFS(РПЗ!$Q:$Q,Справочно!$C27,РПЗ!$AF:$AF,1)</f>
        <v>0</v>
      </c>
      <c r="H31" s="305">
        <f>SUMIFS(РПЗ!$L:$L,РПЗ!$Q:$Q,Справочно!$C27,РПЗ!$AF:$AF,1)</f>
        <v>0</v>
      </c>
      <c r="I31" s="149">
        <f>COUNTIFS(РПЗ!$Q:$Q,Справочно!$C27,РПЗ!$AF:$AF,2)</f>
        <v>0</v>
      </c>
      <c r="J31" s="305">
        <f>SUMIFS(РПЗ!$L:$L,РПЗ!$Q:$Q,Справочно!$C27,РПЗ!$AF:$AF,2)</f>
        <v>0</v>
      </c>
      <c r="K31" s="149">
        <f>COUNTIFS(РПЗ!$Q:$Q,Справочно!$C27,РПЗ!$AF:$AF,3)</f>
        <v>0</v>
      </c>
      <c r="L31" s="305">
        <f>SUMIFS(РПЗ!$L:$L,РПЗ!$Q:$Q,Справочно!$C27,РПЗ!$AF:$AF,3)</f>
        <v>0</v>
      </c>
      <c r="M31" s="192">
        <f t="shared" si="2"/>
        <v>0</v>
      </c>
      <c r="N31" s="298">
        <f t="shared" si="3"/>
        <v>0</v>
      </c>
      <c r="O31" s="152">
        <f>COUNTIFS(РПЗ!$Q:$Q,Справочно!$C27,РПЗ!$AF:$AF,4)</f>
        <v>0</v>
      </c>
      <c r="P31" s="299">
        <f>SUMIFS(РПЗ!$L:$L,РПЗ!$Q:$Q,Справочно!$C27,РПЗ!$AF:$AF,4)</f>
        <v>0</v>
      </c>
      <c r="Q31" s="152">
        <f>COUNTIFS(РПЗ!$Q:$Q,Справочно!$C27,РПЗ!$AF:$AF,5)</f>
        <v>0</v>
      </c>
      <c r="R31" s="299">
        <f>SUMIFS(РПЗ!$L:$L,РПЗ!$Q:$Q,Справочно!$C27,РПЗ!$AF:$AF,5)</f>
        <v>0</v>
      </c>
      <c r="S31" s="152">
        <f>COUNTIFS(РПЗ!$Q:$Q,Справочно!$C27,РПЗ!$AF:$AF,6)</f>
        <v>0</v>
      </c>
      <c r="T31" s="299">
        <f>SUMIFS(РПЗ!$L:$L,РПЗ!$Q:$Q,Справочно!$C27,РПЗ!$AF:$AF,6)</f>
        <v>0</v>
      </c>
      <c r="U31" s="196">
        <f t="shared" si="4"/>
        <v>0</v>
      </c>
      <c r="V31" s="300">
        <f t="shared" si="5"/>
        <v>0</v>
      </c>
      <c r="W31" s="146">
        <f>COUNTIFS(РПЗ!$Q:$Q,Справочно!$C27,РПЗ!$AF:$AF,7)</f>
        <v>0</v>
      </c>
      <c r="X31" s="301">
        <f>SUMIFS(РПЗ!$L:$L,РПЗ!$Q:$Q,Справочно!$C27,РПЗ!$AF:$AF,7)</f>
        <v>0</v>
      </c>
      <c r="Y31" s="146">
        <f>COUNTIFS(РПЗ!$Q:$Q,Справочно!$C27,РПЗ!$AF:$AF,8)</f>
        <v>0</v>
      </c>
      <c r="Z31" s="301">
        <f>SUMIFS(РПЗ!$L:$L,РПЗ!$Q:$Q,Справочно!$C27,РПЗ!$AF:$AF,8)</f>
        <v>0</v>
      </c>
      <c r="AA31" s="146">
        <f>COUNTIFS(РПЗ!$Q:$Q,Справочно!$C27,РПЗ!$AF:$AF,9)</f>
        <v>0</v>
      </c>
      <c r="AB31" s="301">
        <f>SUMIFS(РПЗ!$L:$L,РПЗ!$Q:$Q,Справочно!$C27,РПЗ!$AF:$AF,9)</f>
        <v>0</v>
      </c>
      <c r="AC31" s="197">
        <f t="shared" si="6"/>
        <v>0</v>
      </c>
      <c r="AD31" s="302">
        <f t="shared" si="7"/>
        <v>0</v>
      </c>
      <c r="AE31" s="154">
        <f>COUNTIFS(РПЗ!$Q:$Q,Справочно!$C27,РПЗ!$AF:$AF,10)</f>
        <v>0</v>
      </c>
      <c r="AF31" s="303">
        <f>SUMIFS(РПЗ!$L:$L,РПЗ!$Q:$Q,Справочно!$C27,РПЗ!$AF:$AF,10)</f>
        <v>0</v>
      </c>
      <c r="AG31" s="154">
        <f>COUNTIFS(РПЗ!$Q:$Q,Справочно!$C27,РПЗ!$AF:$AF,11)</f>
        <v>0</v>
      </c>
      <c r="AH31" s="303">
        <f>SUMIFS(РПЗ!$L:$L,РПЗ!$Q:$Q,Справочно!$C27,РПЗ!$AF:$AF,11)</f>
        <v>0</v>
      </c>
      <c r="AI31" s="154">
        <f>COUNTIFS(РПЗ!$Q:$Q,Справочно!$C27,РПЗ!$AF:$AF,12)</f>
        <v>0</v>
      </c>
      <c r="AJ31" s="303">
        <f>SUMIFS(РПЗ!$L:$L,РПЗ!$Q:$Q,Справочно!$C27,РПЗ!$AF:$AF,12)</f>
        <v>0</v>
      </c>
      <c r="AK31" s="201">
        <f t="shared" si="8"/>
        <v>0</v>
      </c>
      <c r="AL31" s="304">
        <f t="shared" si="9"/>
        <v>0</v>
      </c>
    </row>
    <row r="32" spans="1:38" ht="13.5" thickBot="1" x14ac:dyDescent="0.25">
      <c r="A32" s="86" t="s">
        <v>169</v>
      </c>
      <c r="B32" s="272">
        <f>COUNTIF(РПЗ!$Q:$Q,Справочно!$C28)</f>
        <v>0</v>
      </c>
      <c r="C32" s="314" t="e">
        <f t="shared" si="0"/>
        <v>#DIV/0!</v>
      </c>
      <c r="D32" s="317">
        <f>SUMIF(РПЗ!$Q:$Q,Справочно!$C28,РПЗ!$L:$L)</f>
        <v>0</v>
      </c>
      <c r="E32" s="316" t="e">
        <f t="shared" si="1"/>
        <v>#DIV/0!</v>
      </c>
      <c r="G32" s="149">
        <f>COUNTIFS(РПЗ!$Q:$Q,Справочно!$C28,РПЗ!$AF:$AF,1)</f>
        <v>0</v>
      </c>
      <c r="H32" s="305">
        <f>SUMIFS(РПЗ!$L:$L,РПЗ!$Q:$Q,Справочно!$C28,РПЗ!$AF:$AF,1)</f>
        <v>0</v>
      </c>
      <c r="I32" s="149">
        <f>COUNTIFS(РПЗ!$Q:$Q,Справочно!$C28,РПЗ!$AF:$AF,2)</f>
        <v>0</v>
      </c>
      <c r="J32" s="305">
        <f>SUMIFS(РПЗ!$L:$L,РПЗ!$Q:$Q,Справочно!$C28,РПЗ!$AF:$AF,2)</f>
        <v>0</v>
      </c>
      <c r="K32" s="149">
        <f>COUNTIFS(РПЗ!$Q:$Q,Справочно!$C28,РПЗ!$AF:$AF,3)</f>
        <v>0</v>
      </c>
      <c r="L32" s="305">
        <f>SUMIFS(РПЗ!$L:$L,РПЗ!$Q:$Q,Справочно!$C28,РПЗ!$AF:$AF,3)</f>
        <v>0</v>
      </c>
      <c r="M32" s="192">
        <f t="shared" si="2"/>
        <v>0</v>
      </c>
      <c r="N32" s="298">
        <f t="shared" si="3"/>
        <v>0</v>
      </c>
      <c r="O32" s="152">
        <f>COUNTIFS(РПЗ!$Q:$Q,Справочно!$C28,РПЗ!$AF:$AF,4)</f>
        <v>0</v>
      </c>
      <c r="P32" s="299">
        <f>SUMIFS(РПЗ!$L:$L,РПЗ!$Q:$Q,Справочно!$C28,РПЗ!$AF:$AF,4)</f>
        <v>0</v>
      </c>
      <c r="Q32" s="152">
        <f>COUNTIFS(РПЗ!$Q:$Q,Справочно!$C28,РПЗ!$AF:$AF,5)</f>
        <v>0</v>
      </c>
      <c r="R32" s="299">
        <f>SUMIFS(РПЗ!$L:$L,РПЗ!$Q:$Q,Справочно!$C28,РПЗ!$AF:$AF,5)</f>
        <v>0</v>
      </c>
      <c r="S32" s="152">
        <f>COUNTIFS(РПЗ!$Q:$Q,Справочно!$C28,РПЗ!$AF:$AF,6)</f>
        <v>0</v>
      </c>
      <c r="T32" s="299">
        <f>SUMIFS(РПЗ!$L:$L,РПЗ!$Q:$Q,Справочно!$C28,РПЗ!$AF:$AF,6)</f>
        <v>0</v>
      </c>
      <c r="U32" s="196">
        <f t="shared" si="4"/>
        <v>0</v>
      </c>
      <c r="V32" s="300">
        <f t="shared" si="5"/>
        <v>0</v>
      </c>
      <c r="W32" s="146">
        <f>COUNTIFS(РПЗ!$Q:$Q,Справочно!$C28,РПЗ!$AF:$AF,7)</f>
        <v>0</v>
      </c>
      <c r="X32" s="301">
        <f>SUMIFS(РПЗ!$L:$L,РПЗ!$Q:$Q,Справочно!$C28,РПЗ!$AF:$AF,7)</f>
        <v>0</v>
      </c>
      <c r="Y32" s="146">
        <f>COUNTIFS(РПЗ!$Q:$Q,Справочно!$C28,РПЗ!$AF:$AF,8)</f>
        <v>0</v>
      </c>
      <c r="Z32" s="301">
        <f>SUMIFS(РПЗ!$L:$L,РПЗ!$Q:$Q,Справочно!$C28,РПЗ!$AF:$AF,8)</f>
        <v>0</v>
      </c>
      <c r="AA32" s="146">
        <f>COUNTIFS(РПЗ!$Q:$Q,Справочно!$C28,РПЗ!$AF:$AF,9)</f>
        <v>0</v>
      </c>
      <c r="AB32" s="301">
        <f>SUMIFS(РПЗ!$L:$L,РПЗ!$Q:$Q,Справочно!$C28,РПЗ!$AF:$AF,9)</f>
        <v>0</v>
      </c>
      <c r="AC32" s="197">
        <f t="shared" si="6"/>
        <v>0</v>
      </c>
      <c r="AD32" s="302">
        <f t="shared" si="7"/>
        <v>0</v>
      </c>
      <c r="AE32" s="154">
        <f>COUNTIFS(РПЗ!$Q:$Q,Справочно!$C28,РПЗ!$AF:$AF,10)</f>
        <v>0</v>
      </c>
      <c r="AF32" s="303">
        <f>SUMIFS(РПЗ!$L:$L,РПЗ!$Q:$Q,Справочно!$C28,РПЗ!$AF:$AF,10)</f>
        <v>0</v>
      </c>
      <c r="AG32" s="154">
        <f>COUNTIFS(РПЗ!$Q:$Q,Справочно!$C28,РПЗ!$AF:$AF,11)</f>
        <v>0</v>
      </c>
      <c r="AH32" s="303">
        <f>SUMIFS(РПЗ!$L:$L,РПЗ!$Q:$Q,Справочно!$C28,РПЗ!$AF:$AF,11)</f>
        <v>0</v>
      </c>
      <c r="AI32" s="154">
        <f>COUNTIFS(РПЗ!$Q:$Q,Справочно!$C28,РПЗ!$AF:$AF,12)</f>
        <v>0</v>
      </c>
      <c r="AJ32" s="303">
        <f>SUMIFS(РПЗ!$L:$L,РПЗ!$Q:$Q,Справочно!$C28,РПЗ!$AF:$AF,12)</f>
        <v>0</v>
      </c>
      <c r="AK32" s="201">
        <f t="shared" si="8"/>
        <v>0</v>
      </c>
      <c r="AL32" s="304">
        <f t="shared" si="9"/>
        <v>0</v>
      </c>
    </row>
    <row r="33" spans="1:38" ht="13.5" thickBot="1" x14ac:dyDescent="0.25">
      <c r="A33" s="86" t="s">
        <v>256</v>
      </c>
      <c r="B33" s="272">
        <f>COUNTIF(РПЗ!$Q:$Q,Справочно!$C29)</f>
        <v>0</v>
      </c>
      <c r="C33" s="314" t="e">
        <f t="shared" si="0"/>
        <v>#DIV/0!</v>
      </c>
      <c r="D33" s="317">
        <f>SUMIF(РПЗ!$Q:$Q,Справочно!$C29,РПЗ!$L:$L)</f>
        <v>0</v>
      </c>
      <c r="E33" s="316" t="e">
        <f t="shared" si="1"/>
        <v>#DIV/0!</v>
      </c>
      <c r="G33" s="149">
        <f>COUNTIFS(РПЗ!$Q:$Q,Справочно!$C29,РПЗ!$AF:$AF,1)</f>
        <v>0</v>
      </c>
      <c r="H33" s="305">
        <f>SUMIFS(РПЗ!$L:$L,РПЗ!$Q:$Q,Справочно!$C29,РПЗ!$AF:$AF,1)</f>
        <v>0</v>
      </c>
      <c r="I33" s="149">
        <f>COUNTIFS(РПЗ!$Q:$Q,Справочно!$C29,РПЗ!$AF:$AF,2)</f>
        <v>0</v>
      </c>
      <c r="J33" s="305">
        <f>SUMIFS(РПЗ!$L:$L,РПЗ!$Q:$Q,Справочно!$C29,РПЗ!$AF:$AF,2)</f>
        <v>0</v>
      </c>
      <c r="K33" s="149">
        <f>COUNTIFS(РПЗ!$Q:$Q,Справочно!$C29,РПЗ!$AF:$AF,3)</f>
        <v>0</v>
      </c>
      <c r="L33" s="305">
        <f>SUMIFS(РПЗ!$L:$L,РПЗ!$Q:$Q,Справочно!$C29,РПЗ!$AF:$AF,3)</f>
        <v>0</v>
      </c>
      <c r="M33" s="192">
        <f t="shared" si="2"/>
        <v>0</v>
      </c>
      <c r="N33" s="298">
        <f t="shared" si="3"/>
        <v>0</v>
      </c>
      <c r="O33" s="152">
        <f>COUNTIFS(РПЗ!$Q:$Q,Справочно!$C29,РПЗ!$AF:$AF,4)</f>
        <v>0</v>
      </c>
      <c r="P33" s="299">
        <f>SUMIFS(РПЗ!$L:$L,РПЗ!$Q:$Q,Справочно!$C29,РПЗ!$AF:$AF,4)</f>
        <v>0</v>
      </c>
      <c r="Q33" s="152">
        <f>COUNTIFS(РПЗ!$Q:$Q,Справочно!$C29,РПЗ!$AF:$AF,5)</f>
        <v>0</v>
      </c>
      <c r="R33" s="299">
        <f>SUMIFS(РПЗ!$L:$L,РПЗ!$Q:$Q,Справочно!$C29,РПЗ!$AF:$AF,5)</f>
        <v>0</v>
      </c>
      <c r="S33" s="152">
        <f>COUNTIFS(РПЗ!$Q:$Q,Справочно!$C29,РПЗ!$AF:$AF,6)</f>
        <v>0</v>
      </c>
      <c r="T33" s="299">
        <f>SUMIFS(РПЗ!$L:$L,РПЗ!$Q:$Q,Справочно!$C29,РПЗ!$AF:$AF,6)</f>
        <v>0</v>
      </c>
      <c r="U33" s="196">
        <f t="shared" si="4"/>
        <v>0</v>
      </c>
      <c r="V33" s="300">
        <f t="shared" si="5"/>
        <v>0</v>
      </c>
      <c r="W33" s="146">
        <f>COUNTIFS(РПЗ!$Q:$Q,Справочно!$C29,РПЗ!$AF:$AF,7)</f>
        <v>0</v>
      </c>
      <c r="X33" s="301">
        <f>SUMIFS(РПЗ!$L:$L,РПЗ!$Q:$Q,Справочно!$C29,РПЗ!$AF:$AF,7)</f>
        <v>0</v>
      </c>
      <c r="Y33" s="146">
        <f>COUNTIFS(РПЗ!$Q:$Q,Справочно!$C29,РПЗ!$AF:$AF,8)</f>
        <v>0</v>
      </c>
      <c r="Z33" s="301">
        <f>SUMIFS(РПЗ!$L:$L,РПЗ!$Q:$Q,Справочно!$C29,РПЗ!$AF:$AF,8)</f>
        <v>0</v>
      </c>
      <c r="AA33" s="146">
        <f>COUNTIFS(РПЗ!$Q:$Q,Справочно!$C29,РПЗ!$AF:$AF,9)</f>
        <v>0</v>
      </c>
      <c r="AB33" s="301">
        <f>SUMIFS(РПЗ!$L:$L,РПЗ!$Q:$Q,Справочно!$C29,РПЗ!$AF:$AF,9)</f>
        <v>0</v>
      </c>
      <c r="AC33" s="197">
        <f t="shared" si="6"/>
        <v>0</v>
      </c>
      <c r="AD33" s="302">
        <f t="shared" si="7"/>
        <v>0</v>
      </c>
      <c r="AE33" s="154">
        <f>COUNTIFS(РПЗ!$Q:$Q,Справочно!$C29,РПЗ!$AF:$AF,10)</f>
        <v>0</v>
      </c>
      <c r="AF33" s="303">
        <f>SUMIFS(РПЗ!$L:$L,РПЗ!$Q:$Q,Справочно!$C29,РПЗ!$AF:$AF,10)</f>
        <v>0</v>
      </c>
      <c r="AG33" s="154">
        <f>COUNTIFS(РПЗ!$Q:$Q,Справочно!$C29,РПЗ!$AF:$AF,11)</f>
        <v>0</v>
      </c>
      <c r="AH33" s="303">
        <f>SUMIFS(РПЗ!$L:$L,РПЗ!$Q:$Q,Справочно!$C29,РПЗ!$AF:$AF,11)</f>
        <v>0</v>
      </c>
      <c r="AI33" s="154">
        <f>COUNTIFS(РПЗ!$Q:$Q,Справочно!$C29,РПЗ!$AF:$AF,12)</f>
        <v>0</v>
      </c>
      <c r="AJ33" s="303">
        <f>SUMIFS(РПЗ!$L:$L,РПЗ!$Q:$Q,Справочно!$C29,РПЗ!$AF:$AF,12)</f>
        <v>0</v>
      </c>
      <c r="AK33" s="201">
        <f t="shared" si="8"/>
        <v>0</v>
      </c>
      <c r="AL33" s="304">
        <f t="shared" si="9"/>
        <v>0</v>
      </c>
    </row>
    <row r="34" spans="1:38" ht="13.5" thickBot="1" x14ac:dyDescent="0.25">
      <c r="A34" s="86" t="s">
        <v>170</v>
      </c>
      <c r="B34" s="272">
        <f>COUNTIF(РПЗ!$Q:$Q,Справочно!$C30)</f>
        <v>0</v>
      </c>
      <c r="C34" s="314" t="e">
        <f t="shared" si="0"/>
        <v>#DIV/0!</v>
      </c>
      <c r="D34" s="317">
        <f>SUMIF(РПЗ!$Q:$Q,Справочно!$C30,РПЗ!$L:$L)</f>
        <v>0</v>
      </c>
      <c r="E34" s="316" t="e">
        <f t="shared" si="1"/>
        <v>#DIV/0!</v>
      </c>
      <c r="G34" s="149">
        <f>COUNTIFS(РПЗ!$Q:$Q,Справочно!$C30,РПЗ!$AF:$AF,1)</f>
        <v>0</v>
      </c>
      <c r="H34" s="305">
        <f>SUMIFS(РПЗ!$L:$L,РПЗ!$Q:$Q,Справочно!$C30,РПЗ!$AF:$AF,1)</f>
        <v>0</v>
      </c>
      <c r="I34" s="149">
        <f>COUNTIFS(РПЗ!$Q:$Q,Справочно!$C30,РПЗ!$AF:$AF,2)</f>
        <v>0</v>
      </c>
      <c r="J34" s="305">
        <f>SUMIFS(РПЗ!$L:$L,РПЗ!$Q:$Q,Справочно!$C30,РПЗ!$AF:$AF,2)</f>
        <v>0</v>
      </c>
      <c r="K34" s="149">
        <f>COUNTIFS(РПЗ!$Q:$Q,Справочно!$C30,РПЗ!$AF:$AF,3)</f>
        <v>0</v>
      </c>
      <c r="L34" s="305">
        <f>SUMIFS(РПЗ!$L:$L,РПЗ!$Q:$Q,Справочно!$C30,РПЗ!$AF:$AF,3)</f>
        <v>0</v>
      </c>
      <c r="M34" s="192">
        <f t="shared" si="2"/>
        <v>0</v>
      </c>
      <c r="N34" s="298">
        <f t="shared" si="3"/>
        <v>0</v>
      </c>
      <c r="O34" s="152">
        <f>COUNTIFS(РПЗ!$Q:$Q,Справочно!$C30,РПЗ!$AF:$AF,4)</f>
        <v>0</v>
      </c>
      <c r="P34" s="299">
        <f>SUMIFS(РПЗ!$L:$L,РПЗ!$Q:$Q,Справочно!$C30,РПЗ!$AF:$AF,4)</f>
        <v>0</v>
      </c>
      <c r="Q34" s="152">
        <f>COUNTIFS(РПЗ!$Q:$Q,Справочно!$C30,РПЗ!$AF:$AF,5)</f>
        <v>0</v>
      </c>
      <c r="R34" s="299">
        <f>SUMIFS(РПЗ!$L:$L,РПЗ!$Q:$Q,Справочно!$C30,РПЗ!$AF:$AF,5)</f>
        <v>0</v>
      </c>
      <c r="S34" s="152">
        <f>COUNTIFS(РПЗ!$Q:$Q,Справочно!$C30,РПЗ!$AF:$AF,6)</f>
        <v>0</v>
      </c>
      <c r="T34" s="299">
        <f>SUMIFS(РПЗ!$L:$L,РПЗ!$Q:$Q,Справочно!$C30,РПЗ!$AF:$AF,6)</f>
        <v>0</v>
      </c>
      <c r="U34" s="196">
        <f t="shared" si="4"/>
        <v>0</v>
      </c>
      <c r="V34" s="300">
        <f t="shared" si="5"/>
        <v>0</v>
      </c>
      <c r="W34" s="146">
        <f>COUNTIFS(РПЗ!$Q:$Q,Справочно!$C30,РПЗ!$AF:$AF,7)</f>
        <v>0</v>
      </c>
      <c r="X34" s="301">
        <f>SUMIFS(РПЗ!$L:$L,РПЗ!$Q:$Q,Справочно!$C30,РПЗ!$AF:$AF,7)</f>
        <v>0</v>
      </c>
      <c r="Y34" s="146">
        <f>COUNTIFS(РПЗ!$Q:$Q,Справочно!$C30,РПЗ!$AF:$AF,8)</f>
        <v>0</v>
      </c>
      <c r="Z34" s="301">
        <f>SUMIFS(РПЗ!$L:$L,РПЗ!$Q:$Q,Справочно!$C30,РПЗ!$AF:$AF,8)</f>
        <v>0</v>
      </c>
      <c r="AA34" s="146">
        <f>COUNTIFS(РПЗ!$Q:$Q,Справочно!$C30,РПЗ!$AF:$AF,9)</f>
        <v>0</v>
      </c>
      <c r="AB34" s="301">
        <f>SUMIFS(РПЗ!$L:$L,РПЗ!$Q:$Q,Справочно!$C30,РПЗ!$AF:$AF,9)</f>
        <v>0</v>
      </c>
      <c r="AC34" s="197">
        <f t="shared" si="6"/>
        <v>0</v>
      </c>
      <c r="AD34" s="302">
        <f t="shared" si="7"/>
        <v>0</v>
      </c>
      <c r="AE34" s="154">
        <f>COUNTIFS(РПЗ!$Q:$Q,Справочно!$C30,РПЗ!$AF:$AF,10)</f>
        <v>0</v>
      </c>
      <c r="AF34" s="303">
        <f>SUMIFS(РПЗ!$L:$L,РПЗ!$Q:$Q,Справочно!$C30,РПЗ!$AF:$AF,10)</f>
        <v>0</v>
      </c>
      <c r="AG34" s="154">
        <f>COUNTIFS(РПЗ!$Q:$Q,Справочно!$C30,РПЗ!$AF:$AF,11)</f>
        <v>0</v>
      </c>
      <c r="AH34" s="303">
        <f>SUMIFS(РПЗ!$L:$L,РПЗ!$Q:$Q,Справочно!$C30,РПЗ!$AF:$AF,11)</f>
        <v>0</v>
      </c>
      <c r="AI34" s="154">
        <f>COUNTIFS(РПЗ!$Q:$Q,Справочно!$C30,РПЗ!$AF:$AF,12)</f>
        <v>0</v>
      </c>
      <c r="AJ34" s="303">
        <f>SUMIFS(РПЗ!$L:$L,РПЗ!$Q:$Q,Справочно!$C30,РПЗ!$AF:$AF,12)</f>
        <v>0</v>
      </c>
      <c r="AK34" s="201">
        <f t="shared" si="8"/>
        <v>0</v>
      </c>
      <c r="AL34" s="304">
        <f t="shared" si="9"/>
        <v>0</v>
      </c>
    </row>
    <row r="35" spans="1:38" ht="13.5" thickBot="1" x14ac:dyDescent="0.25">
      <c r="A35" s="86" t="s">
        <v>257</v>
      </c>
      <c r="B35" s="72">
        <f>COUNTIF(РПЗ!$Q:$Q,Справочно!$C31)</f>
        <v>0</v>
      </c>
      <c r="C35" s="314" t="e">
        <f t="shared" si="0"/>
        <v>#DIV/0!</v>
      </c>
      <c r="D35" s="318">
        <f>SUMIF(РПЗ!$Q:$Q,Справочно!$C31,РПЗ!$L:$L)</f>
        <v>0</v>
      </c>
      <c r="E35" s="316" t="e">
        <f t="shared" si="1"/>
        <v>#DIV/0!</v>
      </c>
      <c r="G35" s="151">
        <f>COUNTIFS(РПЗ!$Q:$Q,Справочно!$C31,РПЗ!$AF:$AF,1)</f>
        <v>0</v>
      </c>
      <c r="H35" s="306">
        <f>SUMIFS(РПЗ!$L:$L,РПЗ!$Q:$Q,Справочно!$C31,РПЗ!$AF:$AF,1)</f>
        <v>0</v>
      </c>
      <c r="I35" s="151">
        <f>COUNTIFS(РПЗ!$Q:$Q,Справочно!$C31,РПЗ!$AF:$AF,2)</f>
        <v>0</v>
      </c>
      <c r="J35" s="306">
        <f>SUMIFS(РПЗ!$L:$L,РПЗ!$Q:$Q,Справочно!$C31,РПЗ!$AF:$AF,2)</f>
        <v>0</v>
      </c>
      <c r="K35" s="151">
        <f>COUNTIFS(РПЗ!$Q:$Q,Справочно!$C31,РПЗ!$AF:$AF,3)</f>
        <v>0</v>
      </c>
      <c r="L35" s="306">
        <f>SUMIFS(РПЗ!$L:$L,РПЗ!$Q:$Q,Справочно!$C31,РПЗ!$AF:$AF,3)</f>
        <v>0</v>
      </c>
      <c r="M35" s="192">
        <f t="shared" si="2"/>
        <v>0</v>
      </c>
      <c r="N35" s="298">
        <f t="shared" si="3"/>
        <v>0</v>
      </c>
      <c r="O35" s="152">
        <f>COUNTIFS(РПЗ!$Q:$Q,Справочно!$C31,РПЗ!$AF:$AF,4)</f>
        <v>0</v>
      </c>
      <c r="P35" s="299">
        <f>SUMIFS(РПЗ!$L:$L,РПЗ!$Q:$Q,Справочно!$C31,РПЗ!$AF:$AF,4)</f>
        <v>0</v>
      </c>
      <c r="Q35" s="152">
        <f>COUNTIFS(РПЗ!$Q:$Q,Справочно!$C31,РПЗ!$AF:$AF,5)</f>
        <v>0</v>
      </c>
      <c r="R35" s="299">
        <f>SUMIFS(РПЗ!$L:$L,РПЗ!$Q:$Q,Справочно!$C31,РПЗ!$AF:$AF,5)</f>
        <v>0</v>
      </c>
      <c r="S35" s="152">
        <f>COUNTIFS(РПЗ!$Q:$Q,Справочно!$C31,РПЗ!$AF:$AF,6)</f>
        <v>0</v>
      </c>
      <c r="T35" s="299">
        <f>SUMIFS(РПЗ!$L:$L,РПЗ!$Q:$Q,Справочно!$C31,РПЗ!$AF:$AF,6)</f>
        <v>0</v>
      </c>
      <c r="U35" s="196">
        <f t="shared" si="4"/>
        <v>0</v>
      </c>
      <c r="V35" s="300">
        <f t="shared" si="5"/>
        <v>0</v>
      </c>
      <c r="W35" s="146">
        <f>COUNTIFS(РПЗ!$Q:$Q,Справочно!$C31,РПЗ!$AF:$AF,7)</f>
        <v>0</v>
      </c>
      <c r="X35" s="301">
        <f>SUMIFS(РПЗ!$L:$L,РПЗ!$Q:$Q,Справочно!$C31,РПЗ!$AF:$AF,7)</f>
        <v>0</v>
      </c>
      <c r="Y35" s="146">
        <f>COUNTIFS(РПЗ!$Q:$Q,Справочно!$C31,РПЗ!$AF:$AF,8)</f>
        <v>0</v>
      </c>
      <c r="Z35" s="301">
        <f>SUMIFS(РПЗ!$L:$L,РПЗ!$Q:$Q,Справочно!$C31,РПЗ!$AF:$AF,8)</f>
        <v>0</v>
      </c>
      <c r="AA35" s="146">
        <f>COUNTIFS(РПЗ!$Q:$Q,Справочно!$C31,РПЗ!$AF:$AF,9)</f>
        <v>0</v>
      </c>
      <c r="AB35" s="301">
        <f>SUMIFS(РПЗ!$L:$L,РПЗ!$Q:$Q,Справочно!$C31,РПЗ!$AF:$AF,7)</f>
        <v>0</v>
      </c>
      <c r="AC35" s="197">
        <f t="shared" si="6"/>
        <v>0</v>
      </c>
      <c r="AD35" s="302">
        <f t="shared" si="7"/>
        <v>0</v>
      </c>
      <c r="AE35" s="154">
        <f>COUNTIFS(РПЗ!$Q:$Q,Справочно!$C31,РПЗ!$AF:$AF,10)</f>
        <v>0</v>
      </c>
      <c r="AF35" s="303">
        <f>SUMIFS(РПЗ!$L:$L,РПЗ!$Q:$Q,Справочно!$C31,РПЗ!$AF:$AF,10)</f>
        <v>0</v>
      </c>
      <c r="AG35" s="154">
        <f>COUNTIFS(РПЗ!$Q:$Q,Справочно!$C31,РПЗ!$AF:$AF,11)</f>
        <v>0</v>
      </c>
      <c r="AH35" s="303">
        <f>SUMIFS(РПЗ!$L:$L,РПЗ!$Q:$Q,Справочно!$C31,РПЗ!$AF:$AF,11)</f>
        <v>0</v>
      </c>
      <c r="AI35" s="154">
        <f>COUNTIFS(РПЗ!$Q:$Q,Справочно!$C31,РПЗ!$AF:$AF,12)</f>
        <v>0</v>
      </c>
      <c r="AJ35" s="303">
        <f>SUMIFS(РПЗ!$L:$L,РПЗ!$Q:$Q,Справочно!$C31,РПЗ!$AF:$AF,12)</f>
        <v>0</v>
      </c>
      <c r="AK35" s="201">
        <f t="shared" si="8"/>
        <v>0</v>
      </c>
      <c r="AL35" s="304">
        <f t="shared" si="9"/>
        <v>0</v>
      </c>
    </row>
    <row r="36" spans="1:38" ht="13.5" thickBot="1" x14ac:dyDescent="0.25">
      <c r="A36" s="67" t="s">
        <v>239</v>
      </c>
      <c r="B36" s="96">
        <f>SUM(B16:B35)</f>
        <v>0</v>
      </c>
      <c r="C36" s="364" t="e">
        <f>SUM(C16:C35)</f>
        <v>#DIV/0!</v>
      </c>
      <c r="D36" s="365">
        <f>SUM(D16:D35)</f>
        <v>0</v>
      </c>
      <c r="E36" s="364" t="e">
        <f>SUM(E16:E35)</f>
        <v>#DIV/0!</v>
      </c>
      <c r="G36" s="68">
        <f t="shared" ref="G36:N36" si="10">SUM(G16:G35)</f>
        <v>0</v>
      </c>
      <c r="H36" s="307">
        <f t="shared" si="10"/>
        <v>0</v>
      </c>
      <c r="I36" s="138">
        <f t="shared" si="10"/>
        <v>0</v>
      </c>
      <c r="J36" s="307">
        <f t="shared" si="10"/>
        <v>0</v>
      </c>
      <c r="K36" s="138">
        <f t="shared" si="10"/>
        <v>0</v>
      </c>
      <c r="L36" s="308">
        <f t="shared" si="10"/>
        <v>0</v>
      </c>
      <c r="M36" s="255">
        <f t="shared" si="10"/>
        <v>0</v>
      </c>
      <c r="N36" s="370">
        <f t="shared" si="10"/>
        <v>0</v>
      </c>
      <c r="O36" s="68">
        <f>SUM(O16:O35)</f>
        <v>0</v>
      </c>
      <c r="P36" s="307">
        <f t="shared" ref="P36:AL36" si="11">SUM(P16:P35)</f>
        <v>0</v>
      </c>
      <c r="Q36" s="138">
        <f t="shared" si="11"/>
        <v>0</v>
      </c>
      <c r="R36" s="307">
        <f t="shared" si="11"/>
        <v>0</v>
      </c>
      <c r="S36" s="138">
        <f t="shared" si="11"/>
        <v>0</v>
      </c>
      <c r="T36" s="308">
        <f t="shared" si="11"/>
        <v>0</v>
      </c>
      <c r="U36" s="255">
        <f t="shared" si="11"/>
        <v>0</v>
      </c>
      <c r="V36" s="370">
        <f t="shared" si="11"/>
        <v>0</v>
      </c>
      <c r="W36" s="68">
        <f t="shared" si="11"/>
        <v>0</v>
      </c>
      <c r="X36" s="307">
        <f t="shared" si="11"/>
        <v>0</v>
      </c>
      <c r="Y36" s="138">
        <f t="shared" si="11"/>
        <v>0</v>
      </c>
      <c r="Z36" s="307">
        <f t="shared" si="11"/>
        <v>0</v>
      </c>
      <c r="AA36" s="138">
        <f t="shared" si="11"/>
        <v>0</v>
      </c>
      <c r="AB36" s="308">
        <f t="shared" si="11"/>
        <v>0</v>
      </c>
      <c r="AC36" s="255">
        <f t="shared" si="11"/>
        <v>0</v>
      </c>
      <c r="AD36" s="370">
        <f t="shared" si="11"/>
        <v>0</v>
      </c>
      <c r="AE36" s="68">
        <f>SUM(AE16:AE35)</f>
        <v>0</v>
      </c>
      <c r="AF36" s="307">
        <f t="shared" si="11"/>
        <v>0</v>
      </c>
      <c r="AG36" s="138">
        <f t="shared" si="11"/>
        <v>0</v>
      </c>
      <c r="AH36" s="307">
        <f t="shared" si="11"/>
        <v>0</v>
      </c>
      <c r="AI36" s="138">
        <f>SUM(AI16:AI35)</f>
        <v>0</v>
      </c>
      <c r="AJ36" s="308">
        <f t="shared" si="11"/>
        <v>0</v>
      </c>
      <c r="AK36" s="255">
        <f t="shared" si="11"/>
        <v>0</v>
      </c>
      <c r="AL36" s="370">
        <f t="shared" si="11"/>
        <v>0</v>
      </c>
    </row>
    <row r="37" spans="1:38" ht="13.5" thickBot="1" x14ac:dyDescent="0.25">
      <c r="A37" s="83"/>
      <c r="B37" s="84"/>
      <c r="C37" s="319"/>
      <c r="D37" s="320"/>
      <c r="E37" s="319"/>
      <c r="G37" s="310"/>
      <c r="H37" s="311"/>
      <c r="I37" s="311"/>
      <c r="J37" s="311"/>
      <c r="K37" s="311"/>
      <c r="L37" s="311"/>
      <c r="M37" s="311"/>
      <c r="N37" s="312"/>
      <c r="O37" s="310"/>
      <c r="P37" s="311"/>
      <c r="Q37" s="311"/>
      <c r="R37" s="311"/>
      <c r="S37" s="311"/>
      <c r="T37" s="311"/>
      <c r="U37" s="311"/>
      <c r="V37" s="312"/>
      <c r="W37" s="310"/>
      <c r="X37" s="311"/>
      <c r="Y37" s="311"/>
      <c r="Z37" s="311"/>
      <c r="AA37" s="311"/>
      <c r="AB37" s="311"/>
      <c r="AC37" s="311"/>
      <c r="AD37" s="312"/>
      <c r="AE37" s="310"/>
      <c r="AF37" s="311"/>
      <c r="AG37" s="311"/>
      <c r="AH37" s="311"/>
      <c r="AI37" s="311"/>
      <c r="AJ37" s="311"/>
      <c r="AK37" s="311"/>
      <c r="AL37" s="312"/>
    </row>
    <row r="38" spans="1:38" ht="13.5" thickBot="1" x14ac:dyDescent="0.25">
      <c r="A38" s="74" t="s">
        <v>109</v>
      </c>
      <c r="B38" s="97">
        <f>COUNTIF(РПЗ!$Q:$Q,Справочно!$C33)</f>
        <v>0</v>
      </c>
      <c r="C38" s="366" t="e">
        <f>B38/$B$13</f>
        <v>#DIV/0!</v>
      </c>
      <c r="D38" s="365">
        <f>SUMIF(РПЗ!$Q:$Q,Справочно!$C33,РПЗ!$L:$L)</f>
        <v>0</v>
      </c>
      <c r="E38" s="366" t="e">
        <f>D38/$D$40</f>
        <v>#DIV/0!</v>
      </c>
      <c r="G38" s="68">
        <f>COUNTIFS(РПЗ!$Q:$Q,Справочно!$C33,РПЗ!$AF:$AF,1)</f>
        <v>0</v>
      </c>
      <c r="H38" s="307">
        <f>SUMIFS(РПЗ!$L:$L,РПЗ!$Q:$Q,Справочно!$C33,РПЗ!$AF:$AF,1)</f>
        <v>0</v>
      </c>
      <c r="I38" s="138">
        <f>COUNTIFS(РПЗ!$Q:$Q,Справочно!$C33,РПЗ!$AF:$AF,2)</f>
        <v>0</v>
      </c>
      <c r="J38" s="307">
        <f>SUMIFS(РПЗ!$L:$L,РПЗ!$Q:$Q,Справочно!$C33,РПЗ!$AF:$AF,2)</f>
        <v>0</v>
      </c>
      <c r="K38" s="138">
        <f>COUNTIFS(РПЗ!$Q:$Q,Справочно!$C33,РПЗ!$AF:$AF,3)</f>
        <v>0</v>
      </c>
      <c r="L38" s="307">
        <f>SUMIFS(РПЗ!$L:$L,РПЗ!$Q:$Q,Справочно!$C33,РПЗ!$AF:$AF,3)</f>
        <v>0</v>
      </c>
      <c r="M38" s="371">
        <f>SUM(G38,I38,K38)</f>
        <v>0</v>
      </c>
      <c r="N38" s="370">
        <f>SUM(H38,J38,L38)</f>
        <v>0</v>
      </c>
      <c r="O38" s="138">
        <f>COUNTIFS(РПЗ!$Q:$Q,Справочно!$C33,РПЗ!$AF:$AF,4)</f>
        <v>0</v>
      </c>
      <c r="P38" s="307">
        <f>SUMIFS(РПЗ!$L:$L,РПЗ!$Q:$Q,Справочно!$C33,РПЗ!$AF:$AF,4)</f>
        <v>0</v>
      </c>
      <c r="Q38" s="138">
        <f>COUNTIFS(РПЗ!$Q:$Q,Справочно!$C33,РПЗ!$AF:$AF,5)</f>
        <v>0</v>
      </c>
      <c r="R38" s="307">
        <f>SUMIFS(РПЗ!$L:$L,РПЗ!$Q:$Q,Справочно!$C33,РПЗ!$AF:$AF,5)</f>
        <v>0</v>
      </c>
      <c r="S38" s="138">
        <f>COUNTIFS(РПЗ!$Q:$Q,Справочно!$C33,РПЗ!$AF:$AF,6)</f>
        <v>0</v>
      </c>
      <c r="T38" s="307">
        <f>SUMIFS(РПЗ!$L:$L,РПЗ!$Q:$Q,Справочно!$C33,РПЗ!$AF:$AF,6)</f>
        <v>0</v>
      </c>
      <c r="U38" s="371">
        <f>SUM(O38,Q38,S38)</f>
        <v>0</v>
      </c>
      <c r="V38" s="370">
        <f>SUM(P38,R38,T38)</f>
        <v>0</v>
      </c>
      <c r="W38" s="138">
        <f>COUNTIFS(РПЗ!$Q:$Q,Справочно!$C33,РПЗ!$AF:$AF,7)</f>
        <v>0</v>
      </c>
      <c r="X38" s="307">
        <f>SUMIFS(РПЗ!$L:$L,РПЗ!$Q:$Q,Справочно!$C33,РПЗ!$AF:$AF,7)</f>
        <v>0</v>
      </c>
      <c r="Y38" s="138">
        <f>COUNTIFS(РПЗ!$Q:$Q,Справочно!$C33,РПЗ!$AF:$AF,8)</f>
        <v>0</v>
      </c>
      <c r="Z38" s="307">
        <f>SUMIFS(РПЗ!$L:$L,РПЗ!$Q:$Q,Справочно!$C33,РПЗ!$AF:$AF,8)</f>
        <v>0</v>
      </c>
      <c r="AA38" s="138">
        <f>COUNTIFS(РПЗ!$Q:$Q,Справочно!$C33,РПЗ!$AF:$AF,9)</f>
        <v>0</v>
      </c>
      <c r="AB38" s="307">
        <f>SUMIFS(РПЗ!$L:$L,РПЗ!$Q:$Q,Справочно!$C33,РПЗ!$AF:$AF,9)</f>
        <v>0</v>
      </c>
      <c r="AC38" s="371">
        <f>SUM(W38,Y38,AA38)</f>
        <v>0</v>
      </c>
      <c r="AD38" s="370">
        <f>SUM(X38,Z38,AB38)</f>
        <v>0</v>
      </c>
      <c r="AE38" s="138">
        <f>COUNTIFS(РПЗ!$Q:$Q,Справочно!$C33,РПЗ!$AF:$AF,10)</f>
        <v>0</v>
      </c>
      <c r="AF38" s="307">
        <f>SUMIFS(РПЗ!$L:$L,РПЗ!$Q:$Q,Справочно!$C33,РПЗ!$AF:$AF,10)</f>
        <v>0</v>
      </c>
      <c r="AG38" s="138">
        <f>COUNTIFS(РПЗ!$Q:$Q,Справочно!$C33,РПЗ!$AF:$AF,11)</f>
        <v>0</v>
      </c>
      <c r="AH38" s="307">
        <f>SUMIFS(РПЗ!$L:$L,РПЗ!$Q:$Q,Справочно!$C33,РПЗ!$AF:$AF,11)</f>
        <v>0</v>
      </c>
      <c r="AI38" s="138">
        <f>COUNTIFS(РПЗ!$Q:$Q,Справочно!$C33,РПЗ!$AF:$AF,12)</f>
        <v>0</v>
      </c>
      <c r="AJ38" s="307">
        <f>SUMIFS(РПЗ!$L:$L,РПЗ!$Q:$Q,Справочно!$C33,РПЗ!$AF:$AF,7)</f>
        <v>0</v>
      </c>
      <c r="AK38" s="371">
        <f>SUM(AE38,AG38,AI38)</f>
        <v>0</v>
      </c>
      <c r="AL38" s="370">
        <f>SUM(AF38,AH38,AJ38)</f>
        <v>0</v>
      </c>
    </row>
    <row r="39" spans="1:38" ht="13.5" thickBot="1" x14ac:dyDescent="0.25">
      <c r="A39" s="81"/>
      <c r="B39" s="82"/>
      <c r="C39" s="321"/>
      <c r="D39" s="322"/>
      <c r="E39" s="321"/>
      <c r="G39" s="310"/>
      <c r="H39" s="311"/>
      <c r="I39" s="311"/>
      <c r="J39" s="311"/>
      <c r="K39" s="311"/>
      <c r="L39" s="311"/>
      <c r="M39" s="311"/>
      <c r="N39" s="312"/>
      <c r="O39" s="310"/>
      <c r="P39" s="311"/>
      <c r="Q39" s="311"/>
      <c r="R39" s="311"/>
      <c r="S39" s="311"/>
      <c r="T39" s="311"/>
      <c r="U39" s="311"/>
      <c r="V39" s="312"/>
      <c r="W39" s="310"/>
      <c r="X39" s="311"/>
      <c r="Y39" s="311"/>
      <c r="Z39" s="311"/>
      <c r="AA39" s="311"/>
      <c r="AB39" s="311"/>
      <c r="AC39" s="311"/>
      <c r="AD39" s="312"/>
      <c r="AE39" s="310"/>
      <c r="AF39" s="311"/>
      <c r="AG39" s="311"/>
      <c r="AH39" s="311"/>
      <c r="AI39" s="311"/>
      <c r="AJ39" s="311"/>
      <c r="AK39" s="311"/>
      <c r="AL39" s="312"/>
    </row>
    <row r="40" spans="1:38" ht="13.5" thickBot="1" x14ac:dyDescent="0.25">
      <c r="A40" s="73" t="s">
        <v>259</v>
      </c>
      <c r="B40" s="367">
        <f>B36+B38</f>
        <v>0</v>
      </c>
      <c r="C40" s="368" t="e">
        <f>C36+C38</f>
        <v>#DIV/0!</v>
      </c>
      <c r="D40" s="365">
        <f>D36+D38</f>
        <v>0</v>
      </c>
      <c r="E40" s="369" t="e">
        <f>E36+E38</f>
        <v>#DIV/0!</v>
      </c>
      <c r="G40" s="87">
        <f>SUM(G36,G38)</f>
        <v>0</v>
      </c>
      <c r="H40" s="307">
        <f t="shared" ref="H40:N40" si="12">SUM(H36,H38)</f>
        <v>0</v>
      </c>
      <c r="I40" s="137">
        <f t="shared" si="12"/>
        <v>0</v>
      </c>
      <c r="J40" s="307">
        <f t="shared" si="12"/>
        <v>0</v>
      </c>
      <c r="K40" s="137">
        <f t="shared" si="12"/>
        <v>0</v>
      </c>
      <c r="L40" s="313">
        <f t="shared" si="12"/>
        <v>0</v>
      </c>
      <c r="M40" s="372">
        <f t="shared" si="12"/>
        <v>0</v>
      </c>
      <c r="N40" s="370">
        <f t="shared" si="12"/>
        <v>0</v>
      </c>
      <c r="O40" s="87">
        <f>SUM(O36,O38)</f>
        <v>0</v>
      </c>
      <c r="P40" s="307">
        <f t="shared" ref="P40:V40" si="13">SUM(P36,P38)</f>
        <v>0</v>
      </c>
      <c r="Q40" s="137">
        <f t="shared" si="13"/>
        <v>0</v>
      </c>
      <c r="R40" s="307">
        <f t="shared" si="13"/>
        <v>0</v>
      </c>
      <c r="S40" s="137">
        <f t="shared" si="13"/>
        <v>0</v>
      </c>
      <c r="T40" s="308">
        <f t="shared" si="13"/>
        <v>0</v>
      </c>
      <c r="U40" s="372">
        <f t="shared" si="13"/>
        <v>0</v>
      </c>
      <c r="V40" s="370">
        <f t="shared" si="13"/>
        <v>0</v>
      </c>
      <c r="W40" s="87">
        <f>SUM(W36,W38)</f>
        <v>0</v>
      </c>
      <c r="X40" s="307">
        <f t="shared" ref="X40:AD40" si="14">SUM(X36,X38)</f>
        <v>0</v>
      </c>
      <c r="Y40" s="137">
        <f t="shared" si="14"/>
        <v>0</v>
      </c>
      <c r="Z40" s="307">
        <f t="shared" si="14"/>
        <v>0</v>
      </c>
      <c r="AA40" s="137">
        <f t="shared" si="14"/>
        <v>0</v>
      </c>
      <c r="AB40" s="308">
        <f t="shared" si="14"/>
        <v>0</v>
      </c>
      <c r="AC40" s="372">
        <f t="shared" si="14"/>
        <v>0</v>
      </c>
      <c r="AD40" s="370">
        <f t="shared" si="14"/>
        <v>0</v>
      </c>
      <c r="AE40" s="87">
        <f>SUM(AE36,AE38)</f>
        <v>0</v>
      </c>
      <c r="AF40" s="307">
        <f t="shared" ref="AF40:AL40" si="15">SUM(AF36,AF38)</f>
        <v>0</v>
      </c>
      <c r="AG40" s="137">
        <f t="shared" si="15"/>
        <v>0</v>
      </c>
      <c r="AH40" s="307">
        <f t="shared" si="15"/>
        <v>0</v>
      </c>
      <c r="AI40" s="137">
        <f t="shared" si="15"/>
        <v>0</v>
      </c>
      <c r="AJ40" s="308">
        <f t="shared" si="15"/>
        <v>0</v>
      </c>
      <c r="AK40" s="372">
        <f t="shared" si="15"/>
        <v>0</v>
      </c>
      <c r="AL40" s="370">
        <f t="shared" si="15"/>
        <v>0</v>
      </c>
    </row>
    <row r="41" spans="1:38" x14ac:dyDescent="0.2">
      <c r="G41" s="108"/>
      <c r="H41" s="109"/>
      <c r="I41" s="109"/>
      <c r="J41" s="109"/>
      <c r="K41" s="109"/>
      <c r="L41" s="109"/>
      <c r="M41" s="109"/>
      <c r="N41" s="145"/>
      <c r="O41" s="108"/>
      <c r="P41" s="109"/>
      <c r="Q41" s="109"/>
      <c r="R41" s="109"/>
      <c r="S41" s="109"/>
      <c r="T41" s="109"/>
      <c r="U41" s="109"/>
      <c r="V41" s="145"/>
      <c r="W41" s="108"/>
      <c r="X41" s="109"/>
      <c r="Y41" s="109"/>
      <c r="Z41" s="109"/>
      <c r="AA41" s="109"/>
      <c r="AB41" s="109"/>
      <c r="AC41" s="109"/>
      <c r="AD41" s="145"/>
      <c r="AE41" s="108"/>
      <c r="AF41" s="109"/>
      <c r="AG41" s="109"/>
      <c r="AH41" s="109"/>
      <c r="AI41" s="109"/>
      <c r="AJ41" s="109"/>
      <c r="AK41" s="109"/>
      <c r="AL41" s="145"/>
    </row>
    <row r="42" spans="1:38" ht="21" customHeight="1" thickBot="1" x14ac:dyDescent="0.25">
      <c r="A42" s="655" t="s">
        <v>244</v>
      </c>
      <c r="B42" s="655"/>
      <c r="C42" s="655"/>
      <c r="D42" s="655"/>
      <c r="E42" s="655"/>
      <c r="G42" s="108"/>
      <c r="H42" s="109"/>
      <c r="I42" s="109"/>
      <c r="J42" s="109"/>
      <c r="K42" s="109"/>
      <c r="L42" s="109"/>
      <c r="M42" s="109"/>
      <c r="N42" s="145"/>
      <c r="O42" s="108"/>
      <c r="P42" s="109"/>
      <c r="Q42" s="109"/>
      <c r="R42" s="109"/>
      <c r="S42" s="109"/>
      <c r="T42" s="109"/>
      <c r="U42" s="109"/>
      <c r="V42" s="145"/>
      <c r="W42" s="108"/>
      <c r="X42" s="109"/>
      <c r="Y42" s="109"/>
      <c r="Z42" s="109"/>
      <c r="AA42" s="109"/>
      <c r="AB42" s="109"/>
      <c r="AC42" s="109"/>
      <c r="AD42" s="145"/>
      <c r="AE42" s="108"/>
      <c r="AF42" s="109"/>
      <c r="AG42" s="109"/>
      <c r="AH42" s="109"/>
      <c r="AI42" s="109"/>
      <c r="AJ42" s="109"/>
      <c r="AK42" s="109"/>
      <c r="AL42" s="145"/>
    </row>
    <row r="43" spans="1:38" ht="26.25" thickBot="1" x14ac:dyDescent="0.25">
      <c r="A43" s="60" t="s">
        <v>210</v>
      </c>
      <c r="B43" s="61" t="s">
        <v>289</v>
      </c>
      <c r="C43" s="62" t="s">
        <v>240</v>
      </c>
      <c r="D43" s="63" t="s">
        <v>288</v>
      </c>
      <c r="E43" s="62" t="s">
        <v>243</v>
      </c>
      <c r="G43" s="61" t="s">
        <v>289</v>
      </c>
      <c r="H43" s="65" t="s">
        <v>288</v>
      </c>
      <c r="I43" s="65" t="s">
        <v>289</v>
      </c>
      <c r="J43" s="65" t="s">
        <v>288</v>
      </c>
      <c r="K43" s="65" t="s">
        <v>289</v>
      </c>
      <c r="L43" s="144" t="s">
        <v>288</v>
      </c>
      <c r="M43" s="173" t="s">
        <v>289</v>
      </c>
      <c r="N43" s="173" t="s">
        <v>288</v>
      </c>
      <c r="O43" s="61" t="s">
        <v>289</v>
      </c>
      <c r="P43" s="65" t="s">
        <v>288</v>
      </c>
      <c r="Q43" s="65" t="s">
        <v>289</v>
      </c>
      <c r="R43" s="65" t="s">
        <v>288</v>
      </c>
      <c r="S43" s="65" t="s">
        <v>289</v>
      </c>
      <c r="T43" s="144" t="s">
        <v>288</v>
      </c>
      <c r="U43" s="173" t="s">
        <v>289</v>
      </c>
      <c r="V43" s="173" t="s">
        <v>288</v>
      </c>
      <c r="W43" s="61" t="s">
        <v>289</v>
      </c>
      <c r="X43" s="65" t="s">
        <v>288</v>
      </c>
      <c r="Y43" s="65" t="s">
        <v>289</v>
      </c>
      <c r="Z43" s="65" t="s">
        <v>288</v>
      </c>
      <c r="AA43" s="65" t="s">
        <v>289</v>
      </c>
      <c r="AB43" s="144" t="s">
        <v>288</v>
      </c>
      <c r="AC43" s="173" t="s">
        <v>289</v>
      </c>
      <c r="AD43" s="173" t="s">
        <v>288</v>
      </c>
      <c r="AE43" s="61" t="s">
        <v>289</v>
      </c>
      <c r="AF43" s="65" t="s">
        <v>288</v>
      </c>
      <c r="AG43" s="65" t="s">
        <v>289</v>
      </c>
      <c r="AH43" s="65" t="s">
        <v>288</v>
      </c>
      <c r="AI43" s="65" t="s">
        <v>289</v>
      </c>
      <c r="AJ43" s="144" t="s">
        <v>288</v>
      </c>
      <c r="AK43" s="173" t="s">
        <v>289</v>
      </c>
      <c r="AL43" s="173" t="s">
        <v>288</v>
      </c>
    </row>
    <row r="44" spans="1:38" ht="13.5" thickBot="1" x14ac:dyDescent="0.25">
      <c r="A44" s="92" t="str">
        <f>Справочно!E21</f>
        <v>ГК "Ростех"</v>
      </c>
      <c r="B44" s="72">
        <f>COUNTIF(РПЗ!$AC:$AC,Справочно!$E21)</f>
        <v>0</v>
      </c>
      <c r="C44" s="323" t="e">
        <f>B44/$B$13</f>
        <v>#DIV/0!</v>
      </c>
      <c r="D44" s="324">
        <f>SUMIF(РПЗ!$AC:$AC,Справочно!$E21,РПЗ!$L:$L)</f>
        <v>0</v>
      </c>
      <c r="E44" s="323" t="e">
        <f t="shared" ref="E44:E69" si="16">D44/$D$13</f>
        <v>#DIV/0!</v>
      </c>
      <c r="G44" s="189">
        <f>COUNTIFS(РПЗ!$AC:$AC,Справочно!$E21,РПЗ!$AF:$AF,1)</f>
        <v>0</v>
      </c>
      <c r="H44" s="305">
        <f>SUMIFS(РПЗ!$L:$L,РПЗ!$AC:$AC,Справочно!$E21,РПЗ!$AF:$AF,1)</f>
        <v>0</v>
      </c>
      <c r="I44" s="189">
        <f>COUNTIFS(РПЗ!$AC:$AC,Справочно!$E21,РПЗ!$AF:$AF,2)</f>
        <v>0</v>
      </c>
      <c r="J44" s="305">
        <f>SUMIFS(РПЗ!$L:$L,РПЗ!$AC:$AC,Справочно!$E21,РПЗ!$AF:$AF,2)</f>
        <v>0</v>
      </c>
      <c r="K44" s="189">
        <f>COUNTIFS(РПЗ!$AC:$AC,Справочно!$E21,РПЗ!$AF:$AF,3)</f>
        <v>0</v>
      </c>
      <c r="L44" s="305">
        <f>SUMIFS(РПЗ!$L:$L,РПЗ!$AC:$AC,Справочно!$E21,РПЗ!$AF:$AF,3)</f>
        <v>0</v>
      </c>
      <c r="M44" s="192">
        <f>SUM(G44,I44,K44)</f>
        <v>0</v>
      </c>
      <c r="N44" s="298">
        <f>SUM(H44,J44,L44)</f>
        <v>0</v>
      </c>
      <c r="O44" s="193">
        <f>COUNTIFS(РПЗ!$AC:$AC,Справочно!$E21,РПЗ!$AF:$AF,4)</f>
        <v>0</v>
      </c>
      <c r="P44" s="332">
        <f>SUMIFS(РПЗ!$L:$L,РПЗ!$AC:$AC,Справочно!$E21,РПЗ!$AF:$AF,4)</f>
        <v>0</v>
      </c>
      <c r="Q44" s="153">
        <f>COUNTIFS(РПЗ!$AC:$AC,Справочно!$E21,РПЗ!$AF:$AF,5)</f>
        <v>0</v>
      </c>
      <c r="R44" s="332">
        <f>SUMIFS(РПЗ!$L:$L,РПЗ!$AC:$AC,Справочно!$E21,РПЗ!$AF:$AF,5)</f>
        <v>0</v>
      </c>
      <c r="S44" s="153">
        <f>COUNTIFS(РПЗ!$AC:$AC,Справочно!$E21,РПЗ!$AF:$AF,6)</f>
        <v>0</v>
      </c>
      <c r="T44" s="332">
        <f>SUMIFS(РПЗ!$L:$L,РПЗ!$AC:$AC,Справочно!$E21,РПЗ!$AF:$AF,6)</f>
        <v>0</v>
      </c>
      <c r="U44" s="196">
        <f>SUM(O44,Q44,S44)</f>
        <v>0</v>
      </c>
      <c r="V44" s="300">
        <f>SUM(P44,R44,T44)</f>
        <v>0</v>
      </c>
      <c r="W44" s="198">
        <f>COUNTIFS(РПЗ!$AC:$AC,Справочно!$E21,РПЗ!$AF:$AF,7)</f>
        <v>0</v>
      </c>
      <c r="X44" s="334">
        <f>SUMIFS(РПЗ!$L:$L,РПЗ!$AC:$AC,Справочно!$E21,РПЗ!$AF:$AF,7)</f>
        <v>0</v>
      </c>
      <c r="Y44" s="198">
        <f>COUNTIFS(РПЗ!$AC:$AC,Справочно!$E21,РПЗ!$AF:$AF,8)</f>
        <v>0</v>
      </c>
      <c r="Z44" s="334">
        <f>SUMIFS(РПЗ!$L:$L,РПЗ!$AC:$AC,Справочно!$E21,РПЗ!$AF:$AF,8)</f>
        <v>0</v>
      </c>
      <c r="AA44" s="198">
        <f>COUNTIFS(РПЗ!$AC:$AC,Справочно!$E21,РПЗ!$AF:$AF,9)</f>
        <v>0</v>
      </c>
      <c r="AB44" s="334">
        <f>SUMIFS(РПЗ!$L:$L,РПЗ!$AC:$AC,Справочно!$E21,РПЗ!$AF:$AF,9)</f>
        <v>0</v>
      </c>
      <c r="AC44" s="197">
        <f>SUM(W44,Y44,AA44)</f>
        <v>0</v>
      </c>
      <c r="AD44" s="302">
        <f>SUM(X44,Z44,AB44)</f>
        <v>0</v>
      </c>
      <c r="AE44" s="202">
        <f>COUNTIFS(РПЗ!$AC:$AC,Справочно!$E21,РПЗ!$AF:$AF,10)</f>
        <v>0</v>
      </c>
      <c r="AF44" s="336">
        <f>SUMIFS(РПЗ!$L:$L,РПЗ!$AC:$AC,Справочно!$E21,РПЗ!$AF:$AF,10)</f>
        <v>0</v>
      </c>
      <c r="AG44" s="179">
        <f>COUNTIFS(РПЗ!$AC:$AC,Справочно!$E21,РПЗ!$AF:$AF,11)</f>
        <v>0</v>
      </c>
      <c r="AH44" s="336">
        <f>SUMIFS(РПЗ!$L:$L,РПЗ!$AC:$AC,Справочно!$E21,РПЗ!$AF:$AF,11)</f>
        <v>0</v>
      </c>
      <c r="AI44" s="179">
        <f>COUNTIFS(РПЗ!$AC:$AC,Справочно!$E21,РПЗ!$AF:$AF,12)</f>
        <v>0</v>
      </c>
      <c r="AJ44" s="336">
        <f>SUMIFS(РПЗ!$L:$L,РПЗ!$AC:$AC,Справочно!$E21,РПЗ!$AF:$AF,12)</f>
        <v>0</v>
      </c>
      <c r="AK44" s="201">
        <f>SUM(AE44,AG44,AI44)</f>
        <v>0</v>
      </c>
      <c r="AL44" s="304">
        <f>SUM(AF44,AH44,AJ44)</f>
        <v>0</v>
      </c>
    </row>
    <row r="45" spans="1:38" ht="15.75" customHeight="1" thickBot="1" x14ac:dyDescent="0.25">
      <c r="A45" s="93" t="str">
        <f>Справочно!E22</f>
        <v>ООО "РТ-Развитие бизнеса"</v>
      </c>
      <c r="B45" s="72">
        <f>COUNTIF(РПЗ!$AC:$AC,Справочно!$E22)</f>
        <v>0</v>
      </c>
      <c r="C45" s="323" t="e">
        <f t="shared" ref="C45:C68" si="17">B45/$B$13</f>
        <v>#DIV/0!</v>
      </c>
      <c r="D45" s="324">
        <f>SUMIF(РПЗ!$AC:$AC,Справочно!$E22,РПЗ!$L:$L)</f>
        <v>0</v>
      </c>
      <c r="E45" s="323" t="e">
        <f t="shared" si="16"/>
        <v>#DIV/0!</v>
      </c>
      <c r="G45" s="149">
        <f>COUNTIFS(РПЗ!$AC:$AC,Справочно!$E22,РПЗ!$AF:$AF,1)</f>
        <v>0</v>
      </c>
      <c r="H45" s="305">
        <f>SUMIFS(РПЗ!$L:$L,РПЗ!$AC:$AC,Справочно!$E22,РПЗ!$AF:$AF,1)</f>
        <v>0</v>
      </c>
      <c r="I45" s="149">
        <f>COUNTIFS(РПЗ!$AC:$AC,Справочно!$E22,РПЗ!$AF:$AF,2)</f>
        <v>0</v>
      </c>
      <c r="J45" s="305">
        <f>SUMIFS(РПЗ!$L:$L,РПЗ!$AC:$AC,Справочно!$E22,РПЗ!$AF:$AF,2)</f>
        <v>0</v>
      </c>
      <c r="K45" s="149">
        <f>COUNTIFS(РПЗ!$AC:$AC,Справочно!$E22,РПЗ!$AF:$AF,3)</f>
        <v>0</v>
      </c>
      <c r="L45" s="305">
        <f>SUMIFS(РПЗ!$L:$L,РПЗ!$AC:$AC,Справочно!$E22,РПЗ!$AF:$AF,3)</f>
        <v>0</v>
      </c>
      <c r="M45" s="192">
        <f t="shared" ref="M45:M66" si="18">SUM(G45,I45,K45)</f>
        <v>0</v>
      </c>
      <c r="N45" s="298">
        <f t="shared" ref="N45:N68" si="19">SUM(H45,J45,L45)</f>
        <v>0</v>
      </c>
      <c r="O45" s="194">
        <f>COUNTIFS(РПЗ!$AC:$AC,Справочно!$E22,РПЗ!$AF:$AF,4)</f>
        <v>0</v>
      </c>
      <c r="P45" s="339">
        <f>SUMIFS(РПЗ!$L:$L,РПЗ!$AC:$AC,Справочно!$E22,РПЗ!$AF:$AF,4)</f>
        <v>0</v>
      </c>
      <c r="Q45" s="186">
        <f>COUNTIFS(РПЗ!$AC:$AC,Справочно!$E22,РПЗ!$AF:$AF,5)</f>
        <v>0</v>
      </c>
      <c r="R45" s="339">
        <f>SUMIFS(РПЗ!$L:$L,РПЗ!$AC:$AC,Справочно!$E22,РПЗ!$AF:$AF,5)</f>
        <v>0</v>
      </c>
      <c r="S45" s="186">
        <f>COUNTIFS(РПЗ!$AC:$AC,Справочно!$E22,РПЗ!$AF:$AF,6)</f>
        <v>0</v>
      </c>
      <c r="T45" s="339">
        <f>SUMIFS(РПЗ!$L:$L,РПЗ!$AC:$AC,Справочно!$E22,РПЗ!$AF:$AF,6)</f>
        <v>0</v>
      </c>
      <c r="U45" s="196">
        <f t="shared" ref="U45:U68" si="20">SUM(O45,Q45,S45)</f>
        <v>0</v>
      </c>
      <c r="V45" s="300">
        <f t="shared" ref="V45:V55" si="21">SUM(P45,R45,T45)</f>
        <v>0</v>
      </c>
      <c r="W45" s="199">
        <f>COUNTIFS(РПЗ!$AC:$AC,Справочно!$E22,РПЗ!$AF:$AF,7)</f>
        <v>0</v>
      </c>
      <c r="X45" s="341">
        <f>SUMIFS(РПЗ!$L:$L,РПЗ!$AC:$AC,Справочно!$E22,РПЗ!$AF:$AF,7)</f>
        <v>0</v>
      </c>
      <c r="Y45" s="199">
        <f>COUNTIFS(РПЗ!$AC:$AC,Справочно!$E22,РПЗ!$AF:$AF,8)</f>
        <v>0</v>
      </c>
      <c r="Z45" s="341">
        <f>SUMIFS(РПЗ!$L:$L,РПЗ!$AC:$AC,Справочно!$E22,РПЗ!$AF:$AF,8)</f>
        <v>0</v>
      </c>
      <c r="AA45" s="199">
        <f>COUNTIFS(РПЗ!$AC:$AC,Справочно!$E22,РПЗ!$AF:$AF,9)</f>
        <v>0</v>
      </c>
      <c r="AB45" s="341">
        <f>SUMIFS(РПЗ!$L:$L,РПЗ!$AC:$AC,Справочно!$E22,РПЗ!$AF:$AF,9)</f>
        <v>0</v>
      </c>
      <c r="AC45" s="197">
        <f t="shared" ref="AC45:AC68" si="22">SUM(W45,Y45,AA45)</f>
        <v>0</v>
      </c>
      <c r="AD45" s="302">
        <f t="shared" ref="AD45:AD68" si="23">SUM(X45,Z45,AB45)</f>
        <v>0</v>
      </c>
      <c r="AE45" s="204">
        <f>COUNTIFS(РПЗ!$AC:$AC,Справочно!$E22,РПЗ!$AF:$AF,10)</f>
        <v>0</v>
      </c>
      <c r="AF45" s="343">
        <f>SUMIFS(РПЗ!$L:$L,РПЗ!$AC:$AC,Справочно!$E22,РПЗ!$AF:$AF,10)</f>
        <v>0</v>
      </c>
      <c r="AG45" s="180">
        <f>COUNTIFS(РПЗ!$AC:$AC,Справочно!$E22,РПЗ!$AF:$AF,11)</f>
        <v>0</v>
      </c>
      <c r="AH45" s="343">
        <f>SUMIFS(РПЗ!$L:$L,РПЗ!$AC:$AC,Справочно!$E22,РПЗ!$AF:$AF,11)</f>
        <v>0</v>
      </c>
      <c r="AI45" s="180">
        <f>COUNTIFS(РПЗ!$AC:$AC,Справочно!$E22,РПЗ!$AF:$AF,12)</f>
        <v>0</v>
      </c>
      <c r="AJ45" s="343">
        <f>SUMIFS(РПЗ!$L:$L,РПЗ!$AC:$AC,Справочно!$E22,РПЗ!$AF:$AF,12)</f>
        <v>0</v>
      </c>
      <c r="AK45" s="201">
        <f t="shared" ref="AK45:AK68" si="24">SUM(AE45,AG45,AI45)</f>
        <v>0</v>
      </c>
      <c r="AL45" s="304">
        <f t="shared" ref="AL45:AL68" si="25">SUM(AF45,AH45,AJ45)</f>
        <v>0</v>
      </c>
    </row>
    <row r="46" spans="1:38" ht="13.5" thickBot="1" x14ac:dyDescent="0.25">
      <c r="A46" s="93" t="str">
        <f>Справочно!E23</f>
        <v>АО "НПО "Сплав"</v>
      </c>
      <c r="B46" s="72">
        <f>COUNTIF(РПЗ!$AC:$AC,Справочно!$E23)</f>
        <v>0</v>
      </c>
      <c r="C46" s="323" t="e">
        <f t="shared" si="17"/>
        <v>#DIV/0!</v>
      </c>
      <c r="D46" s="324">
        <f>SUMIF(РПЗ!$AC:$AC,Справочно!$E23,РПЗ!$L:$L)</f>
        <v>0</v>
      </c>
      <c r="E46" s="323" t="e">
        <f t="shared" si="16"/>
        <v>#DIV/0!</v>
      </c>
      <c r="G46" s="149">
        <f>COUNTIFS(РПЗ!$AC:$AC,Справочно!$E23,РПЗ!$AF:$AF,1)</f>
        <v>0</v>
      </c>
      <c r="H46" s="305">
        <f>SUMIFS(РПЗ!$L:$L,РПЗ!$AC:$AC,Справочно!$E23,РПЗ!$AF:$AF,1)</f>
        <v>0</v>
      </c>
      <c r="I46" s="149">
        <f>COUNTIFS(РПЗ!$AC:$AC,Справочно!$E23,РПЗ!$AF:$AF,2)</f>
        <v>0</v>
      </c>
      <c r="J46" s="305">
        <f>SUMIFS(РПЗ!$L:$L,РПЗ!$AC:$AC,Справочно!$E23,РПЗ!$AF:$AF,2)</f>
        <v>0</v>
      </c>
      <c r="K46" s="149">
        <f>COUNTIFS(РПЗ!$AC:$AC,Справочно!$E23,РПЗ!$AF:$AF,3)</f>
        <v>0</v>
      </c>
      <c r="L46" s="305">
        <f>SUMIFS(РПЗ!$L:$L,РПЗ!$AC:$AC,Справочно!$E23,РПЗ!$AF:$AF,3)</f>
        <v>0</v>
      </c>
      <c r="M46" s="192">
        <f t="shared" si="18"/>
        <v>0</v>
      </c>
      <c r="N46" s="298">
        <f t="shared" si="19"/>
        <v>0</v>
      </c>
      <c r="O46" s="194">
        <f>COUNTIFS(РПЗ!$AC:$AC,Справочно!$E23,РПЗ!$AF:$AF,4)</f>
        <v>0</v>
      </c>
      <c r="P46" s="339">
        <f>SUMIFS(РПЗ!$L:$L,РПЗ!$AC:$AC,Справочно!$E23,РПЗ!$AF:$AF,4)</f>
        <v>0</v>
      </c>
      <c r="Q46" s="186">
        <f>COUNTIFS(РПЗ!$AC:$AC,Справочно!$E23,РПЗ!$AF:$AF,5)</f>
        <v>0</v>
      </c>
      <c r="R46" s="339">
        <f>SUMIFS(РПЗ!$L:$L,РПЗ!$AC:$AC,Справочно!$E23,РПЗ!$AF:$AF,5)</f>
        <v>0</v>
      </c>
      <c r="S46" s="186">
        <f>COUNTIFS(РПЗ!$AC:$AC,Справочно!$E23,РПЗ!$AF:$AF,6)</f>
        <v>0</v>
      </c>
      <c r="T46" s="339">
        <f>SUMIFS(РПЗ!$L:$L,РПЗ!$AC:$AC,Справочно!$E23,РПЗ!$AF:$AF,6)</f>
        <v>0</v>
      </c>
      <c r="U46" s="196">
        <f t="shared" si="20"/>
        <v>0</v>
      </c>
      <c r="V46" s="300">
        <f t="shared" si="21"/>
        <v>0</v>
      </c>
      <c r="W46" s="199">
        <f>COUNTIFS(РПЗ!$AC:$AC,Справочно!$E23,РПЗ!$AF:$AF,7)</f>
        <v>0</v>
      </c>
      <c r="X46" s="341">
        <f>SUMIFS(РПЗ!$L:$L,РПЗ!$AC:$AC,Справочно!$E23,РПЗ!$AF:$AF,7)</f>
        <v>0</v>
      </c>
      <c r="Y46" s="199">
        <f>COUNTIFS(РПЗ!$AC:$AC,Справочно!$E23,РПЗ!$AF:$AF,8)</f>
        <v>0</v>
      </c>
      <c r="Z46" s="341">
        <f>SUMIFS(РПЗ!$L:$L,РПЗ!$AC:$AC,Справочно!$E23,РПЗ!$AF:$AF,8)</f>
        <v>0</v>
      </c>
      <c r="AA46" s="199">
        <f>COUNTIFS(РПЗ!$AC:$AC,Справочно!$E23,РПЗ!$AF:$AF,9)</f>
        <v>0</v>
      </c>
      <c r="AB46" s="341">
        <f>SUMIFS(РПЗ!$L:$L,РПЗ!$AC:$AC,Справочно!$E23,РПЗ!$AF:$AF,9)</f>
        <v>0</v>
      </c>
      <c r="AC46" s="197">
        <f t="shared" si="22"/>
        <v>0</v>
      </c>
      <c r="AD46" s="302">
        <f t="shared" si="23"/>
        <v>0</v>
      </c>
      <c r="AE46" s="204">
        <f>COUNTIFS(РПЗ!$AC:$AC,Справочно!$E23,РПЗ!$AF:$AF,10)</f>
        <v>0</v>
      </c>
      <c r="AF46" s="343">
        <f>SUMIFS(РПЗ!$L:$L,РПЗ!$AC:$AC,Справочно!$E23,РПЗ!$AF:$AF,10)</f>
        <v>0</v>
      </c>
      <c r="AG46" s="180">
        <f>COUNTIFS(РПЗ!$AC:$AC,Справочно!$E23,РПЗ!$AF:$AF,11)</f>
        <v>0</v>
      </c>
      <c r="AH46" s="343">
        <f>SUMIFS(РПЗ!$L:$L,РПЗ!$AC:$AC,Справочно!$E23,РПЗ!$AF:$AF,11)</f>
        <v>0</v>
      </c>
      <c r="AI46" s="180">
        <f>COUNTIFS(РПЗ!$AC:$AC,Справочно!$E23,РПЗ!$AF:$AF,12)</f>
        <v>0</v>
      </c>
      <c r="AJ46" s="343">
        <f>SUMIFS(РПЗ!$L:$L,РПЗ!$AC:$AC,Справочно!$E23,РПЗ!$AF:$AF,12)</f>
        <v>0</v>
      </c>
      <c r="AK46" s="201">
        <f t="shared" si="24"/>
        <v>0</v>
      </c>
      <c r="AL46" s="304">
        <f t="shared" si="25"/>
        <v>0</v>
      </c>
    </row>
    <row r="47" spans="1:38" ht="13.5" thickBot="1" x14ac:dyDescent="0.25">
      <c r="A47" s="93" t="str">
        <f>Справочно!E24</f>
        <v>ОАО "РТ-Логистика"</v>
      </c>
      <c r="B47" s="72">
        <f>COUNTIF(РПЗ!$AC:$AC,Справочно!$E24)</f>
        <v>0</v>
      </c>
      <c r="C47" s="323" t="e">
        <f t="shared" si="17"/>
        <v>#DIV/0!</v>
      </c>
      <c r="D47" s="324">
        <f>SUMIF(РПЗ!$AC:$AC,Справочно!$E24,РПЗ!$L:$L)</f>
        <v>0</v>
      </c>
      <c r="E47" s="323" t="e">
        <f t="shared" si="16"/>
        <v>#DIV/0!</v>
      </c>
      <c r="G47" s="149">
        <f>COUNTIFS(РПЗ!$AC:$AC,Справочно!$E24,РПЗ!$AF:$AF,1)</f>
        <v>0</v>
      </c>
      <c r="H47" s="305">
        <f>SUMIFS(РПЗ!$L:$L,РПЗ!$AC:$AC,Справочно!$E24,РПЗ!$AF:$AF,1)</f>
        <v>0</v>
      </c>
      <c r="I47" s="149">
        <f>COUNTIFS(РПЗ!$AC:$AC,Справочно!$E24,РПЗ!$AF:$AF,2)</f>
        <v>0</v>
      </c>
      <c r="J47" s="305">
        <f>SUMIFS(РПЗ!$L:$L,РПЗ!$AC:$AC,Справочно!$E24,РПЗ!$AF:$AF,2)</f>
        <v>0</v>
      </c>
      <c r="K47" s="149">
        <f>COUNTIFS(РПЗ!$AC:$AC,Справочно!$E24,РПЗ!$AF:$AF,3)</f>
        <v>0</v>
      </c>
      <c r="L47" s="305">
        <f>SUMIFS(РПЗ!$L:$L,РПЗ!$AC:$AC,Справочно!$E24,РПЗ!$AF:$AF,3)</f>
        <v>0</v>
      </c>
      <c r="M47" s="192">
        <f t="shared" si="18"/>
        <v>0</v>
      </c>
      <c r="N47" s="298">
        <f t="shared" si="19"/>
        <v>0</v>
      </c>
      <c r="O47" s="194">
        <f>COUNTIFS(РПЗ!$AC:$AC,Справочно!$E24,РПЗ!$AF:$AF,4)</f>
        <v>0</v>
      </c>
      <c r="P47" s="339">
        <f>SUMIFS(РПЗ!$L:$L,РПЗ!$AC:$AC,Справочно!$E24,РПЗ!$AF:$AF,4)</f>
        <v>0</v>
      </c>
      <c r="Q47" s="186">
        <f>COUNTIFS(РПЗ!$AC:$AC,Справочно!$E24,РПЗ!$AF:$AF,5)</f>
        <v>0</v>
      </c>
      <c r="R47" s="339">
        <f>SUMIFS(РПЗ!$L:$L,РПЗ!$AC:$AC,Справочно!$E24,РПЗ!$AF:$AF,5)</f>
        <v>0</v>
      </c>
      <c r="S47" s="186">
        <f>COUNTIFS(РПЗ!$AC:$AC,Справочно!$E24,РПЗ!$AF:$AF,6)</f>
        <v>0</v>
      </c>
      <c r="T47" s="339">
        <f>SUMIFS(РПЗ!$L:$L,РПЗ!$AC:$AC,Справочно!$E24,РПЗ!$AF:$AF,6)</f>
        <v>0</v>
      </c>
      <c r="U47" s="196">
        <f t="shared" si="20"/>
        <v>0</v>
      </c>
      <c r="V47" s="300">
        <f t="shared" si="21"/>
        <v>0</v>
      </c>
      <c r="W47" s="199">
        <f>COUNTIFS(РПЗ!$AC:$AC,Справочно!$E24,РПЗ!$AF:$AF,7)</f>
        <v>0</v>
      </c>
      <c r="X47" s="341">
        <f>SUMIFS(РПЗ!$L:$L,РПЗ!$AC:$AC,Справочно!$E24,РПЗ!$AF:$AF,7)</f>
        <v>0</v>
      </c>
      <c r="Y47" s="199">
        <f>COUNTIFS(РПЗ!$AC:$AC,Справочно!$E24,РПЗ!$AF:$AF,8)</f>
        <v>0</v>
      </c>
      <c r="Z47" s="341">
        <f>SUMIFS(РПЗ!$L:$L,РПЗ!$AC:$AC,Справочно!$E24,РПЗ!$AF:$AF,8)</f>
        <v>0</v>
      </c>
      <c r="AA47" s="199">
        <f>COUNTIFS(РПЗ!$AC:$AC,Справочно!$E24,РПЗ!$AF:$AF,9)</f>
        <v>0</v>
      </c>
      <c r="AB47" s="341">
        <f>SUMIFS(РПЗ!$L:$L,РПЗ!$AC:$AC,Справочно!$E24,РПЗ!$AF:$AF,9)</f>
        <v>0</v>
      </c>
      <c r="AC47" s="197">
        <f t="shared" si="22"/>
        <v>0</v>
      </c>
      <c r="AD47" s="302">
        <f t="shared" si="23"/>
        <v>0</v>
      </c>
      <c r="AE47" s="204">
        <f>COUNTIFS(РПЗ!$AC:$AC,Справочно!$E24,РПЗ!$AF:$AF,10)</f>
        <v>0</v>
      </c>
      <c r="AF47" s="343">
        <f>SUMIFS(РПЗ!$L:$L,РПЗ!$AC:$AC,Справочно!$E24,РПЗ!$AF:$AF,10)</f>
        <v>0</v>
      </c>
      <c r="AG47" s="180">
        <f>COUNTIFS(РПЗ!$AC:$AC,Справочно!$E24,РПЗ!$AF:$AF,11)</f>
        <v>0</v>
      </c>
      <c r="AH47" s="343">
        <f>SUMIFS(РПЗ!$L:$L,РПЗ!$AC:$AC,Справочно!$E24,РПЗ!$AF:$AF,11)</f>
        <v>0</v>
      </c>
      <c r="AI47" s="180">
        <f>COUNTIFS(РПЗ!$AC:$AC,Справочно!$E24,РПЗ!$AF:$AF,12)</f>
        <v>0</v>
      </c>
      <c r="AJ47" s="343">
        <f>SUMIFS(РПЗ!$L:$L,РПЗ!$AC:$AC,Справочно!$E24,РПЗ!$AF:$AF,12)</f>
        <v>0</v>
      </c>
      <c r="AK47" s="201">
        <f t="shared" si="24"/>
        <v>0</v>
      </c>
      <c r="AL47" s="304">
        <f t="shared" si="25"/>
        <v>0</v>
      </c>
    </row>
    <row r="48" spans="1:38" ht="13.5" thickBot="1" x14ac:dyDescent="0.25">
      <c r="A48" s="93" t="str">
        <f>Справочно!E25</f>
        <v>ОАО "РТ-Медицина"</v>
      </c>
      <c r="B48" s="72">
        <f>COUNTIF(РПЗ!$AC:$AC,Справочно!$E25)</f>
        <v>0</v>
      </c>
      <c r="C48" s="323" t="e">
        <f t="shared" si="17"/>
        <v>#DIV/0!</v>
      </c>
      <c r="D48" s="324">
        <f>SUMIF(РПЗ!$AC:$AC,Справочно!$E25,РПЗ!$L:$L)</f>
        <v>0</v>
      </c>
      <c r="E48" s="323" t="e">
        <f t="shared" si="16"/>
        <v>#DIV/0!</v>
      </c>
      <c r="G48" s="149">
        <f>COUNTIFS(РПЗ!$AC:$AC,Справочно!$E25,РПЗ!$AF:$AF,1)</f>
        <v>0</v>
      </c>
      <c r="H48" s="305">
        <f>SUMIFS(РПЗ!$L:$L,РПЗ!$AC:$AC,Справочно!$E25,РПЗ!$AF:$AF,1)</f>
        <v>0</v>
      </c>
      <c r="I48" s="149">
        <f>COUNTIFS(РПЗ!$AC:$AC,Справочно!$E25,РПЗ!$AF:$AF,2)</f>
        <v>0</v>
      </c>
      <c r="J48" s="305">
        <f>SUMIFS(РПЗ!$L:$L,РПЗ!$AC:$AC,Справочно!$E25,РПЗ!$AF:$AF,2)</f>
        <v>0</v>
      </c>
      <c r="K48" s="149">
        <f>COUNTIFS(РПЗ!$AC:$AC,Справочно!$E25,РПЗ!$AF:$AF,3)</f>
        <v>0</v>
      </c>
      <c r="L48" s="305">
        <f>SUMIFS(РПЗ!$L:$L,РПЗ!$AC:$AC,Справочно!$E25,РПЗ!$AF:$AF,3)</f>
        <v>0</v>
      </c>
      <c r="M48" s="192">
        <f t="shared" si="18"/>
        <v>0</v>
      </c>
      <c r="N48" s="298">
        <f t="shared" si="19"/>
        <v>0</v>
      </c>
      <c r="O48" s="194">
        <f>COUNTIFS(РПЗ!$AC:$AC,Справочно!$E25,РПЗ!$AF:$AF,4)</f>
        <v>0</v>
      </c>
      <c r="P48" s="339">
        <f>SUMIFS(РПЗ!$L:$L,РПЗ!$AC:$AC,Справочно!$E25,РПЗ!$AF:$AF,4)</f>
        <v>0</v>
      </c>
      <c r="Q48" s="186">
        <f>COUNTIFS(РПЗ!$AC:$AC,Справочно!$E25,РПЗ!$AF:$AF,5)</f>
        <v>0</v>
      </c>
      <c r="R48" s="339">
        <f>SUMIFS(РПЗ!$L:$L,РПЗ!$AC:$AC,Справочно!$E25,РПЗ!$AF:$AF,5)</f>
        <v>0</v>
      </c>
      <c r="S48" s="186">
        <f>COUNTIFS(РПЗ!$AC:$AC,Справочно!$E25,РПЗ!$AF:$AF,6)</f>
        <v>0</v>
      </c>
      <c r="T48" s="339">
        <f>SUMIFS(РПЗ!$L:$L,РПЗ!$AC:$AC,Справочно!$E25,РПЗ!$AF:$AF,6)</f>
        <v>0</v>
      </c>
      <c r="U48" s="196">
        <f t="shared" si="20"/>
        <v>0</v>
      </c>
      <c r="V48" s="300">
        <f t="shared" si="21"/>
        <v>0</v>
      </c>
      <c r="W48" s="199">
        <f>COUNTIFS(РПЗ!$AC:$AC,Справочно!$E25,РПЗ!$AF:$AF,7)</f>
        <v>0</v>
      </c>
      <c r="X48" s="341">
        <f>SUMIFS(РПЗ!$L:$L,РПЗ!$AC:$AC,Справочно!$E25,РПЗ!$AF:$AF,7)</f>
        <v>0</v>
      </c>
      <c r="Y48" s="199">
        <f>COUNTIFS(РПЗ!$AC:$AC,Справочно!$E25,РПЗ!$AF:$AF,8)</f>
        <v>0</v>
      </c>
      <c r="Z48" s="341">
        <f>SUMIFS(РПЗ!$L:$L,РПЗ!$AC:$AC,Справочно!$E25,РПЗ!$AF:$AF,8)</f>
        <v>0</v>
      </c>
      <c r="AA48" s="199">
        <f>COUNTIFS(РПЗ!$AC:$AC,Справочно!$E25,РПЗ!$AF:$AF,9)</f>
        <v>0</v>
      </c>
      <c r="AB48" s="341">
        <f>SUMIFS(РПЗ!$L:$L,РПЗ!$AC:$AC,Справочно!$E25,РПЗ!$AF:$AF,9)</f>
        <v>0</v>
      </c>
      <c r="AC48" s="197">
        <f t="shared" si="22"/>
        <v>0</v>
      </c>
      <c r="AD48" s="302">
        <f t="shared" si="23"/>
        <v>0</v>
      </c>
      <c r="AE48" s="204">
        <f>COUNTIFS(РПЗ!$AC:$AC,Справочно!$E25,РПЗ!$AF:$AF,10)</f>
        <v>0</v>
      </c>
      <c r="AF48" s="343">
        <f>SUMIFS(РПЗ!$L:$L,РПЗ!$AC:$AC,Справочно!$E25,РПЗ!$AF:$AF,10)</f>
        <v>0</v>
      </c>
      <c r="AG48" s="180">
        <f>COUNTIFS(РПЗ!$AC:$AC,Справочно!$E25,РПЗ!$AF:$AF,11)</f>
        <v>0</v>
      </c>
      <c r="AH48" s="343">
        <f>SUMIFS(РПЗ!$L:$L,РПЗ!$AC:$AC,Справочно!$E25,РПЗ!$AF:$AF,11)</f>
        <v>0</v>
      </c>
      <c r="AI48" s="180">
        <f>COUNTIFS(РПЗ!$AC:$AC,Справочно!$E25,РПЗ!$AF:$AF,12)</f>
        <v>0</v>
      </c>
      <c r="AJ48" s="343">
        <f>SUMIFS(РПЗ!$L:$L,РПЗ!$AC:$AC,Справочно!$E25,РПЗ!$AF:$AF,12)</f>
        <v>0</v>
      </c>
      <c r="AK48" s="201">
        <f t="shared" si="24"/>
        <v>0</v>
      </c>
      <c r="AL48" s="304">
        <f t="shared" si="25"/>
        <v>0</v>
      </c>
    </row>
    <row r="49" spans="1:38" ht="13.5" thickBot="1" x14ac:dyDescent="0.25">
      <c r="A49" s="93" t="str">
        <f>Справочно!E26</f>
        <v>АО "Концерн "Автоматика"</v>
      </c>
      <c r="B49" s="72">
        <f>COUNTIF(РПЗ!$AC:$AC,Справочно!$E26)</f>
        <v>0</v>
      </c>
      <c r="C49" s="323" t="e">
        <f t="shared" si="17"/>
        <v>#DIV/0!</v>
      </c>
      <c r="D49" s="324">
        <f>SUMIF(РПЗ!$AC:$AC,Справочно!$E26,РПЗ!$L:$L)</f>
        <v>0</v>
      </c>
      <c r="E49" s="323" t="e">
        <f t="shared" si="16"/>
        <v>#DIV/0!</v>
      </c>
      <c r="G49" s="149">
        <f>COUNTIFS(РПЗ!$AC:$AC,Справочно!$E26,РПЗ!$AF:$AF,1)</f>
        <v>0</v>
      </c>
      <c r="H49" s="305">
        <f>SUMIFS(РПЗ!$L:$L,РПЗ!$AC:$AC,Справочно!$E26,РПЗ!$AF:$AF,1)</f>
        <v>0</v>
      </c>
      <c r="I49" s="149">
        <f>COUNTIFS(РПЗ!$AC:$AC,Справочно!$E26,РПЗ!$AF:$AF,2)</f>
        <v>0</v>
      </c>
      <c r="J49" s="305">
        <f>SUMIFS(РПЗ!$L:$L,РПЗ!$AC:$AC,Справочно!$E26,РПЗ!$AF:$AF,2)</f>
        <v>0</v>
      </c>
      <c r="K49" s="149">
        <f>COUNTIFS(РПЗ!$AC:$AC,Справочно!$E26,РПЗ!$AF:$AF,3)</f>
        <v>0</v>
      </c>
      <c r="L49" s="305">
        <f>SUMIFS(РПЗ!$L:$L,РПЗ!$AC:$AC,Справочно!$E26,РПЗ!$AF:$AF,3)</f>
        <v>0</v>
      </c>
      <c r="M49" s="192">
        <f t="shared" si="18"/>
        <v>0</v>
      </c>
      <c r="N49" s="298">
        <f t="shared" si="19"/>
        <v>0</v>
      </c>
      <c r="O49" s="194">
        <f>COUNTIFS(РПЗ!$AC:$AC,Справочно!$E26,РПЗ!$AF:$AF,4)</f>
        <v>0</v>
      </c>
      <c r="P49" s="339">
        <f>SUMIFS(РПЗ!$L:$L,РПЗ!$AC:$AC,Справочно!$E26,РПЗ!$AF:$AF,4)</f>
        <v>0</v>
      </c>
      <c r="Q49" s="186">
        <f>COUNTIFS(РПЗ!$AC:$AC,Справочно!$E26,РПЗ!$AF:$AF,5)</f>
        <v>0</v>
      </c>
      <c r="R49" s="339">
        <f>SUMIFS(РПЗ!$L:$L,РПЗ!$AC:$AC,Справочно!$E26,РПЗ!$AF:$AF,5)</f>
        <v>0</v>
      </c>
      <c r="S49" s="186">
        <f>COUNTIFS(РПЗ!$AC:$AC,Справочно!$E26,РПЗ!$AF:$AF,6)</f>
        <v>0</v>
      </c>
      <c r="T49" s="339">
        <f>SUMIFS(РПЗ!$L:$L,РПЗ!$AC:$AC,Справочно!$E26,РПЗ!$AF:$AF,6)</f>
        <v>0</v>
      </c>
      <c r="U49" s="196">
        <f t="shared" si="20"/>
        <v>0</v>
      </c>
      <c r="V49" s="300">
        <f t="shared" si="21"/>
        <v>0</v>
      </c>
      <c r="W49" s="199">
        <f>COUNTIFS(РПЗ!$AC:$AC,Справочно!$E26,РПЗ!$AF:$AF,7)</f>
        <v>0</v>
      </c>
      <c r="X49" s="341">
        <f>SUMIFS(РПЗ!$L:$L,РПЗ!$AC:$AC,Справочно!$E26,РПЗ!$AF:$AF,7)</f>
        <v>0</v>
      </c>
      <c r="Y49" s="199">
        <f>COUNTIFS(РПЗ!$AC:$AC,Справочно!$E26,РПЗ!$AF:$AF,8)</f>
        <v>0</v>
      </c>
      <c r="Z49" s="341">
        <f>SUMIFS(РПЗ!$L:$L,РПЗ!$AC:$AC,Справочно!$E26,РПЗ!$AF:$AF,8)</f>
        <v>0</v>
      </c>
      <c r="AA49" s="199">
        <f>COUNTIFS(РПЗ!$AC:$AC,Справочно!$E26,РПЗ!$AF:$AF,9)</f>
        <v>0</v>
      </c>
      <c r="AB49" s="341">
        <f>SUMIFS(РПЗ!$L:$L,РПЗ!$AC:$AC,Справочно!$E26,РПЗ!$AF:$AF,9)</f>
        <v>0</v>
      </c>
      <c r="AC49" s="197">
        <f t="shared" si="22"/>
        <v>0</v>
      </c>
      <c r="AD49" s="302">
        <f t="shared" si="23"/>
        <v>0</v>
      </c>
      <c r="AE49" s="204">
        <f>COUNTIFS(РПЗ!$AC:$AC,Справочно!$E26,РПЗ!$AF:$AF,10)</f>
        <v>0</v>
      </c>
      <c r="AF49" s="343">
        <f>SUMIFS(РПЗ!$L:$L,РПЗ!$AC:$AC,Справочно!$E26,РПЗ!$AF:$AF,10)</f>
        <v>0</v>
      </c>
      <c r="AG49" s="180">
        <f>COUNTIFS(РПЗ!$AC:$AC,Справочно!$E26,РПЗ!$AF:$AF,11)</f>
        <v>0</v>
      </c>
      <c r="AH49" s="343">
        <f>SUMIFS(РПЗ!$L:$L,РПЗ!$AC:$AC,Справочно!$E26,РПЗ!$AF:$AF,11)</f>
        <v>0</v>
      </c>
      <c r="AI49" s="180">
        <f>COUNTIFS(РПЗ!$AC:$AC,Справочно!$E26,РПЗ!$AF:$AF,12)</f>
        <v>0</v>
      </c>
      <c r="AJ49" s="343">
        <f>SUMIFS(РПЗ!$L:$L,РПЗ!$AC:$AC,Справочно!$E26,РПЗ!$AF:$AF,12)</f>
        <v>0</v>
      </c>
      <c r="AK49" s="201">
        <f t="shared" si="24"/>
        <v>0</v>
      </c>
      <c r="AL49" s="304">
        <f t="shared" si="25"/>
        <v>0</v>
      </c>
    </row>
    <row r="50" spans="1:38" ht="13.5" thickBot="1" x14ac:dyDescent="0.25">
      <c r="A50" s="93" t="str">
        <f>Справочно!E27</f>
        <v>АО "Станкопром"</v>
      </c>
      <c r="B50" s="72">
        <f>COUNTIF(РПЗ!$AC:$AC,Справочно!$E27)</f>
        <v>0</v>
      </c>
      <c r="C50" s="323" t="e">
        <f t="shared" si="17"/>
        <v>#DIV/0!</v>
      </c>
      <c r="D50" s="324">
        <f>SUMIF(РПЗ!$AC:$AC,Справочно!$E27,РПЗ!$L:$L)</f>
        <v>0</v>
      </c>
      <c r="E50" s="323" t="e">
        <f t="shared" si="16"/>
        <v>#DIV/0!</v>
      </c>
      <c r="G50" s="149">
        <f>COUNTIFS(РПЗ!$AC:$AC,Справочно!$E27,РПЗ!$AF:$AF,1)</f>
        <v>0</v>
      </c>
      <c r="H50" s="305">
        <f>SUMIFS(РПЗ!$L:$L,РПЗ!$AC:$AC,Справочно!$E27,РПЗ!$AF:$AF,1)</f>
        <v>0</v>
      </c>
      <c r="I50" s="149">
        <f>COUNTIFS(РПЗ!$AC:$AC,Справочно!$E27,РПЗ!$AF:$AF,2)</f>
        <v>0</v>
      </c>
      <c r="J50" s="305">
        <f>SUMIFS(РПЗ!$L:$L,РПЗ!$AC:$AC,Справочно!$E27,РПЗ!$AF:$AF,2)</f>
        <v>0</v>
      </c>
      <c r="K50" s="149">
        <f>COUNTIFS(РПЗ!$AC:$AC,Справочно!$E27,РПЗ!$AF:$AF,3)</f>
        <v>0</v>
      </c>
      <c r="L50" s="305">
        <f>SUMIFS(РПЗ!$L:$L,РПЗ!$AC:$AC,Справочно!$E27,РПЗ!$AF:$AF,3)</f>
        <v>0</v>
      </c>
      <c r="M50" s="192">
        <f t="shared" si="18"/>
        <v>0</v>
      </c>
      <c r="N50" s="298">
        <f t="shared" si="19"/>
        <v>0</v>
      </c>
      <c r="O50" s="194">
        <f>COUNTIFS(РПЗ!$AC:$AC,Справочно!$E27,РПЗ!$AF:$AF,4)</f>
        <v>0</v>
      </c>
      <c r="P50" s="339">
        <f>SUMIFS(РПЗ!$L:$L,РПЗ!$AC:$AC,Справочно!$E27,РПЗ!$AF:$AF,4)</f>
        <v>0</v>
      </c>
      <c r="Q50" s="186">
        <f>COUNTIFS(РПЗ!$AC:$AC,Справочно!$E27,РПЗ!$AF:$AF,5)</f>
        <v>0</v>
      </c>
      <c r="R50" s="339">
        <f>SUMIFS(РПЗ!$L:$L,РПЗ!$AC:$AC,Справочно!$E27,РПЗ!$AF:$AF,5)</f>
        <v>0</v>
      </c>
      <c r="S50" s="186">
        <f>COUNTIFS(РПЗ!$AC:$AC,Справочно!$E27,РПЗ!$AF:$AF,6)</f>
        <v>0</v>
      </c>
      <c r="T50" s="339">
        <f>SUMIFS(РПЗ!$L:$L,РПЗ!$AC:$AC,Справочно!$E27,РПЗ!$AF:$AF,6)</f>
        <v>0</v>
      </c>
      <c r="U50" s="196">
        <f t="shared" si="20"/>
        <v>0</v>
      </c>
      <c r="V50" s="300">
        <f t="shared" si="21"/>
        <v>0</v>
      </c>
      <c r="W50" s="199">
        <f>COUNTIFS(РПЗ!$AC:$AC,Справочно!$E27,РПЗ!$AF:$AF,7)</f>
        <v>0</v>
      </c>
      <c r="X50" s="341">
        <f>SUMIFS(РПЗ!$L:$L,РПЗ!$AC:$AC,Справочно!$E27,РПЗ!$AF:$AF,7)</f>
        <v>0</v>
      </c>
      <c r="Y50" s="199">
        <f>COUNTIFS(РПЗ!$AC:$AC,Справочно!$E27,РПЗ!$AF:$AF,8)</f>
        <v>0</v>
      </c>
      <c r="Z50" s="341">
        <f>SUMIFS(РПЗ!$L:$L,РПЗ!$AC:$AC,Справочно!$E27,РПЗ!$AF:$AF,8)</f>
        <v>0</v>
      </c>
      <c r="AA50" s="199">
        <f>COUNTIFS(РПЗ!$AC:$AC,Справочно!$E27,РПЗ!$AF:$AF,9)</f>
        <v>0</v>
      </c>
      <c r="AB50" s="341">
        <f>SUMIFS(РПЗ!$L:$L,РПЗ!$AC:$AC,Справочно!$E27,РПЗ!$AF:$AF,9)</f>
        <v>0</v>
      </c>
      <c r="AC50" s="197">
        <f t="shared" si="22"/>
        <v>0</v>
      </c>
      <c r="AD50" s="302">
        <f t="shared" si="23"/>
        <v>0</v>
      </c>
      <c r="AE50" s="204">
        <f>COUNTIFS(РПЗ!$AC:$AC,Справочно!$E27,РПЗ!$AF:$AF,10)</f>
        <v>0</v>
      </c>
      <c r="AF50" s="343">
        <f>SUMIFS(РПЗ!$L:$L,РПЗ!$AC:$AC,Справочно!$E27,РПЗ!$AF:$AF,10)</f>
        <v>0</v>
      </c>
      <c r="AG50" s="180">
        <f>COUNTIFS(РПЗ!$AC:$AC,Справочно!$E27,РПЗ!$AF:$AF,11)</f>
        <v>0</v>
      </c>
      <c r="AH50" s="343">
        <f>SUMIFS(РПЗ!$L:$L,РПЗ!$AC:$AC,Справочно!$E27,РПЗ!$AF:$AF,11)</f>
        <v>0</v>
      </c>
      <c r="AI50" s="180">
        <f>COUNTIFS(РПЗ!$AC:$AC,Справочно!$E27,РПЗ!$AF:$AF,12)</f>
        <v>0</v>
      </c>
      <c r="AJ50" s="343">
        <f>SUMIFS(РПЗ!$L:$L,РПЗ!$AC:$AC,Справочно!$E27,РПЗ!$AF:$AF,12)</f>
        <v>0</v>
      </c>
      <c r="AK50" s="201">
        <f t="shared" si="24"/>
        <v>0</v>
      </c>
      <c r="AL50" s="304">
        <f t="shared" si="25"/>
        <v>0</v>
      </c>
    </row>
    <row r="51" spans="1:38" ht="13.5" thickBot="1" x14ac:dyDescent="0.25">
      <c r="A51" s="93" t="str">
        <f>Справочно!E28</f>
        <v>АО "СИБЕР"</v>
      </c>
      <c r="B51" s="72">
        <f>COUNTIF(РПЗ!$AC:$AC,Справочно!$E28)</f>
        <v>0</v>
      </c>
      <c r="C51" s="323" t="e">
        <f t="shared" si="17"/>
        <v>#DIV/0!</v>
      </c>
      <c r="D51" s="324">
        <f>SUMIF(РПЗ!$AC:$AC,Справочно!$E28,РПЗ!$L:$L)</f>
        <v>0</v>
      </c>
      <c r="E51" s="323" t="e">
        <f t="shared" si="16"/>
        <v>#DIV/0!</v>
      </c>
      <c r="G51" s="149">
        <f>COUNTIFS(РПЗ!$AC:$AC,Справочно!$E28,РПЗ!$AF:$AF,1)</f>
        <v>0</v>
      </c>
      <c r="H51" s="305">
        <f>SUMIFS(РПЗ!$L:$L,РПЗ!$AC:$AC,Справочно!$E28,РПЗ!$AF:$AF,1)</f>
        <v>0</v>
      </c>
      <c r="I51" s="149">
        <f>COUNTIFS(РПЗ!$AC:$AC,Справочно!$E28,РПЗ!$AF:$AF,2)</f>
        <v>0</v>
      </c>
      <c r="J51" s="305">
        <f>SUMIFS(РПЗ!$L:$L,РПЗ!$AC:$AC,Справочно!$E28,РПЗ!$AF:$AF,2)</f>
        <v>0</v>
      </c>
      <c r="K51" s="149">
        <f>COUNTIFS(РПЗ!$AC:$AC,Справочно!$E28,РПЗ!$AF:$AF,3)</f>
        <v>0</v>
      </c>
      <c r="L51" s="305">
        <f>SUMIFS(РПЗ!$L:$L,РПЗ!$AC:$AC,Справочно!$E28,РПЗ!$AF:$AF,3)</f>
        <v>0</v>
      </c>
      <c r="M51" s="192">
        <f t="shared" si="18"/>
        <v>0</v>
      </c>
      <c r="N51" s="298">
        <f t="shared" si="19"/>
        <v>0</v>
      </c>
      <c r="O51" s="194">
        <f>COUNTIFS(РПЗ!$AC:$AC,Справочно!$E28,РПЗ!$AF:$AF,4)</f>
        <v>0</v>
      </c>
      <c r="P51" s="339">
        <f>SUMIFS(РПЗ!$L:$L,РПЗ!$AC:$AC,Справочно!$E28,РПЗ!$AF:$AF,4)</f>
        <v>0</v>
      </c>
      <c r="Q51" s="186">
        <f>COUNTIFS(РПЗ!$AC:$AC,Справочно!$E28,РПЗ!$AF:$AF,5)</f>
        <v>0</v>
      </c>
      <c r="R51" s="339">
        <f>SUMIFS(РПЗ!$L:$L,РПЗ!$AC:$AC,Справочно!$E28,РПЗ!$AF:$AF,5)</f>
        <v>0</v>
      </c>
      <c r="S51" s="186">
        <f>COUNTIFS(РПЗ!$AC:$AC,Справочно!$E28,РПЗ!$AF:$AF,6)</f>
        <v>0</v>
      </c>
      <c r="T51" s="339">
        <f>SUMIFS(РПЗ!$L:$L,РПЗ!$AC:$AC,Справочно!$E28,РПЗ!$AF:$AF,6)</f>
        <v>0</v>
      </c>
      <c r="U51" s="196">
        <f t="shared" si="20"/>
        <v>0</v>
      </c>
      <c r="V51" s="300">
        <f t="shared" si="21"/>
        <v>0</v>
      </c>
      <c r="W51" s="199">
        <f>COUNTIFS(РПЗ!$AC:$AC,Справочно!$E28,РПЗ!$AF:$AF,7)</f>
        <v>0</v>
      </c>
      <c r="X51" s="341">
        <f>SUMIFS(РПЗ!$L:$L,РПЗ!$AC:$AC,Справочно!$E28,РПЗ!$AF:$AF,7)</f>
        <v>0</v>
      </c>
      <c r="Y51" s="199">
        <f>COUNTIFS(РПЗ!$AC:$AC,Справочно!$E28,РПЗ!$AF:$AF,8)</f>
        <v>0</v>
      </c>
      <c r="Z51" s="341">
        <f>SUMIFS(РПЗ!$L:$L,РПЗ!$AC:$AC,Справочно!$E28,РПЗ!$AF:$AF,8)</f>
        <v>0</v>
      </c>
      <c r="AA51" s="199">
        <f>COUNTIFS(РПЗ!$AC:$AC,Справочно!$E28,РПЗ!$AF:$AF,9)</f>
        <v>0</v>
      </c>
      <c r="AB51" s="341">
        <f>SUMIFS(РПЗ!$L:$L,РПЗ!$AC:$AC,Справочно!$E28,РПЗ!$AF:$AF,9)</f>
        <v>0</v>
      </c>
      <c r="AC51" s="197">
        <f t="shared" si="22"/>
        <v>0</v>
      </c>
      <c r="AD51" s="302">
        <f t="shared" si="23"/>
        <v>0</v>
      </c>
      <c r="AE51" s="204">
        <f>COUNTIFS(РПЗ!$AC:$AC,Справочно!$E28,РПЗ!$AF:$AF,10)</f>
        <v>0</v>
      </c>
      <c r="AF51" s="343">
        <f>SUMIFS(РПЗ!$L:$L,РПЗ!$AC:$AC,Справочно!$E28,РПЗ!$AF:$AF,10)</f>
        <v>0</v>
      </c>
      <c r="AG51" s="180">
        <f>COUNTIFS(РПЗ!$AC:$AC,Справочно!$E28,РПЗ!$AF:$AF,11)</f>
        <v>0</v>
      </c>
      <c r="AH51" s="343">
        <f>SUMIFS(РПЗ!$L:$L,РПЗ!$AC:$AC,Справочно!$E28,РПЗ!$AF:$AF,11)</f>
        <v>0</v>
      </c>
      <c r="AI51" s="180">
        <f>COUNTIFS(РПЗ!$AC:$AC,Справочно!$E28,РПЗ!$AF:$AF,12)</f>
        <v>0</v>
      </c>
      <c r="AJ51" s="343">
        <f>SUMIFS(РПЗ!$L:$L,РПЗ!$AC:$AC,Справочно!$E28,РПЗ!$AF:$AF,12)</f>
        <v>0</v>
      </c>
      <c r="AK51" s="201">
        <f t="shared" si="24"/>
        <v>0</v>
      </c>
      <c r="AL51" s="304">
        <f t="shared" si="25"/>
        <v>0</v>
      </c>
    </row>
    <row r="52" spans="1:38" ht="26.25" thickBot="1" x14ac:dyDescent="0.25">
      <c r="A52" s="93" t="str">
        <f>Справочно!E29</f>
        <v>АО "Объединенная двигателестроительная корпорация"</v>
      </c>
      <c r="B52" s="72">
        <f>COUNTIF(РПЗ!$AC:$AC,Справочно!$E29)</f>
        <v>0</v>
      </c>
      <c r="C52" s="314" t="e">
        <f t="shared" si="17"/>
        <v>#DIV/0!</v>
      </c>
      <c r="D52" s="324">
        <f>SUMIF(РПЗ!$AC:$AC,Справочно!$E29,РПЗ!$L:$L)</f>
        <v>0</v>
      </c>
      <c r="E52" s="314" t="e">
        <f t="shared" si="16"/>
        <v>#DIV/0!</v>
      </c>
      <c r="F52" s="46"/>
      <c r="G52" s="149">
        <f>COUNTIFS(РПЗ!$AC:$AC,Справочно!$E29,РПЗ!$AF:$AF,1)</f>
        <v>0</v>
      </c>
      <c r="H52" s="305">
        <f>SUMIFS(РПЗ!$L:$L,РПЗ!$AC:$AC,Справочно!$E29,РПЗ!$AF:$AF,1)</f>
        <v>0</v>
      </c>
      <c r="I52" s="149">
        <f>COUNTIFS(РПЗ!$AC:$AC,Справочно!$E29,РПЗ!$AF:$AF,2)</f>
        <v>0</v>
      </c>
      <c r="J52" s="305">
        <f>SUMIFS(РПЗ!$L:$L,РПЗ!$AC:$AC,Справочно!$E29,РПЗ!$AF:$AF,2)</f>
        <v>0</v>
      </c>
      <c r="K52" s="149">
        <f>COUNTIFS(РПЗ!$AC:$AC,Справочно!$E29,РПЗ!$AF:$AF,3)</f>
        <v>0</v>
      </c>
      <c r="L52" s="305">
        <f>SUMIFS(РПЗ!$L:$L,РПЗ!$AC:$AC,Справочно!$E29,РПЗ!$AF:$AF,3)</f>
        <v>0</v>
      </c>
      <c r="M52" s="192">
        <f t="shared" si="18"/>
        <v>0</v>
      </c>
      <c r="N52" s="298">
        <f t="shared" si="19"/>
        <v>0</v>
      </c>
      <c r="O52" s="194">
        <f>COUNTIFS(РПЗ!$AC:$AC,Справочно!$E29,РПЗ!$AF:$AF,4)</f>
        <v>0</v>
      </c>
      <c r="P52" s="339">
        <f>SUMIFS(РПЗ!$L:$L,РПЗ!$AC:$AC,Справочно!$E29,РПЗ!$AF:$AF,4)</f>
        <v>0</v>
      </c>
      <c r="Q52" s="186">
        <f>COUNTIFS(РПЗ!$AC:$AC,Справочно!$E29,РПЗ!$AF:$AF,5)</f>
        <v>0</v>
      </c>
      <c r="R52" s="339">
        <f>SUMIFS(РПЗ!$L:$L,РПЗ!$AC:$AC,Справочно!$E29,РПЗ!$AF:$AF,5)</f>
        <v>0</v>
      </c>
      <c r="S52" s="186">
        <f>COUNTIFS(РПЗ!$AC:$AC,Справочно!$E29,РПЗ!$AF:$AF,6)</f>
        <v>0</v>
      </c>
      <c r="T52" s="339">
        <f>SUMIFS(РПЗ!$L:$L,РПЗ!$AC:$AC,Справочно!$E29,РПЗ!$AF:$AF,6)</f>
        <v>0</v>
      </c>
      <c r="U52" s="196">
        <f t="shared" si="20"/>
        <v>0</v>
      </c>
      <c r="V52" s="300">
        <f t="shared" si="21"/>
        <v>0</v>
      </c>
      <c r="W52" s="199">
        <f>COUNTIFS(РПЗ!$AC:$AC,Справочно!$E29,РПЗ!$AF:$AF,7)</f>
        <v>0</v>
      </c>
      <c r="X52" s="341">
        <f>SUMIFS(РПЗ!$L:$L,РПЗ!$AC:$AC,Справочно!$E29,РПЗ!$AF:$AF,7)</f>
        <v>0</v>
      </c>
      <c r="Y52" s="199">
        <f>COUNTIFS(РПЗ!$AC:$AC,Справочно!$E29,РПЗ!$AF:$AF,8)</f>
        <v>0</v>
      </c>
      <c r="Z52" s="341">
        <f>SUMIFS(РПЗ!$L:$L,РПЗ!$AC:$AC,Справочно!$E29,РПЗ!$AF:$AF,8)</f>
        <v>0</v>
      </c>
      <c r="AA52" s="199">
        <f>COUNTIFS(РПЗ!$AC:$AC,Справочно!$E29,РПЗ!$AF:$AF,9)</f>
        <v>0</v>
      </c>
      <c r="AB52" s="341">
        <f>SUMIFS(РПЗ!$L:$L,РПЗ!$AC:$AC,Справочно!$E29,РПЗ!$AF:$AF,9)</f>
        <v>0</v>
      </c>
      <c r="AC52" s="197">
        <f t="shared" si="22"/>
        <v>0</v>
      </c>
      <c r="AD52" s="302">
        <f t="shared" si="23"/>
        <v>0</v>
      </c>
      <c r="AE52" s="204">
        <f>COUNTIFS(РПЗ!$AC:$AC,Справочно!$E29,РПЗ!$AF:$AF,10)</f>
        <v>0</v>
      </c>
      <c r="AF52" s="343">
        <f>SUMIFS(РПЗ!$L:$L,РПЗ!$AC:$AC,Справочно!$E29,РПЗ!$AF:$AF,10)</f>
        <v>0</v>
      </c>
      <c r="AG52" s="180">
        <f>COUNTIFS(РПЗ!$AC:$AC,Справочно!$E29,РПЗ!$AF:$AF,11)</f>
        <v>0</v>
      </c>
      <c r="AH52" s="343">
        <f>SUMIFS(РПЗ!$L:$L,РПЗ!$AC:$AC,Справочно!$E29,РПЗ!$AF:$AF,11)</f>
        <v>0</v>
      </c>
      <c r="AI52" s="180">
        <f>COUNTIFS(РПЗ!$AC:$AC,Справочно!$E29,РПЗ!$AF:$AF,12)</f>
        <v>0</v>
      </c>
      <c r="AJ52" s="343">
        <f>SUMIFS(РПЗ!$L:$L,РПЗ!$AC:$AC,Справочно!$E29,РПЗ!$AF:$AF,12)</f>
        <v>0</v>
      </c>
      <c r="AK52" s="201">
        <f t="shared" si="24"/>
        <v>0</v>
      </c>
      <c r="AL52" s="304">
        <f t="shared" si="25"/>
        <v>0</v>
      </c>
    </row>
    <row r="53" spans="1:38" ht="13.5" thickBot="1" x14ac:dyDescent="0.25">
      <c r="A53" s="93" t="str">
        <f>Справочно!E30</f>
        <v>ООО "РТ-Информ"</v>
      </c>
      <c r="B53" s="72">
        <f>COUNTIF(РПЗ!$AC:$AC,Справочно!$E30)</f>
        <v>0</v>
      </c>
      <c r="C53" s="323" t="e">
        <f t="shared" si="17"/>
        <v>#DIV/0!</v>
      </c>
      <c r="D53" s="324">
        <f>SUMIF(РПЗ!$AC:$AC,Справочно!$E30,РПЗ!$L:$L)</f>
        <v>0</v>
      </c>
      <c r="E53" s="323" t="e">
        <f t="shared" si="16"/>
        <v>#DIV/0!</v>
      </c>
      <c r="G53" s="149">
        <f>COUNTIFS(РПЗ!$AC:$AC,Справочно!$E30,РПЗ!$AF:$AF,1)</f>
        <v>0</v>
      </c>
      <c r="H53" s="305">
        <f>SUMIFS(РПЗ!$L:$L,РПЗ!$AC:$AC,Справочно!$E30,РПЗ!$AF:$AF,1)</f>
        <v>0</v>
      </c>
      <c r="I53" s="149">
        <f>COUNTIFS(РПЗ!$AC:$AC,Справочно!$E30,РПЗ!$AF:$AF,2)</f>
        <v>0</v>
      </c>
      <c r="J53" s="305">
        <f>SUMIFS(РПЗ!$L:$L,РПЗ!$AC:$AC,Справочно!$E30,РПЗ!$AF:$AF,2)</f>
        <v>0</v>
      </c>
      <c r="K53" s="149">
        <f>COUNTIFS(РПЗ!$AC:$AC,Справочно!$E30,РПЗ!$AF:$AF,3)</f>
        <v>0</v>
      </c>
      <c r="L53" s="305">
        <f>SUMIFS(РПЗ!$L:$L,РПЗ!$AC:$AC,Справочно!$E30,РПЗ!$AF:$AF,3)</f>
        <v>0</v>
      </c>
      <c r="M53" s="192">
        <f t="shared" si="18"/>
        <v>0</v>
      </c>
      <c r="N53" s="298">
        <f t="shared" si="19"/>
        <v>0</v>
      </c>
      <c r="O53" s="194">
        <f>COUNTIFS(РПЗ!$AC:$AC,Справочно!$E30,РПЗ!$AF:$AF,4)</f>
        <v>0</v>
      </c>
      <c r="P53" s="339">
        <f>SUMIFS(РПЗ!$L:$L,РПЗ!$AC:$AC,Справочно!$E30,РПЗ!$AF:$AF,4)</f>
        <v>0</v>
      </c>
      <c r="Q53" s="186">
        <f>COUNTIFS(РПЗ!$AC:$AC,Справочно!$E30,РПЗ!$AF:$AF,5)</f>
        <v>0</v>
      </c>
      <c r="R53" s="339">
        <f>SUMIFS(РПЗ!$L:$L,РПЗ!$AC:$AC,Справочно!$E30,РПЗ!$AF:$AF,5)</f>
        <v>0</v>
      </c>
      <c r="S53" s="186">
        <f>COUNTIFS(РПЗ!$AC:$AC,Справочно!$E30,РПЗ!$AF:$AF,6)</f>
        <v>0</v>
      </c>
      <c r="T53" s="339">
        <f>SUMIFS(РПЗ!$L:$L,РПЗ!$AC:$AC,Справочно!$E30,РПЗ!$AF:$AF,6)</f>
        <v>0</v>
      </c>
      <c r="U53" s="196">
        <f t="shared" si="20"/>
        <v>0</v>
      </c>
      <c r="V53" s="300">
        <f t="shared" si="21"/>
        <v>0</v>
      </c>
      <c r="W53" s="199">
        <f>COUNTIFS(РПЗ!$AC:$AC,Справочно!$E30,РПЗ!$AF:$AF,7)</f>
        <v>0</v>
      </c>
      <c r="X53" s="341">
        <f>SUMIFS(РПЗ!$L:$L,РПЗ!$AC:$AC,Справочно!$E30,РПЗ!$AF:$AF,7)</f>
        <v>0</v>
      </c>
      <c r="Y53" s="199">
        <f>COUNTIFS(РПЗ!$AC:$AC,Справочно!$E30,РПЗ!$AF:$AF,8)</f>
        <v>0</v>
      </c>
      <c r="Z53" s="341">
        <f>SUMIFS(РПЗ!$L:$L,РПЗ!$AC:$AC,Справочно!$E30,РПЗ!$AF:$AF,8)</f>
        <v>0</v>
      </c>
      <c r="AA53" s="199">
        <f>COUNTIFS(РПЗ!$AC:$AC,Справочно!$E30,РПЗ!$AF:$AF,9)</f>
        <v>0</v>
      </c>
      <c r="AB53" s="341">
        <f>SUMIFS(РПЗ!$L:$L,РПЗ!$AC:$AC,Справочно!$E30,РПЗ!$AF:$AF,9)</f>
        <v>0</v>
      </c>
      <c r="AC53" s="197">
        <f t="shared" si="22"/>
        <v>0</v>
      </c>
      <c r="AD53" s="302">
        <f t="shared" si="23"/>
        <v>0</v>
      </c>
      <c r="AE53" s="204">
        <f>COUNTIFS(РПЗ!$AC:$AC,Справочно!$E30,РПЗ!$AF:$AF,10)</f>
        <v>0</v>
      </c>
      <c r="AF53" s="343">
        <f>SUMIFS(РПЗ!$L:$L,РПЗ!$AC:$AC,Справочно!$E30,РПЗ!$AF:$AF,10)</f>
        <v>0</v>
      </c>
      <c r="AG53" s="180">
        <f>COUNTIFS(РПЗ!$AC:$AC,Справочно!$E30,РПЗ!$AF:$AF,11)</f>
        <v>0</v>
      </c>
      <c r="AH53" s="343">
        <f>SUMIFS(РПЗ!$L:$L,РПЗ!$AC:$AC,Справочно!$E30,РПЗ!$AF:$AF,11)</f>
        <v>0</v>
      </c>
      <c r="AI53" s="180">
        <f>COUNTIFS(РПЗ!$AC:$AC,Справочно!$E30,РПЗ!$AF:$AF,12)</f>
        <v>0</v>
      </c>
      <c r="AJ53" s="343">
        <f>SUMIFS(РПЗ!$L:$L,РПЗ!$AC:$AC,Справочно!$E30,РПЗ!$AF:$AF,12)</f>
        <v>0</v>
      </c>
      <c r="AK53" s="201">
        <f t="shared" si="24"/>
        <v>0</v>
      </c>
      <c r="AL53" s="304">
        <f t="shared" si="25"/>
        <v>0</v>
      </c>
    </row>
    <row r="54" spans="1:38" ht="13.5" thickBot="1" x14ac:dyDescent="0.25">
      <c r="A54" s="93" t="str">
        <f>Справочно!E31</f>
        <v>ООО "РТ-Комплектимпекс"</v>
      </c>
      <c r="B54" s="72">
        <f>COUNTIF(РПЗ!$AC:$AC,Справочно!$E31)</f>
        <v>0</v>
      </c>
      <c r="C54" s="323" t="e">
        <f t="shared" si="17"/>
        <v>#DIV/0!</v>
      </c>
      <c r="D54" s="324">
        <f>SUMIF(РПЗ!$AC:$AC,Справочно!$E31,РПЗ!$L:$L)</f>
        <v>0</v>
      </c>
      <c r="E54" s="323" t="e">
        <f t="shared" si="16"/>
        <v>#DIV/0!</v>
      </c>
      <c r="G54" s="149">
        <f>COUNTIFS(РПЗ!$AC:$AC,Справочно!$E31,РПЗ!$AF:$AF,1)</f>
        <v>0</v>
      </c>
      <c r="H54" s="305">
        <f>SUMIFS(РПЗ!$L:$L,РПЗ!$AC:$AC,Справочно!$E31,РПЗ!$AF:$AF,1)</f>
        <v>0</v>
      </c>
      <c r="I54" s="149">
        <f>COUNTIFS(РПЗ!$AC:$AC,Справочно!$E31,РПЗ!$AF:$AF,2)</f>
        <v>0</v>
      </c>
      <c r="J54" s="305">
        <f>SUMIFS(РПЗ!$L:$L,РПЗ!$AC:$AC,Справочно!$E31,РПЗ!$AF:$AF,2)</f>
        <v>0</v>
      </c>
      <c r="K54" s="149">
        <f>COUNTIFS(РПЗ!$AC:$AC,Справочно!$E31,РПЗ!$AF:$AF,3)</f>
        <v>0</v>
      </c>
      <c r="L54" s="305">
        <f>SUMIFS(РПЗ!$L:$L,РПЗ!$AC:$AC,Справочно!$E31,РПЗ!$AF:$AF,3)</f>
        <v>0</v>
      </c>
      <c r="M54" s="192">
        <f t="shared" si="18"/>
        <v>0</v>
      </c>
      <c r="N54" s="298">
        <f t="shared" si="19"/>
        <v>0</v>
      </c>
      <c r="O54" s="194">
        <f>COUNTIFS(РПЗ!$AC:$AC,Справочно!$E31,РПЗ!$AF:$AF,4)</f>
        <v>0</v>
      </c>
      <c r="P54" s="339">
        <f>SUMIFS(РПЗ!$L:$L,РПЗ!$AC:$AC,Справочно!$E31,РПЗ!$AF:$AF,4)</f>
        <v>0</v>
      </c>
      <c r="Q54" s="186">
        <f>COUNTIFS(РПЗ!$AC:$AC,Справочно!$E31,РПЗ!$AF:$AF,5)</f>
        <v>0</v>
      </c>
      <c r="R54" s="339">
        <f>SUMIFS(РПЗ!$L:$L,РПЗ!$AC:$AC,Справочно!$E31,РПЗ!$AF:$AF,5)</f>
        <v>0</v>
      </c>
      <c r="S54" s="186">
        <f>COUNTIFS(РПЗ!$AC:$AC,Справочно!$E31,РПЗ!$AF:$AF,6)</f>
        <v>0</v>
      </c>
      <c r="T54" s="339">
        <f>SUMIFS(РПЗ!$L:$L,РПЗ!$AC:$AC,Справочно!$E31,РПЗ!$AF:$AF,6)</f>
        <v>0</v>
      </c>
      <c r="U54" s="196">
        <f t="shared" si="20"/>
        <v>0</v>
      </c>
      <c r="V54" s="300">
        <f t="shared" si="21"/>
        <v>0</v>
      </c>
      <c r="W54" s="199">
        <f>COUNTIFS(РПЗ!$AC:$AC,Справочно!$E31,РПЗ!$AF:$AF,7)</f>
        <v>0</v>
      </c>
      <c r="X54" s="341">
        <f>SUMIFS(РПЗ!$L:$L,РПЗ!$AC:$AC,Справочно!$E31,РПЗ!$AF:$AF,7)</f>
        <v>0</v>
      </c>
      <c r="Y54" s="199">
        <f>COUNTIFS(РПЗ!$AC:$AC,Справочно!$E31,РПЗ!$AF:$AF,8)</f>
        <v>0</v>
      </c>
      <c r="Z54" s="341">
        <f>SUMIFS(РПЗ!$L:$L,РПЗ!$AC:$AC,Справочно!$E31,РПЗ!$AF:$AF,8)</f>
        <v>0</v>
      </c>
      <c r="AA54" s="199">
        <f>COUNTIFS(РПЗ!$AC:$AC,Справочно!$E31,РПЗ!$AF:$AF,9)</f>
        <v>0</v>
      </c>
      <c r="AB54" s="341">
        <f>SUMIFS(РПЗ!$L:$L,РПЗ!$AC:$AC,Справочно!$E31,РПЗ!$AF:$AF,9)</f>
        <v>0</v>
      </c>
      <c r="AC54" s="197">
        <f t="shared" si="22"/>
        <v>0</v>
      </c>
      <c r="AD54" s="302">
        <f t="shared" si="23"/>
        <v>0</v>
      </c>
      <c r="AE54" s="204">
        <f>COUNTIFS(РПЗ!$AC:$AC,Справочно!$E31,РПЗ!$AF:$AF,10)</f>
        <v>0</v>
      </c>
      <c r="AF54" s="343">
        <f>SUMIFS(РПЗ!$L:$L,РПЗ!$AC:$AC,Справочно!$E31,РПЗ!$AF:$AF,10)</f>
        <v>0</v>
      </c>
      <c r="AG54" s="180">
        <f>COUNTIFS(РПЗ!$AC:$AC,Справочно!$E31,РПЗ!$AF:$AF,11)</f>
        <v>0</v>
      </c>
      <c r="AH54" s="343">
        <f>SUMIFS(РПЗ!$L:$L,РПЗ!$AC:$AC,Справочно!$E31,РПЗ!$AF:$AF,11)</f>
        <v>0</v>
      </c>
      <c r="AI54" s="180">
        <f>COUNTIFS(РПЗ!$AC:$AC,Справочно!$E31,РПЗ!$AF:$AF,12)</f>
        <v>0</v>
      </c>
      <c r="AJ54" s="343">
        <f>SUMIFS(РПЗ!$L:$L,РПЗ!$AC:$AC,Справочно!$E31,РПЗ!$AF:$AF,12)</f>
        <v>0</v>
      </c>
      <c r="AK54" s="201">
        <f t="shared" si="24"/>
        <v>0</v>
      </c>
      <c r="AL54" s="304">
        <f t="shared" si="25"/>
        <v>0</v>
      </c>
    </row>
    <row r="55" spans="1:38" ht="13.5" thickBot="1" x14ac:dyDescent="0.25">
      <c r="A55" s="93" t="str">
        <f>Справочно!E32</f>
        <v>ООО "РТ-Экспо"</v>
      </c>
      <c r="B55" s="72">
        <f>COUNTIF(РПЗ!$AC:$AC,Справочно!$E32)</f>
        <v>0</v>
      </c>
      <c r="C55" s="323" t="e">
        <f t="shared" si="17"/>
        <v>#DIV/0!</v>
      </c>
      <c r="D55" s="324">
        <f>SUMIF(РПЗ!$AC:$AC,Справочно!$E32,РПЗ!$L:$L)</f>
        <v>0</v>
      </c>
      <c r="E55" s="323" t="e">
        <f t="shared" si="16"/>
        <v>#DIV/0!</v>
      </c>
      <c r="G55" s="149">
        <f>COUNTIFS(РПЗ!$AC:$AC,Справочно!$E32,РПЗ!$AF:$AF,1)</f>
        <v>0</v>
      </c>
      <c r="H55" s="305">
        <f>SUMIFS(РПЗ!$L:$L,РПЗ!$AC:$AC,Справочно!$E32,РПЗ!$AF:$AF,1)</f>
        <v>0</v>
      </c>
      <c r="I55" s="149">
        <f>COUNTIFS(РПЗ!$AC:$AC,Справочно!$E32,РПЗ!$AF:$AF,2)</f>
        <v>0</v>
      </c>
      <c r="J55" s="305">
        <f>SUMIFS(РПЗ!$L:$L,РПЗ!$AC:$AC,Справочно!$E32,РПЗ!$AF:$AF,2)</f>
        <v>0</v>
      </c>
      <c r="K55" s="149">
        <f>COUNTIFS(РПЗ!$AC:$AC,Справочно!$E32,РПЗ!$AF:$AF,3)</f>
        <v>0</v>
      </c>
      <c r="L55" s="305">
        <f>SUMIFS(РПЗ!$L:$L,РПЗ!$AC:$AC,Справочно!$E32,РПЗ!$AF:$AF,3)</f>
        <v>0</v>
      </c>
      <c r="M55" s="192">
        <f t="shared" si="18"/>
        <v>0</v>
      </c>
      <c r="N55" s="298">
        <f t="shared" si="19"/>
        <v>0</v>
      </c>
      <c r="O55" s="194">
        <f>COUNTIFS(РПЗ!$AC:$AC,Справочно!$E32,РПЗ!$AF:$AF,4)</f>
        <v>0</v>
      </c>
      <c r="P55" s="339">
        <f>SUMIFS(РПЗ!$L:$L,РПЗ!$AC:$AC,Справочно!$E32,РПЗ!$AF:$AF,4)</f>
        <v>0</v>
      </c>
      <c r="Q55" s="186">
        <f>COUNTIFS(РПЗ!$AC:$AC,Справочно!$E32,РПЗ!$AF:$AF,5)</f>
        <v>0</v>
      </c>
      <c r="R55" s="339">
        <f>SUMIFS(РПЗ!$L:$L,РПЗ!$AC:$AC,Справочно!$E32,РПЗ!$AF:$AF,5)</f>
        <v>0</v>
      </c>
      <c r="S55" s="186">
        <f>COUNTIFS(РПЗ!$AC:$AC,Справочно!$E32,РПЗ!$AF:$AF,6)</f>
        <v>0</v>
      </c>
      <c r="T55" s="339">
        <f>SUMIFS(РПЗ!$L:$L,РПЗ!$AC:$AC,Справочно!$E32,РПЗ!$AF:$AF,6)</f>
        <v>0</v>
      </c>
      <c r="U55" s="196">
        <f t="shared" si="20"/>
        <v>0</v>
      </c>
      <c r="V55" s="300">
        <f t="shared" si="21"/>
        <v>0</v>
      </c>
      <c r="W55" s="199">
        <f>COUNTIFS(РПЗ!$AC:$AC,Справочно!$E32,РПЗ!$AF:$AF,7)</f>
        <v>0</v>
      </c>
      <c r="X55" s="341">
        <f>SUMIFS(РПЗ!$L:$L,РПЗ!$AC:$AC,Справочно!$E32,РПЗ!$AF:$AF,7)</f>
        <v>0</v>
      </c>
      <c r="Y55" s="199">
        <f>COUNTIFS(РПЗ!$AC:$AC,Справочно!$E32,РПЗ!$AF:$AF,8)</f>
        <v>0</v>
      </c>
      <c r="Z55" s="341">
        <f>SUMIFS(РПЗ!$L:$L,РПЗ!$AC:$AC,Справочно!$E32,РПЗ!$AF:$AF,8)</f>
        <v>0</v>
      </c>
      <c r="AA55" s="199">
        <f>COUNTIFS(РПЗ!$AC:$AC,Справочно!$E32,РПЗ!$AF:$AF,9)</f>
        <v>0</v>
      </c>
      <c r="AB55" s="341">
        <f>SUMIFS(РПЗ!$L:$L,РПЗ!$AC:$AC,Справочно!$E32,РПЗ!$AF:$AF,9)</f>
        <v>0</v>
      </c>
      <c r="AC55" s="197">
        <f t="shared" si="22"/>
        <v>0</v>
      </c>
      <c r="AD55" s="302">
        <f t="shared" si="23"/>
        <v>0</v>
      </c>
      <c r="AE55" s="204">
        <f>COUNTIFS(РПЗ!$AC:$AC,Справочно!$E32,РПЗ!$AF:$AF,10)</f>
        <v>0</v>
      </c>
      <c r="AF55" s="343">
        <f>SUMIFS(РПЗ!$L:$L,РПЗ!$AC:$AC,Справочно!$E32,РПЗ!$AF:$AF,10)</f>
        <v>0</v>
      </c>
      <c r="AG55" s="180">
        <f>COUNTIFS(РПЗ!$AC:$AC,Справочно!$E32,РПЗ!$AF:$AF,11)</f>
        <v>0</v>
      </c>
      <c r="AH55" s="343">
        <f>SUMIFS(РПЗ!$L:$L,РПЗ!$AC:$AC,Справочно!$E32,РПЗ!$AF:$AF,11)</f>
        <v>0</v>
      </c>
      <c r="AI55" s="180">
        <f>COUNTIFS(РПЗ!$AC:$AC,Справочно!$E32,РПЗ!$AF:$AF,12)</f>
        <v>0</v>
      </c>
      <c r="AJ55" s="343">
        <f>SUMIFS(РПЗ!$L:$L,РПЗ!$AC:$AC,Справочно!$E32,РПЗ!$AF:$AF,12)</f>
        <v>0</v>
      </c>
      <c r="AK55" s="201">
        <f t="shared" si="24"/>
        <v>0</v>
      </c>
      <c r="AL55" s="304">
        <f t="shared" si="25"/>
        <v>0</v>
      </c>
    </row>
    <row r="56" spans="1:38" ht="13.5" thickBot="1" x14ac:dyDescent="0.25">
      <c r="A56" s="93" t="str">
        <f>Справочно!E33</f>
        <v>ООО "РТ-Страхование"</v>
      </c>
      <c r="B56" s="72">
        <f>COUNTIF(РПЗ!$AC:$AC,Справочно!$E33)</f>
        <v>0</v>
      </c>
      <c r="C56" s="323" t="e">
        <f t="shared" si="17"/>
        <v>#DIV/0!</v>
      </c>
      <c r="D56" s="324">
        <f>SUMIF(РПЗ!$AC:$AC,Справочно!$E33,РПЗ!$L:$L)</f>
        <v>0</v>
      </c>
      <c r="E56" s="323" t="e">
        <f t="shared" si="16"/>
        <v>#DIV/0!</v>
      </c>
      <c r="G56" s="149">
        <f>COUNTIFS(РПЗ!$AC:$AC,Справочно!$E33,РПЗ!$AF:$AF,1)</f>
        <v>0</v>
      </c>
      <c r="H56" s="305">
        <f>SUMIFS(РПЗ!$L:$L,РПЗ!$AC:$AC,Справочно!$E33,РПЗ!$AF:$AF,1)</f>
        <v>0</v>
      </c>
      <c r="I56" s="149">
        <f>COUNTIFS(РПЗ!$AC:$AC,Справочно!$E33,РПЗ!$AF:$AF,2)</f>
        <v>0</v>
      </c>
      <c r="J56" s="305">
        <f>SUMIFS(РПЗ!$L:$L,РПЗ!$AC:$AC,Справочно!$E33,РПЗ!$AF:$AF,2)</f>
        <v>0</v>
      </c>
      <c r="K56" s="149">
        <f>COUNTIFS(РПЗ!$AC:$AC,Справочно!$E33,РПЗ!$AF:$AF,3)</f>
        <v>0</v>
      </c>
      <c r="L56" s="305">
        <f>SUMIFS(РПЗ!$L:$L,РПЗ!$AC:$AC,Справочно!$E33,РПЗ!$AF:$AF,3)</f>
        <v>0</v>
      </c>
      <c r="M56" s="192">
        <f t="shared" si="18"/>
        <v>0</v>
      </c>
      <c r="N56" s="298">
        <f t="shared" si="19"/>
        <v>0</v>
      </c>
      <c r="O56" s="194">
        <f>COUNTIFS(РПЗ!$AC:$AC,Справочно!$E33,РПЗ!$AF:$AF,4)</f>
        <v>0</v>
      </c>
      <c r="P56" s="339">
        <f>SUMIFS(РПЗ!$L:$L,РПЗ!$AC:$AC,Справочно!$E33,РПЗ!$AF:$AF,4)</f>
        <v>0</v>
      </c>
      <c r="Q56" s="186">
        <f>COUNTIFS(РПЗ!$AC:$AC,Справочно!$E33,РПЗ!$AF:$AF,5)</f>
        <v>0</v>
      </c>
      <c r="R56" s="339">
        <f>SUMIFS(РПЗ!$L:$L,РПЗ!$AC:$AC,Справочно!$E33,РПЗ!$AF:$AF,5)</f>
        <v>0</v>
      </c>
      <c r="S56" s="186">
        <f>COUNTIFS(РПЗ!$AC:$AC,Справочно!$E33,РПЗ!$AF:$AF,6)</f>
        <v>0</v>
      </c>
      <c r="T56" s="339">
        <f>SUMIFS(РПЗ!$L:$L,РПЗ!$AC:$AC,Справочно!$E33,РПЗ!$AF:$AF,6)</f>
        <v>0</v>
      </c>
      <c r="U56" s="196">
        <f t="shared" si="20"/>
        <v>0</v>
      </c>
      <c r="V56" s="300">
        <f t="shared" ref="V56:V68" si="26">SUM(P56,R56,T56)</f>
        <v>0</v>
      </c>
      <c r="W56" s="199">
        <f>COUNTIFS(РПЗ!$AC:$AC,Справочно!$E33,РПЗ!$AF:$AF,7)</f>
        <v>0</v>
      </c>
      <c r="X56" s="341">
        <f>SUMIFS(РПЗ!$L:$L,РПЗ!$AC:$AC,Справочно!$E33,РПЗ!$AF:$AF,7)</f>
        <v>0</v>
      </c>
      <c r="Y56" s="199">
        <f>COUNTIFS(РПЗ!$AC:$AC,Справочно!$E33,РПЗ!$AF:$AF,8)</f>
        <v>0</v>
      </c>
      <c r="Z56" s="341">
        <f>SUMIFS(РПЗ!$L:$L,РПЗ!$AC:$AC,Справочно!$E33,РПЗ!$AF:$AF,8)</f>
        <v>0</v>
      </c>
      <c r="AA56" s="199">
        <f>COUNTIFS(РПЗ!$AC:$AC,Справочно!$E33,РПЗ!$AF:$AF,9)</f>
        <v>0</v>
      </c>
      <c r="AB56" s="341">
        <f>SUMIFS(РПЗ!$L:$L,РПЗ!$AC:$AC,Справочно!$E33,РПЗ!$AF:$AF,9)</f>
        <v>0</v>
      </c>
      <c r="AC56" s="197">
        <f t="shared" si="22"/>
        <v>0</v>
      </c>
      <c r="AD56" s="302">
        <f t="shared" si="23"/>
        <v>0</v>
      </c>
      <c r="AE56" s="204">
        <f>COUNTIFS(РПЗ!$AC:$AC,Справочно!$E33,РПЗ!$AF:$AF,10)</f>
        <v>0</v>
      </c>
      <c r="AF56" s="343">
        <f>SUMIFS(РПЗ!$L:$L,РПЗ!$AC:$AC,Справочно!$E33,РПЗ!$AF:$AF,10)</f>
        <v>0</v>
      </c>
      <c r="AG56" s="180">
        <f>COUNTIFS(РПЗ!$AC:$AC,Справочно!$E33,РПЗ!$AF:$AF,11)</f>
        <v>0</v>
      </c>
      <c r="AH56" s="343">
        <f>SUMIFS(РПЗ!$L:$L,РПЗ!$AC:$AC,Справочно!$E33,РПЗ!$AF:$AF,11)</f>
        <v>0</v>
      </c>
      <c r="AI56" s="180">
        <f>COUNTIFS(РПЗ!$AC:$AC,Справочно!$E33,РПЗ!$AF:$AF,12)</f>
        <v>0</v>
      </c>
      <c r="AJ56" s="343">
        <f>SUMIFS(РПЗ!$L:$L,РПЗ!$AC:$AC,Справочно!$E33,РПЗ!$AF:$AF,12)</f>
        <v>0</v>
      </c>
      <c r="AK56" s="201">
        <f t="shared" si="24"/>
        <v>0</v>
      </c>
      <c r="AL56" s="304">
        <f t="shared" si="25"/>
        <v>0</v>
      </c>
    </row>
    <row r="57" spans="1:38" ht="26.25" thickBot="1" x14ac:dyDescent="0.25">
      <c r="A57" s="93" t="str">
        <f>Справочно!E34</f>
        <v>АО "Концерн Радиоэлектронные технологии"</v>
      </c>
      <c r="B57" s="72">
        <f>COUNTIF(РПЗ!$AC:$AC,Справочно!$E34)</f>
        <v>0</v>
      </c>
      <c r="C57" s="323" t="e">
        <f t="shared" si="17"/>
        <v>#DIV/0!</v>
      </c>
      <c r="D57" s="324">
        <f>SUMIF(РПЗ!$AC:$AC,Справочно!$E34,РПЗ!$L:$L)</f>
        <v>0</v>
      </c>
      <c r="E57" s="323" t="e">
        <f t="shared" si="16"/>
        <v>#DIV/0!</v>
      </c>
      <c r="G57" s="149">
        <f>COUNTIFS(РПЗ!$AC:$AC,Справочно!$E34,РПЗ!$AF:$AF,1)</f>
        <v>0</v>
      </c>
      <c r="H57" s="305">
        <f>SUMIFS(РПЗ!$L:$L,РПЗ!$AC:$AC,Справочно!$E34,РПЗ!$AF:$AF,1)</f>
        <v>0</v>
      </c>
      <c r="I57" s="149">
        <f>COUNTIFS(РПЗ!$AC:$AC,Справочно!$E34,РПЗ!$AF:$AF,2)</f>
        <v>0</v>
      </c>
      <c r="J57" s="305">
        <f>SUMIFS(РПЗ!$L:$L,РПЗ!$AC:$AC,Справочно!$E34,РПЗ!$AF:$AF,2)</f>
        <v>0</v>
      </c>
      <c r="K57" s="149">
        <f>COUNTIFS(РПЗ!$AC:$AC,Справочно!$E34,РПЗ!$AF:$AF,3)</f>
        <v>0</v>
      </c>
      <c r="L57" s="305">
        <f>SUMIFS(РПЗ!$L:$L,РПЗ!$AC:$AC,Справочно!$E34,РПЗ!$AF:$AF,3)</f>
        <v>0</v>
      </c>
      <c r="M57" s="192">
        <f t="shared" si="18"/>
        <v>0</v>
      </c>
      <c r="N57" s="298">
        <f t="shared" si="19"/>
        <v>0</v>
      </c>
      <c r="O57" s="194">
        <f>COUNTIFS(РПЗ!$AC:$AC,Справочно!$E34,РПЗ!$AF:$AF,4)</f>
        <v>0</v>
      </c>
      <c r="P57" s="339">
        <f>SUMIFS(РПЗ!$L:$L,РПЗ!$AC:$AC,Справочно!$E34,РПЗ!$AF:$AF,4)</f>
        <v>0</v>
      </c>
      <c r="Q57" s="186">
        <f>COUNTIFS(РПЗ!$AC:$AC,Справочно!$E34,РПЗ!$AF:$AF,5)</f>
        <v>0</v>
      </c>
      <c r="R57" s="339">
        <f>SUMIFS(РПЗ!$L:$L,РПЗ!$AC:$AC,Справочно!$E34,РПЗ!$AF:$AF,5)</f>
        <v>0</v>
      </c>
      <c r="S57" s="186">
        <f>COUNTIFS(РПЗ!$AC:$AC,Справочно!$E34,РПЗ!$AF:$AF,6)</f>
        <v>0</v>
      </c>
      <c r="T57" s="339">
        <f>SUMIFS(РПЗ!$L:$L,РПЗ!$AC:$AC,Справочно!$E34,РПЗ!$AF:$AF,6)</f>
        <v>0</v>
      </c>
      <c r="U57" s="196">
        <f t="shared" si="20"/>
        <v>0</v>
      </c>
      <c r="V57" s="300">
        <f t="shared" si="26"/>
        <v>0</v>
      </c>
      <c r="W57" s="199">
        <f>COUNTIFS(РПЗ!$AC:$AC,Справочно!$E34,РПЗ!$AF:$AF,7)</f>
        <v>0</v>
      </c>
      <c r="X57" s="341">
        <f>SUMIFS(РПЗ!$L:$L,РПЗ!$AC:$AC,Справочно!$E34,РПЗ!$AF:$AF,7)</f>
        <v>0</v>
      </c>
      <c r="Y57" s="199">
        <f>COUNTIFS(РПЗ!$AC:$AC,Справочно!$E34,РПЗ!$AF:$AF,8)</f>
        <v>0</v>
      </c>
      <c r="Z57" s="341">
        <f>SUMIFS(РПЗ!$L:$L,РПЗ!$AC:$AC,Справочно!$E34,РПЗ!$AF:$AF,8)</f>
        <v>0</v>
      </c>
      <c r="AA57" s="199">
        <f>COUNTIFS(РПЗ!$AC:$AC,Справочно!$E34,РПЗ!$AF:$AF,9)</f>
        <v>0</v>
      </c>
      <c r="AB57" s="341">
        <f>SUMIFS(РПЗ!$L:$L,РПЗ!$AC:$AC,Справочно!$E34,РПЗ!$AF:$AF,9)</f>
        <v>0</v>
      </c>
      <c r="AC57" s="197">
        <f t="shared" si="22"/>
        <v>0</v>
      </c>
      <c r="AD57" s="302">
        <f t="shared" si="23"/>
        <v>0</v>
      </c>
      <c r="AE57" s="204">
        <f>COUNTIFS(РПЗ!$AC:$AC,Справочно!$E34,РПЗ!$AF:$AF,10)</f>
        <v>0</v>
      </c>
      <c r="AF57" s="343">
        <f>SUMIFS(РПЗ!$L:$L,РПЗ!$AC:$AC,Справочно!$E34,РПЗ!$AF:$AF,10)</f>
        <v>0</v>
      </c>
      <c r="AG57" s="180">
        <f>COUNTIFS(РПЗ!$AC:$AC,Справочно!$E34,РПЗ!$AF:$AF,11)</f>
        <v>0</v>
      </c>
      <c r="AH57" s="343">
        <f>SUMIFS(РПЗ!$L:$L,РПЗ!$AC:$AC,Справочно!$E34,РПЗ!$AF:$AF,11)</f>
        <v>0</v>
      </c>
      <c r="AI57" s="180">
        <f>COUNTIFS(РПЗ!$AC:$AC,Справочно!$E34,РПЗ!$AF:$AF,12)</f>
        <v>0</v>
      </c>
      <c r="AJ57" s="343">
        <f>SUMIFS(РПЗ!$L:$L,РПЗ!$AC:$AC,Справочно!$E34,РПЗ!$AF:$AF,12)</f>
        <v>0</v>
      </c>
      <c r="AK57" s="201">
        <f t="shared" si="24"/>
        <v>0</v>
      </c>
      <c r="AL57" s="304">
        <f t="shared" si="25"/>
        <v>0</v>
      </c>
    </row>
    <row r="58" spans="1:38" ht="13.5" thickBot="1" x14ac:dyDescent="0.25">
      <c r="A58" s="93" t="str">
        <f>Справочно!E35</f>
        <v>АО "НПК "Технологии машиностроения"</v>
      </c>
      <c r="B58" s="72">
        <f>COUNTIF(РПЗ!$AC:$AC,Справочно!$E35)</f>
        <v>0</v>
      </c>
      <c r="C58" s="323" t="e">
        <f t="shared" si="17"/>
        <v>#DIV/0!</v>
      </c>
      <c r="D58" s="324">
        <f>SUMIF(РПЗ!$AC:$AC,Справочно!$E35,РПЗ!$L:$L)</f>
        <v>0</v>
      </c>
      <c r="E58" s="323" t="e">
        <f t="shared" si="16"/>
        <v>#DIV/0!</v>
      </c>
      <c r="G58" s="149">
        <f>COUNTIFS(РПЗ!$AC:$AC,Справочно!$E35,РПЗ!$AF:$AF,1)</f>
        <v>0</v>
      </c>
      <c r="H58" s="305">
        <f>SUMIFS(РПЗ!$L:$L,РПЗ!$AC:$AC,Справочно!$E35,РПЗ!$AF:$AF,1)</f>
        <v>0</v>
      </c>
      <c r="I58" s="149">
        <f>COUNTIFS(РПЗ!$AC:$AC,Справочно!$E35,РПЗ!$AF:$AF,2)</f>
        <v>0</v>
      </c>
      <c r="J58" s="305">
        <f>SUMIFS(РПЗ!$L:$L,РПЗ!$AC:$AC,Справочно!$E35,РПЗ!$AF:$AF,2)</f>
        <v>0</v>
      </c>
      <c r="K58" s="149">
        <f>COUNTIFS(РПЗ!$AC:$AC,Справочно!$E35,РПЗ!$AF:$AF,3)</f>
        <v>0</v>
      </c>
      <c r="L58" s="305">
        <f>SUMIFS(РПЗ!$L:$L,РПЗ!$AC:$AC,Справочно!$E35,РПЗ!$AF:$AF,3)</f>
        <v>0</v>
      </c>
      <c r="M58" s="192">
        <f t="shared" si="18"/>
        <v>0</v>
      </c>
      <c r="N58" s="298">
        <f t="shared" si="19"/>
        <v>0</v>
      </c>
      <c r="O58" s="194">
        <f>COUNTIFS(РПЗ!$AC:$AC,Справочно!$E35,РПЗ!$AF:$AF,4)</f>
        <v>0</v>
      </c>
      <c r="P58" s="339">
        <f>SUMIFS(РПЗ!$L:$L,РПЗ!$AC:$AC,Справочно!$E35,РПЗ!$AF:$AF,4)</f>
        <v>0</v>
      </c>
      <c r="Q58" s="186">
        <f>COUNTIFS(РПЗ!$AC:$AC,Справочно!$E35,РПЗ!$AF:$AF,5)</f>
        <v>0</v>
      </c>
      <c r="R58" s="339">
        <f>SUMIFS(РПЗ!$L:$L,РПЗ!$AC:$AC,Справочно!$E35,РПЗ!$AF:$AF,5)</f>
        <v>0</v>
      </c>
      <c r="S58" s="186">
        <f>COUNTIFS(РПЗ!$AC:$AC,Справочно!$E35,РПЗ!$AF:$AF,6)</f>
        <v>0</v>
      </c>
      <c r="T58" s="339">
        <f>SUMIFS(РПЗ!$L:$L,РПЗ!$AC:$AC,Справочно!$E35,РПЗ!$AF:$AF,6)</f>
        <v>0</v>
      </c>
      <c r="U58" s="196">
        <f t="shared" si="20"/>
        <v>0</v>
      </c>
      <c r="V58" s="300">
        <f t="shared" si="26"/>
        <v>0</v>
      </c>
      <c r="W58" s="199">
        <f>COUNTIFS(РПЗ!$AC:$AC,Справочно!$E35,РПЗ!$AF:$AF,7)</f>
        <v>0</v>
      </c>
      <c r="X58" s="341">
        <f>SUMIFS(РПЗ!$L:$L,РПЗ!$AC:$AC,Справочно!$E35,РПЗ!$AF:$AF,7)</f>
        <v>0</v>
      </c>
      <c r="Y58" s="199">
        <f>COUNTIFS(РПЗ!$AC:$AC,Справочно!$E35,РПЗ!$AF:$AF,8)</f>
        <v>0</v>
      </c>
      <c r="Z58" s="341">
        <f>SUMIFS(РПЗ!$L:$L,РПЗ!$AC:$AC,Справочно!$E35,РПЗ!$AF:$AF,8)</f>
        <v>0</v>
      </c>
      <c r="AA58" s="199">
        <f>COUNTIFS(РПЗ!$AC:$AC,Справочно!$E35,РПЗ!$AF:$AF,9)</f>
        <v>0</v>
      </c>
      <c r="AB58" s="341">
        <f>SUMIFS(РПЗ!$L:$L,РПЗ!$AC:$AC,Справочно!$E35,РПЗ!$AF:$AF,9)</f>
        <v>0</v>
      </c>
      <c r="AC58" s="197">
        <f t="shared" si="22"/>
        <v>0</v>
      </c>
      <c r="AD58" s="302">
        <f t="shared" si="23"/>
        <v>0</v>
      </c>
      <c r="AE58" s="204">
        <f>COUNTIFS(РПЗ!$AC:$AC,Справочно!$E35,РПЗ!$AF:$AF,10)</f>
        <v>0</v>
      </c>
      <c r="AF58" s="343">
        <f>SUMIFS(РПЗ!$L:$L,РПЗ!$AC:$AC,Справочно!$E35,РПЗ!$AF:$AF,10)</f>
        <v>0</v>
      </c>
      <c r="AG58" s="180">
        <f>COUNTIFS(РПЗ!$AC:$AC,Справочно!$E35,РПЗ!$AF:$AF,11)</f>
        <v>0</v>
      </c>
      <c r="AH58" s="343">
        <f>SUMIFS(РПЗ!$L:$L,РПЗ!$AC:$AC,Справочно!$E35,РПЗ!$AF:$AF,11)</f>
        <v>0</v>
      </c>
      <c r="AI58" s="180">
        <f>COUNTIFS(РПЗ!$AC:$AC,Справочно!$E35,РПЗ!$AF:$AF,12)</f>
        <v>0</v>
      </c>
      <c r="AJ58" s="343">
        <f>SUMIFS(РПЗ!$L:$L,РПЗ!$AC:$AC,Справочно!$E35,РПЗ!$AF:$AF,12)</f>
        <v>0</v>
      </c>
      <c r="AK58" s="201">
        <f t="shared" si="24"/>
        <v>0</v>
      </c>
      <c r="AL58" s="304">
        <f t="shared" si="25"/>
        <v>0</v>
      </c>
    </row>
    <row r="59" spans="1:38" ht="12.75" customHeight="1" thickBot="1" x14ac:dyDescent="0.25">
      <c r="A59" s="93" t="str">
        <f>Справочно!E36</f>
        <v>АО "НПО "Высокоточные комплексы"</v>
      </c>
      <c r="B59" s="72">
        <f>COUNTIF(РПЗ!$AC:$AC,Справочно!$E36)</f>
        <v>0</v>
      </c>
      <c r="C59" s="323" t="e">
        <f t="shared" si="17"/>
        <v>#DIV/0!</v>
      </c>
      <c r="D59" s="324">
        <f>SUMIF(РПЗ!$AC:$AC,Справочно!$E36,РПЗ!$L:$L)</f>
        <v>0</v>
      </c>
      <c r="E59" s="323" t="e">
        <f t="shared" si="16"/>
        <v>#DIV/0!</v>
      </c>
      <c r="G59" s="149">
        <f>COUNTIFS(РПЗ!$AC:$AC,Справочно!$E36,РПЗ!$AF:$AF,1)</f>
        <v>0</v>
      </c>
      <c r="H59" s="305">
        <f>SUMIFS(РПЗ!$L:$L,РПЗ!$AC:$AC,Справочно!$E36,РПЗ!$AF:$AF,1)</f>
        <v>0</v>
      </c>
      <c r="I59" s="149">
        <f>COUNTIFS(РПЗ!$AC:$AC,Справочно!$E36,РПЗ!$AF:$AF,2)</f>
        <v>0</v>
      </c>
      <c r="J59" s="305">
        <f>SUMIFS(РПЗ!$L:$L,РПЗ!$AC:$AC,Справочно!$E36,РПЗ!$AF:$AF,2)</f>
        <v>0</v>
      </c>
      <c r="K59" s="149">
        <f>COUNTIFS(РПЗ!$AC:$AC,Справочно!$E36,РПЗ!$AF:$AF,3)</f>
        <v>0</v>
      </c>
      <c r="L59" s="305">
        <f>SUMIFS(РПЗ!$L:$L,РПЗ!$AC:$AC,Справочно!$E36,РПЗ!$AF:$AF,3)</f>
        <v>0</v>
      </c>
      <c r="M59" s="192">
        <f t="shared" si="18"/>
        <v>0</v>
      </c>
      <c r="N59" s="298">
        <f t="shared" si="19"/>
        <v>0</v>
      </c>
      <c r="O59" s="194">
        <f>COUNTIFS(РПЗ!$AC:$AC,Справочно!$E36,РПЗ!$AF:$AF,4)</f>
        <v>0</v>
      </c>
      <c r="P59" s="339">
        <f>SUMIFS(РПЗ!$L:$L,РПЗ!$AC:$AC,Справочно!$E36,РПЗ!$AF:$AF,4)</f>
        <v>0</v>
      </c>
      <c r="Q59" s="186">
        <f>COUNTIFS(РПЗ!$AC:$AC,Справочно!$E36,РПЗ!$AF:$AF,5)</f>
        <v>0</v>
      </c>
      <c r="R59" s="339">
        <f>SUMIFS(РПЗ!$L:$L,РПЗ!$AC:$AC,Справочно!$E36,РПЗ!$AF:$AF,5)</f>
        <v>0</v>
      </c>
      <c r="S59" s="186">
        <f>COUNTIFS(РПЗ!$AC:$AC,Справочно!$E36,РПЗ!$AF:$AF,6)</f>
        <v>0</v>
      </c>
      <c r="T59" s="339">
        <f>SUMIFS(РПЗ!$L:$L,РПЗ!$AC:$AC,Справочно!$E36,РПЗ!$AF:$AF,6)</f>
        <v>0</v>
      </c>
      <c r="U59" s="196">
        <f t="shared" si="20"/>
        <v>0</v>
      </c>
      <c r="V59" s="300">
        <f t="shared" si="26"/>
        <v>0</v>
      </c>
      <c r="W59" s="199">
        <f>COUNTIFS(РПЗ!$AC:$AC,Справочно!$E36,РПЗ!$AF:$AF,7)</f>
        <v>0</v>
      </c>
      <c r="X59" s="341">
        <f>SUMIFS(РПЗ!$L:$L,РПЗ!$AC:$AC,Справочно!$E36,РПЗ!$AF:$AF,7)</f>
        <v>0</v>
      </c>
      <c r="Y59" s="199">
        <f>COUNTIFS(РПЗ!$AC:$AC,Справочно!$E36,РПЗ!$AF:$AF,8)</f>
        <v>0</v>
      </c>
      <c r="Z59" s="341">
        <f>SUMIFS(РПЗ!$L:$L,РПЗ!$AC:$AC,Справочно!$E36,РПЗ!$AF:$AF,8)</f>
        <v>0</v>
      </c>
      <c r="AA59" s="199">
        <f>COUNTIFS(РПЗ!$AC:$AC,Справочно!$E36,РПЗ!$AF:$AF,9)</f>
        <v>0</v>
      </c>
      <c r="AB59" s="341">
        <f>SUMIFS(РПЗ!$L:$L,РПЗ!$AC:$AC,Справочно!$E36,РПЗ!$AF:$AF,9)</f>
        <v>0</v>
      </c>
      <c r="AC59" s="197">
        <f t="shared" si="22"/>
        <v>0</v>
      </c>
      <c r="AD59" s="302">
        <f t="shared" si="23"/>
        <v>0</v>
      </c>
      <c r="AE59" s="204">
        <f>COUNTIFS(РПЗ!$AC:$AC,Справочно!$E36,РПЗ!$AF:$AF,10)</f>
        <v>0</v>
      </c>
      <c r="AF59" s="343">
        <f>SUMIFS(РПЗ!$L:$L,РПЗ!$AC:$AC,Справочно!$E36,РПЗ!$AF:$AF,10)</f>
        <v>0</v>
      </c>
      <c r="AG59" s="180">
        <f>COUNTIFS(РПЗ!$AC:$AC,Справочно!$E36,РПЗ!$AF:$AF,11)</f>
        <v>0</v>
      </c>
      <c r="AH59" s="343">
        <f>SUMIFS(РПЗ!$L:$L,РПЗ!$AC:$AC,Справочно!$E36,РПЗ!$AF:$AF,11)</f>
        <v>0</v>
      </c>
      <c r="AI59" s="180">
        <f>COUNTIFS(РПЗ!$AC:$AC,Справочно!$E36,РПЗ!$AF:$AF,12)</f>
        <v>0</v>
      </c>
      <c r="AJ59" s="343">
        <f>SUMIFS(РПЗ!$L:$L,РПЗ!$AC:$AC,Справочно!$E36,РПЗ!$AF:$AF,12)</f>
        <v>0</v>
      </c>
      <c r="AK59" s="201">
        <f t="shared" si="24"/>
        <v>0</v>
      </c>
      <c r="AL59" s="304">
        <f t="shared" si="25"/>
        <v>0</v>
      </c>
    </row>
    <row r="60" spans="1:38" ht="26.25" thickBot="1" x14ac:dyDescent="0.25">
      <c r="A60" s="93" t="str">
        <f>Справочно!E37</f>
        <v>АО "Объединенная приборостроительная компания"</v>
      </c>
      <c r="B60" s="72">
        <f>COUNTIF(РПЗ!$AC:$AC,Справочно!$E37)</f>
        <v>0</v>
      </c>
      <c r="C60" s="323" t="e">
        <f t="shared" si="17"/>
        <v>#DIV/0!</v>
      </c>
      <c r="D60" s="324">
        <f>SUMIF(РПЗ!$AC:$AC,Справочно!$E37,РПЗ!$L:$L)</f>
        <v>0</v>
      </c>
      <c r="E60" s="323" t="e">
        <f t="shared" si="16"/>
        <v>#DIV/0!</v>
      </c>
      <c r="G60" s="149">
        <f>COUNTIFS(РПЗ!$AC:$AC,Справочно!$E37,РПЗ!$AF:$AF,1)</f>
        <v>0</v>
      </c>
      <c r="H60" s="305">
        <f>SUMIFS(РПЗ!$L:$L,РПЗ!$AC:$AC,Справочно!$E37,РПЗ!$AF:$AF,1)</f>
        <v>0</v>
      </c>
      <c r="I60" s="149">
        <f>COUNTIFS(РПЗ!$AC:$AC,Справочно!$E37,РПЗ!$AF:$AF,2)</f>
        <v>0</v>
      </c>
      <c r="J60" s="305">
        <f>SUMIFS(РПЗ!$L:$L,РПЗ!$AC:$AC,Справочно!$E37,РПЗ!$AF:$AF,2)</f>
        <v>0</v>
      </c>
      <c r="K60" s="149">
        <f>COUNTIFS(РПЗ!$AC:$AC,Справочно!$E37,РПЗ!$AF:$AF,3)</f>
        <v>0</v>
      </c>
      <c r="L60" s="305">
        <f>SUMIFS(РПЗ!$L:$L,РПЗ!$AC:$AC,Справочно!$E37,РПЗ!$AF:$AF,3)</f>
        <v>0</v>
      </c>
      <c r="M60" s="192">
        <f t="shared" si="18"/>
        <v>0</v>
      </c>
      <c r="N60" s="298">
        <f t="shared" si="19"/>
        <v>0</v>
      </c>
      <c r="O60" s="194">
        <f>COUNTIFS(РПЗ!$AC:$AC,Справочно!$E37,РПЗ!$AF:$AF,4)</f>
        <v>0</v>
      </c>
      <c r="P60" s="339">
        <f>SUMIFS(РПЗ!$L:$L,РПЗ!$AC:$AC,Справочно!$E37,РПЗ!$AF:$AF,4)</f>
        <v>0</v>
      </c>
      <c r="Q60" s="186">
        <f>COUNTIFS(РПЗ!$AC:$AC,Справочно!$E37,РПЗ!$AF:$AF,5)</f>
        <v>0</v>
      </c>
      <c r="R60" s="339">
        <f>SUMIFS(РПЗ!$L:$L,РПЗ!$AC:$AC,Справочно!$E37,РПЗ!$AF:$AF,5)</f>
        <v>0</v>
      </c>
      <c r="S60" s="186">
        <f>COUNTIFS(РПЗ!$AC:$AC,Справочно!$E37,РПЗ!$AF:$AF,6)</f>
        <v>0</v>
      </c>
      <c r="T60" s="339">
        <f>SUMIFS(РПЗ!$L:$L,РПЗ!$AC:$AC,Справочно!$E37,РПЗ!$AF:$AF,6)</f>
        <v>0</v>
      </c>
      <c r="U60" s="196">
        <f t="shared" si="20"/>
        <v>0</v>
      </c>
      <c r="V60" s="300">
        <f t="shared" si="26"/>
        <v>0</v>
      </c>
      <c r="W60" s="199">
        <f>COUNTIFS(РПЗ!$AC:$AC,Справочно!$E37,РПЗ!$AF:$AF,7)</f>
        <v>0</v>
      </c>
      <c r="X60" s="341">
        <f>SUMIFS(РПЗ!$L:$L,РПЗ!$AC:$AC,Справочно!$E37,РПЗ!$AF:$AF,7)</f>
        <v>0</v>
      </c>
      <c r="Y60" s="199">
        <f>COUNTIFS(РПЗ!$AC:$AC,Справочно!$E37,РПЗ!$AF:$AF,8)</f>
        <v>0</v>
      </c>
      <c r="Z60" s="341">
        <f>SUMIFS(РПЗ!$L:$L,РПЗ!$AC:$AC,Справочно!$E37,РПЗ!$AF:$AF,8)</f>
        <v>0</v>
      </c>
      <c r="AA60" s="199">
        <f>COUNTIFS(РПЗ!$AC:$AC,Справочно!$E37,РПЗ!$AF:$AF,9)</f>
        <v>0</v>
      </c>
      <c r="AB60" s="341">
        <f>SUMIFS(РПЗ!$L:$L,РПЗ!$AC:$AC,Справочно!$E37,РПЗ!$AF:$AF,9)</f>
        <v>0</v>
      </c>
      <c r="AC60" s="197">
        <f t="shared" si="22"/>
        <v>0</v>
      </c>
      <c r="AD60" s="302">
        <f t="shared" si="23"/>
        <v>0</v>
      </c>
      <c r="AE60" s="204">
        <f>COUNTIFS(РПЗ!$AC:$AC,Справочно!$E37,РПЗ!$AF:$AF,10)</f>
        <v>0</v>
      </c>
      <c r="AF60" s="343">
        <f>SUMIFS(РПЗ!$L:$L,РПЗ!$AC:$AC,Справочно!$E37,РПЗ!$AF:$AF,10)</f>
        <v>0</v>
      </c>
      <c r="AG60" s="180">
        <f>COUNTIFS(РПЗ!$AC:$AC,Справочно!$E37,РПЗ!$AF:$AF,11)</f>
        <v>0</v>
      </c>
      <c r="AH60" s="343">
        <f>SUMIFS(РПЗ!$L:$L,РПЗ!$AC:$AC,Справочно!$E37,РПЗ!$AF:$AF,11)</f>
        <v>0</v>
      </c>
      <c r="AI60" s="180">
        <f>COUNTIFS(РПЗ!$AC:$AC,Справочно!$E37,РПЗ!$AF:$AF,12)</f>
        <v>0</v>
      </c>
      <c r="AJ60" s="343">
        <f>SUMIFS(РПЗ!$L:$L,РПЗ!$AC:$AC,Справочно!$E37,РПЗ!$AF:$AF,12)</f>
        <v>0</v>
      </c>
      <c r="AK60" s="201">
        <f t="shared" si="24"/>
        <v>0</v>
      </c>
      <c r="AL60" s="304">
        <f t="shared" si="25"/>
        <v>0</v>
      </c>
    </row>
    <row r="61" spans="1:38" ht="13.5" thickBot="1" x14ac:dyDescent="0.25">
      <c r="A61" s="217" t="s">
        <v>614</v>
      </c>
      <c r="B61" s="72">
        <f>COUNTIF(РПЗ!$AC:$AC,Справочно!$E38)</f>
        <v>0</v>
      </c>
      <c r="C61" s="323" t="e">
        <f t="shared" si="17"/>
        <v>#DIV/0!</v>
      </c>
      <c r="D61" s="324">
        <f>SUMIF(РПЗ!$AC:$AC,Справочно!$E38,РПЗ!$L:$L)</f>
        <v>0</v>
      </c>
      <c r="E61" s="323" t="e">
        <f t="shared" si="16"/>
        <v>#DIV/0!</v>
      </c>
      <c r="G61" s="149">
        <f>COUNTIFS(РПЗ!$AC:$AC,Справочно!$E38,РПЗ!$AF:$AF,1)</f>
        <v>0</v>
      </c>
      <c r="H61" s="305">
        <f>SUMIFS(РПЗ!$L:$L,РПЗ!$AC:$AC,Справочно!$E38,РПЗ!$AF:$AF,1)</f>
        <v>0</v>
      </c>
      <c r="I61" s="149">
        <f>COUNTIFS(РПЗ!$AC:$AC,Справочно!$E38,РПЗ!$AF:$AF,2)</f>
        <v>0</v>
      </c>
      <c r="J61" s="305">
        <f>SUMIFS(РПЗ!$L:$L,РПЗ!$AC:$AC,Справочно!$E38,РПЗ!$AF:$AF,2)</f>
        <v>0</v>
      </c>
      <c r="K61" s="149">
        <f>COUNTIFS(РПЗ!$AC:$AC,Справочно!$E38,РПЗ!$AF:$AF,3)</f>
        <v>0</v>
      </c>
      <c r="L61" s="305">
        <f>SUMIFS(РПЗ!$L:$L,РПЗ!$AC:$AC,Справочно!$E38,РПЗ!$AF:$AF,3)</f>
        <v>0</v>
      </c>
      <c r="M61" s="192">
        <f t="shared" si="18"/>
        <v>0</v>
      </c>
      <c r="N61" s="298">
        <f t="shared" si="19"/>
        <v>0</v>
      </c>
      <c r="O61" s="194">
        <f>COUNTIFS(РПЗ!$AC:$AC,Справочно!$E38,РПЗ!$AF:$AF,4)</f>
        <v>0</v>
      </c>
      <c r="P61" s="339">
        <f>SUMIFS(РПЗ!$L:$L,РПЗ!$AC:$AC,Справочно!$E38,РПЗ!$AF:$AF,4)</f>
        <v>0</v>
      </c>
      <c r="Q61" s="186">
        <f>COUNTIFS(РПЗ!$AC:$AC,Справочно!$E38,РПЗ!$AF:$AF,5)</f>
        <v>0</v>
      </c>
      <c r="R61" s="339">
        <f>SUMIFS(РПЗ!$L:$L,РПЗ!$AC:$AC,Справочно!$E38,РПЗ!$AF:$AF,5)</f>
        <v>0</v>
      </c>
      <c r="S61" s="186">
        <f>COUNTIFS(РПЗ!$AC:$AC,Справочно!$E38,РПЗ!$AF:$AF,6)</f>
        <v>0</v>
      </c>
      <c r="T61" s="339">
        <f>SUMIFS(РПЗ!$L:$L,РПЗ!$AC:$AC,Справочно!$E38,РПЗ!$AF:$AF,6)</f>
        <v>0</v>
      </c>
      <c r="U61" s="196">
        <f t="shared" si="20"/>
        <v>0</v>
      </c>
      <c r="V61" s="300">
        <f t="shared" si="26"/>
        <v>0</v>
      </c>
      <c r="W61" s="199">
        <f>COUNTIFS(РПЗ!$AC:$AC,Справочно!$E38,РПЗ!$AF:$AF,7)</f>
        <v>0</v>
      </c>
      <c r="X61" s="341">
        <f>SUMIFS(РПЗ!$L:$L,РПЗ!$AC:$AC,Справочно!$E38,РПЗ!$AF:$AF,7)</f>
        <v>0</v>
      </c>
      <c r="Y61" s="199">
        <f>COUNTIFS(РПЗ!$AC:$AC,Справочно!$E38,РПЗ!$AF:$AF,8)</f>
        <v>0</v>
      </c>
      <c r="Z61" s="341">
        <f>SUMIFS(РПЗ!$L:$L,РПЗ!$AC:$AC,Справочно!$E38,РПЗ!$AF:$AF,8)</f>
        <v>0</v>
      </c>
      <c r="AA61" s="199">
        <f>COUNTIFS(РПЗ!$AC:$AC,Справочно!$E38,РПЗ!$AF:$AF,9)</f>
        <v>0</v>
      </c>
      <c r="AB61" s="341">
        <f>SUMIFS(РПЗ!$L:$L,РПЗ!$AC:$AC,Справочно!$E38,РПЗ!$AF:$AF,9)</f>
        <v>0</v>
      </c>
      <c r="AC61" s="197">
        <f t="shared" si="22"/>
        <v>0</v>
      </c>
      <c r="AD61" s="302">
        <f t="shared" si="23"/>
        <v>0</v>
      </c>
      <c r="AE61" s="204">
        <f>COUNTIFS(РПЗ!$AC:$AC,Справочно!$E38,РПЗ!$AF:$AF,10)</f>
        <v>0</v>
      </c>
      <c r="AF61" s="343">
        <f>SUMIFS(РПЗ!$L:$L,РПЗ!$AC:$AC,Справочно!$E38,РПЗ!$AF:$AF,10)</f>
        <v>0</v>
      </c>
      <c r="AG61" s="180">
        <f>COUNTIFS(РПЗ!$AC:$AC,Справочно!$E38,РПЗ!$AF:$AF,11)</f>
        <v>0</v>
      </c>
      <c r="AH61" s="343">
        <f>SUMIFS(РПЗ!$L:$L,РПЗ!$AC:$AC,Справочно!$E38,РПЗ!$AF:$AF,11)</f>
        <v>0</v>
      </c>
      <c r="AI61" s="180">
        <f>COUNTIFS(РПЗ!$AC:$AC,Справочно!$E38,РПЗ!$AF:$AF,12)</f>
        <v>0</v>
      </c>
      <c r="AJ61" s="343">
        <f>SUMIFS(РПЗ!$L:$L,РПЗ!$AC:$AC,Справочно!$E38,РПЗ!$AF:$AF,12)</f>
        <v>0</v>
      </c>
      <c r="AK61" s="201">
        <f t="shared" si="24"/>
        <v>0</v>
      </c>
      <c r="AL61" s="304">
        <f t="shared" si="25"/>
        <v>0</v>
      </c>
    </row>
    <row r="62" spans="1:38" ht="13.5" thickBot="1" x14ac:dyDescent="0.25">
      <c r="A62" s="93" t="str">
        <f>Справочно!E39</f>
        <v>АО "РТ-Авто"</v>
      </c>
      <c r="B62" s="72">
        <f>COUNTIF(РПЗ!$AC:$AC,Справочно!$E39)</f>
        <v>0</v>
      </c>
      <c r="C62" s="323" t="e">
        <f t="shared" si="17"/>
        <v>#DIV/0!</v>
      </c>
      <c r="D62" s="324">
        <f>SUMIF(РПЗ!$AC:$AC,Справочно!$E39,РПЗ!$L:$L)</f>
        <v>0</v>
      </c>
      <c r="E62" s="323" t="e">
        <f t="shared" si="16"/>
        <v>#DIV/0!</v>
      </c>
      <c r="G62" s="149">
        <f>COUNTIFS(РПЗ!$AC:$AC,Справочно!$E39,РПЗ!$AF:$AF,1)</f>
        <v>0</v>
      </c>
      <c r="H62" s="305">
        <f>SUMIFS(РПЗ!$L:$L,РПЗ!$AC:$AC,Справочно!$E39,РПЗ!$AF:$AF,1)</f>
        <v>0</v>
      </c>
      <c r="I62" s="149">
        <f>COUNTIFS(РПЗ!$AC:$AC,Справочно!$E39,РПЗ!$AF:$AF,2)</f>
        <v>0</v>
      </c>
      <c r="J62" s="305">
        <f>SUMIFS(РПЗ!$L:$L,РПЗ!$AC:$AC,Справочно!$E39,РПЗ!$AF:$AF,2)</f>
        <v>0</v>
      </c>
      <c r="K62" s="149">
        <f>COUNTIFS(РПЗ!$AC:$AC,Справочно!$E39,РПЗ!$AF:$AF,3)</f>
        <v>0</v>
      </c>
      <c r="L62" s="305">
        <f>SUMIFS(РПЗ!$L:$L,РПЗ!$AC:$AC,Справочно!$E39,РПЗ!$AF:$AF,3)</f>
        <v>0</v>
      </c>
      <c r="M62" s="192">
        <f t="shared" si="18"/>
        <v>0</v>
      </c>
      <c r="N62" s="298">
        <f t="shared" si="19"/>
        <v>0</v>
      </c>
      <c r="O62" s="194">
        <f>COUNTIFS(РПЗ!$AC:$AC,Справочно!$E39,РПЗ!$AF:$AF,4)</f>
        <v>0</v>
      </c>
      <c r="P62" s="339">
        <f>SUMIFS(РПЗ!$L:$L,РПЗ!$AC:$AC,Справочно!$E39,РПЗ!$AF:$AF,4)</f>
        <v>0</v>
      </c>
      <c r="Q62" s="186">
        <f>COUNTIFS(РПЗ!$AC:$AC,Справочно!$E39,РПЗ!$AF:$AF,5)</f>
        <v>0</v>
      </c>
      <c r="R62" s="339">
        <f>SUMIFS(РПЗ!$L:$L,РПЗ!$AC:$AC,Справочно!$E39,РПЗ!$AF:$AF,5)</f>
        <v>0</v>
      </c>
      <c r="S62" s="186">
        <f>COUNTIFS(РПЗ!$AC:$AC,Справочно!$E39,РПЗ!$AF:$AF,6)</f>
        <v>0</v>
      </c>
      <c r="T62" s="339">
        <f>SUMIFS(РПЗ!$L:$L,РПЗ!$AC:$AC,Справочно!$E39,РПЗ!$AF:$AF,6)</f>
        <v>0</v>
      </c>
      <c r="U62" s="196">
        <f t="shared" si="20"/>
        <v>0</v>
      </c>
      <c r="V62" s="300">
        <f t="shared" si="26"/>
        <v>0</v>
      </c>
      <c r="W62" s="199">
        <f>COUNTIFS(РПЗ!$AC:$AC,Справочно!$E39,РПЗ!$AF:$AF,7)</f>
        <v>0</v>
      </c>
      <c r="X62" s="341">
        <f>SUMIFS(РПЗ!$L:$L,РПЗ!$AC:$AC,Справочно!$E39,РПЗ!$AF:$AF,7)</f>
        <v>0</v>
      </c>
      <c r="Y62" s="199">
        <f>COUNTIFS(РПЗ!$AC:$AC,Справочно!$E39,РПЗ!$AF:$AF,8)</f>
        <v>0</v>
      </c>
      <c r="Z62" s="341">
        <f>SUMIFS(РПЗ!$L:$L,РПЗ!$AC:$AC,Справочно!$E39,РПЗ!$AF:$AF,8)</f>
        <v>0</v>
      </c>
      <c r="AA62" s="199">
        <f>COUNTIFS(РПЗ!$AC:$AC,Справочно!$E39,РПЗ!$AF:$AF,9)</f>
        <v>0</v>
      </c>
      <c r="AB62" s="341">
        <f>SUMIFS(РПЗ!$L:$L,РПЗ!$AC:$AC,Справочно!$E39,РПЗ!$AF:$AF,9)</f>
        <v>0</v>
      </c>
      <c r="AC62" s="197">
        <f t="shared" si="22"/>
        <v>0</v>
      </c>
      <c r="AD62" s="302">
        <f t="shared" si="23"/>
        <v>0</v>
      </c>
      <c r="AE62" s="204">
        <f>COUNTIFS(РПЗ!$AC:$AC,Справочно!$E39,РПЗ!$AF:$AF,10)</f>
        <v>0</v>
      </c>
      <c r="AF62" s="343">
        <f>SUMIFS(РПЗ!$L:$L,РПЗ!$AC:$AC,Справочно!$E39,РПЗ!$AF:$AF,10)</f>
        <v>0</v>
      </c>
      <c r="AG62" s="180">
        <f>COUNTIFS(РПЗ!$AC:$AC,Справочно!$E39,РПЗ!$AF:$AF,11)</f>
        <v>0</v>
      </c>
      <c r="AH62" s="343">
        <f>SUMIFS(РПЗ!$L:$L,РПЗ!$AC:$AC,Справочно!$E39,РПЗ!$AF:$AF,11)</f>
        <v>0</v>
      </c>
      <c r="AI62" s="180">
        <f>COUNTIFS(РПЗ!$AC:$AC,Справочно!$E39,РПЗ!$AF:$AF,12)</f>
        <v>0</v>
      </c>
      <c r="AJ62" s="343">
        <f>SUMIFS(РПЗ!$L:$L,РПЗ!$AC:$AC,Справочно!$E39,РПЗ!$AF:$AF,12)</f>
        <v>0</v>
      </c>
      <c r="AK62" s="201">
        <f t="shared" si="24"/>
        <v>0</v>
      </c>
      <c r="AL62" s="304">
        <f t="shared" si="25"/>
        <v>0</v>
      </c>
    </row>
    <row r="63" spans="1:38" ht="26.25" thickBot="1" x14ac:dyDescent="0.25">
      <c r="A63" s="93" t="str">
        <f>Справочно!E40</f>
        <v>АО "Национальная иммунобиологическая компания"</v>
      </c>
      <c r="B63" s="72">
        <f>COUNTIF(РПЗ!$AC:$AC,Справочно!$E40)</f>
        <v>0</v>
      </c>
      <c r="C63" s="323" t="e">
        <f t="shared" si="17"/>
        <v>#DIV/0!</v>
      </c>
      <c r="D63" s="324">
        <f>SUMIF(РПЗ!$AC:$AC,Справочно!$E40,РПЗ!$L:$L)</f>
        <v>0</v>
      </c>
      <c r="E63" s="323" t="e">
        <f t="shared" si="16"/>
        <v>#DIV/0!</v>
      </c>
      <c r="G63" s="149">
        <f>COUNTIFS(РПЗ!$AC:$AC,Справочно!$E40,РПЗ!$AF:$AF,1)</f>
        <v>0</v>
      </c>
      <c r="H63" s="305">
        <f>SUMIFS(РПЗ!$L:$L,РПЗ!$AC:$AC,Справочно!$E40,РПЗ!$AF:$AF,1)</f>
        <v>0</v>
      </c>
      <c r="I63" s="149">
        <f>COUNTIFS(РПЗ!$AC:$AC,Справочно!$E40,РПЗ!$AF:$AF,2)</f>
        <v>0</v>
      </c>
      <c r="J63" s="305">
        <f>SUMIFS(РПЗ!$L:$L,РПЗ!$AC:$AC,Справочно!$E40,РПЗ!$AF:$AF,2)</f>
        <v>0</v>
      </c>
      <c r="K63" s="149">
        <f>COUNTIFS(РПЗ!$AC:$AC,Справочно!$E40,РПЗ!$AF:$AF,3)</f>
        <v>0</v>
      </c>
      <c r="L63" s="305">
        <f>SUMIFS(РПЗ!$L:$L,РПЗ!$AC:$AC,Справочно!$E40,РПЗ!$AF:$AF,3)</f>
        <v>0</v>
      </c>
      <c r="M63" s="192">
        <f t="shared" si="18"/>
        <v>0</v>
      </c>
      <c r="N63" s="298">
        <f t="shared" si="19"/>
        <v>0</v>
      </c>
      <c r="O63" s="194">
        <f>COUNTIFS(РПЗ!$AC:$AC,Справочно!$E40,РПЗ!$AF:$AF,4)</f>
        <v>0</v>
      </c>
      <c r="P63" s="339">
        <f>SUMIFS(РПЗ!$L:$L,РПЗ!$AC:$AC,Справочно!$E40,РПЗ!$AF:$AF,4)</f>
        <v>0</v>
      </c>
      <c r="Q63" s="186">
        <f>COUNTIFS(РПЗ!$AC:$AC,Справочно!$E40,РПЗ!$AF:$AF,5)</f>
        <v>0</v>
      </c>
      <c r="R63" s="339">
        <f>SUMIFS(РПЗ!$L:$L,РПЗ!$AC:$AC,Справочно!$E40,РПЗ!$AF:$AF,5)</f>
        <v>0</v>
      </c>
      <c r="S63" s="186">
        <f>COUNTIFS(РПЗ!$AC:$AC,Справочно!$E40,РПЗ!$AF:$AF,6)</f>
        <v>0</v>
      </c>
      <c r="T63" s="339">
        <f>SUMIFS(РПЗ!$L:$L,РПЗ!$AC:$AC,Справочно!$E40,РПЗ!$AF:$AF,6)</f>
        <v>0</v>
      </c>
      <c r="U63" s="196">
        <f t="shared" si="20"/>
        <v>0</v>
      </c>
      <c r="V63" s="300">
        <f t="shared" si="26"/>
        <v>0</v>
      </c>
      <c r="W63" s="199">
        <f>COUNTIFS(РПЗ!$AC:$AC,Справочно!$E40,РПЗ!$AF:$AF,7)</f>
        <v>0</v>
      </c>
      <c r="X63" s="341">
        <f>SUMIFS(РПЗ!$L:$L,РПЗ!$AC:$AC,Справочно!$E40,РПЗ!$AF:$AF,7)</f>
        <v>0</v>
      </c>
      <c r="Y63" s="199">
        <f>COUNTIFS(РПЗ!$AC:$AC,Справочно!$E40,РПЗ!$AF:$AF,8)</f>
        <v>0</v>
      </c>
      <c r="Z63" s="341">
        <f>SUMIFS(РПЗ!$L:$L,РПЗ!$AC:$AC,Справочно!$E40,РПЗ!$AF:$AF,8)</f>
        <v>0</v>
      </c>
      <c r="AA63" s="199">
        <f>COUNTIFS(РПЗ!$AC:$AC,Справочно!$E40,РПЗ!$AF:$AF,9)</f>
        <v>0</v>
      </c>
      <c r="AB63" s="341">
        <f>SUMIFS(РПЗ!$L:$L,РПЗ!$AC:$AC,Справочно!$E40,РПЗ!$AF:$AF,9)</f>
        <v>0</v>
      </c>
      <c r="AC63" s="197">
        <f t="shared" si="22"/>
        <v>0</v>
      </c>
      <c r="AD63" s="302">
        <f t="shared" si="23"/>
        <v>0</v>
      </c>
      <c r="AE63" s="204">
        <f>COUNTIFS(РПЗ!$AC:$AC,Справочно!$E40,РПЗ!$AF:$AF,10)</f>
        <v>0</v>
      </c>
      <c r="AF63" s="343">
        <f>SUMIFS(РПЗ!$L:$L,РПЗ!$AC:$AC,Справочно!$E40,РПЗ!$AF:$AF,10)</f>
        <v>0</v>
      </c>
      <c r="AG63" s="180">
        <f>COUNTIFS(РПЗ!$AC:$AC,Справочно!$E40,РПЗ!$AF:$AF,11)</f>
        <v>0</v>
      </c>
      <c r="AH63" s="343">
        <f>SUMIFS(РПЗ!$L:$L,РПЗ!$AC:$AC,Справочно!$E40,РПЗ!$AF:$AF,11)</f>
        <v>0</v>
      </c>
      <c r="AI63" s="180">
        <f>COUNTIFS(РПЗ!$AC:$AC,Справочно!$E40,РПЗ!$AF:$AF,12)</f>
        <v>0</v>
      </c>
      <c r="AJ63" s="343">
        <f>SUMIFS(РПЗ!$L:$L,РПЗ!$AC:$AC,Справочно!$E40,РПЗ!$AF:$AF,12)</f>
        <v>0</v>
      </c>
      <c r="AK63" s="201">
        <f t="shared" si="24"/>
        <v>0</v>
      </c>
      <c r="AL63" s="304">
        <f t="shared" si="25"/>
        <v>0</v>
      </c>
    </row>
    <row r="64" spans="1:38" ht="26.25" thickBot="1" x14ac:dyDescent="0.25">
      <c r="A64" s="93" t="str">
        <f>Справочно!E41</f>
        <v>АО "РТ-Химические технологии и композиционные материалы"</v>
      </c>
      <c r="B64" s="72">
        <f>COUNTIF(РПЗ!$AC:$AC,Справочно!$E41)</f>
        <v>0</v>
      </c>
      <c r="C64" s="323" t="e">
        <f t="shared" si="17"/>
        <v>#DIV/0!</v>
      </c>
      <c r="D64" s="324">
        <f>SUMIF(РПЗ!$AC:$AC,Справочно!$E41,РПЗ!$L:$L)</f>
        <v>0</v>
      </c>
      <c r="E64" s="323" t="e">
        <f t="shared" si="16"/>
        <v>#DIV/0!</v>
      </c>
      <c r="G64" s="149">
        <f>COUNTIFS(РПЗ!$AC:$AC,Справочно!$E41,РПЗ!$AF:$AF,1)</f>
        <v>0</v>
      </c>
      <c r="H64" s="305">
        <f>SUMIFS(РПЗ!$L:$L,РПЗ!$AC:$AC,Справочно!$E41,РПЗ!$AF:$AF,1)</f>
        <v>0</v>
      </c>
      <c r="I64" s="149">
        <f>COUNTIFS(РПЗ!$AC:$AC,Справочно!$E41,РПЗ!$AF:$AF,2)</f>
        <v>0</v>
      </c>
      <c r="J64" s="305">
        <f>SUMIFS(РПЗ!$L:$L,РПЗ!$AC:$AC,Справочно!$E41,РПЗ!$AF:$AF,2)</f>
        <v>0</v>
      </c>
      <c r="K64" s="149">
        <f>COUNTIFS(РПЗ!$AC:$AC,Справочно!$E41,РПЗ!$AF:$AF,3)</f>
        <v>0</v>
      </c>
      <c r="L64" s="305">
        <f>SUMIFS(РПЗ!$L:$L,РПЗ!$AC:$AC,Справочно!$E41,РПЗ!$AF:$AF,3)</f>
        <v>0</v>
      </c>
      <c r="M64" s="192">
        <f t="shared" si="18"/>
        <v>0</v>
      </c>
      <c r="N64" s="298">
        <f t="shared" si="19"/>
        <v>0</v>
      </c>
      <c r="O64" s="194">
        <f>COUNTIFS(РПЗ!$AC:$AC,Справочно!$E41,РПЗ!$AF:$AF,4)</f>
        <v>0</v>
      </c>
      <c r="P64" s="339">
        <f>SUMIFS(РПЗ!$L:$L,РПЗ!$AC:$AC,Справочно!$E41,РПЗ!$AF:$AF,4)</f>
        <v>0</v>
      </c>
      <c r="Q64" s="186">
        <f>COUNTIFS(РПЗ!$AC:$AC,Справочно!$E41,РПЗ!$AF:$AF,5)</f>
        <v>0</v>
      </c>
      <c r="R64" s="339">
        <f>SUMIFS(РПЗ!$L:$L,РПЗ!$AC:$AC,Справочно!$E41,РПЗ!$AF:$AF,5)</f>
        <v>0</v>
      </c>
      <c r="S64" s="186">
        <f>COUNTIFS(РПЗ!$AC:$AC,Справочно!$E41,РПЗ!$AF:$AF,6)</f>
        <v>0</v>
      </c>
      <c r="T64" s="339">
        <f>SUMIFS(РПЗ!$L:$L,РПЗ!$AC:$AC,Справочно!$E41,РПЗ!$AF:$AF,6)</f>
        <v>0</v>
      </c>
      <c r="U64" s="196">
        <f t="shared" si="20"/>
        <v>0</v>
      </c>
      <c r="V64" s="300">
        <f t="shared" si="26"/>
        <v>0</v>
      </c>
      <c r="W64" s="199">
        <f>COUNTIFS(РПЗ!$AC:$AC,Справочно!$E41,РПЗ!$AF:$AF,7)</f>
        <v>0</v>
      </c>
      <c r="X64" s="341">
        <f>SUMIFS(РПЗ!$L:$L,РПЗ!$AC:$AC,Справочно!$E41,РПЗ!$AF:$AF,7)</f>
        <v>0</v>
      </c>
      <c r="Y64" s="199">
        <f>COUNTIFS(РПЗ!$AC:$AC,Справочно!$E41,РПЗ!$AF:$AF,8)</f>
        <v>0</v>
      </c>
      <c r="Z64" s="341">
        <f>SUMIFS(РПЗ!$L:$L,РПЗ!$AC:$AC,Справочно!$E41,РПЗ!$AF:$AF,8)</f>
        <v>0</v>
      </c>
      <c r="AA64" s="199">
        <f>COUNTIFS(РПЗ!$AC:$AC,Справочно!$E41,РПЗ!$AF:$AF,9)</f>
        <v>0</v>
      </c>
      <c r="AB64" s="341">
        <f>SUMIFS(РПЗ!$L:$L,РПЗ!$AC:$AC,Справочно!$E41,РПЗ!$AF:$AF,9)</f>
        <v>0</v>
      </c>
      <c r="AC64" s="197">
        <f t="shared" si="22"/>
        <v>0</v>
      </c>
      <c r="AD64" s="302">
        <f t="shared" si="23"/>
        <v>0</v>
      </c>
      <c r="AE64" s="204">
        <f>COUNTIFS(РПЗ!$AC:$AC,Справочно!$E41,РПЗ!$AF:$AF,10)</f>
        <v>0</v>
      </c>
      <c r="AF64" s="343">
        <f>SUMIFS(РПЗ!$L:$L,РПЗ!$AC:$AC,Справочно!$E41,РПЗ!$AF:$AF,10)</f>
        <v>0</v>
      </c>
      <c r="AG64" s="180">
        <f>COUNTIFS(РПЗ!$AC:$AC,Справочно!$E41,РПЗ!$AF:$AF,11)</f>
        <v>0</v>
      </c>
      <c r="AH64" s="343">
        <f>SUMIFS(РПЗ!$L:$L,РПЗ!$AC:$AC,Справочно!$E41,РПЗ!$AF:$AF,11)</f>
        <v>0</v>
      </c>
      <c r="AI64" s="180">
        <f>COUNTIFS(РПЗ!$AC:$AC,Справочно!$E41,РПЗ!$AF:$AF,12)</f>
        <v>0</v>
      </c>
      <c r="AJ64" s="343">
        <f>SUMIFS(РПЗ!$L:$L,РПЗ!$AC:$AC,Справочно!$E41,РПЗ!$AF:$AF,12)</f>
        <v>0</v>
      </c>
      <c r="AK64" s="201">
        <f t="shared" si="24"/>
        <v>0</v>
      </c>
      <c r="AL64" s="304">
        <f t="shared" si="25"/>
        <v>0</v>
      </c>
    </row>
    <row r="65" spans="1:38" ht="13.5" thickBot="1" x14ac:dyDescent="0.25">
      <c r="A65" s="93" t="str">
        <f>Справочно!E42</f>
        <v>АО "Технодинамика"</v>
      </c>
      <c r="B65" s="72">
        <f>COUNTIF(РПЗ!$AC:$AC,Справочно!$E42)</f>
        <v>0</v>
      </c>
      <c r="C65" s="323" t="e">
        <f t="shared" si="17"/>
        <v>#DIV/0!</v>
      </c>
      <c r="D65" s="324">
        <f>SUMIF(РПЗ!$AC:$AC,Справочно!$E42,РПЗ!$L:$L)</f>
        <v>0</v>
      </c>
      <c r="E65" s="323" t="e">
        <f t="shared" si="16"/>
        <v>#DIV/0!</v>
      </c>
      <c r="G65" s="149">
        <f>COUNTIFS(РПЗ!$AC:$AC,Справочно!$E42,РПЗ!$AF:$AF,1)</f>
        <v>0</v>
      </c>
      <c r="H65" s="305">
        <f>SUMIFS(РПЗ!$L:$L,РПЗ!$AC:$AC,Справочно!$E42,РПЗ!$AF:$AF,1)</f>
        <v>0</v>
      </c>
      <c r="I65" s="149">
        <f>COUNTIFS(РПЗ!$AC:$AC,Справочно!$E42,РПЗ!$AF:$AF,2)</f>
        <v>0</v>
      </c>
      <c r="J65" s="305">
        <f>SUMIFS(РПЗ!$L:$L,РПЗ!$AC:$AC,Справочно!$E42,РПЗ!$AF:$AF,2)</f>
        <v>0</v>
      </c>
      <c r="K65" s="149">
        <f>COUNTIFS(РПЗ!$AC:$AC,Справочно!$E42,РПЗ!$AF:$AF,3)</f>
        <v>0</v>
      </c>
      <c r="L65" s="305">
        <f>SUMIFS(РПЗ!$L:$L,РПЗ!$AC:$AC,Справочно!$E42,РПЗ!$AF:$AF,3)</f>
        <v>0</v>
      </c>
      <c r="M65" s="192">
        <f t="shared" si="18"/>
        <v>0</v>
      </c>
      <c r="N65" s="298">
        <f t="shared" si="19"/>
        <v>0</v>
      </c>
      <c r="O65" s="194">
        <f>COUNTIFS(РПЗ!$AC:$AC,Справочно!$E42,РПЗ!$AF:$AF,4)</f>
        <v>0</v>
      </c>
      <c r="P65" s="339">
        <f>SUMIFS(РПЗ!$L:$L,РПЗ!$AC:$AC,Справочно!$E42,РПЗ!$AF:$AF,4)</f>
        <v>0</v>
      </c>
      <c r="Q65" s="186">
        <f>COUNTIFS(РПЗ!$AC:$AC,Справочно!$E42,РПЗ!$AF:$AF,5)</f>
        <v>0</v>
      </c>
      <c r="R65" s="339">
        <f>SUMIFS(РПЗ!$L:$L,РПЗ!$AC:$AC,Справочно!$E42,РПЗ!$AF:$AF,5)</f>
        <v>0</v>
      </c>
      <c r="S65" s="186">
        <f>COUNTIFS(РПЗ!$AC:$AC,Справочно!$E42,РПЗ!$AF:$AF,6)</f>
        <v>0</v>
      </c>
      <c r="T65" s="339">
        <f>SUMIFS(РПЗ!$L:$L,РПЗ!$AC:$AC,Справочно!$E42,РПЗ!$AF:$AF,6)</f>
        <v>0</v>
      </c>
      <c r="U65" s="196">
        <f t="shared" si="20"/>
        <v>0</v>
      </c>
      <c r="V65" s="300">
        <f t="shared" si="26"/>
        <v>0</v>
      </c>
      <c r="W65" s="199">
        <f>COUNTIFS(РПЗ!$AC:$AC,Справочно!$E42,РПЗ!$AF:$AF,7)</f>
        <v>0</v>
      </c>
      <c r="X65" s="341">
        <f>SUMIFS(РПЗ!$L:$L,РПЗ!$AC:$AC,Справочно!$E42,РПЗ!$AF:$AF,7)</f>
        <v>0</v>
      </c>
      <c r="Y65" s="199">
        <f>COUNTIFS(РПЗ!$AC:$AC,Справочно!$E42,РПЗ!$AF:$AF,8)</f>
        <v>0</v>
      </c>
      <c r="Z65" s="341">
        <f>SUMIFS(РПЗ!$L:$L,РПЗ!$AC:$AC,Справочно!$E42,РПЗ!$AF:$AF,8)</f>
        <v>0</v>
      </c>
      <c r="AA65" s="199">
        <f>COUNTIFS(РПЗ!$AC:$AC,Справочно!$E42,РПЗ!$AF:$AF,9)</f>
        <v>0</v>
      </c>
      <c r="AB65" s="341">
        <f>SUMIFS(РПЗ!$L:$L,РПЗ!$AC:$AC,Справочно!$E42,РПЗ!$AF:$AF,9)</f>
        <v>0</v>
      </c>
      <c r="AC65" s="197">
        <f t="shared" si="22"/>
        <v>0</v>
      </c>
      <c r="AD65" s="302">
        <f t="shared" si="23"/>
        <v>0</v>
      </c>
      <c r="AE65" s="204">
        <f>COUNTIFS(РПЗ!$AC:$AC,Справочно!$E42,РПЗ!$AF:$AF,10)</f>
        <v>0</v>
      </c>
      <c r="AF65" s="343">
        <f>SUMIFS(РПЗ!$L:$L,РПЗ!$AC:$AC,Справочно!$E42,РПЗ!$AF:$AF,10)</f>
        <v>0</v>
      </c>
      <c r="AG65" s="180">
        <f>COUNTIFS(РПЗ!$AC:$AC,Справочно!$E42,РПЗ!$AF:$AF,11)</f>
        <v>0</v>
      </c>
      <c r="AH65" s="343">
        <f>SUMIFS(РПЗ!$L:$L,РПЗ!$AC:$AC,Справочно!$E42,РПЗ!$AF:$AF,11)</f>
        <v>0</v>
      </c>
      <c r="AI65" s="180">
        <f>COUNTIFS(РПЗ!$AC:$AC,Справочно!$E42,РПЗ!$AF:$AF,12)</f>
        <v>0</v>
      </c>
      <c r="AJ65" s="343">
        <f>SUMIFS(РПЗ!$L:$L,РПЗ!$AC:$AC,Справочно!$E42,РПЗ!$AF:$AF,12)</f>
        <v>0</v>
      </c>
      <c r="AK65" s="201">
        <f t="shared" si="24"/>
        <v>0</v>
      </c>
      <c r="AL65" s="304">
        <f t="shared" si="25"/>
        <v>0</v>
      </c>
    </row>
    <row r="66" spans="1:38" ht="13.5" thickBot="1" x14ac:dyDescent="0.25">
      <c r="A66" s="93" t="str">
        <f>Справочно!E43</f>
        <v>АО "Швабе"</v>
      </c>
      <c r="B66" s="72">
        <f>COUNTIF(РПЗ!$AC:$AC,Справочно!$E43)</f>
        <v>0</v>
      </c>
      <c r="C66" s="323" t="e">
        <f t="shared" si="17"/>
        <v>#DIV/0!</v>
      </c>
      <c r="D66" s="324">
        <f>SUMIF(РПЗ!$AC:$AC,Справочно!$E43,РПЗ!$L:$L)</f>
        <v>0</v>
      </c>
      <c r="E66" s="323" t="e">
        <f t="shared" si="16"/>
        <v>#DIV/0!</v>
      </c>
      <c r="G66" s="149">
        <f>COUNTIFS(РПЗ!$AC:$AC,Справочно!$E43,РПЗ!$AF:$AF,1)</f>
        <v>0</v>
      </c>
      <c r="H66" s="305">
        <f>SUMIFS(РПЗ!$L:$L,РПЗ!$AC:$AC,Справочно!$E43,РПЗ!$AF:$AF,1)</f>
        <v>0</v>
      </c>
      <c r="I66" s="149">
        <f>COUNTIFS(РПЗ!$AC:$AC,Справочно!$E43,РПЗ!$AF:$AF,2)</f>
        <v>0</v>
      </c>
      <c r="J66" s="305">
        <f>SUMIFS(РПЗ!$L:$L,РПЗ!$AC:$AC,Справочно!$E43,РПЗ!$AF:$AF,2)</f>
        <v>0</v>
      </c>
      <c r="K66" s="149">
        <f>COUNTIFS(РПЗ!$AC:$AC,Справочно!$E43,РПЗ!$AF:$AF,3)</f>
        <v>0</v>
      </c>
      <c r="L66" s="305">
        <f>SUMIFS(РПЗ!$L:$L,РПЗ!$AC:$AC,Справочно!$E43,РПЗ!$AF:$AF,3)</f>
        <v>0</v>
      </c>
      <c r="M66" s="192">
        <f t="shared" si="18"/>
        <v>0</v>
      </c>
      <c r="N66" s="298">
        <f t="shared" si="19"/>
        <v>0</v>
      </c>
      <c r="O66" s="194">
        <f>COUNTIFS(РПЗ!$AC:$AC,Справочно!$E43,РПЗ!$AF:$AF,4)</f>
        <v>0</v>
      </c>
      <c r="P66" s="339">
        <f>SUMIFS(РПЗ!$L:$L,РПЗ!$AC:$AC,Справочно!$E43,РПЗ!$AF:$AF,4)</f>
        <v>0</v>
      </c>
      <c r="Q66" s="186">
        <f>COUNTIFS(РПЗ!$AC:$AC,Справочно!$E43,РПЗ!$AF:$AF,5)</f>
        <v>0</v>
      </c>
      <c r="R66" s="339">
        <f>SUMIFS(РПЗ!$L:$L,РПЗ!$AC:$AC,Справочно!$E43,РПЗ!$AF:$AF,5)</f>
        <v>0</v>
      </c>
      <c r="S66" s="186">
        <f>COUNTIFS(РПЗ!$AC:$AC,Справочно!$E43,РПЗ!$AF:$AF,6)</f>
        <v>0</v>
      </c>
      <c r="T66" s="339">
        <f>SUMIFS(РПЗ!$L:$L,РПЗ!$AC:$AC,Справочно!$E43,РПЗ!$AF:$AF,6)</f>
        <v>0</v>
      </c>
      <c r="U66" s="196">
        <f t="shared" si="20"/>
        <v>0</v>
      </c>
      <c r="V66" s="300">
        <f t="shared" si="26"/>
        <v>0</v>
      </c>
      <c r="W66" s="199">
        <f>COUNTIFS(РПЗ!$AC:$AC,Справочно!$E43,РПЗ!$AF:$AF,7)</f>
        <v>0</v>
      </c>
      <c r="X66" s="341">
        <f>SUMIFS(РПЗ!$L:$L,РПЗ!$AC:$AC,Справочно!$E43,РПЗ!$AF:$AF,7)</f>
        <v>0</v>
      </c>
      <c r="Y66" s="199">
        <f>COUNTIFS(РПЗ!$AC:$AC,Справочно!$E43,РПЗ!$AF:$AF,8)</f>
        <v>0</v>
      </c>
      <c r="Z66" s="341">
        <f>SUMIFS(РПЗ!$L:$L,РПЗ!$AC:$AC,Справочно!$E43,РПЗ!$AF:$AF,8)</f>
        <v>0</v>
      </c>
      <c r="AA66" s="199">
        <f>COUNTIFS(РПЗ!$AC:$AC,Справочно!$E43,РПЗ!$AF:$AF,9)</f>
        <v>0</v>
      </c>
      <c r="AB66" s="341">
        <f>SUMIFS(РПЗ!$L:$L,РПЗ!$AC:$AC,Справочно!$E43,РПЗ!$AF:$AF,9)</f>
        <v>0</v>
      </c>
      <c r="AC66" s="197">
        <f t="shared" si="22"/>
        <v>0</v>
      </c>
      <c r="AD66" s="302">
        <f t="shared" si="23"/>
        <v>0</v>
      </c>
      <c r="AE66" s="204">
        <f>COUNTIFS(РПЗ!$AC:$AC,Справочно!$E43,РПЗ!$AF:$AF,10)</f>
        <v>0</v>
      </c>
      <c r="AF66" s="343">
        <f>SUMIFS(РПЗ!$L:$L,РПЗ!$AC:$AC,Справочно!$E43,РПЗ!$AF:$AF,10)</f>
        <v>0</v>
      </c>
      <c r="AG66" s="180">
        <f>COUNTIFS(РПЗ!$AC:$AC,Справочно!$E43,РПЗ!$AF:$AF,11)</f>
        <v>0</v>
      </c>
      <c r="AH66" s="343">
        <f>SUMIFS(РПЗ!$L:$L,РПЗ!$AC:$AC,Справочно!$E43,РПЗ!$AF:$AF,11)</f>
        <v>0</v>
      </c>
      <c r="AI66" s="180">
        <f>COUNTIFS(РПЗ!$AC:$AC,Справочно!$E43,РПЗ!$AF:$AF,12)</f>
        <v>0</v>
      </c>
      <c r="AJ66" s="343">
        <f>SUMIFS(РПЗ!$L:$L,РПЗ!$AC:$AC,Справочно!$E43,РПЗ!$AF:$AF,12)</f>
        <v>0</v>
      </c>
      <c r="AK66" s="201">
        <f t="shared" si="24"/>
        <v>0</v>
      </c>
      <c r="AL66" s="304">
        <f t="shared" si="25"/>
        <v>0</v>
      </c>
    </row>
    <row r="67" spans="1:38" ht="13.5" thickBot="1" x14ac:dyDescent="0.25">
      <c r="A67" s="93" t="str">
        <f>Справочно!E44</f>
        <v>АО "Вертолеты России"</v>
      </c>
      <c r="B67" s="216">
        <f>COUNTIF(РПЗ!$AC:$AC,Справочно!$E44)</f>
        <v>0</v>
      </c>
      <c r="C67" s="325" t="e">
        <f t="shared" si="17"/>
        <v>#DIV/0!</v>
      </c>
      <c r="D67" s="326">
        <f>SUMIF(РПЗ!$AC:$AC,Справочно!$E44,РПЗ!$L:$L)</f>
        <v>0</v>
      </c>
      <c r="E67" s="325" t="e">
        <f t="shared" si="16"/>
        <v>#DIV/0!</v>
      </c>
      <c r="G67" s="151">
        <f>COUNTIFS(РПЗ!$AC:$AC,Справочно!$E44,РПЗ!$AF:$AF,1)</f>
        <v>0</v>
      </c>
      <c r="H67" s="306">
        <f>SUMIFS(РПЗ!$L:$L,РПЗ!$AC:$AC,Справочно!$E44,РПЗ!$AF:$AF,1)</f>
        <v>0</v>
      </c>
      <c r="I67" s="151">
        <f>COUNTIFS(РПЗ!$AC:$AC,Справочно!$E44,РПЗ!$AF:$AF,2)</f>
        <v>0</v>
      </c>
      <c r="J67" s="306">
        <f>SUMIFS(РПЗ!$L:$L,РПЗ!$AC:$AC,Справочно!$E44,РПЗ!$AF:$AF,2)</f>
        <v>0</v>
      </c>
      <c r="K67" s="151">
        <f>COUNTIFS(РПЗ!$AC:$AC,Справочно!$E44,РПЗ!$AF:$AF,3)</f>
        <v>0</v>
      </c>
      <c r="L67" s="306">
        <f>SUMIFS(РПЗ!$L:$L,РПЗ!$AC:$AC,Справочно!$E44,РПЗ!$AF:$AF,3)</f>
        <v>0</v>
      </c>
      <c r="M67" s="192">
        <f>SUM(G67,I67,K67)</f>
        <v>0</v>
      </c>
      <c r="N67" s="298">
        <f t="shared" si="19"/>
        <v>0</v>
      </c>
      <c r="O67" s="214">
        <f>COUNTIFS(РПЗ!$AC:$AC,Справочно!$E44,РПЗ!$AF:$AF,4)</f>
        <v>0</v>
      </c>
      <c r="P67" s="345">
        <f>SUMIFS(РПЗ!$L:$L,РПЗ!$AC:$AC,Справочно!$E44,РПЗ!$AF:$AF,4)</f>
        <v>0</v>
      </c>
      <c r="Q67" s="215">
        <f>COUNTIFS(РПЗ!$AC:$AC,Справочно!$E44,РПЗ!$AF:$AF,5)</f>
        <v>0</v>
      </c>
      <c r="R67" s="345">
        <f>SUMIFS(РПЗ!$L:$L,РПЗ!$AC:$AC,Справочно!$E44,РПЗ!$AF:$AF,5)</f>
        <v>0</v>
      </c>
      <c r="S67" s="215">
        <f>COUNTIFS(РПЗ!$AC:$AC,Справочно!$E44,РПЗ!$AF:$AF,6)</f>
        <v>0</v>
      </c>
      <c r="T67" s="345">
        <f>SUMIFS(РПЗ!$L:$L,РПЗ!$AC:$AC,Справочно!$E44,РПЗ!$AF:$AF,6)</f>
        <v>0</v>
      </c>
      <c r="U67" s="196">
        <f t="shared" si="20"/>
        <v>0</v>
      </c>
      <c r="V67" s="300">
        <f t="shared" si="26"/>
        <v>0</v>
      </c>
      <c r="W67" s="211">
        <f>COUNTIFS(РПЗ!$AC:$AC,Справочно!$E44,РПЗ!$AF:$AF,7)</f>
        <v>0</v>
      </c>
      <c r="X67" s="346">
        <f>SUMIFS(РПЗ!$L:$L,РПЗ!$AC:$AC,Справочно!$E44,РПЗ!$AF:$AF,7)</f>
        <v>0</v>
      </c>
      <c r="Y67" s="211">
        <f>COUNTIFS(РПЗ!$AC:$AC,Справочно!$E44,РПЗ!$AF:$AF,8)</f>
        <v>0</v>
      </c>
      <c r="Z67" s="346">
        <f>SUMIFS(РПЗ!$L:$L,РПЗ!$AC:$AC,Справочно!$E44,РПЗ!$AF:$AF,8)</f>
        <v>0</v>
      </c>
      <c r="AA67" s="211">
        <f>COUNTIFS(РПЗ!$AC:$AC,Справочно!$E44,РПЗ!$AF:$AF,9)</f>
        <v>0</v>
      </c>
      <c r="AB67" s="346">
        <f>SUMIFS(РПЗ!$L:$L,РПЗ!$AC:$AC,Справочно!$E44,РПЗ!$AF:$AF,9)</f>
        <v>0</v>
      </c>
      <c r="AC67" s="197">
        <f t="shared" si="22"/>
        <v>0</v>
      </c>
      <c r="AD67" s="302">
        <f t="shared" si="23"/>
        <v>0</v>
      </c>
      <c r="AE67" s="212">
        <f>COUNTIFS(РПЗ!$AC:$AC,Справочно!$E44,РПЗ!$AF:$AF,10)</f>
        <v>0</v>
      </c>
      <c r="AF67" s="347">
        <f>SUMIFS(РПЗ!$L:$L,РПЗ!$AC:$AC,Справочно!$E44,РПЗ!$AF:$AF,10)</f>
        <v>0</v>
      </c>
      <c r="AG67" s="213">
        <f>COUNTIFS(РПЗ!$AC:$AC,Справочно!$E44,РПЗ!$AF:$AF,11)</f>
        <v>0</v>
      </c>
      <c r="AH67" s="347">
        <f>SUMIFS(РПЗ!$L:$L,РПЗ!$AC:$AC,Справочно!$E44,РПЗ!$AF:$AF,11)</f>
        <v>0</v>
      </c>
      <c r="AI67" s="213">
        <f>COUNTIFS(РПЗ!$AC:$AC,Справочно!$E44,РПЗ!$AF:$AF,12)</f>
        <v>0</v>
      </c>
      <c r="AJ67" s="347">
        <f>SUMIFS(РПЗ!$L:$L,РПЗ!$AC:$AC,Справочно!$E44,РПЗ!$AF:$AF,12)</f>
        <v>0</v>
      </c>
      <c r="AK67" s="201">
        <f t="shared" si="24"/>
        <v>0</v>
      </c>
      <c r="AL67" s="304">
        <f t="shared" si="25"/>
        <v>0</v>
      </c>
    </row>
    <row r="68" spans="1:38" ht="13.5" thickBot="1" x14ac:dyDescent="0.25">
      <c r="A68" s="93" t="str">
        <f>Справочно!E45</f>
        <v>Заказчик</v>
      </c>
      <c r="B68" s="89">
        <f>COUNTIF(РПЗ!$AC:$AC,Справочно!$E45)</f>
        <v>0</v>
      </c>
      <c r="C68" s="327" t="e">
        <f t="shared" si="17"/>
        <v>#DIV/0!</v>
      </c>
      <c r="D68" s="328">
        <f>SUMIF(РПЗ!$AC:$AC,Справочно!$E45,РПЗ!$L:$L)</f>
        <v>0</v>
      </c>
      <c r="E68" s="327" t="e">
        <f t="shared" si="16"/>
        <v>#DIV/0!</v>
      </c>
      <c r="G68" s="190">
        <f>COUNTIFS(РПЗ!$AC:$AC,Справочно!$E45,РПЗ!$AF:$AF,1)</f>
        <v>0</v>
      </c>
      <c r="H68" s="348">
        <f>SUMIFS(РПЗ!$L:$L,РПЗ!$AC:$AC,Справочно!$E45,РПЗ!$AF:$AF,1)</f>
        <v>0</v>
      </c>
      <c r="I68" s="190">
        <f>COUNTIFS(РПЗ!$AC:$AC,Справочно!$E45,РПЗ!$AF:$AF,2)</f>
        <v>0</v>
      </c>
      <c r="J68" s="348">
        <f>SUMIFS(РПЗ!$L:$L,РПЗ!$AC:$AC,Справочно!$E45,РПЗ!$AF:$AF,2)</f>
        <v>0</v>
      </c>
      <c r="K68" s="190">
        <f>COUNTIFS(РПЗ!$AC:$AC,Справочно!$E45,РПЗ!$AF:$AF,3)</f>
        <v>0</v>
      </c>
      <c r="L68" s="348">
        <f>SUMIFS(РПЗ!$L:$L,РПЗ!$AC:$AC,Справочно!$E45,РПЗ!$AF:$AF,3)</f>
        <v>0</v>
      </c>
      <c r="M68" s="192">
        <f>SUM(G68,I68,K68)</f>
        <v>0</v>
      </c>
      <c r="N68" s="298">
        <f t="shared" si="19"/>
        <v>0</v>
      </c>
      <c r="O68" s="195">
        <f>COUNTIFS(РПЗ!$AC:$AC,Справочно!$E45,РПЗ!$AF:$AF,4)</f>
        <v>0</v>
      </c>
      <c r="P68" s="350">
        <f>SUMIFS(РПЗ!$L:$L,РПЗ!$AC:$AC,Справочно!$E45,РПЗ!$AF:$AF,4)</f>
        <v>0</v>
      </c>
      <c r="Q68" s="187">
        <f>COUNTIFS(РПЗ!$AC:$AC,Справочно!$E45,РПЗ!$AF:$AF,5)</f>
        <v>0</v>
      </c>
      <c r="R68" s="350">
        <f>SUMIFS(РПЗ!$L:$L,РПЗ!$AC:$AC,Справочно!$E45,РПЗ!$AF:$AF,5)</f>
        <v>0</v>
      </c>
      <c r="S68" s="187">
        <f>COUNTIFS(РПЗ!$AC:$AC,Справочно!$E45,РПЗ!$AF:$AF,6)</f>
        <v>0</v>
      </c>
      <c r="T68" s="350">
        <f>SUMIFS(РПЗ!$L:$L,РПЗ!$AC:$AC,Справочно!$E45,РПЗ!$AF:$AF,6)</f>
        <v>0</v>
      </c>
      <c r="U68" s="196">
        <f t="shared" si="20"/>
        <v>0</v>
      </c>
      <c r="V68" s="300">
        <f t="shared" si="26"/>
        <v>0</v>
      </c>
      <c r="W68" s="200">
        <f>COUNTIFS(РПЗ!$AC:$AC,Справочно!$E45,РПЗ!$AF:$AF,7)</f>
        <v>0</v>
      </c>
      <c r="X68" s="352">
        <f>SUMIFS(РПЗ!$L:$L,РПЗ!$AC:$AC,Справочно!$E45,РПЗ!$AF:$AF,7)</f>
        <v>0</v>
      </c>
      <c r="Y68" s="200">
        <f>COUNTIFS(РПЗ!$AC:$AC,Справочно!$E45,РПЗ!$AF:$AF,8)</f>
        <v>0</v>
      </c>
      <c r="Z68" s="352">
        <f>SUMIFS(РПЗ!$L:$L,РПЗ!$AC:$AC,Справочно!$E45,РПЗ!$AF:$AF,8)</f>
        <v>0</v>
      </c>
      <c r="AA68" s="200">
        <f>COUNTIFS(РПЗ!$AC:$AC,Справочно!$E45,РПЗ!$AF:$AF,9)</f>
        <v>0</v>
      </c>
      <c r="AB68" s="352">
        <f>SUMIFS(РПЗ!$L:$L,РПЗ!$AC:$AC,Справочно!$E45,РПЗ!$AF:$AF,9)</f>
        <v>0</v>
      </c>
      <c r="AC68" s="197">
        <f t="shared" si="22"/>
        <v>0</v>
      </c>
      <c r="AD68" s="302">
        <f t="shared" si="23"/>
        <v>0</v>
      </c>
      <c r="AE68" s="203">
        <f>COUNTIFS(РПЗ!$AC:$AC,Справочно!$E45,РПЗ!$AF:$AF,10)</f>
        <v>0</v>
      </c>
      <c r="AF68" s="354">
        <f>SUMIFS(РПЗ!$L:$L,РПЗ!$AC:$AC,Справочно!$E45,РПЗ!$AF:$AF,10)</f>
        <v>0</v>
      </c>
      <c r="AG68" s="181">
        <f>COUNTIFS(РПЗ!$AC:$AC,Справочно!$E45,РПЗ!$AF:$AF,11)</f>
        <v>0</v>
      </c>
      <c r="AH68" s="354">
        <f>SUMIFS(РПЗ!$L:$L,РПЗ!$AC:$AC,Справочно!$E45,РПЗ!$AF:$AF,11)</f>
        <v>0</v>
      </c>
      <c r="AI68" s="181">
        <f>COUNTIFS(РПЗ!$AC:$AC,Справочно!$E45,РПЗ!$AF:$AF,12)</f>
        <v>0</v>
      </c>
      <c r="AJ68" s="354">
        <f>SUMIFS(РПЗ!$L:$L,РПЗ!$AC:$AC,Справочно!$E45,РПЗ!$AF:$AF,12)</f>
        <v>0</v>
      </c>
      <c r="AK68" s="201">
        <f t="shared" si="24"/>
        <v>0</v>
      </c>
      <c r="AL68" s="304">
        <f t="shared" si="25"/>
        <v>0</v>
      </c>
    </row>
    <row r="69" spans="1:38" ht="13.5" thickBot="1" x14ac:dyDescent="0.25">
      <c r="A69" s="73" t="s">
        <v>242</v>
      </c>
      <c r="B69" s="373">
        <f>SUM(B44:B68)</f>
        <v>0</v>
      </c>
      <c r="C69" s="374" t="e">
        <f>B69/$B$13</f>
        <v>#DIV/0!</v>
      </c>
      <c r="D69" s="375">
        <f>SUM(D44:D68)</f>
        <v>0</v>
      </c>
      <c r="E69" s="374" t="e">
        <f t="shared" si="16"/>
        <v>#DIV/0!</v>
      </c>
      <c r="G69" s="88">
        <f t="shared" ref="G69:AL69" si="27">SUM(G44:G68)</f>
        <v>0</v>
      </c>
      <c r="H69" s="356">
        <f t="shared" si="27"/>
        <v>0</v>
      </c>
      <c r="I69" s="142">
        <f t="shared" si="27"/>
        <v>0</v>
      </c>
      <c r="J69" s="356">
        <f>SUM(J44:J68)</f>
        <v>0</v>
      </c>
      <c r="K69" s="142">
        <f t="shared" si="27"/>
        <v>0</v>
      </c>
      <c r="L69" s="357">
        <f t="shared" si="27"/>
        <v>0</v>
      </c>
      <c r="M69" s="178">
        <f t="shared" si="27"/>
        <v>0</v>
      </c>
      <c r="N69" s="358">
        <f t="shared" si="27"/>
        <v>0</v>
      </c>
      <c r="O69" s="88">
        <f>SUM(O44:O68)</f>
        <v>0</v>
      </c>
      <c r="P69" s="356">
        <f>SUM(P44:P68)</f>
        <v>0</v>
      </c>
      <c r="Q69" s="142">
        <f>SUM(Q44:Q68)</f>
        <v>0</v>
      </c>
      <c r="R69" s="356">
        <f>SUM(R44:R68)</f>
        <v>0</v>
      </c>
      <c r="S69" s="142">
        <f t="shared" si="27"/>
        <v>0</v>
      </c>
      <c r="T69" s="357">
        <f t="shared" si="27"/>
        <v>0</v>
      </c>
      <c r="U69" s="178">
        <f t="shared" si="27"/>
        <v>0</v>
      </c>
      <c r="V69" s="358">
        <f t="shared" si="27"/>
        <v>0</v>
      </c>
      <c r="W69" s="88">
        <f>SUM(W44:W68)</f>
        <v>0</v>
      </c>
      <c r="X69" s="329">
        <f t="shared" si="27"/>
        <v>0</v>
      </c>
      <c r="Y69" s="88">
        <f t="shared" si="27"/>
        <v>0</v>
      </c>
      <c r="Z69" s="329">
        <f t="shared" si="27"/>
        <v>0</v>
      </c>
      <c r="AA69" s="88">
        <f>SUM(AA44:AA68)</f>
        <v>0</v>
      </c>
      <c r="AB69" s="359">
        <f t="shared" si="27"/>
        <v>0</v>
      </c>
      <c r="AC69" s="178">
        <f t="shared" si="27"/>
        <v>0</v>
      </c>
      <c r="AD69" s="358">
        <f t="shared" si="27"/>
        <v>0</v>
      </c>
      <c r="AE69" s="88">
        <f t="shared" si="27"/>
        <v>0</v>
      </c>
      <c r="AF69" s="356">
        <f>SUM(AF44:AF68)</f>
        <v>0</v>
      </c>
      <c r="AG69" s="142">
        <f>SUM(AG44:AG68)</f>
        <v>0</v>
      </c>
      <c r="AH69" s="356">
        <f t="shared" si="27"/>
        <v>0</v>
      </c>
      <c r="AI69" s="142">
        <f>SUM(AI44:AI68)</f>
        <v>0</v>
      </c>
      <c r="AJ69" s="357">
        <f t="shared" si="27"/>
        <v>0</v>
      </c>
      <c r="AK69" s="178">
        <f t="shared" si="27"/>
        <v>0</v>
      </c>
      <c r="AL69" s="358">
        <f t="shared" si="27"/>
        <v>0</v>
      </c>
    </row>
    <row r="70" spans="1:38" x14ac:dyDescent="0.2">
      <c r="G70" s="108"/>
      <c r="H70" s="109"/>
      <c r="I70" s="109"/>
      <c r="J70" s="109"/>
      <c r="K70" s="109"/>
      <c r="L70" s="109"/>
      <c r="M70" s="109"/>
      <c r="N70" s="145"/>
      <c r="O70" s="108"/>
      <c r="P70" s="109"/>
      <c r="Q70" s="109"/>
      <c r="R70" s="109"/>
      <c r="S70" s="109"/>
      <c r="T70" s="109"/>
      <c r="U70" s="109"/>
      <c r="V70" s="145"/>
      <c r="W70" s="108"/>
      <c r="X70" s="109"/>
      <c r="Y70" s="109"/>
      <c r="Z70" s="109"/>
      <c r="AA70" s="109"/>
      <c r="AB70" s="109"/>
      <c r="AC70" s="109"/>
      <c r="AD70" s="145"/>
      <c r="AE70" s="108"/>
      <c r="AF70" s="109"/>
      <c r="AG70" s="109"/>
      <c r="AH70" s="109"/>
      <c r="AI70" s="109"/>
      <c r="AJ70" s="109"/>
      <c r="AK70" s="109"/>
      <c r="AL70" s="145"/>
    </row>
    <row r="71" spans="1:38" ht="25.5" customHeight="1" thickBot="1" x14ac:dyDescent="0.25">
      <c r="A71" s="655" t="s">
        <v>711</v>
      </c>
      <c r="B71" s="655"/>
      <c r="C71" s="655"/>
      <c r="D71" s="655"/>
      <c r="E71" s="655"/>
      <c r="G71" s="108"/>
      <c r="H71" s="109"/>
      <c r="I71" s="109"/>
      <c r="J71" s="109"/>
      <c r="K71" s="109"/>
      <c r="L71" s="109"/>
      <c r="M71" s="109"/>
      <c r="N71" s="145"/>
      <c r="O71" s="108"/>
      <c r="P71" s="109"/>
      <c r="Q71" s="109"/>
      <c r="R71" s="109"/>
      <c r="S71" s="109"/>
      <c r="T71" s="109"/>
      <c r="U71" s="109"/>
      <c r="V71" s="145"/>
      <c r="W71" s="108"/>
      <c r="X71" s="109"/>
      <c r="Y71" s="109"/>
      <c r="Z71" s="109"/>
      <c r="AA71" s="109"/>
      <c r="AB71" s="109"/>
      <c r="AC71" s="109"/>
      <c r="AD71" s="145"/>
      <c r="AE71" s="108"/>
      <c r="AF71" s="109"/>
      <c r="AG71" s="109"/>
      <c r="AH71" s="109"/>
      <c r="AI71" s="109"/>
      <c r="AJ71" s="109"/>
      <c r="AK71" s="109"/>
      <c r="AL71" s="145"/>
    </row>
    <row r="72" spans="1:38" ht="26.25" thickBot="1" x14ac:dyDescent="0.25">
      <c r="A72" s="246" t="s">
        <v>245</v>
      </c>
      <c r="B72" s="61" t="s">
        <v>289</v>
      </c>
      <c r="C72" s="62" t="s">
        <v>240</v>
      </c>
      <c r="D72" s="63" t="s">
        <v>288</v>
      </c>
      <c r="E72" s="62" t="s">
        <v>243</v>
      </c>
      <c r="G72" s="61" t="s">
        <v>289</v>
      </c>
      <c r="H72" s="65" t="s">
        <v>288</v>
      </c>
      <c r="I72" s="65" t="s">
        <v>289</v>
      </c>
      <c r="J72" s="65" t="s">
        <v>288</v>
      </c>
      <c r="K72" s="65" t="s">
        <v>289</v>
      </c>
      <c r="L72" s="144" t="s">
        <v>288</v>
      </c>
      <c r="M72" s="173" t="s">
        <v>289</v>
      </c>
      <c r="N72" s="173" t="s">
        <v>288</v>
      </c>
      <c r="O72" s="61" t="s">
        <v>289</v>
      </c>
      <c r="P72" s="65" t="s">
        <v>288</v>
      </c>
      <c r="Q72" s="65" t="s">
        <v>289</v>
      </c>
      <c r="R72" s="65" t="s">
        <v>288</v>
      </c>
      <c r="S72" s="65" t="s">
        <v>289</v>
      </c>
      <c r="T72" s="144" t="s">
        <v>288</v>
      </c>
      <c r="U72" s="173" t="s">
        <v>289</v>
      </c>
      <c r="V72" s="173" t="s">
        <v>288</v>
      </c>
      <c r="W72" s="61" t="s">
        <v>289</v>
      </c>
      <c r="X72" s="65" t="s">
        <v>288</v>
      </c>
      <c r="Y72" s="65" t="s">
        <v>289</v>
      </c>
      <c r="Z72" s="65" t="s">
        <v>288</v>
      </c>
      <c r="AA72" s="65" t="s">
        <v>289</v>
      </c>
      <c r="AB72" s="144" t="s">
        <v>288</v>
      </c>
      <c r="AC72" s="173" t="s">
        <v>289</v>
      </c>
      <c r="AD72" s="173" t="s">
        <v>288</v>
      </c>
      <c r="AE72" s="61" t="s">
        <v>289</v>
      </c>
      <c r="AF72" s="65" t="s">
        <v>288</v>
      </c>
      <c r="AG72" s="65" t="s">
        <v>289</v>
      </c>
      <c r="AH72" s="65" t="s">
        <v>288</v>
      </c>
      <c r="AI72" s="65" t="s">
        <v>289</v>
      </c>
      <c r="AJ72" s="144" t="s">
        <v>288</v>
      </c>
      <c r="AK72" s="173" t="s">
        <v>289</v>
      </c>
      <c r="AL72" s="173" t="s">
        <v>288</v>
      </c>
    </row>
    <row r="73" spans="1:38" ht="13.5" thickBot="1" x14ac:dyDescent="0.25">
      <c r="A73" s="90" t="s">
        <v>246</v>
      </c>
      <c r="B73" s="72">
        <f>COUNTIF(РПЗ!$R:$R,Справочно!$E16)</f>
        <v>0</v>
      </c>
      <c r="C73" s="362" t="e">
        <f>B73/$B$13</f>
        <v>#DIV/0!</v>
      </c>
      <c r="D73" s="324">
        <f>SUMIF(РПЗ!$R:$R,Справочно!$E16,РПЗ!$L:$L)</f>
        <v>0</v>
      </c>
      <c r="E73" s="362" t="e">
        <f>D73/$D$13</f>
        <v>#DIV/0!</v>
      </c>
      <c r="G73" s="189">
        <f>COUNTIFS(РПЗ!$R:$R,Справочно!$E16,РПЗ!$AF:$AF,1)</f>
        <v>0</v>
      </c>
      <c r="H73" s="330">
        <f>SUMIFS(РПЗ!$L:$L,РПЗ!$R:$R,Справочно!$E16,РПЗ!$AF:$AF,1)</f>
        <v>0</v>
      </c>
      <c r="I73" s="189">
        <f>COUNTIFS(РПЗ!$R:$R,Справочно!$E16,РПЗ!$AF:$AF,2)</f>
        <v>0</v>
      </c>
      <c r="J73" s="330">
        <f>SUMIFS(РПЗ!$L:$L,РПЗ!$R:$R,Справочно!$E16,РПЗ!$AF:$AF,2)</f>
        <v>0</v>
      </c>
      <c r="K73" s="189">
        <f>COUNTIFS(РПЗ!$R:$R,Справочно!$E16,РПЗ!$AF:$AF,3)</f>
        <v>0</v>
      </c>
      <c r="L73" s="330">
        <f>SUMIFS(РПЗ!$L:$L,РПЗ!$R:$R,Справочно!$E16,РПЗ!$AF:$AF,3)</f>
        <v>0</v>
      </c>
      <c r="M73" s="192">
        <f>SUM($G73,$I73,$K73)</f>
        <v>0</v>
      </c>
      <c r="N73" s="298">
        <f>SUM($H73,$J73,$L73)</f>
        <v>0</v>
      </c>
      <c r="O73" s="193">
        <f>COUNTIFS(РПЗ!$R:$R,Справочно!$E16,РПЗ!$AF:$AF,4)</f>
        <v>0</v>
      </c>
      <c r="P73" s="332">
        <f>SUMIFS(РПЗ!$L:$L,РПЗ!$R:$R,Справочно!$E16,РПЗ!$AF:$AF,4)</f>
        <v>0</v>
      </c>
      <c r="Q73" s="193">
        <f>COUNTIFS(РПЗ!$R:$R,Справочно!$E16,РПЗ!$AF:$AF,5)</f>
        <v>0</v>
      </c>
      <c r="R73" s="332">
        <f>SUMIFS(РПЗ!$L:$L,РПЗ!$R:$R,Справочно!$E16,РПЗ!$AF:$AF,5)</f>
        <v>0</v>
      </c>
      <c r="S73" s="193">
        <f>COUNTIFS(РПЗ!$R:$R,Справочно!$E16,РПЗ!$AF:$AF,6)</f>
        <v>0</v>
      </c>
      <c r="T73" s="360">
        <f>SUMIFS(РПЗ!$L:$L,РПЗ!$R:$R,Справочно!$E16,РПЗ!$AF:$AF,6)</f>
        <v>0</v>
      </c>
      <c r="U73" s="196">
        <f>SUM($O73,$Q73,$S73)</f>
        <v>0</v>
      </c>
      <c r="V73" s="300">
        <f>SUM($P73,$R73,$T73)</f>
        <v>0</v>
      </c>
      <c r="W73" s="198">
        <f>COUNTIFS(РПЗ!$R:$R,Справочно!$E16,РПЗ!$AF:$AF,7)</f>
        <v>0</v>
      </c>
      <c r="X73" s="334">
        <f>SUMIFS(РПЗ!$L:$L,РПЗ!$R:$R,Справочно!$E16,РПЗ!$AF:$AF,7)</f>
        <v>0</v>
      </c>
      <c r="Y73" s="198">
        <f>COUNTIFS(РПЗ!$R:$R,Справочно!$E16,РПЗ!$AF:$AF,8)</f>
        <v>0</v>
      </c>
      <c r="Z73" s="334">
        <f>SUMIFS(РПЗ!$L:$L,РПЗ!$R:$R,Справочно!$E16,РПЗ!$AF:$AF,8)</f>
        <v>0</v>
      </c>
      <c r="AA73" s="198">
        <f>COUNTIFS(РПЗ!$R:$R,Справочно!$E16,РПЗ!$AF:$AF,9)</f>
        <v>0</v>
      </c>
      <c r="AB73" s="334">
        <f>SUMIFS(РПЗ!$L:$L,РПЗ!$R:$R,Справочно!$E16,РПЗ!$AF:$AF,9)</f>
        <v>0</v>
      </c>
      <c r="AC73" s="197">
        <f>SUM($W73,$Y73,$AA73)</f>
        <v>0</v>
      </c>
      <c r="AD73" s="302">
        <f>SUM($X73,$Z73,$AB73)</f>
        <v>0</v>
      </c>
      <c r="AE73" s="202">
        <f>COUNTIFS(РПЗ!$R:$R,Справочно!$E16,РПЗ!$AF:$AF,10)</f>
        <v>0</v>
      </c>
      <c r="AF73" s="336">
        <f>SUMIFS(РПЗ!$L:$L,РПЗ!$R:$R,Справочно!$E16,РПЗ!$AF:$AF,10)</f>
        <v>0</v>
      </c>
      <c r="AG73" s="202">
        <f>COUNTIFS(РПЗ!$R:$R,Справочно!$E16,РПЗ!$AF:$AF,11)</f>
        <v>0</v>
      </c>
      <c r="AH73" s="336">
        <f>SUMIFS(РПЗ!$L:$L,РПЗ!$R:$R,Справочно!$E16,РПЗ!$AF:$AF,11)</f>
        <v>0</v>
      </c>
      <c r="AI73" s="202">
        <f>COUNTIFS(РПЗ!$R:$R,Справочно!$E16,РПЗ!$AF:$AF,12)</f>
        <v>0</v>
      </c>
      <c r="AJ73" s="336">
        <f>SUMIFS(РПЗ!$L:$L,РПЗ!$R:$R,Справочно!$E16,РПЗ!$AF:$AF,12)</f>
        <v>0</v>
      </c>
      <c r="AK73" s="201">
        <f>SUM($AE73,$AG73,$AI73)</f>
        <v>0</v>
      </c>
      <c r="AL73" s="304">
        <f>SUM($AF73,$AH73,$AJ73)</f>
        <v>0</v>
      </c>
    </row>
    <row r="74" spans="1:38" ht="13.5" thickBot="1" x14ac:dyDescent="0.25">
      <c r="A74" s="91" t="s">
        <v>696</v>
      </c>
      <c r="B74" s="89">
        <f>COUNTIF(РПЗ!$R:$R,Справочно!$E17)</f>
        <v>0</v>
      </c>
      <c r="C74" s="327" t="e">
        <f>B74/$B$13</f>
        <v>#DIV/0!</v>
      </c>
      <c r="D74" s="324">
        <f>SUMIF(РПЗ!$R:$R,Справочно!$E17,РПЗ!$L:$L)</f>
        <v>0</v>
      </c>
      <c r="E74" s="323" t="e">
        <f>D74/$D$13</f>
        <v>#DIV/0!</v>
      </c>
      <c r="G74" s="190">
        <f>COUNTIFS(РПЗ!$R:$R,Справочно!$E17,РПЗ!$AF:$AF,1)</f>
        <v>0</v>
      </c>
      <c r="H74" s="348">
        <f>SUMIFS(РПЗ!$L:$L,РПЗ!$R:$R,Справочно!$E17,РПЗ!$AF:$AF,1)</f>
        <v>0</v>
      </c>
      <c r="I74" s="190">
        <f>COUNTIFS(РПЗ!$R:$R,Справочно!$E17,РПЗ!$AF:$AF,2)</f>
        <v>0</v>
      </c>
      <c r="J74" s="348">
        <f>SUMIFS(РПЗ!$L:$L,РПЗ!$R:$R,Справочно!$E17,РПЗ!$AF:$AF,2)</f>
        <v>0</v>
      </c>
      <c r="K74" s="190">
        <f>COUNTIFS(РПЗ!$R:$R,Справочно!$E17,РПЗ!$AF:$AF,3)</f>
        <v>0</v>
      </c>
      <c r="L74" s="348">
        <f>SUMIFS(РПЗ!$L:$L,РПЗ!$R:$R,Справочно!$E17,РПЗ!$AF:$AF,3)</f>
        <v>0</v>
      </c>
      <c r="M74" s="192">
        <f>SUM($G74,$I74,$K74)</f>
        <v>0</v>
      </c>
      <c r="N74" s="298">
        <f>SUM($H74,$J74,$L74)</f>
        <v>0</v>
      </c>
      <c r="O74" s="195">
        <f>COUNTIFS(РПЗ!$R:$R,Справочно!$E17,РПЗ!$AF:$AF,4)</f>
        <v>0</v>
      </c>
      <c r="P74" s="350">
        <f>SUMIFS(РПЗ!$L:$L,РПЗ!$R:$R,Справочно!$E17,РПЗ!$AF:$AF,4)</f>
        <v>0</v>
      </c>
      <c r="Q74" s="195">
        <f>COUNTIFS(РПЗ!$R:$R,Справочно!$E17,РПЗ!$AF:$AF,5)</f>
        <v>0</v>
      </c>
      <c r="R74" s="350">
        <f>SUMIFS(РПЗ!$L:$L,РПЗ!$R:$R,Справочно!$E17,РПЗ!$AF:$AF,5)</f>
        <v>0</v>
      </c>
      <c r="S74" s="195">
        <f>COUNTIFS(РПЗ!$R:$R,Справочно!$E17,РПЗ!$AF:$AF,6)</f>
        <v>0</v>
      </c>
      <c r="T74" s="361">
        <f>SUMIFS(РПЗ!$L:$L,РПЗ!$R:$R,Справочно!$E17,РПЗ!$AF:$AF,6)</f>
        <v>0</v>
      </c>
      <c r="U74" s="196">
        <f>SUM($O74,$Q74,$S74)</f>
        <v>0</v>
      </c>
      <c r="V74" s="300">
        <f>SUM($P74,$R74,$T74)</f>
        <v>0</v>
      </c>
      <c r="W74" s="200">
        <f>COUNTIFS(РПЗ!$R:$R,Справочно!$E17,РПЗ!$AF:$AF,7)</f>
        <v>0</v>
      </c>
      <c r="X74" s="352">
        <f>SUMIFS(РПЗ!$L:$L,РПЗ!$R:$R,Справочно!$E17,РПЗ!$AF:$AF,7)</f>
        <v>0</v>
      </c>
      <c r="Y74" s="200">
        <f>COUNTIFS(РПЗ!$R:$R,Справочно!$E17,РПЗ!$AF:$AF,8)</f>
        <v>0</v>
      </c>
      <c r="Z74" s="352">
        <f>SUMIFS(РПЗ!$L:$L,РПЗ!$R:$R,Справочно!$E17,РПЗ!$AF:$AF,8)</f>
        <v>0</v>
      </c>
      <c r="AA74" s="200">
        <f>COUNTIFS(РПЗ!$R:$R,Справочно!$E17,РПЗ!$AF:$AF,9)</f>
        <v>0</v>
      </c>
      <c r="AB74" s="352">
        <f>SUMIFS(РПЗ!$L:$L,РПЗ!$R:$R,Справочно!$E17,РПЗ!$AF:$AF,9)</f>
        <v>0</v>
      </c>
      <c r="AC74" s="197">
        <f>SUM($W74,$Y74,$AA74)</f>
        <v>0</v>
      </c>
      <c r="AD74" s="302">
        <f>SUM($X74,$Z74,$AB74)</f>
        <v>0</v>
      </c>
      <c r="AE74" s="203">
        <f>COUNTIFS(РПЗ!$R:$R,Справочно!$E17,РПЗ!$AF:$AF,10)</f>
        <v>0</v>
      </c>
      <c r="AF74" s="354">
        <f>SUMIFS(РПЗ!$L:$L,РПЗ!$R:$R,Справочно!$E17,РПЗ!$AF:$AF,10)</f>
        <v>0</v>
      </c>
      <c r="AG74" s="203">
        <f>COUNTIFS(РПЗ!$R:$R,Справочно!$E17,РПЗ!$AF:$AF,11)</f>
        <v>0</v>
      </c>
      <c r="AH74" s="354">
        <f>SUMIFS(РПЗ!$L:$L,РПЗ!$R:$R,Справочно!$E17,РПЗ!$AF:$AF,11)</f>
        <v>0</v>
      </c>
      <c r="AI74" s="203">
        <f>COUNTIFS(РПЗ!$R:$R,Справочно!$E17,РПЗ!$AF:$AF,12)</f>
        <v>0</v>
      </c>
      <c r="AJ74" s="354">
        <f>SUMIFS(РПЗ!$L:$L,РПЗ!$R:$R,Справочно!$E17,РПЗ!$AF:$AF,12)</f>
        <v>0</v>
      </c>
      <c r="AK74" s="201">
        <f>SUM($AE74,$AG74,$AI74)</f>
        <v>0</v>
      </c>
      <c r="AL74" s="304">
        <f>SUM($AF74,$AH74,$AJ74)</f>
        <v>0</v>
      </c>
    </row>
    <row r="75" spans="1:38" ht="13.5" thickBot="1" x14ac:dyDescent="0.25">
      <c r="A75" s="73" t="s">
        <v>260</v>
      </c>
      <c r="B75" s="373">
        <f>B73+B74</f>
        <v>0</v>
      </c>
      <c r="C75" s="376" t="e">
        <f>C73+C74</f>
        <v>#DIV/0!</v>
      </c>
      <c r="D75" s="365">
        <f>D73+D74</f>
        <v>0</v>
      </c>
      <c r="E75" s="376" t="e">
        <f>E73+E74</f>
        <v>#DIV/0!</v>
      </c>
      <c r="G75" s="88">
        <f t="shared" ref="G75:AL75" si="28">G73+G74</f>
        <v>0</v>
      </c>
      <c r="H75" s="307">
        <f t="shared" si="28"/>
        <v>0</v>
      </c>
      <c r="I75" s="142">
        <f t="shared" si="28"/>
        <v>0</v>
      </c>
      <c r="J75" s="307">
        <f t="shared" si="28"/>
        <v>0</v>
      </c>
      <c r="K75" s="142">
        <f t="shared" si="28"/>
        <v>0</v>
      </c>
      <c r="L75" s="313">
        <f t="shared" si="28"/>
        <v>0</v>
      </c>
      <c r="M75" s="178">
        <f t="shared" si="28"/>
        <v>0</v>
      </c>
      <c r="N75" s="309">
        <f t="shared" si="28"/>
        <v>0</v>
      </c>
      <c r="O75" s="88">
        <f>O73+O74</f>
        <v>0</v>
      </c>
      <c r="P75" s="307">
        <f t="shared" si="28"/>
        <v>0</v>
      </c>
      <c r="Q75" s="142">
        <f t="shared" si="28"/>
        <v>0</v>
      </c>
      <c r="R75" s="307">
        <f t="shared" si="28"/>
        <v>0</v>
      </c>
      <c r="S75" s="142">
        <f t="shared" si="28"/>
        <v>0</v>
      </c>
      <c r="T75" s="313">
        <f t="shared" si="28"/>
        <v>0</v>
      </c>
      <c r="U75" s="178">
        <f t="shared" si="28"/>
        <v>0</v>
      </c>
      <c r="V75" s="309">
        <f t="shared" si="28"/>
        <v>0</v>
      </c>
      <c r="W75" s="88">
        <f t="shared" si="28"/>
        <v>0</v>
      </c>
      <c r="X75" s="307">
        <f t="shared" si="28"/>
        <v>0</v>
      </c>
      <c r="Y75" s="142">
        <f t="shared" si="28"/>
        <v>0</v>
      </c>
      <c r="Z75" s="307">
        <f t="shared" si="28"/>
        <v>0</v>
      </c>
      <c r="AA75" s="142">
        <f t="shared" si="28"/>
        <v>0</v>
      </c>
      <c r="AB75" s="313">
        <f t="shared" si="28"/>
        <v>0</v>
      </c>
      <c r="AC75" s="178">
        <f t="shared" si="28"/>
        <v>0</v>
      </c>
      <c r="AD75" s="309">
        <f t="shared" si="28"/>
        <v>0</v>
      </c>
      <c r="AE75" s="88">
        <f t="shared" si="28"/>
        <v>0</v>
      </c>
      <c r="AF75" s="307">
        <f t="shared" si="28"/>
        <v>0</v>
      </c>
      <c r="AG75" s="142">
        <f t="shared" si="28"/>
        <v>0</v>
      </c>
      <c r="AH75" s="307">
        <f t="shared" si="28"/>
        <v>0</v>
      </c>
      <c r="AI75" s="142">
        <f t="shared" si="28"/>
        <v>0</v>
      </c>
      <c r="AJ75" s="313">
        <f t="shared" si="28"/>
        <v>0</v>
      </c>
      <c r="AK75" s="178">
        <f t="shared" si="28"/>
        <v>0</v>
      </c>
      <c r="AL75" s="309">
        <f t="shared" si="28"/>
        <v>0</v>
      </c>
    </row>
    <row r="77" spans="1:38" ht="13.5" thickBot="1" x14ac:dyDescent="0.25"/>
    <row r="78" spans="1:38" ht="26.25" customHeight="1" thickBot="1" x14ac:dyDescent="0.25">
      <c r="A78" s="656" t="s">
        <v>698</v>
      </c>
      <c r="B78" s="657"/>
    </row>
    <row r="79" spans="1:38" ht="13.5" thickBot="1" x14ac:dyDescent="0.25">
      <c r="A79" s="105" t="s">
        <v>258</v>
      </c>
      <c r="B79" s="106">
        <f>COUNTIF(РПЗ!$Q:$Q,Справочно!$C32)</f>
        <v>0</v>
      </c>
    </row>
    <row r="82" spans="1:38" ht="22.5" customHeight="1" thickBot="1" x14ac:dyDescent="0.25">
      <c r="A82" s="654" t="s">
        <v>756</v>
      </c>
      <c r="B82" s="654"/>
      <c r="C82" s="654"/>
      <c r="D82" s="654"/>
      <c r="E82" s="654"/>
      <c r="F82" s="49" t="s">
        <v>755</v>
      </c>
    </row>
    <row r="83" spans="1:38" ht="51.75" thickBot="1" x14ac:dyDescent="0.25">
      <c r="A83" s="446" t="s">
        <v>748</v>
      </c>
      <c r="B83" s="449" t="s">
        <v>289</v>
      </c>
      <c r="C83" s="448" t="s">
        <v>752</v>
      </c>
      <c r="D83" s="449" t="s">
        <v>288</v>
      </c>
      <c r="E83" s="448" t="s">
        <v>753</v>
      </c>
      <c r="G83" s="447" t="s">
        <v>289</v>
      </c>
      <c r="H83" s="65" t="s">
        <v>288</v>
      </c>
      <c r="I83" s="65" t="s">
        <v>289</v>
      </c>
      <c r="J83" s="65" t="s">
        <v>288</v>
      </c>
      <c r="K83" s="65" t="s">
        <v>289</v>
      </c>
      <c r="L83" s="439" t="s">
        <v>288</v>
      </c>
      <c r="M83" s="446" t="s">
        <v>289</v>
      </c>
      <c r="N83" s="446" t="s">
        <v>288</v>
      </c>
      <c r="O83" s="447" t="s">
        <v>289</v>
      </c>
      <c r="P83" s="65" t="s">
        <v>288</v>
      </c>
      <c r="Q83" s="65" t="s">
        <v>289</v>
      </c>
      <c r="R83" s="65" t="s">
        <v>288</v>
      </c>
      <c r="S83" s="65" t="s">
        <v>289</v>
      </c>
      <c r="T83" s="439" t="s">
        <v>288</v>
      </c>
      <c r="U83" s="446" t="s">
        <v>289</v>
      </c>
      <c r="V83" s="446" t="s">
        <v>288</v>
      </c>
      <c r="W83" s="447" t="s">
        <v>289</v>
      </c>
      <c r="X83" s="65" t="s">
        <v>288</v>
      </c>
      <c r="Y83" s="65" t="s">
        <v>289</v>
      </c>
      <c r="Z83" s="65" t="s">
        <v>288</v>
      </c>
      <c r="AA83" s="65" t="s">
        <v>289</v>
      </c>
      <c r="AB83" s="439" t="s">
        <v>288</v>
      </c>
      <c r="AC83" s="446" t="s">
        <v>289</v>
      </c>
      <c r="AD83" s="446" t="s">
        <v>288</v>
      </c>
      <c r="AE83" s="447" t="s">
        <v>289</v>
      </c>
      <c r="AF83" s="65" t="s">
        <v>288</v>
      </c>
      <c r="AG83" s="65" t="s">
        <v>289</v>
      </c>
      <c r="AH83" s="65" t="s">
        <v>288</v>
      </c>
      <c r="AI83" s="65" t="s">
        <v>289</v>
      </c>
      <c r="AJ83" s="439" t="s">
        <v>288</v>
      </c>
      <c r="AK83" s="446" t="s">
        <v>289</v>
      </c>
      <c r="AL83" s="446" t="s">
        <v>288</v>
      </c>
    </row>
    <row r="84" spans="1:38" ht="13.5" thickBot="1" x14ac:dyDescent="0.25">
      <c r="A84" s="92" t="s">
        <v>754</v>
      </c>
      <c r="B84" s="456">
        <f>COUNTIFS(РПЗ!$AD:$AD,Справочно!$E16,РПЗ!$L:$L,"&lt;50000000",РПЗ!$Q:$Q,"&lt;&gt;ЕП")</f>
        <v>0</v>
      </c>
      <c r="C84" s="316" t="e">
        <f>B84/$B$36</f>
        <v>#DIV/0!</v>
      </c>
      <c r="D84" s="459">
        <f>SUMIFS(РПЗ!$L:$L,РПЗ!$AD:$AD,Справочно!$E16,РПЗ!$L:$L,"&lt;50000000",РПЗ!$Q:$Q,"&lt;&gt;ЕП")</f>
        <v>0</v>
      </c>
      <c r="E84" s="316" t="e">
        <f>D84/$D$36</f>
        <v>#DIV/0!</v>
      </c>
      <c r="G84" s="189">
        <f>COUNTIFS(РПЗ!$AD:$AD,Справочно!$E16,РПЗ!$L:$L,"&lt;50000000",РПЗ!$Q:$Q,"&lt;&gt;ЕП",РПЗ!$AF:$AF,1)</f>
        <v>0</v>
      </c>
      <c r="H84" s="330">
        <f>SUMIFS(РПЗ!$L:$L,РПЗ!$AD:$AD,Справочно!$E16,РПЗ!$L:$L,"&lt;50000000",РПЗ!$Q:$Q,"&lt;&gt;ЕП",РПЗ!$AF:$AF,1)</f>
        <v>0</v>
      </c>
      <c r="I84" s="189">
        <f>COUNTIFS(РПЗ!$AD:$AD,Справочно!$E16,РПЗ!$L:$L,"&lt;50000000",РПЗ!$Q:$Q,"&lt;&gt;ЕП",РПЗ!$AF:$AF,2)</f>
        <v>0</v>
      </c>
      <c r="J84" s="330">
        <f>SUMIFS(РПЗ!$L:$L,РПЗ!$AD:$AD,Справочно!$E16,РПЗ!$L:$L,"&lt;50000000",РПЗ!$Q:$Q,"&lt;&gt;ЕП",РПЗ!$AF:$AF,2)</f>
        <v>0</v>
      </c>
      <c r="K84" s="189">
        <f>COUNTIFS(РПЗ!$AD:$AD,Справочно!$E16,РПЗ!$L:$L,"&lt;50000000",РПЗ!$Q:$Q,"&lt;&gt;ЕП",РПЗ!$AF:$AF,3)</f>
        <v>0</v>
      </c>
      <c r="L84" s="330">
        <f>SUMIFS(РПЗ!$L:$L,РПЗ!$AD:$AD,Справочно!$E16,РПЗ!$L:$L,"&lt;50000000",РПЗ!$Q:$Q,"&lt;&gt;ЕП",РПЗ!$AF:$AF,3)</f>
        <v>0</v>
      </c>
      <c r="M84" s="192">
        <f>SUM($G84,$I84,$K84)</f>
        <v>0</v>
      </c>
      <c r="N84" s="298">
        <f>SUM($H84,$J84,$L84)</f>
        <v>0</v>
      </c>
      <c r="O84" s="193">
        <f>COUNTIFS(РПЗ!$AD:$AD,Справочно!$E16,РПЗ!$L:$L,"&lt;50000000",РПЗ!$Q:$Q,"&lt;&gt;ЕП",РПЗ!$AF:$AF,4)</f>
        <v>0</v>
      </c>
      <c r="P84" s="332">
        <f>SUMIFS(РПЗ!$L:$L,РПЗ!$AD:$AD,Справочно!$E16,РПЗ!$L:$L,"&lt;50000000",РПЗ!$Q:$Q,"&lt;&gt;ЕП",РПЗ!$AF:$AF,4)</f>
        <v>0</v>
      </c>
      <c r="Q84" s="193">
        <f>COUNTIFS(РПЗ!$AD:$AD,Справочно!$E16,РПЗ!$L:$L,"&lt;50000000",РПЗ!$Q:$Q,"&lt;&gt;ЕП",РПЗ!$AF:$AF,5)</f>
        <v>0</v>
      </c>
      <c r="R84" s="332">
        <f>SUMIFS(РПЗ!$L:$L,РПЗ!$AD:$AD,Справочно!$E16,РПЗ!$L:$L,"&lt;50000000",РПЗ!$Q:$Q,"&lt;&gt;ЕП",РПЗ!$AF:$AF,5)</f>
        <v>0</v>
      </c>
      <c r="S84" s="193">
        <f>COUNTIFS(РПЗ!$AD:$AD,Справочно!$E16,РПЗ!$L:$L,"&lt;50000000",РПЗ!$Q:$Q,"&lt;&gt;ЕП",РПЗ!$AF:$AF,6)</f>
        <v>0</v>
      </c>
      <c r="T84" s="360">
        <f>SUMIFS(РПЗ!$L:$L,РПЗ!$AD:$AD,Справочно!$E16,РПЗ!$L:$L,"&lt;50000000",РПЗ!$Q:$Q,"&lt;&gt;ЕП",РПЗ!$AF:$AF,6)</f>
        <v>0</v>
      </c>
      <c r="U84" s="196">
        <f>SUM($O84,$Q84,$S84)</f>
        <v>0</v>
      </c>
      <c r="V84" s="300">
        <f>SUM($P84,$R84,$T84)</f>
        <v>0</v>
      </c>
      <c r="W84" s="198">
        <f>COUNTIFS(РПЗ!$AD:$AD,Справочно!$E16,РПЗ!$L:$L,"&lt;50000000",РПЗ!$Q:$Q,"&lt;&gt;ЕП",РПЗ!$AF:$AF,7)</f>
        <v>0</v>
      </c>
      <c r="X84" s="334">
        <f>SUMIFS(РПЗ!$L:$L,РПЗ!$AD:$AD,Справочно!$E16,РПЗ!$L:$L,"&lt;50000000",РПЗ!$Q:$Q,"&lt;&gt;ЕП",РПЗ!$AF:$AF,7)</f>
        <v>0</v>
      </c>
      <c r="Y84" s="198">
        <f>COUNTIFS(РПЗ!$AD:$AD,Справочно!$E16,РПЗ!$L:$L,"&lt;50000000",РПЗ!$Q:$Q,"&lt;&gt;ЕП",РПЗ!$AF:$AF,8)</f>
        <v>0</v>
      </c>
      <c r="Z84" s="334">
        <f>SUMIFS(РПЗ!$L:$L,РПЗ!$AD:$AD,Справочно!$E16,РПЗ!$L:$L,"&lt;50000000",РПЗ!$Q:$Q,"&lt;&gt;ЕП",РПЗ!$AF:$AF,8)</f>
        <v>0</v>
      </c>
      <c r="AA84" s="198">
        <f>COUNTIFS(РПЗ!$AD:$AD,Справочно!$E16,РПЗ!$L:$L,"&lt;50000000",РПЗ!$Q:$Q,"&lt;&gt;ЕП",РПЗ!$AF:$AF,9)</f>
        <v>0</v>
      </c>
      <c r="AB84" s="334">
        <f>SUMIFS(РПЗ!$L:$L,РПЗ!$AD:$AD,Справочно!$E16,РПЗ!$L:$L,"&lt;50000000",РПЗ!$Q:$Q,"&lt;&gt;ЕП",РПЗ!$AF:$AF,9)</f>
        <v>0</v>
      </c>
      <c r="AC84" s="197">
        <f>SUM($W84,$Y84,$AA84)</f>
        <v>0</v>
      </c>
      <c r="AD84" s="302">
        <f>SUM($X84,$Z84,$AB84)</f>
        <v>0</v>
      </c>
      <c r="AE84" s="202">
        <f>COUNTIFS(РПЗ!$AD:$AD,Справочно!$E16,РПЗ!$L:$L,"&lt;50000000",РПЗ!$Q:$Q,"&lt;&gt;ЕП",РПЗ!$AF:$AF,10)</f>
        <v>0</v>
      </c>
      <c r="AF84" s="336">
        <f>SUMIFS(РПЗ!$L:$L,РПЗ!$AD:$AD,Справочно!$E16,РПЗ!$L:$L,"&lt;50000000",РПЗ!$Q:$Q,"&lt;&gt;ЕП",РПЗ!$AF:$AF,10)</f>
        <v>0</v>
      </c>
      <c r="AG84" s="202">
        <f>COUNTIFS(РПЗ!$AD:$AD,Справочно!$E16,РПЗ!$L:$L,"&lt;50000000",РПЗ!$Q:$Q,"&lt;&gt;ЕП",РПЗ!$AF:$AF,11)</f>
        <v>0</v>
      </c>
      <c r="AH84" s="336">
        <f>SUMIFS(РПЗ!$L:$L,РПЗ!$AD:$AD,Справочно!$E16,РПЗ!$L:$L,"&lt;50000000",РПЗ!$Q:$Q,"&lt;&gt;ЕП",РПЗ!$AF:$AF,11)</f>
        <v>0</v>
      </c>
      <c r="AI84" s="202">
        <f>COUNTIFS(РПЗ!$AD:$AD,Справочно!$E16,РПЗ!$L:$L,"&lt;50000000",РПЗ!$Q:$Q,"&lt;&gt;ЕП",РПЗ!$AF:$AF,12)</f>
        <v>0</v>
      </c>
      <c r="AJ84" s="336">
        <f>SUMIFS(РПЗ!$L:$L,РПЗ!$AD:$AD,Справочно!$E16,РПЗ!$L:$L,"&lt;50000000",РПЗ!$Q:$Q,"&lt;&gt;ЕП",РПЗ!$AF:$AF,12)</f>
        <v>0</v>
      </c>
      <c r="AK84" s="201">
        <f>SUM($AE84,$AG84,$AI84)</f>
        <v>0</v>
      </c>
      <c r="AL84" s="304">
        <f>SUM($AF84,$AH84,$AJ84)</f>
        <v>0</v>
      </c>
    </row>
    <row r="85" spans="1:38" ht="13.5" thickBot="1" x14ac:dyDescent="0.25">
      <c r="A85" s="452" t="s">
        <v>749</v>
      </c>
      <c r="B85" s="457">
        <f>COUNTIFS(РПЗ!$AD:$AD,Справочно!$E16,РПЗ!$L:$L,"&gt;=50000000",РПЗ!$Q:$Q,"&lt;&gt;ЕП")</f>
        <v>0</v>
      </c>
      <c r="C85" s="316" t="e">
        <f>B85/$B$36</f>
        <v>#DIV/0!</v>
      </c>
      <c r="D85" s="460">
        <f>SUMIFS(РПЗ!$L:$L,РПЗ!$AD:$AD,Справочно!$E16,РПЗ!$L:$L,"&gt;=50000000",РПЗ!$Q:$Q,"&lt;&gt;ЕП")</f>
        <v>0</v>
      </c>
      <c r="E85" s="316" t="e">
        <f>D85/$D$36</f>
        <v>#DIV/0!</v>
      </c>
      <c r="G85" s="189">
        <f>COUNTIFS(РПЗ!$AD:$AD,Справочно!$E16,РПЗ!$L:$L,"&gt;=50000000",РПЗ!$Q:$Q,"&lt;&gt;ЕП",РПЗ!$AF:$AF,1)</f>
        <v>0</v>
      </c>
      <c r="H85" s="330">
        <f>SUMIFS(РПЗ!$L:$L,РПЗ!$AD:$AD,Справочно!$E16,РПЗ!$L:$L,"&gt;=50000000",РПЗ!$Q:$Q,"&lt;&gt;ЕП",РПЗ!$AF:$AF,1)</f>
        <v>0</v>
      </c>
      <c r="I85" s="190">
        <f>COUNTIFS(РПЗ!$AD:$AD,Справочно!$E16,РПЗ!$L:$L,"&gt;=50000000",РПЗ!$Q:$Q,"&lt;&gt;ЕП",РПЗ!$AF:$AF,2)</f>
        <v>0</v>
      </c>
      <c r="J85" s="348">
        <f>SUMIFS(РПЗ!$L:$L,РПЗ!$AD:$AD,Справочно!$E16,РПЗ!$L:$L,"&gt;=50000000",РПЗ!$Q:$Q,"&lt;&gt;ЕП",РПЗ!$AF:$AF,2)</f>
        <v>0</v>
      </c>
      <c r="K85" s="190">
        <f>COUNTIFS(РПЗ!$AD:$AD,Справочно!$E16,РПЗ!$L:$L,"&gt;=50000000",РПЗ!$Q:$Q,"&lt;&gt;ЕП",РПЗ!$AF:$AF,3)</f>
        <v>0</v>
      </c>
      <c r="L85" s="348">
        <f>SUMIFS(РПЗ!$L:$L,РПЗ!$AD:$AD,Справочно!$E16,РПЗ!$L:$L,"&gt;=50000000",РПЗ!$Q:$Q,"&lt;&gt;ЕП",РПЗ!$AF:$AF,3)</f>
        <v>0</v>
      </c>
      <c r="M85" s="192">
        <f>SUM($G85,$I85,$K85)</f>
        <v>0</v>
      </c>
      <c r="N85" s="298">
        <f>SUM($H85,$J85,$L85)</f>
        <v>0</v>
      </c>
      <c r="O85" s="195">
        <f>COUNTIFS(РПЗ!$AD:$AD,Справочно!$E16,РПЗ!$L:$L,"&gt;=50000000",РПЗ!$Q:$Q,"&lt;&gt;ЕП",РПЗ!$AF:$AF,4)</f>
        <v>0</v>
      </c>
      <c r="P85" s="350">
        <f>SUMIFS(РПЗ!$L:$L,РПЗ!$AD:$AD,Справочно!$E16,РПЗ!$L:$L,"&gt;=50000000",РПЗ!$Q:$Q,"&lt;&gt;ЕП",РПЗ!$AF:$AF,4)</f>
        <v>0</v>
      </c>
      <c r="Q85" s="195">
        <f>COUNTIFS(РПЗ!$AD:$AD,Справочно!$E16,РПЗ!$L:$L,"&gt;=50000000",РПЗ!$Q:$Q,"&lt;&gt;ЕП",РПЗ!$AF:$AF,5)</f>
        <v>0</v>
      </c>
      <c r="R85" s="350">
        <f>SUMIFS(РПЗ!$L:$L,РПЗ!$AD:$AD,Справочно!$E16,РПЗ!$L:$L,"&gt;=50000000",РПЗ!$Q:$Q,"&lt;&gt;ЕП",РПЗ!$AF:$AF,5)</f>
        <v>0</v>
      </c>
      <c r="S85" s="195">
        <f>COUNTIFS(РПЗ!$AD:$AD,Справочно!$E16,РПЗ!$L:$L,"&gt;=50000000",РПЗ!$Q:$Q,"&lt;&gt;ЕП",РПЗ!$AF:$AF,6)</f>
        <v>0</v>
      </c>
      <c r="T85" s="361">
        <f>SUMIFS(РПЗ!$L:$L,РПЗ!$AD:$AD,Справочно!$E16,РПЗ!$L:$L,"&gt;=50000000",РПЗ!$Q:$Q,"&lt;&gt;ЕП",РПЗ!$AF:$AF,6)</f>
        <v>0</v>
      </c>
      <c r="U85" s="196">
        <f>SUM($O85,$Q85,$S85)</f>
        <v>0</v>
      </c>
      <c r="V85" s="300">
        <f>SUM($P85,$R85,$T85)</f>
        <v>0</v>
      </c>
      <c r="W85" s="200">
        <f>COUNTIFS(РПЗ!$AD:$AD,Справочно!$E16,РПЗ!$L:$L,"&gt;=50000000",РПЗ!$Q:$Q,"&lt;&gt;ЕП",РПЗ!$AF:$AF,7)</f>
        <v>0</v>
      </c>
      <c r="X85" s="352">
        <f>SUMIFS(РПЗ!$L:$L,РПЗ!$AD:$AD,Справочно!$E16,РПЗ!$L:$L,"&gt;=50000000",РПЗ!$Q:$Q,"&lt;&gt;ЕП",РПЗ!$AF:$AF,7)</f>
        <v>0</v>
      </c>
      <c r="Y85" s="200">
        <f>COUNTIFS(РПЗ!$AD:$AD,Справочно!$E16,РПЗ!$L:$L,"&gt;=50000000",РПЗ!$Q:$Q,"&lt;&gt;ЕП",РПЗ!$AF:$AF,8)</f>
        <v>0</v>
      </c>
      <c r="Z85" s="352">
        <f>SUMIFS(РПЗ!$L:$L,РПЗ!$AD:$AD,Справочно!$E16,РПЗ!$L:$L,"&gt;=50000000",РПЗ!$Q:$Q,"&lt;&gt;ЕП",РПЗ!$AF:$AF,8)</f>
        <v>0</v>
      </c>
      <c r="AA85" s="200">
        <f>COUNTIFS(РПЗ!$AD:$AD,Справочно!$E16,РПЗ!$L:$L,"&gt;=50000000",РПЗ!$Q:$Q,"&lt;&gt;ЕП",РПЗ!$AF:$AF,9)</f>
        <v>0</v>
      </c>
      <c r="AB85" s="352">
        <f>SUMIFS(РПЗ!$L:$L,РПЗ!$AD:$AD,Справочно!$E16,РПЗ!$L:$L,"&gt;=50000000",РПЗ!$Q:$Q,"&lt;&gt;ЕП",РПЗ!$AF:$AF,9)</f>
        <v>0</v>
      </c>
      <c r="AC85" s="197">
        <f>SUM($W85,$Y85,$AA85)</f>
        <v>0</v>
      </c>
      <c r="AD85" s="302">
        <f>SUM($X85,$Z85,$AB85)</f>
        <v>0</v>
      </c>
      <c r="AE85" s="203">
        <f>COUNTIFS(РПЗ!$AD:$AD,Справочно!$E16,РПЗ!$L:$L,"&gt;=50000000",РПЗ!$Q:$Q,"&lt;&gt;ЕП",РПЗ!$AF:$AF,10)</f>
        <v>0</v>
      </c>
      <c r="AF85" s="354">
        <f>SUMIFS(РПЗ!$L:$L,РПЗ!$AD:$AD,Справочно!$E16,РПЗ!$L:$L,"&gt;=50000000",РПЗ!$Q:$Q,"&lt;&gt;ЕП",РПЗ!$AF:$AF,10)</f>
        <v>0</v>
      </c>
      <c r="AG85" s="203">
        <f>COUNTIFS(РПЗ!$AD:$AD,Справочно!$E16,РПЗ!$L:$L,"&gt;=50000000",РПЗ!$Q:$Q,"&lt;&gt;ЕП",РПЗ!$AF:$AF,11)</f>
        <v>0</v>
      </c>
      <c r="AH85" s="354">
        <f>SUMIFS(РПЗ!$L:$L,РПЗ!$AD:$AD,Справочно!$E16,РПЗ!$L:$L,"&gt;=50000000",РПЗ!$Q:$Q,"&lt;&gt;ЕП",РПЗ!$AF:$AF,11)</f>
        <v>0</v>
      </c>
      <c r="AI85" s="203">
        <f>COUNTIFS(РПЗ!$AD:$AD,Справочно!$E16,РПЗ!$L:$L,"&gt;=50000000",РПЗ!$Q:$Q,"&lt;&gt;ЕП",РПЗ!$AF:$AF,12)</f>
        <v>0</v>
      </c>
      <c r="AJ85" s="354">
        <f>SUMIFS(РПЗ!$L:$L,РПЗ!$AD:$AD,Справочно!$E16,РПЗ!$L:$L,"&gt;=50000000",РПЗ!$Q:$Q,"&lt;&gt;ЕП",РПЗ!$AF:$AF,12)</f>
        <v>0</v>
      </c>
      <c r="AK85" s="201">
        <f>SUM($AE85,$AG85,$AI85)</f>
        <v>0</v>
      </c>
      <c r="AL85" s="304">
        <f>SUM($AF85,$AH85,$AJ85)</f>
        <v>0</v>
      </c>
    </row>
    <row r="86" spans="1:38" ht="13.5" thickBot="1" x14ac:dyDescent="0.25">
      <c r="A86" s="73" t="s">
        <v>750</v>
      </c>
      <c r="B86" s="371">
        <f>SUM(B84:B85)</f>
        <v>0</v>
      </c>
      <c r="C86" s="454" t="e">
        <f>B86/$B$36</f>
        <v>#DIV/0!</v>
      </c>
      <c r="D86" s="370">
        <f>SUM(D84:D85)</f>
        <v>0</v>
      </c>
      <c r="E86" s="454" t="e">
        <f>D86/$D$36</f>
        <v>#DIV/0!</v>
      </c>
      <c r="G86" s="88">
        <f>G84+G85</f>
        <v>0</v>
      </c>
      <c r="H86" s="307">
        <f t="shared" ref="H86:N86" si="29">H84+H85</f>
        <v>0</v>
      </c>
      <c r="I86" s="142">
        <f t="shared" si="29"/>
        <v>0</v>
      </c>
      <c r="J86" s="307">
        <f t="shared" si="29"/>
        <v>0</v>
      </c>
      <c r="K86" s="142">
        <f t="shared" si="29"/>
        <v>0</v>
      </c>
      <c r="L86" s="313">
        <f t="shared" si="29"/>
        <v>0</v>
      </c>
      <c r="M86" s="178">
        <f t="shared" si="29"/>
        <v>0</v>
      </c>
      <c r="N86" s="309">
        <f t="shared" si="29"/>
        <v>0</v>
      </c>
      <c r="O86" s="88">
        <f>O84+O85</f>
        <v>0</v>
      </c>
      <c r="P86" s="307">
        <f t="shared" ref="P86:AL86" si="30">P84+P85</f>
        <v>0</v>
      </c>
      <c r="Q86" s="142">
        <f t="shared" si="30"/>
        <v>0</v>
      </c>
      <c r="R86" s="307">
        <f t="shared" si="30"/>
        <v>0</v>
      </c>
      <c r="S86" s="142">
        <f t="shared" si="30"/>
        <v>0</v>
      </c>
      <c r="T86" s="313">
        <f t="shared" si="30"/>
        <v>0</v>
      </c>
      <c r="U86" s="178">
        <f t="shared" si="30"/>
        <v>0</v>
      </c>
      <c r="V86" s="309">
        <f t="shared" si="30"/>
        <v>0</v>
      </c>
      <c r="W86" s="88">
        <f t="shared" si="30"/>
        <v>0</v>
      </c>
      <c r="X86" s="307">
        <f t="shared" si="30"/>
        <v>0</v>
      </c>
      <c r="Y86" s="142">
        <f t="shared" si="30"/>
        <v>0</v>
      </c>
      <c r="Z86" s="307">
        <f t="shared" si="30"/>
        <v>0</v>
      </c>
      <c r="AA86" s="142">
        <f t="shared" si="30"/>
        <v>0</v>
      </c>
      <c r="AB86" s="313">
        <f t="shared" si="30"/>
        <v>0</v>
      </c>
      <c r="AC86" s="178">
        <f t="shared" si="30"/>
        <v>0</v>
      </c>
      <c r="AD86" s="309">
        <f t="shared" si="30"/>
        <v>0</v>
      </c>
      <c r="AE86" s="88">
        <f t="shared" si="30"/>
        <v>0</v>
      </c>
      <c r="AF86" s="307">
        <f t="shared" si="30"/>
        <v>0</v>
      </c>
      <c r="AG86" s="142">
        <f t="shared" si="30"/>
        <v>0</v>
      </c>
      <c r="AH86" s="307">
        <f t="shared" si="30"/>
        <v>0</v>
      </c>
      <c r="AI86" s="142">
        <f t="shared" si="30"/>
        <v>0</v>
      </c>
      <c r="AJ86" s="313">
        <f t="shared" si="30"/>
        <v>0</v>
      </c>
      <c r="AK86" s="178">
        <f t="shared" si="30"/>
        <v>0</v>
      </c>
      <c r="AL86" s="309">
        <f t="shared" si="30"/>
        <v>0</v>
      </c>
    </row>
    <row r="87" spans="1:38" ht="13.5" thickBot="1" x14ac:dyDescent="0.25">
      <c r="A87" s="453" t="s">
        <v>751</v>
      </c>
      <c r="B87" s="458">
        <f>COUNTIFS(РПЗ!$AD:$AD,Справочно!$E17,РПЗ!$L:$L,"&gt;=50000000",РПЗ!$Q:$Q,"&lt;&gt;ЕП")</f>
        <v>0</v>
      </c>
      <c r="C87" s="455" t="e">
        <f>B87/$B$36</f>
        <v>#DIV/0!</v>
      </c>
      <c r="D87" s="461">
        <f>SUMIFS(РПЗ!$L:$L,РПЗ!$AD:$AD,Справочно!$E17,РПЗ!$L:$L,"&gt;=50000000",РПЗ!$Q:$Q,"&lt;&gt;ЕП")</f>
        <v>0</v>
      </c>
      <c r="E87" s="455" t="e">
        <f>D87/$D$36</f>
        <v>#DIV/0!</v>
      </c>
      <c r="G87" s="462">
        <f>COUNTIFS(РПЗ!$AD:$AD,Справочно!$E17,РПЗ!$L:$L,"&gt;=50000000",РПЗ!$Q:$Q,"&lt;&gt;ЕП",РПЗ!$AF:$AF,1)</f>
        <v>0</v>
      </c>
      <c r="H87" s="463">
        <f>SUMIFS(РПЗ!$L:$L,РПЗ!$AD:$AD,Справочно!$E17,РПЗ!$L:$L,"&gt;=50000000",РПЗ!$AF:$AF,1)</f>
        <v>0</v>
      </c>
      <c r="I87" s="462">
        <f>COUNTIFS(РПЗ!$AD:$AD,Справочно!$E17,РПЗ!$L:$L,"&gt;=50000000",РПЗ!$Q:$Q,"&lt;&gt;ЕП",РПЗ!$AF:$AF,2)</f>
        <v>0</v>
      </c>
      <c r="J87" s="463">
        <f>SUMIFS(РПЗ!$L:$L,РПЗ!$AD:$AD,Справочно!$E17,РПЗ!$L:$L,"&gt;=50000000",РПЗ!$AF:$AF,2)</f>
        <v>0</v>
      </c>
      <c r="K87" s="462">
        <f>COUNTIFS(РПЗ!$AD:$AD,Справочно!$E17,РПЗ!$L:$L,"&gt;=50000000",РПЗ!$Q:$Q,"&lt;&gt;ЕП",РПЗ!$AF:$AF,3)</f>
        <v>0</v>
      </c>
      <c r="L87" s="463">
        <f>SUMIFS(РПЗ!$L:$L,РПЗ!$AD:$AD,Справочно!$E17,РПЗ!$L:$L,"&gt;=50000000",РПЗ!$AF:$AF,3)</f>
        <v>0</v>
      </c>
      <c r="M87" s="464">
        <f>SUM($G87,$I87,$K87)</f>
        <v>0</v>
      </c>
      <c r="N87" s="465">
        <f>SUM($H87,$J87,$L87)</f>
        <v>0</v>
      </c>
      <c r="O87" s="462">
        <f>COUNTIFS(РПЗ!$AD:$AD,Справочно!$E17,РПЗ!$L:$L,"&gt;=50000000",РПЗ!$Q:$Q,"&lt;&gt;ЕП",РПЗ!$AF:$AF,4)</f>
        <v>0</v>
      </c>
      <c r="P87" s="463">
        <f>SUMIFS(РПЗ!$L:$L,РПЗ!$AD:$AD,Справочно!$E17,РПЗ!$L:$L,"&gt;=50000000",РПЗ!$AF:$AF,4)</f>
        <v>0</v>
      </c>
      <c r="Q87" s="462">
        <f>COUNTIFS(РПЗ!$AD:$AD,Справочно!$E17,РПЗ!$L:$L,"&gt;=50000000",РПЗ!$Q:$Q,"&lt;&gt;ЕП",РПЗ!$AF:$AF,5)</f>
        <v>0</v>
      </c>
      <c r="R87" s="463">
        <f>SUMIFS(РПЗ!$L:$L,РПЗ!$AD:$AD,Справочно!$E17,РПЗ!$L:$L,"&gt;=50000000",РПЗ!$AF:$AF,5)</f>
        <v>0</v>
      </c>
      <c r="S87" s="462">
        <f>COUNTIFS(РПЗ!$AD:$AD,Справочно!$E17,РПЗ!$L:$L,"&gt;=50000000",РПЗ!$Q:$Q,"&lt;&gt;ЕП",РПЗ!$AF:$AF,6)</f>
        <v>0</v>
      </c>
      <c r="T87" s="466">
        <f>SUMIFS(РПЗ!$L:$L,РПЗ!$AD:$AD,Справочно!$E17,РПЗ!$L:$L,"&gt;=50000000",РПЗ!$AF:$AF,6)</f>
        <v>0</v>
      </c>
      <c r="U87" s="464">
        <f>SUM($O87,$Q87,$S87)</f>
        <v>0</v>
      </c>
      <c r="V87" s="465">
        <f>SUM($P87,$R87,$T87)</f>
        <v>0</v>
      </c>
      <c r="W87" s="462">
        <f>COUNTIFS(РПЗ!$AD:$AD,Справочно!$E17,РПЗ!$L:$L,"&gt;=50000000",РПЗ!$Q:$Q,"&lt;&gt;ЕП",РПЗ!$AF:$AF,7)</f>
        <v>0</v>
      </c>
      <c r="X87" s="463">
        <f>SUMIFS(РПЗ!$L:$L,РПЗ!$AD:$AD,Справочно!$E17,РПЗ!$L:$L,"&gt;=50000000",РПЗ!$AF:$AF,7)</f>
        <v>0</v>
      </c>
      <c r="Y87" s="462">
        <f>COUNTIFS(РПЗ!$AD:$AD,Справочно!$E17,РПЗ!$L:$L,"&gt;=50000000",РПЗ!$Q:$Q,"&lt;&gt;ЕП",РПЗ!$AF:$AF,8)</f>
        <v>0</v>
      </c>
      <c r="Z87" s="463">
        <f>SUMIFS(РПЗ!$L:$L,РПЗ!$AD:$AD,Справочно!$E17,РПЗ!$L:$L,"&gt;=50000000",РПЗ!$AF:$AF,8)</f>
        <v>0</v>
      </c>
      <c r="AA87" s="462">
        <f>COUNTIFS(РПЗ!$AD:$AD,Справочно!$E17,РПЗ!$L:$L,"&gt;=50000000",РПЗ!$Q:$Q,"&lt;&gt;ЕП",РПЗ!$AF:$AF,9)</f>
        <v>0</v>
      </c>
      <c r="AB87" s="463">
        <f>SUMIFS(РПЗ!$L:$L,РПЗ!$AD:$AD,Справочно!$E17,РПЗ!$L:$L,"&gt;=50000000",РПЗ!$AF:$AF,9)</f>
        <v>0</v>
      </c>
      <c r="AC87" s="464">
        <f>SUM($W87,$Y87,$AA87)</f>
        <v>0</v>
      </c>
      <c r="AD87" s="465">
        <f>SUM($X87,$Z87,$AB87)</f>
        <v>0</v>
      </c>
      <c r="AE87" s="462">
        <f>COUNTIFS(РПЗ!$AD:$AD,Справочно!$E17,РПЗ!$L:$L,"&gt;=50000000",РПЗ!$Q:$Q,"&lt;&gt;ЕП",РПЗ!$AF:$AF,10)</f>
        <v>0</v>
      </c>
      <c r="AF87" s="463">
        <f>SUMIFS(РПЗ!$L:$L,РПЗ!$AD:$AD,Справочно!$E17,РПЗ!$L:$L,"&gt;=50000000",РПЗ!$AF:$AF,10)</f>
        <v>0</v>
      </c>
      <c r="AG87" s="462">
        <f>COUNTIFS(РПЗ!$AD:$AD,Справочно!$E17,РПЗ!$L:$L,"&gt;=50000000",РПЗ!$Q:$Q,"&lt;&gt;ЕП",РПЗ!$AF:$AF,11)</f>
        <v>0</v>
      </c>
      <c r="AH87" s="463">
        <f>SUMIFS(РПЗ!$L:$L,РПЗ!$AD:$AD,Справочно!$E17,РПЗ!$L:$L,"&gt;=50000000",РПЗ!$AF:$AF,11)</f>
        <v>0</v>
      </c>
      <c r="AI87" s="462">
        <f>COUNTIFS(РПЗ!$AD:$AD,Справочно!$E17,РПЗ!$L:$L,"&gt;=50000000",РПЗ!$Q:$Q,"&lt;&gt;ЕП",РПЗ!$AF:$AF,12)</f>
        <v>0</v>
      </c>
      <c r="AJ87" s="463">
        <f>SUMIFS(РПЗ!$L:$L,РПЗ!$AD:$AD,Справочно!$E17,РПЗ!$L:$L,"&gt;=50000000",РПЗ!$AF:$AF,12)</f>
        <v>0</v>
      </c>
      <c r="AK87" s="464">
        <f>SUM($AE87,$AG87,$AI87)</f>
        <v>0</v>
      </c>
      <c r="AL87" s="465">
        <f>SUM($AF87,$AH87,$AJ87)</f>
        <v>0</v>
      </c>
    </row>
    <row r="92" spans="1:38" ht="13.5" thickBot="1" x14ac:dyDescent="0.25"/>
    <row r="93" spans="1:38" ht="27.75" customHeight="1" x14ac:dyDescent="0.2">
      <c r="A93" s="652" t="s">
        <v>1051</v>
      </c>
      <c r="B93" s="653"/>
    </row>
    <row r="94" spans="1:38" ht="63.75" x14ac:dyDescent="0.2">
      <c r="A94" s="586" t="s">
        <v>1048</v>
      </c>
      <c r="B94" s="583">
        <f>SUMIFS(Таблица1[11.1],Таблица1[15.4],"*МСП*")</f>
        <v>0</v>
      </c>
    </row>
    <row r="95" spans="1:38" ht="51" x14ac:dyDescent="0.2">
      <c r="A95" s="581" t="s">
        <v>1049</v>
      </c>
      <c r="B95" s="583">
        <f>SUMIFS(Таблица1[11.1],Таблица1[15.5],"")</f>
        <v>0</v>
      </c>
    </row>
    <row r="96" spans="1:38" ht="115.5" thickBot="1" x14ac:dyDescent="0.25">
      <c r="A96" s="582" t="s">
        <v>1050</v>
      </c>
      <c r="B96" s="585" t="e">
        <f>B94/B95</f>
        <v>#DIV/0!</v>
      </c>
    </row>
  </sheetData>
  <mergeCells count="33">
    <mergeCell ref="AE12:AL13"/>
    <mergeCell ref="AE14:AF14"/>
    <mergeCell ref="AG14:AH14"/>
    <mergeCell ref="AI14:AJ14"/>
    <mergeCell ref="AK14:AL14"/>
    <mergeCell ref="S14:T14"/>
    <mergeCell ref="U14:V14"/>
    <mergeCell ref="W12:AD13"/>
    <mergeCell ref="W14:X14"/>
    <mergeCell ref="Y14:Z14"/>
    <mergeCell ref="AA14:AB14"/>
    <mergeCell ref="AC14:AD14"/>
    <mergeCell ref="A2:P2"/>
    <mergeCell ref="G14:H14"/>
    <mergeCell ref="I14:J14"/>
    <mergeCell ref="K14:L14"/>
    <mergeCell ref="M14:N14"/>
    <mergeCell ref="G12:N13"/>
    <mergeCell ref="B10:C10"/>
    <mergeCell ref="B4:C4"/>
    <mergeCell ref="B5:C5"/>
    <mergeCell ref="B6:C6"/>
    <mergeCell ref="B7:C7"/>
    <mergeCell ref="B8:C8"/>
    <mergeCell ref="B9:C9"/>
    <mergeCell ref="O12:V13"/>
    <mergeCell ref="O14:P14"/>
    <mergeCell ref="Q14:R14"/>
    <mergeCell ref="A93:B93"/>
    <mergeCell ref="A82:E82"/>
    <mergeCell ref="A42:E42"/>
    <mergeCell ref="A71:E71"/>
    <mergeCell ref="A78:B78"/>
  </mergeCell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7F57F9F-42FB-4B1F-B7D6-CA8069B0851B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B96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53"/>
  <sheetViews>
    <sheetView topLeftCell="A10" zoomScale="85" zoomScaleNormal="85" workbookViewId="0">
      <selection activeCell="E16" sqref="E16"/>
    </sheetView>
  </sheetViews>
  <sheetFormatPr defaultRowHeight="15" x14ac:dyDescent="0.25"/>
  <cols>
    <col min="1" max="1" width="24.5703125" customWidth="1"/>
    <col min="2" max="2" width="33.85546875" customWidth="1"/>
    <col min="3" max="3" width="27.42578125" customWidth="1"/>
    <col min="4" max="4" width="34.28515625" customWidth="1"/>
    <col min="5" max="5" width="24" customWidth="1"/>
    <col min="6" max="8" width="11.42578125" customWidth="1"/>
    <col min="9" max="11" width="14.85546875" customWidth="1"/>
    <col min="12" max="12" width="14" customWidth="1"/>
    <col min="13" max="13" width="15.28515625" customWidth="1"/>
    <col min="14" max="14" width="14.140625" customWidth="1"/>
    <col min="15" max="20" width="12.42578125" customWidth="1"/>
    <col min="21" max="21" width="18.7109375" customWidth="1"/>
    <col min="22" max="22" width="15.140625" customWidth="1"/>
    <col min="23" max="23" width="24.42578125" customWidth="1"/>
    <col min="24" max="25" width="14.42578125" customWidth="1"/>
    <col min="26" max="26" width="25.5703125" customWidth="1"/>
    <col min="27" max="27" width="17.5703125" customWidth="1"/>
    <col min="28" max="28" width="20.5703125" customWidth="1"/>
    <col min="29" max="29" width="17.140625" customWidth="1"/>
    <col min="30" max="30" width="15.5703125" customWidth="1"/>
    <col min="31" max="31" width="13.28515625" customWidth="1"/>
    <col min="32" max="32" width="8.140625" customWidth="1"/>
    <col min="33" max="33" width="26.140625" customWidth="1"/>
    <col min="34" max="34" width="19" customWidth="1"/>
    <col min="35" max="35" width="14.42578125" customWidth="1"/>
    <col min="36" max="36" width="16.28515625" customWidth="1"/>
    <col min="37" max="37" width="15.7109375" customWidth="1"/>
    <col min="38" max="39" width="15.42578125" customWidth="1"/>
    <col min="40" max="40" width="17.7109375" customWidth="1"/>
    <col min="41" max="42" width="20.85546875" customWidth="1"/>
    <col min="44" max="44" width="20.85546875" customWidth="1"/>
    <col min="47" max="47" width="9.5703125" bestFit="1" customWidth="1"/>
    <col min="48" max="48" width="10.140625" customWidth="1"/>
  </cols>
  <sheetData>
    <row r="1" spans="1:44" ht="21.75" customHeight="1" x14ac:dyDescent="0.25">
      <c r="B1" s="14"/>
      <c r="C1" s="14"/>
      <c r="D1" s="14"/>
      <c r="E1" s="14"/>
      <c r="F1" s="14"/>
      <c r="G1" s="617" t="s">
        <v>273</v>
      </c>
      <c r="H1" s="617"/>
      <c r="I1" s="617"/>
      <c r="J1" s="617"/>
      <c r="K1" s="617"/>
      <c r="L1" s="617"/>
      <c r="M1" s="617"/>
      <c r="N1" s="617"/>
      <c r="O1" s="14"/>
      <c r="P1" s="14"/>
      <c r="Q1" s="14"/>
      <c r="R1" s="14"/>
      <c r="S1" s="14"/>
      <c r="T1" s="14"/>
      <c r="U1" s="14"/>
      <c r="V1" s="14"/>
      <c r="W1" s="617"/>
      <c r="X1" s="617"/>
      <c r="Y1" s="617"/>
      <c r="Z1" s="617"/>
      <c r="AA1" s="617"/>
      <c r="AB1" s="617"/>
      <c r="AC1" s="617"/>
      <c r="AD1" s="54"/>
      <c r="AE1" s="54"/>
      <c r="AF1" s="131"/>
      <c r="AG1" s="54"/>
      <c r="AH1" s="54"/>
      <c r="AI1" s="54"/>
      <c r="AJ1" s="20"/>
      <c r="AK1" s="20"/>
      <c r="AL1" s="18"/>
      <c r="AM1" s="573"/>
      <c r="AN1" s="54"/>
      <c r="AO1" s="419"/>
      <c r="AP1" s="419"/>
      <c r="AQ1" s="288"/>
    </row>
    <row r="2" spans="1:44" ht="15.75" thickBot="1" x14ac:dyDescent="0.3">
      <c r="A2" s="14"/>
      <c r="B2" s="14"/>
      <c r="C2" s="14"/>
      <c r="D2" s="14"/>
      <c r="E2" s="14"/>
      <c r="F2" s="14"/>
      <c r="G2" s="210"/>
      <c r="H2" s="210"/>
      <c r="I2" s="207"/>
      <c r="J2" s="268"/>
      <c r="K2" s="268"/>
      <c r="L2" s="143" t="s">
        <v>317</v>
      </c>
      <c r="M2" s="207"/>
      <c r="N2" s="14" t="s">
        <v>318</v>
      </c>
      <c r="O2" s="14"/>
      <c r="P2" s="14"/>
      <c r="Q2" s="14"/>
      <c r="R2" s="14"/>
      <c r="S2" s="14"/>
      <c r="T2" s="14"/>
      <c r="U2" s="14"/>
      <c r="V2" s="14"/>
      <c r="W2" s="617"/>
      <c r="X2" s="617"/>
      <c r="Y2" s="617"/>
      <c r="Z2" s="617"/>
      <c r="AA2" s="617"/>
      <c r="AB2" s="617"/>
      <c r="AC2" s="617"/>
      <c r="AD2" s="54"/>
      <c r="AE2" s="54"/>
      <c r="AF2" s="131"/>
      <c r="AG2" s="54"/>
      <c r="AH2" s="54"/>
      <c r="AI2" s="54"/>
      <c r="AJ2" s="20"/>
      <c r="AK2" s="20"/>
      <c r="AL2" s="18"/>
      <c r="AM2" s="573"/>
      <c r="AN2" s="54"/>
      <c r="AO2" s="419"/>
      <c r="AP2" s="419"/>
      <c r="AQ2" s="288"/>
    </row>
    <row r="3" spans="1:44" x14ac:dyDescent="0.25">
      <c r="A3" s="122" t="s">
        <v>1</v>
      </c>
      <c r="B3" s="286">
        <f>РПЗ!B4</f>
        <v>0</v>
      </c>
      <c r="C3" s="54"/>
      <c r="D3" s="54"/>
      <c r="E3" s="54"/>
      <c r="F3" s="19"/>
      <c r="G3" s="19"/>
      <c r="H3" s="19"/>
      <c r="I3" s="3"/>
      <c r="J3" s="245"/>
      <c r="K3" s="245"/>
      <c r="L3" s="3"/>
      <c r="M3" s="3"/>
      <c r="N3" s="3"/>
      <c r="O3" s="25"/>
      <c r="P3" s="3"/>
      <c r="Q3" s="3"/>
      <c r="R3" s="3"/>
      <c r="S3" s="3"/>
      <c r="T3" s="54"/>
      <c r="U3" s="3"/>
      <c r="V3" s="3"/>
      <c r="W3" s="3"/>
      <c r="X3" s="54"/>
      <c r="Y3" s="54"/>
      <c r="Z3" s="20"/>
      <c r="AA3" s="25"/>
      <c r="AB3" s="3"/>
      <c r="AC3" s="3"/>
      <c r="AD3" s="54"/>
      <c r="AE3" s="54"/>
      <c r="AF3" s="131"/>
      <c r="AG3" s="54"/>
      <c r="AH3" s="54"/>
      <c r="AI3" s="54"/>
      <c r="AJ3" s="20"/>
      <c r="AK3" s="20"/>
      <c r="AL3" s="18"/>
      <c r="AM3" s="573"/>
      <c r="AN3" s="54"/>
      <c r="AO3" s="419"/>
      <c r="AP3" s="419"/>
      <c r="AQ3" s="288"/>
    </row>
    <row r="4" spans="1:44" ht="25.5" x14ac:dyDescent="0.25">
      <c r="A4" s="123" t="s">
        <v>2</v>
      </c>
      <c r="B4" s="15">
        <f>РПЗ!B5</f>
        <v>0</v>
      </c>
      <c r="C4" s="54"/>
      <c r="D4" s="54"/>
      <c r="E4" s="54"/>
      <c r="F4" s="19"/>
      <c r="G4" s="19"/>
      <c r="H4" s="19"/>
      <c r="I4" s="3"/>
      <c r="J4" s="245"/>
      <c r="K4" s="245"/>
      <c r="L4" s="3"/>
      <c r="M4" s="3"/>
      <c r="N4" s="3"/>
      <c r="O4" s="25"/>
      <c r="P4" s="3"/>
      <c r="Q4" s="3"/>
      <c r="R4" s="3"/>
      <c r="S4" s="3"/>
      <c r="T4" s="54"/>
      <c r="U4" s="3"/>
      <c r="V4" s="3"/>
      <c r="W4" s="3"/>
      <c r="X4" s="54"/>
      <c r="Y4" s="54"/>
      <c r="Z4" s="20"/>
      <c r="AA4" s="25"/>
      <c r="AB4" s="3"/>
      <c r="AC4" s="3"/>
      <c r="AD4" s="54"/>
      <c r="AE4" s="54"/>
      <c r="AF4" s="131"/>
      <c r="AG4" s="54"/>
      <c r="AH4" s="54"/>
      <c r="AI4" s="54"/>
      <c r="AJ4" s="20"/>
      <c r="AK4" s="20"/>
      <c r="AL4" s="18"/>
      <c r="AM4" s="573"/>
      <c r="AN4" s="54"/>
      <c r="AO4" s="419"/>
      <c r="AP4" s="419"/>
      <c r="AQ4" s="288"/>
    </row>
    <row r="5" spans="1:44" x14ac:dyDescent="0.25">
      <c r="A5" s="123" t="s">
        <v>3</v>
      </c>
      <c r="B5" s="15">
        <f>РПЗ!B6</f>
        <v>0</v>
      </c>
      <c r="C5" s="54"/>
      <c r="D5" s="54"/>
      <c r="E5" s="54"/>
      <c r="F5" s="19"/>
      <c r="G5" s="19"/>
      <c r="H5" s="19"/>
      <c r="I5" s="3"/>
      <c r="J5" s="245"/>
      <c r="K5" s="245"/>
      <c r="L5" s="3"/>
      <c r="M5" s="3"/>
      <c r="N5" s="3"/>
      <c r="O5" s="25"/>
      <c r="P5" s="3"/>
      <c r="Q5" s="3"/>
      <c r="R5" s="3"/>
      <c r="S5" s="3"/>
      <c r="T5" s="54"/>
      <c r="U5" s="3"/>
      <c r="V5" s="3"/>
      <c r="W5" s="3"/>
      <c r="X5" s="54"/>
      <c r="Y5" s="54"/>
      <c r="Z5" s="20"/>
      <c r="AA5" s="25"/>
      <c r="AB5" s="3"/>
      <c r="AC5" s="3"/>
      <c r="AD5" s="54"/>
      <c r="AE5" s="54"/>
      <c r="AF5" s="131"/>
      <c r="AG5" s="54"/>
      <c r="AH5" s="54"/>
      <c r="AI5" s="54"/>
      <c r="AJ5" s="20"/>
      <c r="AK5" s="20"/>
      <c r="AL5" s="18"/>
      <c r="AM5" s="573"/>
      <c r="AN5" s="54"/>
      <c r="AO5" s="419"/>
      <c r="AP5" s="419"/>
      <c r="AQ5" s="288"/>
    </row>
    <row r="6" spans="1:44" ht="25.5" x14ac:dyDescent="0.25">
      <c r="A6" s="123" t="s">
        <v>4</v>
      </c>
      <c r="B6" s="15">
        <f>РПЗ!B7</f>
        <v>0</v>
      </c>
      <c r="F6" s="19"/>
      <c r="G6" s="19"/>
      <c r="H6" s="19"/>
    </row>
    <row r="7" spans="1:44" x14ac:dyDescent="0.25">
      <c r="A7" s="123" t="s">
        <v>5</v>
      </c>
      <c r="B7" s="15">
        <f>РПЗ!B8</f>
        <v>0</v>
      </c>
      <c r="F7" s="19"/>
      <c r="G7" s="19"/>
      <c r="H7" s="19"/>
    </row>
    <row r="8" spans="1:44" x14ac:dyDescent="0.25">
      <c r="A8" s="123" t="s">
        <v>6</v>
      </c>
      <c r="B8" s="15">
        <f>РПЗ!B9</f>
        <v>0</v>
      </c>
      <c r="F8" s="19"/>
      <c r="G8" s="19"/>
      <c r="H8" s="19"/>
    </row>
    <row r="9" spans="1:44" ht="15.75" thickBot="1" x14ac:dyDescent="0.3">
      <c r="A9" s="124" t="s">
        <v>7</v>
      </c>
      <c r="B9" s="287">
        <f>РПЗ!B10</f>
        <v>0</v>
      </c>
      <c r="F9" s="19"/>
      <c r="G9" s="19"/>
      <c r="H9" s="19"/>
    </row>
    <row r="10" spans="1:44" ht="26.25" thickBot="1" x14ac:dyDescent="0.3">
      <c r="A10" s="125" t="s">
        <v>320</v>
      </c>
      <c r="B10" s="126"/>
      <c r="F10" s="19"/>
      <c r="G10" s="19"/>
      <c r="H10" s="19"/>
    </row>
    <row r="11" spans="1:44" ht="15.75" thickBot="1" x14ac:dyDescent="0.3">
      <c r="A11" s="4"/>
      <c r="B11" s="5"/>
      <c r="F11" s="55"/>
      <c r="G11" s="5"/>
      <c r="H11" s="5"/>
    </row>
    <row r="12" spans="1:44" ht="26.25" customHeight="1" thickBot="1" x14ac:dyDescent="0.3">
      <c r="A12" s="618" t="s">
        <v>213</v>
      </c>
      <c r="B12" s="618" t="s">
        <v>214</v>
      </c>
      <c r="C12" s="618" t="s">
        <v>14</v>
      </c>
      <c r="D12" s="618" t="s">
        <v>204</v>
      </c>
      <c r="E12" s="711" t="s">
        <v>205</v>
      </c>
      <c r="F12" s="618" t="s">
        <v>217</v>
      </c>
      <c r="G12" s="618" t="s">
        <v>161</v>
      </c>
      <c r="H12" s="618" t="s">
        <v>10</v>
      </c>
      <c r="I12" s="703" t="s">
        <v>678</v>
      </c>
      <c r="J12" s="704"/>
      <c r="K12" s="713"/>
      <c r="L12" s="633" t="s">
        <v>160</v>
      </c>
      <c r="M12" s="620" t="s">
        <v>21</v>
      </c>
      <c r="N12" s="636"/>
      <c r="O12" s="636"/>
      <c r="P12" s="636"/>
      <c r="Q12" s="636"/>
      <c r="R12" s="636"/>
      <c r="S12" s="636"/>
      <c r="T12" s="636"/>
      <c r="U12" s="636"/>
      <c r="V12" s="621"/>
      <c r="W12" s="618" t="s">
        <v>293</v>
      </c>
      <c r="X12" s="697" t="s">
        <v>223</v>
      </c>
      <c r="Y12" s="697" t="s">
        <v>224</v>
      </c>
      <c r="Z12" s="697" t="s">
        <v>208</v>
      </c>
      <c r="AA12" s="697" t="s">
        <v>209</v>
      </c>
      <c r="AB12" s="620" t="s">
        <v>158</v>
      </c>
      <c r="AC12" s="621"/>
      <c r="AD12" s="688" t="s">
        <v>226</v>
      </c>
      <c r="AE12" s="705"/>
      <c r="AF12" s="633" t="s">
        <v>298</v>
      </c>
      <c r="AG12" s="633" t="s">
        <v>225</v>
      </c>
      <c r="AH12" s="703" t="s">
        <v>219</v>
      </c>
      <c r="AI12" s="704"/>
      <c r="AJ12" s="690" t="s">
        <v>229</v>
      </c>
      <c r="AK12" s="691"/>
      <c r="AL12" s="691"/>
      <c r="AM12" s="692"/>
      <c r="AN12" s="699" t="s">
        <v>238</v>
      </c>
      <c r="AO12" s="694" t="s">
        <v>12</v>
      </c>
      <c r="AP12" s="708" t="s">
        <v>741</v>
      </c>
      <c r="AQ12" s="688" t="s">
        <v>212</v>
      </c>
      <c r="AR12" s="637" t="s">
        <v>700</v>
      </c>
    </row>
    <row r="13" spans="1:44" ht="77.25" customHeight="1" thickBot="1" x14ac:dyDescent="0.3">
      <c r="A13" s="619"/>
      <c r="B13" s="619"/>
      <c r="C13" s="619"/>
      <c r="D13" s="619"/>
      <c r="E13" s="712"/>
      <c r="F13" s="619"/>
      <c r="G13" s="619"/>
      <c r="H13" s="619"/>
      <c r="I13" s="618" t="s">
        <v>13</v>
      </c>
      <c r="J13" s="618" t="s">
        <v>207</v>
      </c>
      <c r="K13" s="618" t="s">
        <v>26</v>
      </c>
      <c r="L13" s="635"/>
      <c r="M13" s="620" t="s">
        <v>33</v>
      </c>
      <c r="N13" s="621"/>
      <c r="O13" s="56" t="s">
        <v>595</v>
      </c>
      <c r="P13" s="620" t="s">
        <v>34</v>
      </c>
      <c r="Q13" s="621"/>
      <c r="R13" s="620" t="s">
        <v>268</v>
      </c>
      <c r="S13" s="621"/>
      <c r="T13" s="53" t="s">
        <v>218</v>
      </c>
      <c r="U13" s="620" t="s">
        <v>35</v>
      </c>
      <c r="V13" s="621"/>
      <c r="W13" s="632"/>
      <c r="X13" s="698"/>
      <c r="Y13" s="698"/>
      <c r="Z13" s="698"/>
      <c r="AA13" s="698"/>
      <c r="AB13" s="633" t="s">
        <v>269</v>
      </c>
      <c r="AC13" s="56" t="s">
        <v>35</v>
      </c>
      <c r="AD13" s="706"/>
      <c r="AE13" s="707"/>
      <c r="AF13" s="634"/>
      <c r="AG13" s="634"/>
      <c r="AH13" s="218" t="s">
        <v>220</v>
      </c>
      <c r="AI13" s="218" t="s">
        <v>221</v>
      </c>
      <c r="AJ13" s="22" t="s">
        <v>162</v>
      </c>
      <c r="AK13" s="22" t="s">
        <v>163</v>
      </c>
      <c r="AL13" s="22" t="s">
        <v>164</v>
      </c>
      <c r="AM13" s="693" t="s">
        <v>862</v>
      </c>
      <c r="AN13" s="700"/>
      <c r="AO13" s="695"/>
      <c r="AP13" s="709"/>
      <c r="AQ13" s="689"/>
      <c r="AR13" s="638"/>
    </row>
    <row r="14" spans="1:44" ht="39" thickBot="1" x14ac:dyDescent="0.3">
      <c r="A14" s="619"/>
      <c r="B14" s="619"/>
      <c r="C14" s="619"/>
      <c r="D14" s="619"/>
      <c r="E14" s="712"/>
      <c r="F14" s="619"/>
      <c r="G14" s="619"/>
      <c r="H14" s="619"/>
      <c r="I14" s="632"/>
      <c r="J14" s="632"/>
      <c r="K14" s="632"/>
      <c r="L14" s="9" t="s">
        <v>36</v>
      </c>
      <c r="M14" s="2" t="s">
        <v>37</v>
      </c>
      <c r="N14" s="10" t="s">
        <v>38</v>
      </c>
      <c r="O14" s="10" t="s">
        <v>38</v>
      </c>
      <c r="P14" s="10" t="s">
        <v>39</v>
      </c>
      <c r="Q14" s="10" t="s">
        <v>38</v>
      </c>
      <c r="R14" s="10" t="s">
        <v>39</v>
      </c>
      <c r="S14" s="10" t="s">
        <v>38</v>
      </c>
      <c r="T14" s="10" t="s">
        <v>38</v>
      </c>
      <c r="U14" s="21" t="s">
        <v>37</v>
      </c>
      <c r="V14" s="10" t="s">
        <v>271</v>
      </c>
      <c r="W14" s="2" t="s">
        <v>247</v>
      </c>
      <c r="X14" s="698"/>
      <c r="Y14" s="698"/>
      <c r="Z14" s="698"/>
      <c r="AA14" s="698"/>
      <c r="AB14" s="634"/>
      <c r="AC14" s="10" t="s">
        <v>271</v>
      </c>
      <c r="AD14" s="52" t="s">
        <v>227</v>
      </c>
      <c r="AE14" s="52" t="s">
        <v>270</v>
      </c>
      <c r="AF14" s="56" t="s">
        <v>299</v>
      </c>
      <c r="AG14" s="634"/>
      <c r="AH14" s="218" t="s">
        <v>222</v>
      </c>
      <c r="AI14" s="218" t="s">
        <v>116</v>
      </c>
      <c r="AJ14" s="701" t="s">
        <v>301</v>
      </c>
      <c r="AK14" s="702"/>
      <c r="AL14" s="699"/>
      <c r="AM14" s="632"/>
      <c r="AN14" s="57" t="s">
        <v>25</v>
      </c>
      <c r="AO14" s="696"/>
      <c r="AP14" s="710"/>
      <c r="AQ14" s="689"/>
      <c r="AR14" s="638"/>
    </row>
    <row r="15" spans="1:44" s="285" customFormat="1" ht="13.5" customHeight="1" thickBot="1" x14ac:dyDescent="0.25">
      <c r="A15" s="283" t="s">
        <v>119</v>
      </c>
      <c r="B15" s="284" t="s">
        <v>120</v>
      </c>
      <c r="C15" s="284" t="s">
        <v>121</v>
      </c>
      <c r="D15" s="284" t="s">
        <v>122</v>
      </c>
      <c r="E15" s="284" t="s">
        <v>123</v>
      </c>
      <c r="F15" s="284" t="s">
        <v>124</v>
      </c>
      <c r="G15" s="284" t="s">
        <v>125</v>
      </c>
      <c r="H15" s="284" t="s">
        <v>695</v>
      </c>
      <c r="I15" s="284" t="s">
        <v>126</v>
      </c>
      <c r="J15" s="284" t="s">
        <v>676</v>
      </c>
      <c r="K15" s="284" t="s">
        <v>677</v>
      </c>
      <c r="L15" s="284" t="s">
        <v>127</v>
      </c>
      <c r="M15" s="284" t="s">
        <v>128</v>
      </c>
      <c r="N15" s="284" t="s">
        <v>129</v>
      </c>
      <c r="O15" s="284" t="s">
        <v>130</v>
      </c>
      <c r="P15" s="284" t="s">
        <v>131</v>
      </c>
      <c r="Q15" s="284" t="s">
        <v>132</v>
      </c>
      <c r="R15" s="284" t="s">
        <v>133</v>
      </c>
      <c r="S15" s="284" t="s">
        <v>134</v>
      </c>
      <c r="T15" s="284" t="s">
        <v>135</v>
      </c>
      <c r="U15" s="284" t="s">
        <v>136</v>
      </c>
      <c r="V15" s="284" t="s">
        <v>137</v>
      </c>
      <c r="W15" s="284" t="s">
        <v>138</v>
      </c>
      <c r="X15" s="284" t="s">
        <v>139</v>
      </c>
      <c r="Y15" s="284" t="s">
        <v>140</v>
      </c>
      <c r="Z15" s="284" t="s">
        <v>215</v>
      </c>
      <c r="AA15" s="284" t="s">
        <v>216</v>
      </c>
      <c r="AB15" s="284" t="s">
        <v>300</v>
      </c>
      <c r="AC15" s="284" t="s">
        <v>151</v>
      </c>
      <c r="AD15" s="284" t="s">
        <v>152</v>
      </c>
      <c r="AE15" s="284" t="s">
        <v>153</v>
      </c>
      <c r="AF15" s="284" t="s">
        <v>231</v>
      </c>
      <c r="AG15" s="284" t="s">
        <v>155</v>
      </c>
      <c r="AH15" s="284" t="s">
        <v>232</v>
      </c>
      <c r="AI15" s="284" t="s">
        <v>230</v>
      </c>
      <c r="AJ15" s="284" t="s">
        <v>233</v>
      </c>
      <c r="AK15" s="284" t="s">
        <v>234</v>
      </c>
      <c r="AL15" s="284" t="s">
        <v>235</v>
      </c>
      <c r="AM15" s="284" t="s">
        <v>236</v>
      </c>
      <c r="AN15" s="284" t="s">
        <v>237</v>
      </c>
      <c r="AO15" s="283" t="s">
        <v>740</v>
      </c>
      <c r="AP15" s="283" t="s">
        <v>742</v>
      </c>
      <c r="AQ15" s="284" t="s">
        <v>832</v>
      </c>
      <c r="AR15" s="289" t="s">
        <v>691</v>
      </c>
    </row>
    <row r="16" spans="1:44" ht="15.75" thickBot="1" x14ac:dyDescent="0.3">
      <c r="A16" s="219">
        <f>Таблица1[1]</f>
        <v>0</v>
      </c>
      <c r="B16" s="15">
        <f>Таблица1[4]</f>
        <v>0</v>
      </c>
      <c r="C16" s="15">
        <f>Таблица1[15.10]</f>
        <v>0</v>
      </c>
      <c r="D16" s="429">
        <f>Таблица1[15.11]</f>
        <v>0</v>
      </c>
      <c r="E16" s="99"/>
      <c r="F16" s="15">
        <f>Таблица1[14]</f>
        <v>0</v>
      </c>
      <c r="G16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16" s="15">
        <f>Таблица1[15]</f>
        <v>0</v>
      </c>
      <c r="I16" s="15">
        <f>Таблица1[15.6]</f>
        <v>0</v>
      </c>
      <c r="J16" s="15">
        <f>Таблица1[15.7]</f>
        <v>0</v>
      </c>
      <c r="K16" s="269">
        <f>Таблица1[15.9]</f>
        <v>0</v>
      </c>
      <c r="L16" s="16"/>
      <c r="M16" s="17">
        <f>Таблица1[12]</f>
        <v>0</v>
      </c>
      <c r="N16" s="16"/>
      <c r="O16" s="16"/>
      <c r="P16" s="16"/>
      <c r="Q16" s="16"/>
      <c r="R16" s="16"/>
      <c r="S16" s="16"/>
      <c r="T16" s="16"/>
      <c r="U16" s="542">
        <f>Таблица1[13]</f>
        <v>0</v>
      </c>
      <c r="V16" s="16"/>
      <c r="W16" s="222">
        <f>Таблица1[11.1]</f>
        <v>0</v>
      </c>
      <c r="X16" s="223"/>
      <c r="Y16" s="223"/>
      <c r="Z16" s="224"/>
      <c r="AA16" s="224"/>
      <c r="AB16" s="114"/>
      <c r="AC16" s="16"/>
      <c r="AD16" s="438"/>
      <c r="AE16" s="16"/>
      <c r="AF16" s="438"/>
      <c r="AG16" s="425"/>
      <c r="AH16" s="220" t="str">
        <f>IF(Таблица5[[#This Row],[30]]=0,"НД",Таблица5[[#This Row],[20]]-Таблица5[[#This Row],[30]])</f>
        <v>НД</v>
      </c>
      <c r="AI16" s="221" t="e">
        <f>IF(((1-Таблица5[[#This Row],[30]]/Таблица5[[#This Row],[20]])=1),"НД",(1-Таблица5[[#This Row],[30]]/Таблица5[[#This Row],[20]]))</f>
        <v>#DIV/0!</v>
      </c>
      <c r="AJ16" s="114"/>
      <c r="AK16" s="114"/>
      <c r="AL16" s="115"/>
      <c r="AM16" s="15">
        <f>Таблица1[15.5]</f>
        <v>0</v>
      </c>
      <c r="AN16" s="430"/>
      <c r="AO16" s="543">
        <f>Таблица1[15.4]</f>
        <v>0</v>
      </c>
      <c r="AP16" s="434">
        <f>Таблица1[15.12]</f>
        <v>0</v>
      </c>
      <c r="AQ16" s="431"/>
      <c r="AR16" s="437">
        <f>IF(Таблица5[[#This Row],[11]]=0,,MONTH(Таблица5[[#This Row],[11]]))</f>
        <v>0</v>
      </c>
    </row>
    <row r="17" spans="1:44" ht="15.75" thickBot="1" x14ac:dyDescent="0.3">
      <c r="A17" s="219">
        <f>Таблица1[1]</f>
        <v>0</v>
      </c>
      <c r="B17" s="15">
        <f>Таблица1[4]</f>
        <v>0</v>
      </c>
      <c r="C17" s="15">
        <f>Таблица1[15.10]</f>
        <v>0</v>
      </c>
      <c r="D17" s="429">
        <f>Таблица1[15.11]</f>
        <v>0</v>
      </c>
      <c r="E17" s="99"/>
      <c r="F17" s="15">
        <f>Таблица1[14]</f>
        <v>0</v>
      </c>
      <c r="G17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17" s="15">
        <f>Таблица1[15]</f>
        <v>0</v>
      </c>
      <c r="I17" s="15">
        <f>Таблица1[15.6]</f>
        <v>0</v>
      </c>
      <c r="J17" s="15">
        <f>Таблица1[15.7]</f>
        <v>0</v>
      </c>
      <c r="K17" s="269">
        <f>Таблица1[15.9]</f>
        <v>0</v>
      </c>
      <c r="L17" s="16"/>
      <c r="M17" s="17">
        <f>Таблица1[12]</f>
        <v>0</v>
      </c>
      <c r="N17" s="16"/>
      <c r="O17" s="16"/>
      <c r="P17" s="16"/>
      <c r="Q17" s="16"/>
      <c r="R17" s="16"/>
      <c r="S17" s="16"/>
      <c r="T17" s="16"/>
      <c r="U17" s="542">
        <f>Таблица1[13]</f>
        <v>0</v>
      </c>
      <c r="V17" s="16"/>
      <c r="W17" s="222">
        <f>Таблица1[11.1]</f>
        <v>0</v>
      </c>
      <c r="X17" s="223"/>
      <c r="Y17" s="223"/>
      <c r="Z17" s="224"/>
      <c r="AA17" s="224"/>
      <c r="AB17" s="114"/>
      <c r="AC17" s="16"/>
      <c r="AD17" s="438"/>
      <c r="AE17" s="16"/>
      <c r="AF17" s="438"/>
      <c r="AG17" s="114"/>
      <c r="AH17" s="220" t="str">
        <f>IF(Таблица5[[#This Row],[30]]=0,"НД",Таблица5[[#This Row],[20]]-Таблица5[[#This Row],[30]])</f>
        <v>НД</v>
      </c>
      <c r="AI17" s="221" t="e">
        <f>IF(((1-Таблица5[[#This Row],[30]]/Таблица5[[#This Row],[20]])=1),"НД",(1-Таблица5[[#This Row],[30]]/Таблица5[[#This Row],[20]]))</f>
        <v>#DIV/0!</v>
      </c>
      <c r="AJ17" s="114"/>
      <c r="AK17" s="114"/>
      <c r="AL17" s="115"/>
      <c r="AM17" s="15">
        <f>Таблица1[15.5]</f>
        <v>0</v>
      </c>
      <c r="AN17" s="430"/>
      <c r="AO17" s="544">
        <f>Таблица1[15.4]</f>
        <v>0</v>
      </c>
      <c r="AP17" s="435">
        <f>Таблица1[15.12]</f>
        <v>0</v>
      </c>
      <c r="AQ17" s="432"/>
      <c r="AR17" s="437">
        <f>IF(Таблица5[[#This Row],[11]]=0,,MONTH(Таблица5[[#This Row],[11]]))</f>
        <v>0</v>
      </c>
    </row>
    <row r="18" spans="1:44" ht="15.75" thickBot="1" x14ac:dyDescent="0.3">
      <c r="A18" s="219">
        <f>Таблица1[1]</f>
        <v>0</v>
      </c>
      <c r="B18" s="15">
        <f>Таблица1[4]</f>
        <v>0</v>
      </c>
      <c r="C18" s="15">
        <f>Таблица1[15.10]</f>
        <v>0</v>
      </c>
      <c r="D18" s="429">
        <f>Таблица1[15.11]</f>
        <v>0</v>
      </c>
      <c r="E18" s="99"/>
      <c r="F18" s="15">
        <f>Таблица1[14]</f>
        <v>0</v>
      </c>
      <c r="G18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18" s="15">
        <f>Таблица1[15]</f>
        <v>0</v>
      </c>
      <c r="I18" s="15">
        <f>Таблица1[15.6]</f>
        <v>0</v>
      </c>
      <c r="J18" s="15">
        <f>Таблица1[15.7]</f>
        <v>0</v>
      </c>
      <c r="K18" s="269">
        <f>Таблица1[15.9]</f>
        <v>0</v>
      </c>
      <c r="L18" s="16"/>
      <c r="M18" s="17">
        <f>Таблица1[12]</f>
        <v>0</v>
      </c>
      <c r="N18" s="16"/>
      <c r="O18" s="16"/>
      <c r="P18" s="16"/>
      <c r="Q18" s="16"/>
      <c r="R18" s="16"/>
      <c r="S18" s="16"/>
      <c r="T18" s="16"/>
      <c r="U18" s="542">
        <f>Таблица1[13]</f>
        <v>0</v>
      </c>
      <c r="V18" s="16"/>
      <c r="W18" s="222">
        <f>Таблица1[11.1]</f>
        <v>0</v>
      </c>
      <c r="X18" s="223"/>
      <c r="Y18" s="223"/>
      <c r="Z18" s="224"/>
      <c r="AA18" s="224"/>
      <c r="AB18" s="114"/>
      <c r="AC18" s="16"/>
      <c r="AD18" s="438"/>
      <c r="AE18" s="16"/>
      <c r="AF18" s="438"/>
      <c r="AG18" s="114"/>
      <c r="AH18" s="220" t="str">
        <f>IF(Таблица5[[#This Row],[30]]=0,"НД",Таблица5[[#This Row],[20]]-Таблица5[[#This Row],[30]])</f>
        <v>НД</v>
      </c>
      <c r="AI18" s="221" t="e">
        <f>IF(((1-Таблица5[[#This Row],[30]]/Таблица5[[#This Row],[20]])=1),"НД",(1-Таблица5[[#This Row],[30]]/Таблица5[[#This Row],[20]]))</f>
        <v>#DIV/0!</v>
      </c>
      <c r="AJ18" s="114"/>
      <c r="AK18" s="114"/>
      <c r="AL18" s="115"/>
      <c r="AM18" s="15">
        <f>Таблица1[15.5]</f>
        <v>0</v>
      </c>
      <c r="AN18" s="430"/>
      <c r="AO18" s="544">
        <f>Таблица1[15.4]</f>
        <v>0</v>
      </c>
      <c r="AP18" s="435">
        <f>Таблица1[15.12]</f>
        <v>0</v>
      </c>
      <c r="AQ18" s="432"/>
      <c r="AR18" s="437">
        <f>IF(Таблица5[[#This Row],[11]]=0,,MONTH(Таблица5[[#This Row],[11]]))</f>
        <v>0</v>
      </c>
    </row>
    <row r="19" spans="1:44" ht="15.75" thickBot="1" x14ac:dyDescent="0.3">
      <c r="A19" s="219">
        <f>Таблица1[1]</f>
        <v>0</v>
      </c>
      <c r="B19" s="15">
        <f>Таблица1[4]</f>
        <v>0</v>
      </c>
      <c r="C19" s="15">
        <f>Таблица1[15.10]</f>
        <v>0</v>
      </c>
      <c r="D19" s="429">
        <f>Таблица1[15.11]</f>
        <v>0</v>
      </c>
      <c r="E19" s="99"/>
      <c r="F19" s="15">
        <f>Таблица1[14]</f>
        <v>0</v>
      </c>
      <c r="G19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19" s="15">
        <f>Таблица1[15]</f>
        <v>0</v>
      </c>
      <c r="I19" s="15">
        <f>Таблица1[15.6]</f>
        <v>0</v>
      </c>
      <c r="J19" s="15">
        <f>Таблица1[15.7]</f>
        <v>0</v>
      </c>
      <c r="K19" s="269">
        <f>Таблица1[15.9]</f>
        <v>0</v>
      </c>
      <c r="L19" s="16"/>
      <c r="M19" s="17">
        <f>Таблица1[12]</f>
        <v>0</v>
      </c>
      <c r="N19" s="16"/>
      <c r="O19" s="16"/>
      <c r="P19" s="16"/>
      <c r="Q19" s="16"/>
      <c r="R19" s="16"/>
      <c r="S19" s="16"/>
      <c r="T19" s="16"/>
      <c r="U19" s="542">
        <f>Таблица1[13]</f>
        <v>0</v>
      </c>
      <c r="V19" s="16"/>
      <c r="W19" s="222">
        <f>Таблица1[11.1]</f>
        <v>0</v>
      </c>
      <c r="X19" s="223"/>
      <c r="Y19" s="223"/>
      <c r="Z19" s="224"/>
      <c r="AA19" s="224"/>
      <c r="AB19" s="114"/>
      <c r="AC19" s="16"/>
      <c r="AD19" s="438"/>
      <c r="AE19" s="16"/>
      <c r="AF19" s="438"/>
      <c r="AG19" s="114"/>
      <c r="AH19" s="220" t="str">
        <f>IF(Таблица5[[#This Row],[30]]=0,"НД",Таблица5[[#This Row],[20]]-Таблица5[[#This Row],[30]])</f>
        <v>НД</v>
      </c>
      <c r="AI19" s="221" t="e">
        <f>IF(((1-Таблица5[[#This Row],[30]]/Таблица5[[#This Row],[20]])=1),"НД",(1-Таблица5[[#This Row],[30]]/Таблица5[[#This Row],[20]]))</f>
        <v>#DIV/0!</v>
      </c>
      <c r="AJ19" s="114"/>
      <c r="AK19" s="114"/>
      <c r="AL19" s="115"/>
      <c r="AM19" s="15">
        <f>Таблица1[15.5]</f>
        <v>0</v>
      </c>
      <c r="AN19" s="430"/>
      <c r="AO19" s="544">
        <f>Таблица1[15.4]</f>
        <v>0</v>
      </c>
      <c r="AP19" s="435">
        <f>Таблица1[15.12]</f>
        <v>0</v>
      </c>
      <c r="AQ19" s="432"/>
      <c r="AR19" s="437">
        <f>IF(Таблица5[[#This Row],[11]]=0,,MONTH(Таблица5[[#This Row],[11]]))</f>
        <v>0</v>
      </c>
    </row>
    <row r="20" spans="1:44" ht="15.75" thickBot="1" x14ac:dyDescent="0.3">
      <c r="A20" s="219">
        <f>Таблица1[1]</f>
        <v>0</v>
      </c>
      <c r="B20" s="15">
        <f>Таблица1[4]</f>
        <v>0</v>
      </c>
      <c r="C20" s="15">
        <f>Таблица1[15.10]</f>
        <v>0</v>
      </c>
      <c r="D20" s="429">
        <f>Таблица1[15.11]</f>
        <v>0</v>
      </c>
      <c r="E20" s="99"/>
      <c r="F20" s="15">
        <f>Таблица1[14]</f>
        <v>0</v>
      </c>
      <c r="G20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0" s="15">
        <f>Таблица1[15]</f>
        <v>0</v>
      </c>
      <c r="I20" s="15">
        <f>Таблица1[15.6]</f>
        <v>0</v>
      </c>
      <c r="J20" s="15">
        <f>Таблица1[15.7]</f>
        <v>0</v>
      </c>
      <c r="K20" s="269">
        <f>Таблица1[15.9]</f>
        <v>0</v>
      </c>
      <c r="L20" s="16"/>
      <c r="M20" s="17">
        <f>Таблица1[12]</f>
        <v>0</v>
      </c>
      <c r="N20" s="16"/>
      <c r="O20" s="16"/>
      <c r="P20" s="16"/>
      <c r="Q20" s="16"/>
      <c r="R20" s="16"/>
      <c r="S20" s="16"/>
      <c r="T20" s="16"/>
      <c r="U20" s="542">
        <f>Таблица1[13]</f>
        <v>0</v>
      </c>
      <c r="V20" s="16"/>
      <c r="W20" s="222">
        <f>Таблица1[11.1]</f>
        <v>0</v>
      </c>
      <c r="X20" s="223"/>
      <c r="Y20" s="223"/>
      <c r="Z20" s="224"/>
      <c r="AA20" s="224"/>
      <c r="AB20" s="114"/>
      <c r="AC20" s="16"/>
      <c r="AD20" s="438"/>
      <c r="AE20" s="16"/>
      <c r="AF20" s="438"/>
      <c r="AG20" s="114"/>
      <c r="AH20" s="220" t="str">
        <f>IF(Таблица5[[#This Row],[30]]=0,"НД",Таблица5[[#This Row],[20]]-Таблица5[[#This Row],[30]])</f>
        <v>НД</v>
      </c>
      <c r="AI20" s="221" t="e">
        <f>IF(((1-Таблица5[[#This Row],[30]]/Таблица5[[#This Row],[20]])=1),"НД",(1-Таблица5[[#This Row],[30]]/Таблица5[[#This Row],[20]]))</f>
        <v>#DIV/0!</v>
      </c>
      <c r="AJ20" s="114"/>
      <c r="AK20" s="114"/>
      <c r="AL20" s="115"/>
      <c r="AM20" s="15">
        <f>Таблица1[15.5]</f>
        <v>0</v>
      </c>
      <c r="AN20" s="430"/>
      <c r="AO20" s="544">
        <f>Таблица1[15.4]</f>
        <v>0</v>
      </c>
      <c r="AP20" s="435">
        <f>Таблица1[15.12]</f>
        <v>0</v>
      </c>
      <c r="AQ20" s="432"/>
      <c r="AR20" s="437">
        <f>IF(Таблица5[[#This Row],[11]]=0,,MONTH(Таблица5[[#This Row],[11]]))</f>
        <v>0</v>
      </c>
    </row>
    <row r="21" spans="1:44" ht="15.75" thickBot="1" x14ac:dyDescent="0.3">
      <c r="A21" s="219">
        <f>Таблица1[1]</f>
        <v>0</v>
      </c>
      <c r="B21" s="15">
        <f>Таблица1[4]</f>
        <v>0</v>
      </c>
      <c r="C21" s="15">
        <f>Таблица1[15.10]</f>
        <v>0</v>
      </c>
      <c r="D21" s="429">
        <f>Таблица1[15.11]</f>
        <v>0</v>
      </c>
      <c r="E21" s="99"/>
      <c r="F21" s="15">
        <f>Таблица1[14]</f>
        <v>0</v>
      </c>
      <c r="G21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1" s="15">
        <f>Таблица1[15]</f>
        <v>0</v>
      </c>
      <c r="I21" s="15">
        <f>Таблица1[15.6]</f>
        <v>0</v>
      </c>
      <c r="J21" s="15">
        <f>Таблица1[15.7]</f>
        <v>0</v>
      </c>
      <c r="K21" s="269">
        <f>Таблица1[15.9]</f>
        <v>0</v>
      </c>
      <c r="L21" s="16"/>
      <c r="M21" s="17">
        <f>Таблица1[12]</f>
        <v>0</v>
      </c>
      <c r="N21" s="16"/>
      <c r="O21" s="16"/>
      <c r="P21" s="16"/>
      <c r="Q21" s="16"/>
      <c r="R21" s="16"/>
      <c r="S21" s="16"/>
      <c r="T21" s="16"/>
      <c r="U21" s="542">
        <f>Таблица1[13]</f>
        <v>0</v>
      </c>
      <c r="V21" s="16"/>
      <c r="W21" s="222">
        <f>Таблица1[11.1]</f>
        <v>0</v>
      </c>
      <c r="X21" s="223"/>
      <c r="Y21" s="223"/>
      <c r="Z21" s="224"/>
      <c r="AA21" s="224"/>
      <c r="AB21" s="114"/>
      <c r="AC21" s="16"/>
      <c r="AD21" s="438"/>
      <c r="AE21" s="16"/>
      <c r="AF21" s="438"/>
      <c r="AG21" s="114"/>
      <c r="AH21" s="220" t="str">
        <f>IF(Таблица5[[#This Row],[30]]=0,"НД",Таблица5[[#This Row],[20]]-Таблица5[[#This Row],[30]])</f>
        <v>НД</v>
      </c>
      <c r="AI21" s="221" t="e">
        <f>IF(((1-Таблица5[[#This Row],[30]]/Таблица5[[#This Row],[20]])=1),"НД",(1-Таблица5[[#This Row],[30]]/Таблица5[[#This Row],[20]]))</f>
        <v>#DIV/0!</v>
      </c>
      <c r="AJ21" s="114"/>
      <c r="AK21" s="114"/>
      <c r="AL21" s="115"/>
      <c r="AM21" s="15">
        <f>Таблица1[15.5]</f>
        <v>0</v>
      </c>
      <c r="AN21" s="430"/>
      <c r="AO21" s="544">
        <f>Таблица1[15.4]</f>
        <v>0</v>
      </c>
      <c r="AP21" s="435">
        <f>Таблица1[15.12]</f>
        <v>0</v>
      </c>
      <c r="AQ21" s="432"/>
      <c r="AR21" s="437">
        <f>IF(Таблица5[[#This Row],[11]]=0,,MONTH(Таблица5[[#This Row],[11]]))</f>
        <v>0</v>
      </c>
    </row>
    <row r="22" spans="1:44" ht="15.75" thickBot="1" x14ac:dyDescent="0.3">
      <c r="A22" s="219">
        <f>Таблица1[1]</f>
        <v>0</v>
      </c>
      <c r="B22" s="15">
        <f>Таблица1[4]</f>
        <v>0</v>
      </c>
      <c r="C22" s="15">
        <f>Таблица1[15.10]</f>
        <v>0</v>
      </c>
      <c r="D22" s="429">
        <f>Таблица1[15.11]</f>
        <v>0</v>
      </c>
      <c r="E22" s="99"/>
      <c r="F22" s="15">
        <f>Таблица1[14]</f>
        <v>0</v>
      </c>
      <c r="G22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2" s="15">
        <f>Таблица1[15]</f>
        <v>0</v>
      </c>
      <c r="I22" s="15">
        <f>Таблица1[15.6]</f>
        <v>0</v>
      </c>
      <c r="J22" s="15">
        <f>Таблица1[15.7]</f>
        <v>0</v>
      </c>
      <c r="K22" s="269">
        <f>Таблица1[15.9]</f>
        <v>0</v>
      </c>
      <c r="L22" s="16"/>
      <c r="M22" s="17">
        <f>Таблица1[12]</f>
        <v>0</v>
      </c>
      <c r="N22" s="16"/>
      <c r="O22" s="16"/>
      <c r="P22" s="16"/>
      <c r="Q22" s="16"/>
      <c r="R22" s="16"/>
      <c r="S22" s="16"/>
      <c r="T22" s="16"/>
      <c r="U22" s="542">
        <f>Таблица1[13]</f>
        <v>0</v>
      </c>
      <c r="V22" s="16"/>
      <c r="W22" s="222">
        <f>Таблица1[11.1]</f>
        <v>0</v>
      </c>
      <c r="X22" s="223"/>
      <c r="Y22" s="223"/>
      <c r="Z22" s="224"/>
      <c r="AA22" s="224"/>
      <c r="AB22" s="114"/>
      <c r="AC22" s="16"/>
      <c r="AD22" s="438"/>
      <c r="AE22" s="16"/>
      <c r="AF22" s="438"/>
      <c r="AG22" s="114"/>
      <c r="AH22" s="220" t="str">
        <f>IF(Таблица5[[#This Row],[30]]=0,"НД",Таблица5[[#This Row],[20]]-Таблица5[[#This Row],[30]])</f>
        <v>НД</v>
      </c>
      <c r="AI22" s="221" t="e">
        <f>IF(((1-Таблица5[[#This Row],[30]]/Таблица5[[#This Row],[20]])=1),"НД",(1-Таблица5[[#This Row],[30]]/Таблица5[[#This Row],[20]]))</f>
        <v>#DIV/0!</v>
      </c>
      <c r="AJ22" s="114"/>
      <c r="AK22" s="114"/>
      <c r="AL22" s="115"/>
      <c r="AM22" s="15">
        <f>Таблица1[15.5]</f>
        <v>0</v>
      </c>
      <c r="AN22" s="430"/>
      <c r="AO22" s="544">
        <f>Таблица1[15.4]</f>
        <v>0</v>
      </c>
      <c r="AP22" s="435">
        <f>Таблица1[15.12]</f>
        <v>0</v>
      </c>
      <c r="AQ22" s="432"/>
      <c r="AR22" s="437">
        <f>IF(Таблица5[[#This Row],[11]]=0,,MONTH(Таблица5[[#This Row],[11]]))</f>
        <v>0</v>
      </c>
    </row>
    <row r="23" spans="1:44" ht="15.75" thickBot="1" x14ac:dyDescent="0.3">
      <c r="A23" s="219">
        <f>Таблица1[1]</f>
        <v>0</v>
      </c>
      <c r="B23" s="15">
        <f>Таблица1[4]</f>
        <v>0</v>
      </c>
      <c r="C23" s="15">
        <f>Таблица1[15.10]</f>
        <v>0</v>
      </c>
      <c r="D23" s="429">
        <f>Таблица1[15.11]</f>
        <v>0</v>
      </c>
      <c r="E23" s="99"/>
      <c r="F23" s="15">
        <f>Таблица1[14]</f>
        <v>0</v>
      </c>
      <c r="G23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3" s="15">
        <f>Таблица1[15]</f>
        <v>0</v>
      </c>
      <c r="I23" s="15">
        <f>Таблица1[15.6]</f>
        <v>0</v>
      </c>
      <c r="J23" s="15">
        <f>Таблица1[15.7]</f>
        <v>0</v>
      </c>
      <c r="K23" s="269">
        <f>Таблица1[15.9]</f>
        <v>0</v>
      </c>
      <c r="L23" s="16"/>
      <c r="M23" s="17">
        <f>Таблица1[12]</f>
        <v>0</v>
      </c>
      <c r="N23" s="16"/>
      <c r="O23" s="16"/>
      <c r="P23" s="16"/>
      <c r="Q23" s="16"/>
      <c r="R23" s="16"/>
      <c r="S23" s="16"/>
      <c r="T23" s="16"/>
      <c r="U23" s="542">
        <f>Таблица1[13]</f>
        <v>0</v>
      </c>
      <c r="V23" s="16"/>
      <c r="W23" s="222">
        <f>Таблица1[11.1]</f>
        <v>0</v>
      </c>
      <c r="X23" s="223"/>
      <c r="Y23" s="223"/>
      <c r="Z23" s="224"/>
      <c r="AA23" s="224"/>
      <c r="AB23" s="114"/>
      <c r="AC23" s="16"/>
      <c r="AD23" s="438"/>
      <c r="AE23" s="16"/>
      <c r="AF23" s="438"/>
      <c r="AG23" s="114"/>
      <c r="AH23" s="220" t="str">
        <f>IF(Таблица5[[#This Row],[30]]=0,"НД",Таблица5[[#This Row],[20]]-Таблица5[[#This Row],[30]])</f>
        <v>НД</v>
      </c>
      <c r="AI23" s="221" t="e">
        <f>IF(((1-Таблица5[[#This Row],[30]]/Таблица5[[#This Row],[20]])=1),"НД",(1-Таблица5[[#This Row],[30]]/Таблица5[[#This Row],[20]]))</f>
        <v>#DIV/0!</v>
      </c>
      <c r="AJ23" s="114"/>
      <c r="AK23" s="114"/>
      <c r="AL23" s="115"/>
      <c r="AM23" s="15">
        <f>Таблица1[15.5]</f>
        <v>0</v>
      </c>
      <c r="AN23" s="430"/>
      <c r="AO23" s="544">
        <f>Таблица1[15.4]</f>
        <v>0</v>
      </c>
      <c r="AP23" s="435">
        <f>Таблица1[15.12]</f>
        <v>0</v>
      </c>
      <c r="AQ23" s="432"/>
      <c r="AR23" s="437">
        <f>IF(Таблица5[[#This Row],[11]]=0,,MONTH(Таблица5[[#This Row],[11]]))</f>
        <v>0</v>
      </c>
    </row>
    <row r="24" spans="1:44" ht="15.75" thickBot="1" x14ac:dyDescent="0.3">
      <c r="A24" s="219">
        <f>Таблица1[1]</f>
        <v>0</v>
      </c>
      <c r="B24" s="15">
        <f>Таблица1[4]</f>
        <v>0</v>
      </c>
      <c r="C24" s="15">
        <f>Таблица1[15.10]</f>
        <v>0</v>
      </c>
      <c r="D24" s="429">
        <f>Таблица1[15.11]</f>
        <v>0</v>
      </c>
      <c r="E24" s="99"/>
      <c r="F24" s="15">
        <f>Таблица1[14]</f>
        <v>0</v>
      </c>
      <c r="G24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4" s="15">
        <f>Таблица1[15]</f>
        <v>0</v>
      </c>
      <c r="I24" s="15">
        <f>Таблица1[15.6]</f>
        <v>0</v>
      </c>
      <c r="J24" s="15">
        <f>Таблица1[15.7]</f>
        <v>0</v>
      </c>
      <c r="K24" s="269">
        <f>Таблица1[15.9]</f>
        <v>0</v>
      </c>
      <c r="L24" s="16"/>
      <c r="M24" s="17">
        <f>Таблица1[12]</f>
        <v>0</v>
      </c>
      <c r="N24" s="16"/>
      <c r="O24" s="16"/>
      <c r="P24" s="16"/>
      <c r="Q24" s="16"/>
      <c r="R24" s="16"/>
      <c r="S24" s="16"/>
      <c r="T24" s="16"/>
      <c r="U24" s="542">
        <f>Таблица1[13]</f>
        <v>0</v>
      </c>
      <c r="V24" s="16"/>
      <c r="W24" s="222">
        <f>Таблица1[11.1]</f>
        <v>0</v>
      </c>
      <c r="X24" s="223"/>
      <c r="Y24" s="223"/>
      <c r="Z24" s="224"/>
      <c r="AA24" s="224"/>
      <c r="AB24" s="114"/>
      <c r="AC24" s="16"/>
      <c r="AD24" s="438"/>
      <c r="AE24" s="16"/>
      <c r="AF24" s="438"/>
      <c r="AG24" s="114"/>
      <c r="AH24" s="220" t="str">
        <f>IF(Таблица5[[#This Row],[30]]=0,"НД",Таблица5[[#This Row],[20]]-Таблица5[[#This Row],[30]])</f>
        <v>НД</v>
      </c>
      <c r="AI24" s="221" t="e">
        <f>IF(((1-Таблица5[[#This Row],[30]]/Таблица5[[#This Row],[20]])=1),"НД",(1-Таблица5[[#This Row],[30]]/Таблица5[[#This Row],[20]]))</f>
        <v>#DIV/0!</v>
      </c>
      <c r="AJ24" s="114"/>
      <c r="AK24" s="114"/>
      <c r="AL24" s="115"/>
      <c r="AM24" s="15">
        <f>Таблица1[15.5]</f>
        <v>0</v>
      </c>
      <c r="AN24" s="430"/>
      <c r="AO24" s="544">
        <f>Таблица1[15.4]</f>
        <v>0</v>
      </c>
      <c r="AP24" s="435">
        <f>Таблица1[15.12]</f>
        <v>0</v>
      </c>
      <c r="AQ24" s="432"/>
      <c r="AR24" s="437">
        <f>IF(Таблица5[[#This Row],[11]]=0,,MONTH(Таблица5[[#This Row],[11]]))</f>
        <v>0</v>
      </c>
    </row>
    <row r="25" spans="1:44" ht="15.75" thickBot="1" x14ac:dyDescent="0.3">
      <c r="A25" s="219">
        <f>Таблица1[1]</f>
        <v>0</v>
      </c>
      <c r="B25" s="15">
        <f>Таблица1[4]</f>
        <v>0</v>
      </c>
      <c r="C25" s="15">
        <f>Таблица1[15.10]</f>
        <v>0</v>
      </c>
      <c r="D25" s="429">
        <f>Таблица1[15.11]</f>
        <v>0</v>
      </c>
      <c r="E25" s="99"/>
      <c r="F25" s="15">
        <f>Таблица1[14]</f>
        <v>0</v>
      </c>
      <c r="G25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5" s="15">
        <f>Таблица1[15]</f>
        <v>0</v>
      </c>
      <c r="I25" s="15">
        <f>Таблица1[15.6]</f>
        <v>0</v>
      </c>
      <c r="J25" s="15">
        <f>Таблица1[15.7]</f>
        <v>0</v>
      </c>
      <c r="K25" s="269">
        <f>Таблица1[15.9]</f>
        <v>0</v>
      </c>
      <c r="L25" s="16"/>
      <c r="M25" s="17">
        <f>Таблица1[12]</f>
        <v>0</v>
      </c>
      <c r="N25" s="16"/>
      <c r="O25" s="16"/>
      <c r="P25" s="16"/>
      <c r="Q25" s="16"/>
      <c r="R25" s="16"/>
      <c r="S25" s="16"/>
      <c r="T25" s="16"/>
      <c r="U25" s="542">
        <f>Таблица1[13]</f>
        <v>0</v>
      </c>
      <c r="V25" s="16"/>
      <c r="W25" s="222">
        <f>Таблица1[11.1]</f>
        <v>0</v>
      </c>
      <c r="X25" s="223"/>
      <c r="Y25" s="223"/>
      <c r="Z25" s="224"/>
      <c r="AA25" s="224"/>
      <c r="AB25" s="114"/>
      <c r="AC25" s="16"/>
      <c r="AD25" s="438"/>
      <c r="AE25" s="16"/>
      <c r="AF25" s="438"/>
      <c r="AG25" s="114"/>
      <c r="AH25" s="220" t="str">
        <f>IF(Таблица5[[#This Row],[30]]=0,"НД",Таблица5[[#This Row],[20]]-Таблица5[[#This Row],[30]])</f>
        <v>НД</v>
      </c>
      <c r="AI25" s="221" t="e">
        <f>IF(((1-Таблица5[[#This Row],[30]]/Таблица5[[#This Row],[20]])=1),"НД",(1-Таблица5[[#This Row],[30]]/Таблица5[[#This Row],[20]]))</f>
        <v>#DIV/0!</v>
      </c>
      <c r="AJ25" s="114"/>
      <c r="AK25" s="114"/>
      <c r="AL25" s="115"/>
      <c r="AM25" s="15">
        <f>Таблица1[15.5]</f>
        <v>0</v>
      </c>
      <c r="AN25" s="430"/>
      <c r="AO25" s="544">
        <f>Таблица1[15.4]</f>
        <v>0</v>
      </c>
      <c r="AP25" s="435">
        <f>Таблица1[15.12]</f>
        <v>0</v>
      </c>
      <c r="AQ25" s="432"/>
      <c r="AR25" s="437">
        <f>IF(Таблица5[[#This Row],[11]]=0,,MONTH(Таблица5[[#This Row],[11]]))</f>
        <v>0</v>
      </c>
    </row>
    <row r="26" spans="1:44" ht="15.75" thickBot="1" x14ac:dyDescent="0.3">
      <c r="A26" s="219">
        <f>Таблица1[1]</f>
        <v>0</v>
      </c>
      <c r="B26" s="15">
        <f>Таблица1[4]</f>
        <v>0</v>
      </c>
      <c r="C26" s="15">
        <f>Таблица1[15.10]</f>
        <v>0</v>
      </c>
      <c r="D26" s="429">
        <f>Таблица1[15.11]</f>
        <v>0</v>
      </c>
      <c r="E26" s="99"/>
      <c r="F26" s="15">
        <f>Таблица1[14]</f>
        <v>0</v>
      </c>
      <c r="G26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6" s="15">
        <f>Таблица1[15]</f>
        <v>0</v>
      </c>
      <c r="I26" s="15">
        <f>Таблица1[15.6]</f>
        <v>0</v>
      </c>
      <c r="J26" s="15">
        <f>Таблица1[15.7]</f>
        <v>0</v>
      </c>
      <c r="K26" s="269">
        <f>Таблица1[15.9]</f>
        <v>0</v>
      </c>
      <c r="L26" s="16"/>
      <c r="M26" s="17">
        <f>Таблица1[12]</f>
        <v>0</v>
      </c>
      <c r="N26" s="16"/>
      <c r="O26" s="16"/>
      <c r="P26" s="16"/>
      <c r="Q26" s="16"/>
      <c r="R26" s="16"/>
      <c r="S26" s="16"/>
      <c r="T26" s="16"/>
      <c r="U26" s="542">
        <f>Таблица1[13]</f>
        <v>0</v>
      </c>
      <c r="V26" s="16"/>
      <c r="W26" s="222">
        <f>Таблица1[11.1]</f>
        <v>0</v>
      </c>
      <c r="X26" s="223"/>
      <c r="Y26" s="223"/>
      <c r="Z26" s="224"/>
      <c r="AA26" s="224"/>
      <c r="AB26" s="114"/>
      <c r="AC26" s="16"/>
      <c r="AD26" s="438"/>
      <c r="AE26" s="16"/>
      <c r="AF26" s="438"/>
      <c r="AG26" s="114"/>
      <c r="AH26" s="220" t="str">
        <f>IF(Таблица5[[#This Row],[30]]=0,"НД",Таблица5[[#This Row],[20]]-Таблица5[[#This Row],[30]])</f>
        <v>НД</v>
      </c>
      <c r="AI26" s="221" t="e">
        <f>IF(((1-Таблица5[[#This Row],[30]]/Таблица5[[#This Row],[20]])=1),"НД",(1-Таблица5[[#This Row],[30]]/Таблица5[[#This Row],[20]]))</f>
        <v>#DIV/0!</v>
      </c>
      <c r="AJ26" s="114"/>
      <c r="AK26" s="114"/>
      <c r="AL26" s="115"/>
      <c r="AM26" s="15">
        <f>Таблица1[15.5]</f>
        <v>0</v>
      </c>
      <c r="AN26" s="430"/>
      <c r="AO26" s="544">
        <f>Таблица1[15.4]</f>
        <v>0</v>
      </c>
      <c r="AP26" s="435">
        <f>Таблица1[15.12]</f>
        <v>0</v>
      </c>
      <c r="AQ26" s="432"/>
      <c r="AR26" s="437">
        <f>IF(Таблица5[[#This Row],[11]]=0,,MONTH(Таблица5[[#This Row],[11]]))</f>
        <v>0</v>
      </c>
    </row>
    <row r="27" spans="1:44" ht="15.75" thickBot="1" x14ac:dyDescent="0.3">
      <c r="A27" s="219">
        <f>Таблица1[1]</f>
        <v>0</v>
      </c>
      <c r="B27" s="15">
        <f>Таблица1[4]</f>
        <v>0</v>
      </c>
      <c r="C27" s="15">
        <f>Таблица1[15.10]</f>
        <v>0</v>
      </c>
      <c r="D27" s="429">
        <f>Таблица1[15.11]</f>
        <v>0</v>
      </c>
      <c r="E27" s="99"/>
      <c r="F27" s="15">
        <f>Таблица1[14]</f>
        <v>0</v>
      </c>
      <c r="G27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7" s="15">
        <f>Таблица1[15]</f>
        <v>0</v>
      </c>
      <c r="I27" s="15">
        <f>Таблица1[15.6]</f>
        <v>0</v>
      </c>
      <c r="J27" s="15">
        <f>Таблица1[15.7]</f>
        <v>0</v>
      </c>
      <c r="K27" s="269">
        <f>Таблица1[15.9]</f>
        <v>0</v>
      </c>
      <c r="L27" s="16"/>
      <c r="M27" s="17">
        <f>Таблица1[12]</f>
        <v>0</v>
      </c>
      <c r="N27" s="16"/>
      <c r="O27" s="16"/>
      <c r="P27" s="16"/>
      <c r="Q27" s="16"/>
      <c r="R27" s="16"/>
      <c r="S27" s="16"/>
      <c r="T27" s="16"/>
      <c r="U27" s="542">
        <f>Таблица1[13]</f>
        <v>0</v>
      </c>
      <c r="V27" s="16"/>
      <c r="W27" s="222">
        <f>Таблица1[11.1]</f>
        <v>0</v>
      </c>
      <c r="X27" s="223"/>
      <c r="Y27" s="223"/>
      <c r="Z27" s="224"/>
      <c r="AA27" s="224"/>
      <c r="AB27" s="114"/>
      <c r="AC27" s="16"/>
      <c r="AD27" s="438"/>
      <c r="AE27" s="16"/>
      <c r="AF27" s="438"/>
      <c r="AG27" s="114"/>
      <c r="AH27" s="220" t="str">
        <f>IF(Таблица5[[#This Row],[30]]=0,"НД",Таблица5[[#This Row],[20]]-Таблица5[[#This Row],[30]])</f>
        <v>НД</v>
      </c>
      <c r="AI27" s="221" t="e">
        <f>IF(((1-Таблица5[[#This Row],[30]]/Таблица5[[#This Row],[20]])=1),"НД",(1-Таблица5[[#This Row],[30]]/Таблица5[[#This Row],[20]]))</f>
        <v>#DIV/0!</v>
      </c>
      <c r="AJ27" s="114"/>
      <c r="AK27" s="114"/>
      <c r="AL27" s="115"/>
      <c r="AM27" s="15">
        <f>Таблица1[15.5]</f>
        <v>0</v>
      </c>
      <c r="AN27" s="430"/>
      <c r="AO27" s="544">
        <f>Таблица1[15.4]</f>
        <v>0</v>
      </c>
      <c r="AP27" s="435">
        <f>Таблица1[15.12]</f>
        <v>0</v>
      </c>
      <c r="AQ27" s="432"/>
      <c r="AR27" s="437">
        <f>IF(Таблица5[[#This Row],[11]]=0,,MONTH(Таблица5[[#This Row],[11]]))</f>
        <v>0</v>
      </c>
    </row>
    <row r="28" spans="1:44" ht="15.75" thickBot="1" x14ac:dyDescent="0.3">
      <c r="A28" s="219">
        <f>Таблица1[1]</f>
        <v>0</v>
      </c>
      <c r="B28" s="15">
        <f>Таблица1[4]</f>
        <v>0</v>
      </c>
      <c r="C28" s="15">
        <f>Таблица1[15.10]</f>
        <v>0</v>
      </c>
      <c r="D28" s="429">
        <f>Таблица1[15.11]</f>
        <v>0</v>
      </c>
      <c r="E28" s="99"/>
      <c r="F28" s="15">
        <f>Таблица1[14]</f>
        <v>0</v>
      </c>
      <c r="G28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8" s="15">
        <f>Таблица1[15]</f>
        <v>0</v>
      </c>
      <c r="I28" s="15">
        <f>Таблица1[15.6]</f>
        <v>0</v>
      </c>
      <c r="J28" s="15">
        <f>Таблица1[15.7]</f>
        <v>0</v>
      </c>
      <c r="K28" s="269">
        <f>Таблица1[15.9]</f>
        <v>0</v>
      </c>
      <c r="L28" s="16"/>
      <c r="M28" s="17">
        <f>Таблица1[12]</f>
        <v>0</v>
      </c>
      <c r="N28" s="16"/>
      <c r="O28" s="16"/>
      <c r="P28" s="16"/>
      <c r="Q28" s="16"/>
      <c r="R28" s="16"/>
      <c r="S28" s="16"/>
      <c r="T28" s="16"/>
      <c r="U28" s="542">
        <f>Таблица1[13]</f>
        <v>0</v>
      </c>
      <c r="V28" s="16"/>
      <c r="W28" s="222">
        <f>Таблица1[11.1]</f>
        <v>0</v>
      </c>
      <c r="X28" s="223"/>
      <c r="Y28" s="223"/>
      <c r="Z28" s="224"/>
      <c r="AA28" s="224"/>
      <c r="AB28" s="114"/>
      <c r="AC28" s="16"/>
      <c r="AD28" s="438"/>
      <c r="AE28" s="16"/>
      <c r="AF28" s="438"/>
      <c r="AG28" s="114"/>
      <c r="AH28" s="220" t="str">
        <f>IF(Таблица5[[#This Row],[30]]=0,"НД",Таблица5[[#This Row],[20]]-Таблица5[[#This Row],[30]])</f>
        <v>НД</v>
      </c>
      <c r="AI28" s="221" t="e">
        <f>IF(((1-Таблица5[[#This Row],[30]]/Таблица5[[#This Row],[20]])=1),"НД",(1-Таблица5[[#This Row],[30]]/Таблица5[[#This Row],[20]]))</f>
        <v>#DIV/0!</v>
      </c>
      <c r="AJ28" s="114"/>
      <c r="AK28" s="114"/>
      <c r="AL28" s="115"/>
      <c r="AM28" s="15">
        <f>Таблица1[15.5]</f>
        <v>0</v>
      </c>
      <c r="AN28" s="430"/>
      <c r="AO28" s="544">
        <f>Таблица1[15.4]</f>
        <v>0</v>
      </c>
      <c r="AP28" s="435">
        <f>Таблица1[15.12]</f>
        <v>0</v>
      </c>
      <c r="AQ28" s="432"/>
      <c r="AR28" s="437">
        <f>IF(Таблица5[[#This Row],[11]]=0,,MONTH(Таблица5[[#This Row],[11]]))</f>
        <v>0</v>
      </c>
    </row>
    <row r="29" spans="1:44" ht="15.75" thickBot="1" x14ac:dyDescent="0.3">
      <c r="A29" s="219">
        <f>Таблица1[1]</f>
        <v>0</v>
      </c>
      <c r="B29" s="15">
        <f>Таблица1[4]</f>
        <v>0</v>
      </c>
      <c r="C29" s="15">
        <f>Таблица1[15.10]</f>
        <v>0</v>
      </c>
      <c r="D29" s="429">
        <f>Таблица1[15.11]</f>
        <v>0</v>
      </c>
      <c r="E29" s="99"/>
      <c r="F29" s="15">
        <f>Таблица1[14]</f>
        <v>0</v>
      </c>
      <c r="G29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29" s="15">
        <f>Таблица1[15]</f>
        <v>0</v>
      </c>
      <c r="I29" s="15">
        <f>Таблица1[15.6]</f>
        <v>0</v>
      </c>
      <c r="J29" s="15">
        <f>Таблица1[15.7]</f>
        <v>0</v>
      </c>
      <c r="K29" s="269">
        <f>Таблица1[15.9]</f>
        <v>0</v>
      </c>
      <c r="L29" s="16"/>
      <c r="M29" s="17">
        <f>Таблица1[12]</f>
        <v>0</v>
      </c>
      <c r="N29" s="16"/>
      <c r="O29" s="16"/>
      <c r="P29" s="16"/>
      <c r="Q29" s="16"/>
      <c r="R29" s="16"/>
      <c r="S29" s="16"/>
      <c r="T29" s="16"/>
      <c r="U29" s="542">
        <f>Таблица1[13]</f>
        <v>0</v>
      </c>
      <c r="V29" s="16"/>
      <c r="W29" s="222">
        <f>Таблица1[11.1]</f>
        <v>0</v>
      </c>
      <c r="X29" s="223"/>
      <c r="Y29" s="223"/>
      <c r="Z29" s="224"/>
      <c r="AA29" s="224"/>
      <c r="AB29" s="114"/>
      <c r="AC29" s="16"/>
      <c r="AD29" s="438"/>
      <c r="AE29" s="16"/>
      <c r="AF29" s="438"/>
      <c r="AG29" s="114"/>
      <c r="AH29" s="220" t="str">
        <f>IF(Таблица5[[#This Row],[30]]=0,"НД",Таблица5[[#This Row],[20]]-Таблица5[[#This Row],[30]])</f>
        <v>НД</v>
      </c>
      <c r="AI29" s="221" t="e">
        <f>IF(((1-Таблица5[[#This Row],[30]]/Таблица5[[#This Row],[20]])=1),"НД",(1-Таблица5[[#This Row],[30]]/Таблица5[[#This Row],[20]]))</f>
        <v>#DIV/0!</v>
      </c>
      <c r="AJ29" s="114"/>
      <c r="AK29" s="114"/>
      <c r="AL29" s="115"/>
      <c r="AM29" s="15">
        <f>Таблица1[15.5]</f>
        <v>0</v>
      </c>
      <c r="AN29" s="430"/>
      <c r="AO29" s="544">
        <f>Таблица1[15.4]</f>
        <v>0</v>
      </c>
      <c r="AP29" s="435">
        <f>Таблица1[15.12]</f>
        <v>0</v>
      </c>
      <c r="AQ29" s="432"/>
      <c r="AR29" s="437">
        <f>IF(Таблица5[[#This Row],[11]]=0,,MONTH(Таблица5[[#This Row],[11]]))</f>
        <v>0</v>
      </c>
    </row>
    <row r="30" spans="1:44" ht="15.75" thickBot="1" x14ac:dyDescent="0.3">
      <c r="A30" s="219">
        <f>Таблица1[1]</f>
        <v>0</v>
      </c>
      <c r="B30" s="15">
        <f>Таблица1[4]</f>
        <v>0</v>
      </c>
      <c r="C30" s="15">
        <f>Таблица1[15.10]</f>
        <v>0</v>
      </c>
      <c r="D30" s="429">
        <f>Таблица1[15.11]</f>
        <v>0</v>
      </c>
      <c r="E30" s="99"/>
      <c r="F30" s="15">
        <f>Таблица1[14]</f>
        <v>0</v>
      </c>
      <c r="G30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0" s="15">
        <f>Таблица1[15]</f>
        <v>0</v>
      </c>
      <c r="I30" s="15">
        <f>Таблица1[15.6]</f>
        <v>0</v>
      </c>
      <c r="J30" s="15">
        <f>Таблица1[15.7]</f>
        <v>0</v>
      </c>
      <c r="K30" s="269">
        <f>Таблица1[15.9]</f>
        <v>0</v>
      </c>
      <c r="L30" s="16"/>
      <c r="M30" s="17">
        <f>Таблица1[12]</f>
        <v>0</v>
      </c>
      <c r="N30" s="16"/>
      <c r="O30" s="16"/>
      <c r="P30" s="16"/>
      <c r="Q30" s="16"/>
      <c r="R30" s="16"/>
      <c r="S30" s="16"/>
      <c r="T30" s="16"/>
      <c r="U30" s="542">
        <f>Таблица1[13]</f>
        <v>0</v>
      </c>
      <c r="V30" s="16"/>
      <c r="W30" s="222">
        <f>Таблица1[11.1]</f>
        <v>0</v>
      </c>
      <c r="X30" s="223"/>
      <c r="Y30" s="223"/>
      <c r="Z30" s="224"/>
      <c r="AA30" s="224"/>
      <c r="AB30" s="114"/>
      <c r="AC30" s="16"/>
      <c r="AD30" s="438"/>
      <c r="AE30" s="16"/>
      <c r="AF30" s="438"/>
      <c r="AG30" s="114"/>
      <c r="AH30" s="220" t="str">
        <f>IF(Таблица5[[#This Row],[30]]=0,"НД",Таблица5[[#This Row],[20]]-Таблица5[[#This Row],[30]])</f>
        <v>НД</v>
      </c>
      <c r="AI30" s="221" t="e">
        <f>IF(((1-Таблица5[[#This Row],[30]]/Таблица5[[#This Row],[20]])=1),"НД",(1-Таблица5[[#This Row],[30]]/Таблица5[[#This Row],[20]]))</f>
        <v>#DIV/0!</v>
      </c>
      <c r="AJ30" s="114"/>
      <c r="AK30" s="114"/>
      <c r="AL30" s="115"/>
      <c r="AM30" s="15">
        <f>Таблица1[15.5]</f>
        <v>0</v>
      </c>
      <c r="AN30" s="430"/>
      <c r="AO30" s="544">
        <f>Таблица1[15.4]</f>
        <v>0</v>
      </c>
      <c r="AP30" s="435">
        <f>Таблица1[15.12]</f>
        <v>0</v>
      </c>
      <c r="AQ30" s="432"/>
      <c r="AR30" s="437">
        <f>IF(Таблица5[[#This Row],[11]]=0,,MONTH(Таблица5[[#This Row],[11]]))</f>
        <v>0</v>
      </c>
    </row>
    <row r="31" spans="1:44" ht="15.75" thickBot="1" x14ac:dyDescent="0.3">
      <c r="A31" s="219">
        <f>Таблица1[1]</f>
        <v>0</v>
      </c>
      <c r="B31" s="15">
        <f>Таблица1[4]</f>
        <v>0</v>
      </c>
      <c r="C31" s="15">
        <f>Таблица1[15.10]</f>
        <v>0</v>
      </c>
      <c r="D31" s="429">
        <f>Таблица1[15.11]</f>
        <v>0</v>
      </c>
      <c r="E31" s="99"/>
      <c r="F31" s="15">
        <f>Таблица1[14]</f>
        <v>0</v>
      </c>
      <c r="G31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1" s="15">
        <f>Таблица1[15]</f>
        <v>0</v>
      </c>
      <c r="I31" s="15">
        <f>Таблица1[15.6]</f>
        <v>0</v>
      </c>
      <c r="J31" s="15">
        <f>Таблица1[15.7]</f>
        <v>0</v>
      </c>
      <c r="K31" s="269">
        <f>Таблица1[15.9]</f>
        <v>0</v>
      </c>
      <c r="L31" s="16"/>
      <c r="M31" s="17">
        <f>Таблица1[12]</f>
        <v>0</v>
      </c>
      <c r="N31" s="16"/>
      <c r="O31" s="16"/>
      <c r="P31" s="16"/>
      <c r="Q31" s="16"/>
      <c r="R31" s="16"/>
      <c r="S31" s="16"/>
      <c r="T31" s="16"/>
      <c r="U31" s="542">
        <f>Таблица1[13]</f>
        <v>0</v>
      </c>
      <c r="V31" s="16"/>
      <c r="W31" s="222">
        <f>Таблица1[11.1]</f>
        <v>0</v>
      </c>
      <c r="X31" s="223"/>
      <c r="Y31" s="223"/>
      <c r="Z31" s="224"/>
      <c r="AA31" s="224"/>
      <c r="AB31" s="114"/>
      <c r="AC31" s="16"/>
      <c r="AD31" s="438"/>
      <c r="AE31" s="16"/>
      <c r="AF31" s="438"/>
      <c r="AG31" s="114"/>
      <c r="AH31" s="220" t="str">
        <f>IF(Таблица5[[#This Row],[30]]=0,"НД",Таблица5[[#This Row],[20]]-Таблица5[[#This Row],[30]])</f>
        <v>НД</v>
      </c>
      <c r="AI31" s="221" t="e">
        <f>IF(((1-Таблица5[[#This Row],[30]]/Таблица5[[#This Row],[20]])=1),"НД",(1-Таблица5[[#This Row],[30]]/Таблица5[[#This Row],[20]]))</f>
        <v>#DIV/0!</v>
      </c>
      <c r="AJ31" s="114"/>
      <c r="AK31" s="114"/>
      <c r="AL31" s="115"/>
      <c r="AM31" s="15">
        <f>Таблица1[15.5]</f>
        <v>0</v>
      </c>
      <c r="AN31" s="430"/>
      <c r="AO31" s="544">
        <f>Таблица1[15.4]</f>
        <v>0</v>
      </c>
      <c r="AP31" s="435">
        <f>Таблица1[15.12]</f>
        <v>0</v>
      </c>
      <c r="AQ31" s="432"/>
      <c r="AR31" s="437">
        <f>IF(Таблица5[[#This Row],[11]]=0,,MONTH(Таблица5[[#This Row],[11]]))</f>
        <v>0</v>
      </c>
    </row>
    <row r="32" spans="1:44" ht="15.75" thickBot="1" x14ac:dyDescent="0.3">
      <c r="A32" s="219">
        <f>Таблица1[1]</f>
        <v>0</v>
      </c>
      <c r="B32" s="15">
        <f>Таблица1[4]</f>
        <v>0</v>
      </c>
      <c r="C32" s="15">
        <f>Таблица1[15.10]</f>
        <v>0</v>
      </c>
      <c r="D32" s="429">
        <f>Таблица1[15.11]</f>
        <v>0</v>
      </c>
      <c r="E32" s="99"/>
      <c r="F32" s="15">
        <f>Таблица1[14]</f>
        <v>0</v>
      </c>
      <c r="G32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2" s="15">
        <f>Таблица1[15]</f>
        <v>0</v>
      </c>
      <c r="I32" s="15">
        <f>Таблица1[15.6]</f>
        <v>0</v>
      </c>
      <c r="J32" s="15">
        <f>Таблица1[15.7]</f>
        <v>0</v>
      </c>
      <c r="K32" s="269">
        <f>Таблица1[15.9]</f>
        <v>0</v>
      </c>
      <c r="L32" s="16"/>
      <c r="M32" s="17">
        <f>Таблица1[12]</f>
        <v>0</v>
      </c>
      <c r="N32" s="16"/>
      <c r="O32" s="16"/>
      <c r="P32" s="16"/>
      <c r="Q32" s="16"/>
      <c r="R32" s="16"/>
      <c r="S32" s="16"/>
      <c r="T32" s="16"/>
      <c r="U32" s="542">
        <f>Таблица1[13]</f>
        <v>0</v>
      </c>
      <c r="V32" s="16"/>
      <c r="W32" s="222">
        <f>Таблица1[11.1]</f>
        <v>0</v>
      </c>
      <c r="X32" s="223"/>
      <c r="Y32" s="223"/>
      <c r="Z32" s="224"/>
      <c r="AA32" s="224"/>
      <c r="AB32" s="114"/>
      <c r="AC32" s="16"/>
      <c r="AD32" s="438"/>
      <c r="AE32" s="16"/>
      <c r="AF32" s="438"/>
      <c r="AG32" s="114"/>
      <c r="AH32" s="220" t="str">
        <f>IF(Таблица5[[#This Row],[30]]=0,"НД",Таблица5[[#This Row],[20]]-Таблица5[[#This Row],[30]])</f>
        <v>НД</v>
      </c>
      <c r="AI32" s="221" t="e">
        <f>IF(((1-Таблица5[[#This Row],[30]]/Таблица5[[#This Row],[20]])=1),"НД",(1-Таблица5[[#This Row],[30]]/Таблица5[[#This Row],[20]]))</f>
        <v>#DIV/0!</v>
      </c>
      <c r="AJ32" s="114"/>
      <c r="AK32" s="114"/>
      <c r="AL32" s="115"/>
      <c r="AM32" s="15">
        <f>Таблица1[15.5]</f>
        <v>0</v>
      </c>
      <c r="AN32" s="430"/>
      <c r="AO32" s="544">
        <f>Таблица1[15.4]</f>
        <v>0</v>
      </c>
      <c r="AP32" s="435">
        <f>Таблица1[15.12]</f>
        <v>0</v>
      </c>
      <c r="AQ32" s="432"/>
      <c r="AR32" s="437">
        <f>IF(Таблица5[[#This Row],[11]]=0,,MONTH(Таблица5[[#This Row],[11]]))</f>
        <v>0</v>
      </c>
    </row>
    <row r="33" spans="1:44" ht="15.75" thickBot="1" x14ac:dyDescent="0.3">
      <c r="A33" s="219">
        <f>Таблица1[1]</f>
        <v>0</v>
      </c>
      <c r="B33" s="15">
        <f>Таблица1[4]</f>
        <v>0</v>
      </c>
      <c r="C33" s="15">
        <f>Таблица1[15.10]</f>
        <v>0</v>
      </c>
      <c r="D33" s="429">
        <f>Таблица1[15.11]</f>
        <v>0</v>
      </c>
      <c r="E33" s="99"/>
      <c r="F33" s="15">
        <f>Таблица1[14]</f>
        <v>0</v>
      </c>
      <c r="G33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3" s="15">
        <f>Таблица1[15]</f>
        <v>0</v>
      </c>
      <c r="I33" s="15">
        <f>Таблица1[15.6]</f>
        <v>0</v>
      </c>
      <c r="J33" s="15">
        <f>Таблица1[15.7]</f>
        <v>0</v>
      </c>
      <c r="K33" s="269">
        <f>Таблица1[15.9]</f>
        <v>0</v>
      </c>
      <c r="L33" s="16"/>
      <c r="M33" s="17">
        <f>Таблица1[12]</f>
        <v>0</v>
      </c>
      <c r="N33" s="16"/>
      <c r="O33" s="16"/>
      <c r="P33" s="16"/>
      <c r="Q33" s="16"/>
      <c r="R33" s="16"/>
      <c r="S33" s="16"/>
      <c r="T33" s="16"/>
      <c r="U33" s="542">
        <f>Таблица1[13]</f>
        <v>0</v>
      </c>
      <c r="V33" s="16"/>
      <c r="W33" s="222">
        <f>Таблица1[11.1]</f>
        <v>0</v>
      </c>
      <c r="X33" s="223"/>
      <c r="Y33" s="223"/>
      <c r="Z33" s="224"/>
      <c r="AA33" s="224"/>
      <c r="AB33" s="114"/>
      <c r="AC33" s="16"/>
      <c r="AD33" s="438"/>
      <c r="AE33" s="16"/>
      <c r="AF33" s="438"/>
      <c r="AG33" s="114"/>
      <c r="AH33" s="220" t="str">
        <f>IF(Таблица5[[#This Row],[30]]=0,"НД",Таблица5[[#This Row],[20]]-Таблица5[[#This Row],[30]])</f>
        <v>НД</v>
      </c>
      <c r="AI33" s="221" t="e">
        <f>IF(((1-Таблица5[[#This Row],[30]]/Таблица5[[#This Row],[20]])=1),"НД",(1-Таблица5[[#This Row],[30]]/Таблица5[[#This Row],[20]]))</f>
        <v>#DIV/0!</v>
      </c>
      <c r="AJ33" s="114"/>
      <c r="AK33" s="114"/>
      <c r="AL33" s="115"/>
      <c r="AM33" s="15">
        <f>Таблица1[15.5]</f>
        <v>0</v>
      </c>
      <c r="AN33" s="430"/>
      <c r="AO33" s="544">
        <f>Таблица1[15.4]</f>
        <v>0</v>
      </c>
      <c r="AP33" s="435">
        <f>Таблица1[15.12]</f>
        <v>0</v>
      </c>
      <c r="AQ33" s="432"/>
      <c r="AR33" s="437">
        <f>IF(Таблица5[[#This Row],[11]]=0,,MONTH(Таблица5[[#This Row],[11]]))</f>
        <v>0</v>
      </c>
    </row>
    <row r="34" spans="1:44" ht="15.75" thickBot="1" x14ac:dyDescent="0.3">
      <c r="A34" s="219">
        <f>Таблица1[1]</f>
        <v>0</v>
      </c>
      <c r="B34" s="15">
        <f>Таблица1[4]</f>
        <v>0</v>
      </c>
      <c r="C34" s="15">
        <f>Таблица1[15.10]</f>
        <v>0</v>
      </c>
      <c r="D34" s="429">
        <f>Таблица1[15.11]</f>
        <v>0</v>
      </c>
      <c r="E34" s="99"/>
      <c r="F34" s="15">
        <f>Таблица1[14]</f>
        <v>0</v>
      </c>
      <c r="G34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4" s="15">
        <f>Таблица1[15]</f>
        <v>0</v>
      </c>
      <c r="I34" s="15">
        <f>Таблица1[15.6]</f>
        <v>0</v>
      </c>
      <c r="J34" s="15">
        <f>Таблица1[15.7]</f>
        <v>0</v>
      </c>
      <c r="K34" s="269">
        <f>Таблица1[15.9]</f>
        <v>0</v>
      </c>
      <c r="L34" s="16"/>
      <c r="M34" s="17">
        <f>Таблица1[12]</f>
        <v>0</v>
      </c>
      <c r="N34" s="16"/>
      <c r="O34" s="16"/>
      <c r="P34" s="16"/>
      <c r="Q34" s="16"/>
      <c r="R34" s="16"/>
      <c r="S34" s="16"/>
      <c r="T34" s="16"/>
      <c r="U34" s="542">
        <f>Таблица1[13]</f>
        <v>0</v>
      </c>
      <c r="V34" s="16"/>
      <c r="W34" s="222">
        <f>Таблица1[11.1]</f>
        <v>0</v>
      </c>
      <c r="X34" s="223"/>
      <c r="Y34" s="223"/>
      <c r="Z34" s="224"/>
      <c r="AA34" s="224"/>
      <c r="AB34" s="114"/>
      <c r="AC34" s="16"/>
      <c r="AD34" s="438"/>
      <c r="AE34" s="16"/>
      <c r="AF34" s="438"/>
      <c r="AG34" s="114"/>
      <c r="AH34" s="220" t="str">
        <f>IF(Таблица5[[#This Row],[30]]=0,"НД",Таблица5[[#This Row],[20]]-Таблица5[[#This Row],[30]])</f>
        <v>НД</v>
      </c>
      <c r="AI34" s="221" t="e">
        <f>IF(((1-Таблица5[[#This Row],[30]]/Таблица5[[#This Row],[20]])=1),"НД",(1-Таблица5[[#This Row],[30]]/Таблица5[[#This Row],[20]]))</f>
        <v>#DIV/0!</v>
      </c>
      <c r="AJ34" s="114"/>
      <c r="AK34" s="114"/>
      <c r="AL34" s="115"/>
      <c r="AM34" s="15">
        <f>Таблица1[15.5]</f>
        <v>0</v>
      </c>
      <c r="AN34" s="430"/>
      <c r="AO34" s="544">
        <f>Таблица1[15.4]</f>
        <v>0</v>
      </c>
      <c r="AP34" s="435">
        <f>Таблица1[15.12]</f>
        <v>0</v>
      </c>
      <c r="AQ34" s="432"/>
      <c r="AR34" s="437">
        <f>IF(Таблица5[[#This Row],[11]]=0,,MONTH(Таблица5[[#This Row],[11]]))</f>
        <v>0</v>
      </c>
    </row>
    <row r="35" spans="1:44" ht="15.75" thickBot="1" x14ac:dyDescent="0.3">
      <c r="A35" s="219">
        <f>Таблица1[1]</f>
        <v>0</v>
      </c>
      <c r="B35" s="15">
        <f>Таблица1[4]</f>
        <v>0</v>
      </c>
      <c r="C35" s="15">
        <f>Таблица1[15.10]</f>
        <v>0</v>
      </c>
      <c r="D35" s="429">
        <f>Таблица1[15.11]</f>
        <v>0</v>
      </c>
      <c r="E35" s="99"/>
      <c r="F35" s="15">
        <f>Таблица1[14]</f>
        <v>0</v>
      </c>
      <c r="G35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5" s="15">
        <f>Таблица1[15]</f>
        <v>0</v>
      </c>
      <c r="I35" s="15">
        <f>Таблица1[15.6]</f>
        <v>0</v>
      </c>
      <c r="J35" s="15">
        <f>Таблица1[15.7]</f>
        <v>0</v>
      </c>
      <c r="K35" s="269">
        <f>Таблица1[15.9]</f>
        <v>0</v>
      </c>
      <c r="L35" s="16"/>
      <c r="M35" s="17">
        <f>Таблица1[12]</f>
        <v>0</v>
      </c>
      <c r="N35" s="16"/>
      <c r="O35" s="16"/>
      <c r="P35" s="16"/>
      <c r="Q35" s="16"/>
      <c r="R35" s="16"/>
      <c r="S35" s="16"/>
      <c r="T35" s="16"/>
      <c r="U35" s="542">
        <f>Таблица1[13]</f>
        <v>0</v>
      </c>
      <c r="V35" s="16"/>
      <c r="W35" s="222">
        <f>Таблица1[11.1]</f>
        <v>0</v>
      </c>
      <c r="X35" s="223"/>
      <c r="Y35" s="223"/>
      <c r="Z35" s="224"/>
      <c r="AA35" s="224"/>
      <c r="AB35" s="114"/>
      <c r="AC35" s="16"/>
      <c r="AD35" s="438"/>
      <c r="AE35" s="16"/>
      <c r="AF35" s="438"/>
      <c r="AG35" s="114"/>
      <c r="AH35" s="220" t="str">
        <f>IF(Таблица5[[#This Row],[30]]=0,"НД",Таблица5[[#This Row],[20]]-Таблица5[[#This Row],[30]])</f>
        <v>НД</v>
      </c>
      <c r="AI35" s="221" t="e">
        <f>IF(((1-Таблица5[[#This Row],[30]]/Таблица5[[#This Row],[20]])=1),"НД",(1-Таблица5[[#This Row],[30]]/Таблица5[[#This Row],[20]]))</f>
        <v>#DIV/0!</v>
      </c>
      <c r="AJ35" s="114"/>
      <c r="AK35" s="114"/>
      <c r="AL35" s="115"/>
      <c r="AM35" s="15">
        <f>Таблица1[15.5]</f>
        <v>0</v>
      </c>
      <c r="AN35" s="430"/>
      <c r="AO35" s="544">
        <f>Таблица1[15.4]</f>
        <v>0</v>
      </c>
      <c r="AP35" s="435">
        <f>Таблица1[15.12]</f>
        <v>0</v>
      </c>
      <c r="AQ35" s="432"/>
      <c r="AR35" s="437">
        <f>IF(Таблица5[[#This Row],[11]]=0,,MONTH(Таблица5[[#This Row],[11]]))</f>
        <v>0</v>
      </c>
    </row>
    <row r="36" spans="1:44" ht="15.75" thickBot="1" x14ac:dyDescent="0.3">
      <c r="A36" s="219">
        <f>Таблица1[1]</f>
        <v>0</v>
      </c>
      <c r="B36" s="15">
        <f>Таблица1[4]</f>
        <v>0</v>
      </c>
      <c r="C36" s="15">
        <f>Таблица1[15.10]</f>
        <v>0</v>
      </c>
      <c r="D36" s="429">
        <f>Таблица1[15.11]</f>
        <v>0</v>
      </c>
      <c r="E36" s="99"/>
      <c r="F36" s="15">
        <f>Таблица1[14]</f>
        <v>0</v>
      </c>
      <c r="G36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6" s="15">
        <f>Таблица1[15]</f>
        <v>0</v>
      </c>
      <c r="I36" s="15">
        <f>Таблица1[15.6]</f>
        <v>0</v>
      </c>
      <c r="J36" s="15">
        <f>Таблица1[15.7]</f>
        <v>0</v>
      </c>
      <c r="K36" s="269">
        <f>Таблица1[15.9]</f>
        <v>0</v>
      </c>
      <c r="L36" s="16"/>
      <c r="M36" s="17">
        <f>Таблица1[12]</f>
        <v>0</v>
      </c>
      <c r="N36" s="16"/>
      <c r="O36" s="16"/>
      <c r="P36" s="16"/>
      <c r="Q36" s="16"/>
      <c r="R36" s="16"/>
      <c r="S36" s="16"/>
      <c r="T36" s="16"/>
      <c r="U36" s="542">
        <f>Таблица1[13]</f>
        <v>0</v>
      </c>
      <c r="V36" s="16"/>
      <c r="W36" s="222">
        <f>Таблица1[11.1]</f>
        <v>0</v>
      </c>
      <c r="X36" s="223"/>
      <c r="Y36" s="223"/>
      <c r="Z36" s="224"/>
      <c r="AA36" s="224"/>
      <c r="AB36" s="114"/>
      <c r="AC36" s="16"/>
      <c r="AD36" s="438"/>
      <c r="AE36" s="16"/>
      <c r="AF36" s="438"/>
      <c r="AG36" s="114"/>
      <c r="AH36" s="220" t="str">
        <f>IF(Таблица5[[#This Row],[30]]=0,"НД",Таблица5[[#This Row],[20]]-Таблица5[[#This Row],[30]])</f>
        <v>НД</v>
      </c>
      <c r="AI36" s="221" t="e">
        <f>IF(((1-Таблица5[[#This Row],[30]]/Таблица5[[#This Row],[20]])=1),"НД",(1-Таблица5[[#This Row],[30]]/Таблица5[[#This Row],[20]]))</f>
        <v>#DIV/0!</v>
      </c>
      <c r="AJ36" s="114"/>
      <c r="AK36" s="114"/>
      <c r="AL36" s="115"/>
      <c r="AM36" s="15">
        <f>Таблица1[15.5]</f>
        <v>0</v>
      </c>
      <c r="AN36" s="430"/>
      <c r="AO36" s="544">
        <f>Таблица1[15.4]</f>
        <v>0</v>
      </c>
      <c r="AP36" s="435">
        <f>Таблица1[15.12]</f>
        <v>0</v>
      </c>
      <c r="AQ36" s="432"/>
      <c r="AR36" s="437">
        <f>IF(Таблица5[[#This Row],[11]]=0,,MONTH(Таблица5[[#This Row],[11]]))</f>
        <v>0</v>
      </c>
    </row>
    <row r="37" spans="1:44" ht="15.75" thickBot="1" x14ac:dyDescent="0.3">
      <c r="A37" s="219">
        <f>Таблица1[1]</f>
        <v>0</v>
      </c>
      <c r="B37" s="15">
        <f>Таблица1[4]</f>
        <v>0</v>
      </c>
      <c r="C37" s="15">
        <f>Таблица1[15.10]</f>
        <v>0</v>
      </c>
      <c r="D37" s="429">
        <f>Таблица1[15.11]</f>
        <v>0</v>
      </c>
      <c r="E37" s="99"/>
      <c r="F37" s="15">
        <f>Таблица1[14]</f>
        <v>0</v>
      </c>
      <c r="G37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7" s="15">
        <f>Таблица1[15]</f>
        <v>0</v>
      </c>
      <c r="I37" s="15">
        <f>Таблица1[15.6]</f>
        <v>0</v>
      </c>
      <c r="J37" s="15">
        <f>Таблица1[15.7]</f>
        <v>0</v>
      </c>
      <c r="K37" s="269">
        <f>Таблица1[15.9]</f>
        <v>0</v>
      </c>
      <c r="L37" s="16"/>
      <c r="M37" s="17">
        <f>Таблица1[12]</f>
        <v>0</v>
      </c>
      <c r="N37" s="16"/>
      <c r="O37" s="16"/>
      <c r="P37" s="16"/>
      <c r="Q37" s="16"/>
      <c r="R37" s="16"/>
      <c r="S37" s="16"/>
      <c r="T37" s="16"/>
      <c r="U37" s="542">
        <f>Таблица1[13]</f>
        <v>0</v>
      </c>
      <c r="V37" s="16"/>
      <c r="W37" s="222">
        <f>Таблица1[11.1]</f>
        <v>0</v>
      </c>
      <c r="X37" s="223"/>
      <c r="Y37" s="223"/>
      <c r="Z37" s="224"/>
      <c r="AA37" s="224"/>
      <c r="AB37" s="114"/>
      <c r="AC37" s="16"/>
      <c r="AD37" s="438"/>
      <c r="AE37" s="16"/>
      <c r="AF37" s="438"/>
      <c r="AG37" s="114"/>
      <c r="AH37" s="220" t="str">
        <f>IF(Таблица5[[#This Row],[30]]=0,"НД",Таблица5[[#This Row],[20]]-Таблица5[[#This Row],[30]])</f>
        <v>НД</v>
      </c>
      <c r="AI37" s="221" t="e">
        <f>IF(((1-Таблица5[[#This Row],[30]]/Таблица5[[#This Row],[20]])=1),"НД",(1-Таблица5[[#This Row],[30]]/Таблица5[[#This Row],[20]]))</f>
        <v>#DIV/0!</v>
      </c>
      <c r="AJ37" s="114"/>
      <c r="AK37" s="114"/>
      <c r="AL37" s="115"/>
      <c r="AM37" s="15">
        <f>Таблица1[15.5]</f>
        <v>0</v>
      </c>
      <c r="AN37" s="430"/>
      <c r="AO37" s="544">
        <f>Таблица1[15.4]</f>
        <v>0</v>
      </c>
      <c r="AP37" s="435">
        <f>Таблица1[15.12]</f>
        <v>0</v>
      </c>
      <c r="AQ37" s="432"/>
      <c r="AR37" s="437">
        <f>IF(Таблица5[[#This Row],[11]]=0,,MONTH(Таблица5[[#This Row],[11]]))</f>
        <v>0</v>
      </c>
    </row>
    <row r="38" spans="1:44" ht="15.75" thickBot="1" x14ac:dyDescent="0.3">
      <c r="A38" s="219">
        <f>Таблица1[1]</f>
        <v>0</v>
      </c>
      <c r="B38" s="15">
        <f>Таблица1[4]</f>
        <v>0</v>
      </c>
      <c r="C38" s="15">
        <f>Таблица1[15.10]</f>
        <v>0</v>
      </c>
      <c r="D38" s="429">
        <f>Таблица1[15.11]</f>
        <v>0</v>
      </c>
      <c r="E38" s="99"/>
      <c r="F38" s="15">
        <f>Таблица1[14]</f>
        <v>0</v>
      </c>
      <c r="G38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8" s="15">
        <f>Таблица1[15]</f>
        <v>0</v>
      </c>
      <c r="I38" s="15">
        <f>Таблица1[15.6]</f>
        <v>0</v>
      </c>
      <c r="J38" s="15">
        <f>Таблица1[15.7]</f>
        <v>0</v>
      </c>
      <c r="K38" s="269">
        <f>Таблица1[15.9]</f>
        <v>0</v>
      </c>
      <c r="L38" s="16"/>
      <c r="M38" s="17">
        <f>Таблица1[12]</f>
        <v>0</v>
      </c>
      <c r="N38" s="16"/>
      <c r="O38" s="16"/>
      <c r="P38" s="16"/>
      <c r="Q38" s="16"/>
      <c r="R38" s="16"/>
      <c r="S38" s="16"/>
      <c r="T38" s="16"/>
      <c r="U38" s="542">
        <f>Таблица1[13]</f>
        <v>0</v>
      </c>
      <c r="V38" s="16"/>
      <c r="W38" s="222">
        <f>Таблица1[11.1]</f>
        <v>0</v>
      </c>
      <c r="X38" s="223"/>
      <c r="Y38" s="223"/>
      <c r="Z38" s="224"/>
      <c r="AA38" s="224"/>
      <c r="AB38" s="114"/>
      <c r="AC38" s="16"/>
      <c r="AD38" s="438"/>
      <c r="AE38" s="16"/>
      <c r="AF38" s="438"/>
      <c r="AG38" s="114"/>
      <c r="AH38" s="220" t="str">
        <f>IF(Таблица5[[#This Row],[30]]=0,"НД",Таблица5[[#This Row],[20]]-Таблица5[[#This Row],[30]])</f>
        <v>НД</v>
      </c>
      <c r="AI38" s="221" t="e">
        <f>IF(((1-Таблица5[[#This Row],[30]]/Таблица5[[#This Row],[20]])=1),"НД",(1-Таблица5[[#This Row],[30]]/Таблица5[[#This Row],[20]]))</f>
        <v>#DIV/0!</v>
      </c>
      <c r="AJ38" s="114"/>
      <c r="AK38" s="114"/>
      <c r="AL38" s="115"/>
      <c r="AM38" s="15">
        <f>Таблица1[15.5]</f>
        <v>0</v>
      </c>
      <c r="AN38" s="430"/>
      <c r="AO38" s="544">
        <f>Таблица1[15.4]</f>
        <v>0</v>
      </c>
      <c r="AP38" s="435">
        <f>Таблица1[15.12]</f>
        <v>0</v>
      </c>
      <c r="AQ38" s="432"/>
      <c r="AR38" s="437">
        <f>IF(Таблица5[[#This Row],[11]]=0,,MONTH(Таблица5[[#This Row],[11]]))</f>
        <v>0</v>
      </c>
    </row>
    <row r="39" spans="1:44" ht="15.75" thickBot="1" x14ac:dyDescent="0.3">
      <c r="A39" s="219">
        <f>Таблица1[1]</f>
        <v>0</v>
      </c>
      <c r="B39" s="15">
        <f>Таблица1[4]</f>
        <v>0</v>
      </c>
      <c r="C39" s="15">
        <f>Таблица1[15.10]</f>
        <v>0</v>
      </c>
      <c r="D39" s="429">
        <f>Таблица1[15.11]</f>
        <v>0</v>
      </c>
      <c r="E39" s="99"/>
      <c r="F39" s="15">
        <f>Таблица1[14]</f>
        <v>0</v>
      </c>
      <c r="G39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39" s="15">
        <f>Таблица1[15]</f>
        <v>0</v>
      </c>
      <c r="I39" s="15">
        <f>Таблица1[15.6]</f>
        <v>0</v>
      </c>
      <c r="J39" s="15">
        <f>Таблица1[15.7]</f>
        <v>0</v>
      </c>
      <c r="K39" s="269">
        <f>Таблица1[15.9]</f>
        <v>0</v>
      </c>
      <c r="L39" s="16"/>
      <c r="M39" s="17">
        <f>Таблица1[12]</f>
        <v>0</v>
      </c>
      <c r="N39" s="16"/>
      <c r="O39" s="16"/>
      <c r="P39" s="16"/>
      <c r="Q39" s="16"/>
      <c r="R39" s="16"/>
      <c r="S39" s="16"/>
      <c r="T39" s="16"/>
      <c r="U39" s="542">
        <f>Таблица1[13]</f>
        <v>0</v>
      </c>
      <c r="V39" s="16"/>
      <c r="W39" s="222">
        <f>Таблица1[11.1]</f>
        <v>0</v>
      </c>
      <c r="X39" s="223"/>
      <c r="Y39" s="223"/>
      <c r="Z39" s="224"/>
      <c r="AA39" s="224"/>
      <c r="AB39" s="114"/>
      <c r="AC39" s="16"/>
      <c r="AD39" s="438"/>
      <c r="AE39" s="16"/>
      <c r="AF39" s="438"/>
      <c r="AG39" s="114"/>
      <c r="AH39" s="220" t="str">
        <f>IF(Таблица5[[#This Row],[30]]=0,"НД",Таблица5[[#This Row],[20]]-Таблица5[[#This Row],[30]])</f>
        <v>НД</v>
      </c>
      <c r="AI39" s="221" t="e">
        <f>IF(((1-Таблица5[[#This Row],[30]]/Таблица5[[#This Row],[20]])=1),"НД",(1-Таблица5[[#This Row],[30]]/Таблица5[[#This Row],[20]]))</f>
        <v>#DIV/0!</v>
      </c>
      <c r="AJ39" s="114"/>
      <c r="AK39" s="114"/>
      <c r="AL39" s="115"/>
      <c r="AM39" s="15">
        <f>Таблица1[15.5]</f>
        <v>0</v>
      </c>
      <c r="AN39" s="430"/>
      <c r="AO39" s="544">
        <f>Таблица1[15.4]</f>
        <v>0</v>
      </c>
      <c r="AP39" s="435">
        <f>Таблица1[15.12]</f>
        <v>0</v>
      </c>
      <c r="AQ39" s="432"/>
      <c r="AR39" s="437">
        <f>IF(Таблица5[[#This Row],[11]]=0,,MONTH(Таблица5[[#This Row],[11]]))</f>
        <v>0</v>
      </c>
    </row>
    <row r="40" spans="1:44" ht="15.75" thickBot="1" x14ac:dyDescent="0.3">
      <c r="A40" s="219">
        <f>Таблица1[1]</f>
        <v>0</v>
      </c>
      <c r="B40" s="15">
        <f>Таблица1[4]</f>
        <v>0</v>
      </c>
      <c r="C40" s="15">
        <f>Таблица1[15.10]</f>
        <v>0</v>
      </c>
      <c r="D40" s="429">
        <f>Таблица1[15.11]</f>
        <v>0</v>
      </c>
      <c r="E40" s="99"/>
      <c r="F40" s="15">
        <f>Таблица1[14]</f>
        <v>0</v>
      </c>
      <c r="G40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0" s="15">
        <f>Таблица1[15]</f>
        <v>0</v>
      </c>
      <c r="I40" s="15">
        <f>Таблица1[15.6]</f>
        <v>0</v>
      </c>
      <c r="J40" s="15">
        <f>Таблица1[15.7]</f>
        <v>0</v>
      </c>
      <c r="K40" s="269">
        <f>Таблица1[15.9]</f>
        <v>0</v>
      </c>
      <c r="L40" s="16"/>
      <c r="M40" s="17">
        <f>Таблица1[12]</f>
        <v>0</v>
      </c>
      <c r="N40" s="16"/>
      <c r="O40" s="16"/>
      <c r="P40" s="16"/>
      <c r="Q40" s="16"/>
      <c r="R40" s="16"/>
      <c r="S40" s="16"/>
      <c r="T40" s="16"/>
      <c r="U40" s="542">
        <f>Таблица1[13]</f>
        <v>0</v>
      </c>
      <c r="V40" s="16"/>
      <c r="W40" s="222">
        <f>Таблица1[11.1]</f>
        <v>0</v>
      </c>
      <c r="X40" s="223"/>
      <c r="Y40" s="223"/>
      <c r="Z40" s="224"/>
      <c r="AA40" s="224"/>
      <c r="AB40" s="114"/>
      <c r="AC40" s="16"/>
      <c r="AD40" s="438"/>
      <c r="AE40" s="16"/>
      <c r="AF40" s="438"/>
      <c r="AG40" s="114"/>
      <c r="AH40" s="220" t="str">
        <f>IF(Таблица5[[#This Row],[30]]=0,"НД",Таблица5[[#This Row],[20]]-Таблица5[[#This Row],[30]])</f>
        <v>НД</v>
      </c>
      <c r="AI40" s="221" t="e">
        <f>IF(((1-Таблица5[[#This Row],[30]]/Таблица5[[#This Row],[20]])=1),"НД",(1-Таблица5[[#This Row],[30]]/Таблица5[[#This Row],[20]]))</f>
        <v>#DIV/0!</v>
      </c>
      <c r="AJ40" s="114"/>
      <c r="AK40" s="114"/>
      <c r="AL40" s="115"/>
      <c r="AM40" s="15">
        <f>Таблица1[15.5]</f>
        <v>0</v>
      </c>
      <c r="AN40" s="430"/>
      <c r="AO40" s="544">
        <f>Таблица1[15.4]</f>
        <v>0</v>
      </c>
      <c r="AP40" s="435">
        <f>Таблица1[15.12]</f>
        <v>0</v>
      </c>
      <c r="AQ40" s="432"/>
      <c r="AR40" s="437">
        <f>IF(Таблица5[[#This Row],[11]]=0,,MONTH(Таблица5[[#This Row],[11]]))</f>
        <v>0</v>
      </c>
    </row>
    <row r="41" spans="1:44" ht="15.75" thickBot="1" x14ac:dyDescent="0.3">
      <c r="A41" s="219">
        <f>Таблица1[1]</f>
        <v>0</v>
      </c>
      <c r="B41" s="15">
        <f>Таблица1[4]</f>
        <v>0</v>
      </c>
      <c r="C41" s="15">
        <f>Таблица1[15.10]</f>
        <v>0</v>
      </c>
      <c r="D41" s="429">
        <f>Таблица1[15.11]</f>
        <v>0</v>
      </c>
      <c r="E41" s="99"/>
      <c r="F41" s="15">
        <f>Таблица1[14]</f>
        <v>0</v>
      </c>
      <c r="G41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1" s="15">
        <f>Таблица1[15]</f>
        <v>0</v>
      </c>
      <c r="I41" s="15">
        <f>Таблица1[15.6]</f>
        <v>0</v>
      </c>
      <c r="J41" s="15">
        <f>Таблица1[15.7]</f>
        <v>0</v>
      </c>
      <c r="K41" s="269">
        <f>Таблица1[15.9]</f>
        <v>0</v>
      </c>
      <c r="L41" s="16"/>
      <c r="M41" s="17">
        <f>Таблица1[12]</f>
        <v>0</v>
      </c>
      <c r="N41" s="16"/>
      <c r="O41" s="16"/>
      <c r="P41" s="16"/>
      <c r="Q41" s="16"/>
      <c r="R41" s="16"/>
      <c r="S41" s="16"/>
      <c r="T41" s="16"/>
      <c r="U41" s="542">
        <f>Таблица1[13]</f>
        <v>0</v>
      </c>
      <c r="V41" s="16"/>
      <c r="W41" s="222">
        <f>Таблица1[11.1]</f>
        <v>0</v>
      </c>
      <c r="X41" s="223"/>
      <c r="Y41" s="223"/>
      <c r="Z41" s="224"/>
      <c r="AA41" s="224"/>
      <c r="AB41" s="114"/>
      <c r="AC41" s="16"/>
      <c r="AD41" s="438"/>
      <c r="AE41" s="16"/>
      <c r="AF41" s="438"/>
      <c r="AG41" s="114"/>
      <c r="AH41" s="220" t="str">
        <f>IF(Таблица5[[#This Row],[30]]=0,"НД",Таблица5[[#This Row],[20]]-Таблица5[[#This Row],[30]])</f>
        <v>НД</v>
      </c>
      <c r="AI41" s="221" t="e">
        <f>IF(((1-Таблица5[[#This Row],[30]]/Таблица5[[#This Row],[20]])=1),"НД",(1-Таблица5[[#This Row],[30]]/Таблица5[[#This Row],[20]]))</f>
        <v>#DIV/0!</v>
      </c>
      <c r="AJ41" s="114"/>
      <c r="AK41" s="114"/>
      <c r="AL41" s="115"/>
      <c r="AM41" s="15">
        <f>Таблица1[15.5]</f>
        <v>0</v>
      </c>
      <c r="AN41" s="430"/>
      <c r="AO41" s="544">
        <f>Таблица1[15.4]</f>
        <v>0</v>
      </c>
      <c r="AP41" s="435">
        <f>Таблица1[15.12]</f>
        <v>0</v>
      </c>
      <c r="AQ41" s="432"/>
      <c r="AR41" s="437">
        <f>IF(Таблица5[[#This Row],[11]]=0,,MONTH(Таблица5[[#This Row],[11]]))</f>
        <v>0</v>
      </c>
    </row>
    <row r="42" spans="1:44" ht="15.75" thickBot="1" x14ac:dyDescent="0.3">
      <c r="A42" s="219">
        <f>Таблица1[1]</f>
        <v>0</v>
      </c>
      <c r="B42" s="15">
        <f>Таблица1[4]</f>
        <v>0</v>
      </c>
      <c r="C42" s="15">
        <f>Таблица1[15.10]</f>
        <v>0</v>
      </c>
      <c r="D42" s="429">
        <f>Таблица1[15.11]</f>
        <v>0</v>
      </c>
      <c r="E42" s="99"/>
      <c r="F42" s="15">
        <f>Таблица1[14]</f>
        <v>0</v>
      </c>
      <c r="G42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2" s="15">
        <f>Таблица1[15]</f>
        <v>0</v>
      </c>
      <c r="I42" s="15">
        <f>Таблица1[15.6]</f>
        <v>0</v>
      </c>
      <c r="J42" s="15">
        <f>Таблица1[15.7]</f>
        <v>0</v>
      </c>
      <c r="K42" s="269">
        <f>Таблица1[15.9]</f>
        <v>0</v>
      </c>
      <c r="L42" s="16"/>
      <c r="M42" s="17">
        <f>Таблица1[12]</f>
        <v>0</v>
      </c>
      <c r="N42" s="16"/>
      <c r="O42" s="16"/>
      <c r="P42" s="16"/>
      <c r="Q42" s="16"/>
      <c r="R42" s="16"/>
      <c r="S42" s="16"/>
      <c r="T42" s="16"/>
      <c r="U42" s="542">
        <f>Таблица1[13]</f>
        <v>0</v>
      </c>
      <c r="V42" s="16"/>
      <c r="W42" s="222">
        <f>Таблица1[11.1]</f>
        <v>0</v>
      </c>
      <c r="X42" s="223"/>
      <c r="Y42" s="223"/>
      <c r="Z42" s="224"/>
      <c r="AA42" s="224"/>
      <c r="AB42" s="114"/>
      <c r="AC42" s="16"/>
      <c r="AD42" s="438"/>
      <c r="AE42" s="16"/>
      <c r="AF42" s="438"/>
      <c r="AG42" s="114"/>
      <c r="AH42" s="220" t="str">
        <f>IF(Таблица5[[#This Row],[30]]=0,"НД",Таблица5[[#This Row],[20]]-Таблица5[[#This Row],[30]])</f>
        <v>НД</v>
      </c>
      <c r="AI42" s="221" t="e">
        <f>IF(((1-Таблица5[[#This Row],[30]]/Таблица5[[#This Row],[20]])=1),"НД",(1-Таблица5[[#This Row],[30]]/Таблица5[[#This Row],[20]]))</f>
        <v>#DIV/0!</v>
      </c>
      <c r="AJ42" s="114"/>
      <c r="AK42" s="114"/>
      <c r="AL42" s="115"/>
      <c r="AM42" s="15">
        <f>Таблица1[15.5]</f>
        <v>0</v>
      </c>
      <c r="AN42" s="430"/>
      <c r="AO42" s="544">
        <f>Таблица1[15.4]</f>
        <v>0</v>
      </c>
      <c r="AP42" s="435">
        <f>Таблица1[15.12]</f>
        <v>0</v>
      </c>
      <c r="AQ42" s="432"/>
      <c r="AR42" s="437">
        <f>IF(Таблица5[[#This Row],[11]]=0,,MONTH(Таблица5[[#This Row],[11]]))</f>
        <v>0</v>
      </c>
    </row>
    <row r="43" spans="1:44" ht="15.75" thickBot="1" x14ac:dyDescent="0.3">
      <c r="A43" s="219">
        <f>Таблица1[1]</f>
        <v>0</v>
      </c>
      <c r="B43" s="15">
        <f>Таблица1[4]</f>
        <v>0</v>
      </c>
      <c r="C43" s="15">
        <f>Таблица1[15.10]</f>
        <v>0</v>
      </c>
      <c r="D43" s="429">
        <f>Таблица1[15.11]</f>
        <v>0</v>
      </c>
      <c r="E43" s="99"/>
      <c r="F43" s="15">
        <f>Таблица1[14]</f>
        <v>0</v>
      </c>
      <c r="G43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3" s="15">
        <f>Таблица1[15]</f>
        <v>0</v>
      </c>
      <c r="I43" s="15">
        <f>Таблица1[15.6]</f>
        <v>0</v>
      </c>
      <c r="J43" s="15">
        <f>Таблица1[15.7]</f>
        <v>0</v>
      </c>
      <c r="K43" s="269">
        <f>Таблица1[15.9]</f>
        <v>0</v>
      </c>
      <c r="L43" s="16"/>
      <c r="M43" s="17">
        <f>Таблица1[12]</f>
        <v>0</v>
      </c>
      <c r="N43" s="16"/>
      <c r="O43" s="16"/>
      <c r="P43" s="16"/>
      <c r="Q43" s="16"/>
      <c r="R43" s="16"/>
      <c r="S43" s="16"/>
      <c r="T43" s="16"/>
      <c r="U43" s="542">
        <f>Таблица1[13]</f>
        <v>0</v>
      </c>
      <c r="V43" s="16"/>
      <c r="W43" s="222">
        <f>Таблица1[11.1]</f>
        <v>0</v>
      </c>
      <c r="X43" s="223"/>
      <c r="Y43" s="223"/>
      <c r="Z43" s="224"/>
      <c r="AA43" s="224"/>
      <c r="AB43" s="114"/>
      <c r="AC43" s="16"/>
      <c r="AD43" s="438"/>
      <c r="AE43" s="16"/>
      <c r="AF43" s="438"/>
      <c r="AG43" s="114"/>
      <c r="AH43" s="220" t="str">
        <f>IF(Таблица5[[#This Row],[30]]=0,"НД",Таблица5[[#This Row],[20]]-Таблица5[[#This Row],[30]])</f>
        <v>НД</v>
      </c>
      <c r="AI43" s="221" t="e">
        <f>IF(((1-Таблица5[[#This Row],[30]]/Таблица5[[#This Row],[20]])=1),"НД",(1-Таблица5[[#This Row],[30]]/Таблица5[[#This Row],[20]]))</f>
        <v>#DIV/0!</v>
      </c>
      <c r="AJ43" s="114"/>
      <c r="AK43" s="114"/>
      <c r="AL43" s="115"/>
      <c r="AM43" s="15">
        <f>Таблица1[15.5]</f>
        <v>0</v>
      </c>
      <c r="AN43" s="430"/>
      <c r="AO43" s="544">
        <f>Таблица1[15.4]</f>
        <v>0</v>
      </c>
      <c r="AP43" s="435">
        <f>Таблица1[15.12]</f>
        <v>0</v>
      </c>
      <c r="AQ43" s="432"/>
      <c r="AR43" s="437">
        <f>IF(Таблица5[[#This Row],[11]]=0,,MONTH(Таблица5[[#This Row],[11]]))</f>
        <v>0</v>
      </c>
    </row>
    <row r="44" spans="1:44" ht="15.75" thickBot="1" x14ac:dyDescent="0.3">
      <c r="A44" s="219">
        <f>Таблица1[1]</f>
        <v>0</v>
      </c>
      <c r="B44" s="15">
        <f>Таблица1[4]</f>
        <v>0</v>
      </c>
      <c r="C44" s="15">
        <f>Таблица1[15.10]</f>
        <v>0</v>
      </c>
      <c r="D44" s="429">
        <f>Таблица1[15.11]</f>
        <v>0</v>
      </c>
      <c r="E44" s="99"/>
      <c r="F44" s="15">
        <f>Таблица1[14]</f>
        <v>0</v>
      </c>
      <c r="G44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4" s="15">
        <f>Таблица1[15]</f>
        <v>0</v>
      </c>
      <c r="I44" s="15">
        <f>Таблица1[15.6]</f>
        <v>0</v>
      </c>
      <c r="J44" s="15">
        <f>Таблица1[15.7]</f>
        <v>0</v>
      </c>
      <c r="K44" s="269">
        <f>Таблица1[15.9]</f>
        <v>0</v>
      </c>
      <c r="L44" s="16"/>
      <c r="M44" s="17">
        <f>Таблица1[12]</f>
        <v>0</v>
      </c>
      <c r="N44" s="16"/>
      <c r="O44" s="16"/>
      <c r="P44" s="16"/>
      <c r="Q44" s="16"/>
      <c r="R44" s="16"/>
      <c r="S44" s="16"/>
      <c r="T44" s="16"/>
      <c r="U44" s="542">
        <f>Таблица1[13]</f>
        <v>0</v>
      </c>
      <c r="V44" s="16"/>
      <c r="W44" s="222">
        <f>Таблица1[11.1]</f>
        <v>0</v>
      </c>
      <c r="X44" s="223"/>
      <c r="Y44" s="223"/>
      <c r="Z44" s="224"/>
      <c r="AA44" s="224"/>
      <c r="AB44" s="114"/>
      <c r="AC44" s="16"/>
      <c r="AD44" s="438"/>
      <c r="AE44" s="16"/>
      <c r="AF44" s="438"/>
      <c r="AG44" s="114"/>
      <c r="AH44" s="220" t="str">
        <f>IF(Таблица5[[#This Row],[30]]=0,"НД",Таблица5[[#This Row],[20]]-Таблица5[[#This Row],[30]])</f>
        <v>НД</v>
      </c>
      <c r="AI44" s="221" t="e">
        <f>IF(((1-Таблица5[[#This Row],[30]]/Таблица5[[#This Row],[20]])=1),"НД",(1-Таблица5[[#This Row],[30]]/Таблица5[[#This Row],[20]]))</f>
        <v>#DIV/0!</v>
      </c>
      <c r="AJ44" s="114"/>
      <c r="AK44" s="114"/>
      <c r="AL44" s="115"/>
      <c r="AM44" s="15">
        <f>Таблица1[15.5]</f>
        <v>0</v>
      </c>
      <c r="AN44" s="430"/>
      <c r="AO44" s="544">
        <f>Таблица1[15.4]</f>
        <v>0</v>
      </c>
      <c r="AP44" s="435">
        <f>Таблица1[15.12]</f>
        <v>0</v>
      </c>
      <c r="AQ44" s="432"/>
      <c r="AR44" s="437">
        <f>IF(Таблица5[[#This Row],[11]]=0,,MONTH(Таблица5[[#This Row],[11]]))</f>
        <v>0</v>
      </c>
    </row>
    <row r="45" spans="1:44" ht="15.75" thickBot="1" x14ac:dyDescent="0.3">
      <c r="A45" s="219">
        <f>Таблица1[1]</f>
        <v>0</v>
      </c>
      <c r="B45" s="15">
        <f>Таблица1[4]</f>
        <v>0</v>
      </c>
      <c r="C45" s="15">
        <f>Таблица1[15.10]</f>
        <v>0</v>
      </c>
      <c r="D45" s="429">
        <f>Таблица1[15.11]</f>
        <v>0</v>
      </c>
      <c r="E45" s="99"/>
      <c r="F45" s="15">
        <f>Таблица1[14]</f>
        <v>0</v>
      </c>
      <c r="G45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5" s="15">
        <f>Таблица1[15]</f>
        <v>0</v>
      </c>
      <c r="I45" s="15">
        <f>Таблица1[15.6]</f>
        <v>0</v>
      </c>
      <c r="J45" s="15">
        <f>Таблица1[15.7]</f>
        <v>0</v>
      </c>
      <c r="K45" s="269">
        <f>Таблица1[15.9]</f>
        <v>0</v>
      </c>
      <c r="L45" s="16"/>
      <c r="M45" s="17">
        <f>Таблица1[12]</f>
        <v>0</v>
      </c>
      <c r="N45" s="16"/>
      <c r="O45" s="16"/>
      <c r="P45" s="16"/>
      <c r="Q45" s="16"/>
      <c r="R45" s="16"/>
      <c r="S45" s="16"/>
      <c r="T45" s="16"/>
      <c r="U45" s="542">
        <f>Таблица1[13]</f>
        <v>0</v>
      </c>
      <c r="V45" s="16"/>
      <c r="W45" s="222">
        <f>Таблица1[11.1]</f>
        <v>0</v>
      </c>
      <c r="X45" s="223"/>
      <c r="Y45" s="223"/>
      <c r="Z45" s="224"/>
      <c r="AA45" s="224"/>
      <c r="AB45" s="114"/>
      <c r="AC45" s="16"/>
      <c r="AD45" s="438"/>
      <c r="AE45" s="16"/>
      <c r="AF45" s="438"/>
      <c r="AG45" s="114"/>
      <c r="AH45" s="220" t="str">
        <f>IF(Таблица5[[#This Row],[30]]=0,"НД",Таблица5[[#This Row],[20]]-Таблица5[[#This Row],[30]])</f>
        <v>НД</v>
      </c>
      <c r="AI45" s="221" t="e">
        <f>IF(((1-Таблица5[[#This Row],[30]]/Таблица5[[#This Row],[20]])=1),"НД",(1-Таблица5[[#This Row],[30]]/Таблица5[[#This Row],[20]]))</f>
        <v>#DIV/0!</v>
      </c>
      <c r="AJ45" s="114"/>
      <c r="AK45" s="114"/>
      <c r="AL45" s="115"/>
      <c r="AM45" s="15">
        <f>Таблица1[15.5]</f>
        <v>0</v>
      </c>
      <c r="AN45" s="430"/>
      <c r="AO45" s="544">
        <f>Таблица1[15.4]</f>
        <v>0</v>
      </c>
      <c r="AP45" s="435">
        <f>Таблица1[15.12]</f>
        <v>0</v>
      </c>
      <c r="AQ45" s="432"/>
      <c r="AR45" s="437">
        <f>IF(Таблица5[[#This Row],[11]]=0,,MONTH(Таблица5[[#This Row],[11]]))</f>
        <v>0</v>
      </c>
    </row>
    <row r="46" spans="1:44" ht="15.75" thickBot="1" x14ac:dyDescent="0.3">
      <c r="A46" s="219">
        <f>Таблица1[1]</f>
        <v>0</v>
      </c>
      <c r="B46" s="15">
        <f>Таблица1[4]</f>
        <v>0</v>
      </c>
      <c r="C46" s="15">
        <f>Таблица1[15.10]</f>
        <v>0</v>
      </c>
      <c r="D46" s="429">
        <f>Таблица1[15.11]</f>
        <v>0</v>
      </c>
      <c r="E46" s="99"/>
      <c r="F46" s="15">
        <f>Таблица1[14]</f>
        <v>0</v>
      </c>
      <c r="G46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6" s="15">
        <f>Таблица1[15]</f>
        <v>0</v>
      </c>
      <c r="I46" s="15">
        <f>Таблица1[15.6]</f>
        <v>0</v>
      </c>
      <c r="J46" s="15">
        <f>Таблица1[15.7]</f>
        <v>0</v>
      </c>
      <c r="K46" s="269">
        <f>Таблица1[15.9]</f>
        <v>0</v>
      </c>
      <c r="L46" s="16"/>
      <c r="M46" s="17">
        <f>Таблица1[12]</f>
        <v>0</v>
      </c>
      <c r="N46" s="16"/>
      <c r="O46" s="16"/>
      <c r="P46" s="16"/>
      <c r="Q46" s="16"/>
      <c r="R46" s="16"/>
      <c r="S46" s="16"/>
      <c r="T46" s="16"/>
      <c r="U46" s="542">
        <f>Таблица1[13]</f>
        <v>0</v>
      </c>
      <c r="V46" s="16"/>
      <c r="W46" s="222">
        <f>Таблица1[11.1]</f>
        <v>0</v>
      </c>
      <c r="X46" s="223"/>
      <c r="Y46" s="223"/>
      <c r="Z46" s="224"/>
      <c r="AA46" s="224"/>
      <c r="AB46" s="114"/>
      <c r="AC46" s="16"/>
      <c r="AD46" s="438"/>
      <c r="AE46" s="16"/>
      <c r="AF46" s="438"/>
      <c r="AG46" s="114"/>
      <c r="AH46" s="220" t="str">
        <f>IF(Таблица5[[#This Row],[30]]=0,"НД",Таблица5[[#This Row],[20]]-Таблица5[[#This Row],[30]])</f>
        <v>НД</v>
      </c>
      <c r="AI46" s="221" t="e">
        <f>IF(((1-Таблица5[[#This Row],[30]]/Таблица5[[#This Row],[20]])=1),"НД",(1-Таблица5[[#This Row],[30]]/Таблица5[[#This Row],[20]]))</f>
        <v>#DIV/0!</v>
      </c>
      <c r="AJ46" s="114"/>
      <c r="AK46" s="114"/>
      <c r="AL46" s="115"/>
      <c r="AM46" s="15">
        <f>Таблица1[15.5]</f>
        <v>0</v>
      </c>
      <c r="AN46" s="430"/>
      <c r="AO46" s="544">
        <f>Таблица1[15.4]</f>
        <v>0</v>
      </c>
      <c r="AP46" s="435">
        <f>Таблица1[15.12]</f>
        <v>0</v>
      </c>
      <c r="AQ46" s="432"/>
      <c r="AR46" s="437">
        <f>IF(Таблица5[[#This Row],[11]]=0,,MONTH(Таблица5[[#This Row],[11]]))</f>
        <v>0</v>
      </c>
    </row>
    <row r="47" spans="1:44" ht="15.75" thickBot="1" x14ac:dyDescent="0.3">
      <c r="A47" s="219">
        <f>Таблица1[1]</f>
        <v>0</v>
      </c>
      <c r="B47" s="15">
        <f>Таблица1[4]</f>
        <v>0</v>
      </c>
      <c r="C47" s="15">
        <f>Таблица1[15.10]</f>
        <v>0</v>
      </c>
      <c r="D47" s="429">
        <f>Таблица1[15.11]</f>
        <v>0</v>
      </c>
      <c r="E47" s="99"/>
      <c r="F47" s="15">
        <f>Таблица1[14]</f>
        <v>0</v>
      </c>
      <c r="G47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7" s="15">
        <f>Таблица1[15]</f>
        <v>0</v>
      </c>
      <c r="I47" s="15">
        <f>Таблица1[15.6]</f>
        <v>0</v>
      </c>
      <c r="J47" s="15">
        <f>Таблица1[15.7]</f>
        <v>0</v>
      </c>
      <c r="K47" s="269">
        <f>Таблица1[15.9]</f>
        <v>0</v>
      </c>
      <c r="L47" s="16"/>
      <c r="M47" s="17">
        <f>Таблица1[12]</f>
        <v>0</v>
      </c>
      <c r="N47" s="16"/>
      <c r="O47" s="16"/>
      <c r="P47" s="16"/>
      <c r="Q47" s="16"/>
      <c r="R47" s="16"/>
      <c r="S47" s="16"/>
      <c r="T47" s="16"/>
      <c r="U47" s="542">
        <f>Таблица1[13]</f>
        <v>0</v>
      </c>
      <c r="V47" s="16"/>
      <c r="W47" s="222">
        <f>Таблица1[11.1]</f>
        <v>0</v>
      </c>
      <c r="X47" s="223"/>
      <c r="Y47" s="223"/>
      <c r="Z47" s="224"/>
      <c r="AA47" s="224"/>
      <c r="AB47" s="114"/>
      <c r="AC47" s="16"/>
      <c r="AD47" s="438"/>
      <c r="AE47" s="16"/>
      <c r="AF47" s="438"/>
      <c r="AG47" s="114"/>
      <c r="AH47" s="220" t="str">
        <f>IF(Таблица5[[#This Row],[30]]=0,"НД",Таблица5[[#This Row],[20]]-Таблица5[[#This Row],[30]])</f>
        <v>НД</v>
      </c>
      <c r="AI47" s="221" t="e">
        <f>IF(((1-Таблица5[[#This Row],[30]]/Таблица5[[#This Row],[20]])=1),"НД",(1-Таблица5[[#This Row],[30]]/Таблица5[[#This Row],[20]]))</f>
        <v>#DIV/0!</v>
      </c>
      <c r="AJ47" s="114"/>
      <c r="AK47" s="114"/>
      <c r="AL47" s="115"/>
      <c r="AM47" s="15">
        <f>Таблица1[15.5]</f>
        <v>0</v>
      </c>
      <c r="AN47" s="430"/>
      <c r="AO47" s="544">
        <f>Таблица1[15.4]</f>
        <v>0</v>
      </c>
      <c r="AP47" s="435">
        <f>Таблица1[15.12]</f>
        <v>0</v>
      </c>
      <c r="AQ47" s="432"/>
      <c r="AR47" s="437">
        <f>IF(Таблица5[[#This Row],[11]]=0,,MONTH(Таблица5[[#This Row],[11]]))</f>
        <v>0</v>
      </c>
    </row>
    <row r="48" spans="1:44" ht="15.75" thickBot="1" x14ac:dyDescent="0.3">
      <c r="A48" s="219">
        <f>Таблица1[1]</f>
        <v>0</v>
      </c>
      <c r="B48" s="15">
        <f>Таблица1[4]</f>
        <v>0</v>
      </c>
      <c r="C48" s="15">
        <f>Таблица1[15.10]</f>
        <v>0</v>
      </c>
      <c r="D48" s="429">
        <f>Таблица1[15.11]</f>
        <v>0</v>
      </c>
      <c r="E48" s="99"/>
      <c r="F48" s="15">
        <f>Таблица1[14]</f>
        <v>0</v>
      </c>
      <c r="G48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8" s="15">
        <f>Таблица1[15]</f>
        <v>0</v>
      </c>
      <c r="I48" s="15">
        <f>Таблица1[15.6]</f>
        <v>0</v>
      </c>
      <c r="J48" s="15">
        <f>Таблица1[15.7]</f>
        <v>0</v>
      </c>
      <c r="K48" s="269">
        <f>Таблица1[15.9]</f>
        <v>0</v>
      </c>
      <c r="L48" s="16"/>
      <c r="M48" s="17">
        <f>Таблица1[12]</f>
        <v>0</v>
      </c>
      <c r="N48" s="16"/>
      <c r="O48" s="16"/>
      <c r="P48" s="16"/>
      <c r="Q48" s="16"/>
      <c r="R48" s="16"/>
      <c r="S48" s="16"/>
      <c r="T48" s="16"/>
      <c r="U48" s="542">
        <f>Таблица1[13]</f>
        <v>0</v>
      </c>
      <c r="V48" s="16"/>
      <c r="W48" s="222">
        <f>Таблица1[11.1]</f>
        <v>0</v>
      </c>
      <c r="X48" s="223"/>
      <c r="Y48" s="223"/>
      <c r="Z48" s="224"/>
      <c r="AA48" s="224"/>
      <c r="AB48" s="114"/>
      <c r="AC48" s="16"/>
      <c r="AD48" s="438"/>
      <c r="AE48" s="16"/>
      <c r="AF48" s="438"/>
      <c r="AG48" s="114"/>
      <c r="AH48" s="220" t="str">
        <f>IF(Таблица5[[#This Row],[30]]=0,"НД",Таблица5[[#This Row],[20]]-Таблица5[[#This Row],[30]])</f>
        <v>НД</v>
      </c>
      <c r="AI48" s="221" t="e">
        <f>IF(((1-Таблица5[[#This Row],[30]]/Таблица5[[#This Row],[20]])=1),"НД",(1-Таблица5[[#This Row],[30]]/Таблица5[[#This Row],[20]]))</f>
        <v>#DIV/0!</v>
      </c>
      <c r="AJ48" s="114"/>
      <c r="AK48" s="114"/>
      <c r="AL48" s="115"/>
      <c r="AM48" s="15">
        <f>Таблица1[15.5]</f>
        <v>0</v>
      </c>
      <c r="AN48" s="430"/>
      <c r="AO48" s="544">
        <f>Таблица1[15.4]</f>
        <v>0</v>
      </c>
      <c r="AP48" s="435">
        <f>Таблица1[15.12]</f>
        <v>0</v>
      </c>
      <c r="AQ48" s="432"/>
      <c r="AR48" s="437">
        <f>IF(Таблица5[[#This Row],[11]]=0,,MONTH(Таблица5[[#This Row],[11]]))</f>
        <v>0</v>
      </c>
    </row>
    <row r="49" spans="1:44" ht="15.75" thickBot="1" x14ac:dyDescent="0.3">
      <c r="A49" s="219">
        <f>Таблица1[1]</f>
        <v>0</v>
      </c>
      <c r="B49" s="15">
        <f>Таблица1[4]</f>
        <v>0</v>
      </c>
      <c r="C49" s="15">
        <f>Таблица1[15.10]</f>
        <v>0</v>
      </c>
      <c r="D49" s="429">
        <f>Таблица1[15.11]</f>
        <v>0</v>
      </c>
      <c r="E49" s="99"/>
      <c r="F49" s="15">
        <f>Таблица1[14]</f>
        <v>0</v>
      </c>
      <c r="G49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49" s="15">
        <f>Таблица1[15]</f>
        <v>0</v>
      </c>
      <c r="I49" s="15">
        <f>Таблица1[15.6]</f>
        <v>0</v>
      </c>
      <c r="J49" s="15">
        <f>Таблица1[15.7]</f>
        <v>0</v>
      </c>
      <c r="K49" s="269">
        <f>Таблица1[15.9]</f>
        <v>0</v>
      </c>
      <c r="L49" s="16"/>
      <c r="M49" s="17">
        <f>Таблица1[12]</f>
        <v>0</v>
      </c>
      <c r="N49" s="16"/>
      <c r="O49" s="16"/>
      <c r="P49" s="16"/>
      <c r="Q49" s="16"/>
      <c r="R49" s="16"/>
      <c r="S49" s="16"/>
      <c r="T49" s="16"/>
      <c r="U49" s="542">
        <f>Таблица1[13]</f>
        <v>0</v>
      </c>
      <c r="V49" s="16"/>
      <c r="W49" s="222">
        <f>Таблица1[11.1]</f>
        <v>0</v>
      </c>
      <c r="X49" s="223"/>
      <c r="Y49" s="223"/>
      <c r="Z49" s="224"/>
      <c r="AA49" s="224"/>
      <c r="AB49" s="114"/>
      <c r="AC49" s="16"/>
      <c r="AD49" s="438"/>
      <c r="AE49" s="16"/>
      <c r="AF49" s="438"/>
      <c r="AG49" s="114"/>
      <c r="AH49" s="220" t="str">
        <f>IF(Таблица5[[#This Row],[30]]=0,"НД",Таблица5[[#This Row],[20]]-Таблица5[[#This Row],[30]])</f>
        <v>НД</v>
      </c>
      <c r="AI49" s="221" t="e">
        <f>IF(((1-Таблица5[[#This Row],[30]]/Таблица5[[#This Row],[20]])=1),"НД",(1-Таблица5[[#This Row],[30]]/Таблица5[[#This Row],[20]]))</f>
        <v>#DIV/0!</v>
      </c>
      <c r="AJ49" s="114"/>
      <c r="AK49" s="114"/>
      <c r="AL49" s="115"/>
      <c r="AM49" s="15">
        <f>Таблица1[15.5]</f>
        <v>0</v>
      </c>
      <c r="AN49" s="430"/>
      <c r="AO49" s="544">
        <f>Таблица1[15.4]</f>
        <v>0</v>
      </c>
      <c r="AP49" s="435">
        <f>Таблица1[15.12]</f>
        <v>0</v>
      </c>
      <c r="AQ49" s="432"/>
      <c r="AR49" s="437">
        <f>IF(Таблица5[[#This Row],[11]]=0,,MONTH(Таблица5[[#This Row],[11]]))</f>
        <v>0</v>
      </c>
    </row>
    <row r="50" spans="1:44" ht="15.75" thickBot="1" x14ac:dyDescent="0.3">
      <c r="A50" s="219">
        <f>Таблица1[1]</f>
        <v>0</v>
      </c>
      <c r="B50" s="15">
        <f>Таблица1[4]</f>
        <v>0</v>
      </c>
      <c r="C50" s="15">
        <f>Таблица1[15.10]</f>
        <v>0</v>
      </c>
      <c r="D50" s="429">
        <f>Таблица1[15.11]</f>
        <v>0</v>
      </c>
      <c r="E50" s="99"/>
      <c r="F50" s="15">
        <f>Таблица1[14]</f>
        <v>0</v>
      </c>
      <c r="G50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50" s="15">
        <f>Таблица1[15]</f>
        <v>0</v>
      </c>
      <c r="I50" s="15">
        <f>Таблица1[15.6]</f>
        <v>0</v>
      </c>
      <c r="J50" s="15">
        <f>Таблица1[15.7]</f>
        <v>0</v>
      </c>
      <c r="K50" s="269">
        <f>Таблица1[15.9]</f>
        <v>0</v>
      </c>
      <c r="L50" s="16"/>
      <c r="M50" s="17">
        <f>Таблица1[12]</f>
        <v>0</v>
      </c>
      <c r="N50" s="16"/>
      <c r="O50" s="16"/>
      <c r="P50" s="16"/>
      <c r="Q50" s="16"/>
      <c r="R50" s="16"/>
      <c r="S50" s="16"/>
      <c r="T50" s="16"/>
      <c r="U50" s="542">
        <f>Таблица1[13]</f>
        <v>0</v>
      </c>
      <c r="V50" s="16"/>
      <c r="W50" s="222">
        <f>Таблица1[11.1]</f>
        <v>0</v>
      </c>
      <c r="X50" s="223"/>
      <c r="Y50" s="223"/>
      <c r="Z50" s="224"/>
      <c r="AA50" s="224"/>
      <c r="AB50" s="114"/>
      <c r="AC50" s="16"/>
      <c r="AD50" s="438"/>
      <c r="AE50" s="16"/>
      <c r="AF50" s="438"/>
      <c r="AG50" s="114"/>
      <c r="AH50" s="220" t="str">
        <f>IF(Таблица5[[#This Row],[30]]=0,"НД",Таблица5[[#This Row],[20]]-Таблица5[[#This Row],[30]])</f>
        <v>НД</v>
      </c>
      <c r="AI50" s="221" t="e">
        <f>IF(((1-Таблица5[[#This Row],[30]]/Таблица5[[#This Row],[20]])=1),"НД",(1-Таблица5[[#This Row],[30]]/Таблица5[[#This Row],[20]]))</f>
        <v>#DIV/0!</v>
      </c>
      <c r="AJ50" s="114"/>
      <c r="AK50" s="114"/>
      <c r="AL50" s="115"/>
      <c r="AM50" s="15">
        <f>Таблица1[15.5]</f>
        <v>0</v>
      </c>
      <c r="AN50" s="430"/>
      <c r="AO50" s="545">
        <f>Таблица1[15.4]</f>
        <v>0</v>
      </c>
      <c r="AP50" s="436">
        <f>Таблица1[15.12]</f>
        <v>0</v>
      </c>
      <c r="AQ50" s="433"/>
      <c r="AR50" s="437">
        <f>IF(Таблица5[[#This Row],[11]]=0,,MONTH(Таблица5[[#This Row],[11]]))</f>
        <v>0</v>
      </c>
    </row>
    <row r="51" spans="1:44" x14ac:dyDescent="0.25">
      <c r="A51" s="219">
        <f>Таблица1[1]</f>
        <v>0</v>
      </c>
      <c r="B51" s="219">
        <f>Таблица1[4]</f>
        <v>0</v>
      </c>
      <c r="C51" s="219">
        <f>Таблица1[15.10]</f>
        <v>0</v>
      </c>
      <c r="D51" s="429">
        <f>Таблица1[15.11]</f>
        <v>0</v>
      </c>
      <c r="E51" s="474"/>
      <c r="F51" s="219">
        <f>Таблица1[14]</f>
        <v>0</v>
      </c>
      <c r="G51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51" s="15">
        <f>Таблица1[15]</f>
        <v>0</v>
      </c>
      <c r="I51" s="15">
        <f>Таблица1[15.6]</f>
        <v>0</v>
      </c>
      <c r="J51" s="219">
        <f>Таблица1[15.7]</f>
        <v>0</v>
      </c>
      <c r="K51" s="269">
        <f>Таблица1[15.9]</f>
        <v>0</v>
      </c>
      <c r="L51" s="16"/>
      <c r="M51" s="17">
        <f>Таблица1[12]</f>
        <v>0</v>
      </c>
      <c r="N51" s="16"/>
      <c r="O51" s="16"/>
      <c r="P51" s="16"/>
      <c r="Q51" s="16"/>
      <c r="R51" s="16"/>
      <c r="S51" s="16"/>
      <c r="T51" s="16"/>
      <c r="U51" s="542">
        <f>Таблица1[13]</f>
        <v>0</v>
      </c>
      <c r="V51" s="16"/>
      <c r="W51" s="222">
        <f>Таблица1[11.1]</f>
        <v>0</v>
      </c>
      <c r="X51" s="223"/>
      <c r="Y51" s="223"/>
      <c r="Z51" s="224"/>
      <c r="AA51" s="224"/>
      <c r="AB51" s="114"/>
      <c r="AC51" s="16"/>
      <c r="AD51" s="438"/>
      <c r="AE51" s="16"/>
      <c r="AF51" s="438"/>
      <c r="AG51" s="114"/>
      <c r="AH51" s="222" t="str">
        <f>IF(Таблица5[[#This Row],[30]]=0,"НД",Таблица5[[#This Row],[20]]-Таблица5[[#This Row],[30]])</f>
        <v>НД</v>
      </c>
      <c r="AI51" s="475" t="e">
        <f>IF(((1-Таблица5[[#This Row],[30]]/Таблица5[[#This Row],[20]])=1),"НД",(1-Таблица5[[#This Row],[30]]/Таблица5[[#This Row],[20]]))</f>
        <v>#DIV/0!</v>
      </c>
      <c r="AJ51" s="114"/>
      <c r="AK51" s="114"/>
      <c r="AL51" s="476"/>
      <c r="AM51" s="15">
        <f>Таблица1[15.5]</f>
        <v>0</v>
      </c>
      <c r="AN51" s="477"/>
      <c r="AO51" s="544">
        <f>Таблица1[15.4]</f>
        <v>0</v>
      </c>
      <c r="AP51" s="435">
        <f>Таблица1[15.12]</f>
        <v>0</v>
      </c>
      <c r="AQ51" s="432"/>
      <c r="AR51" s="437">
        <f>IF(Таблица5[[#This Row],[11]]=0,,MONTH(Таблица5[[#This Row],[11]]))</f>
        <v>0</v>
      </c>
    </row>
    <row r="52" spans="1:44" x14ac:dyDescent="0.25">
      <c r="A52" s="219">
        <f>Таблица1[1]</f>
        <v>0</v>
      </c>
      <c r="B52" s="219">
        <f>Таблица1[4]</f>
        <v>0</v>
      </c>
      <c r="C52" s="219">
        <f>Таблица1[15.10]</f>
        <v>0</v>
      </c>
      <c r="D52" s="546">
        <f>Таблица1[15.11]</f>
        <v>0</v>
      </c>
      <c r="E52" s="474"/>
      <c r="F52" s="219">
        <f>Таблица1[14]</f>
        <v>0</v>
      </c>
      <c r="G52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52" s="15">
        <f>Таблица1[15]</f>
        <v>0</v>
      </c>
      <c r="I52" s="219">
        <f>Таблица1[15.6]</f>
        <v>0</v>
      </c>
      <c r="J52" s="219">
        <f>Таблица1[15.7]</f>
        <v>0</v>
      </c>
      <c r="K52" s="269">
        <f>Таблица1[15.9]</f>
        <v>0</v>
      </c>
      <c r="L52" s="16"/>
      <c r="M52" s="17">
        <f>Таблица1[12]</f>
        <v>0</v>
      </c>
      <c r="N52" s="16"/>
      <c r="O52" s="16"/>
      <c r="P52" s="16"/>
      <c r="Q52" s="16"/>
      <c r="R52" s="16"/>
      <c r="S52" s="16"/>
      <c r="T52" s="16"/>
      <c r="U52" s="542">
        <f>Таблица1[13]</f>
        <v>0</v>
      </c>
      <c r="V52" s="16"/>
      <c r="W52" s="222">
        <f>Таблица1[11.1]</f>
        <v>0</v>
      </c>
      <c r="X52" s="223"/>
      <c r="Y52" s="223"/>
      <c r="Z52" s="224"/>
      <c r="AA52" s="224"/>
      <c r="AB52" s="114"/>
      <c r="AC52" s="16"/>
      <c r="AD52" s="438"/>
      <c r="AE52" s="16"/>
      <c r="AF52" s="438"/>
      <c r="AG52" s="114"/>
      <c r="AH52" s="222" t="str">
        <f>IF(Таблица5[[#This Row],[30]]=0,"НД",Таблица5[[#This Row],[20]]-Таблица5[[#This Row],[30]])</f>
        <v>НД</v>
      </c>
      <c r="AI52" s="475" t="e">
        <f>IF(((1-Таблица5[[#This Row],[30]]/Таблица5[[#This Row],[20]])=1),"НД",(1-Таблица5[[#This Row],[30]]/Таблица5[[#This Row],[20]]))</f>
        <v>#DIV/0!</v>
      </c>
      <c r="AJ52" s="114"/>
      <c r="AK52" s="114"/>
      <c r="AL52" s="476"/>
      <c r="AM52" s="15">
        <f>Таблица1[15.5]</f>
        <v>0</v>
      </c>
      <c r="AN52" s="477"/>
      <c r="AO52" s="544">
        <f>Таблица1[15.4]</f>
        <v>0</v>
      </c>
      <c r="AP52" s="435">
        <f>Таблица1[15.12]</f>
        <v>0</v>
      </c>
      <c r="AQ52" s="432"/>
      <c r="AR52" s="437">
        <f>IF(Таблица5[[#This Row],[11]]=0,,MONTH(Таблица5[[#This Row],[11]]))</f>
        <v>0</v>
      </c>
    </row>
    <row r="53" spans="1:44" x14ac:dyDescent="0.25">
      <c r="A53" s="219">
        <f>Таблица1[1]</f>
        <v>0</v>
      </c>
      <c r="B53" s="219">
        <f>Таблица1[4]</f>
        <v>0</v>
      </c>
      <c r="C53" s="219">
        <f>Таблица1[15.10]</f>
        <v>0</v>
      </c>
      <c r="D53" s="546">
        <f>Таблица1[15.11]</f>
        <v>0</v>
      </c>
      <c r="E53" s="474"/>
      <c r="F53" s="219">
        <f>Таблица1[14]</f>
        <v>0</v>
      </c>
      <c r="G53" s="15" t="str">
        <f>IF(OR(Таблица5[5]=Справочно!$E$5,Таблица5[5]=Справочно!$E$6,Таблица5[5]=Справочно!$E$7,Таблица5[5]=Справочно!$E$8,Таблица5[5]=Справочно!$E$9,Таблица5[5]=Справочно!$E$10),Таблица5[6],"")</f>
        <v/>
      </c>
      <c r="H53" s="15">
        <f>Таблица1[15]</f>
        <v>0</v>
      </c>
      <c r="I53" s="219">
        <f>Таблица1[15.6]</f>
        <v>0</v>
      </c>
      <c r="J53" s="219">
        <f>Таблица1[15.7]</f>
        <v>0</v>
      </c>
      <c r="K53" s="269">
        <f>Таблица1[15.9]</f>
        <v>0</v>
      </c>
      <c r="L53" s="16"/>
      <c r="M53" s="17">
        <f>Таблица1[12]</f>
        <v>0</v>
      </c>
      <c r="N53" s="16"/>
      <c r="O53" s="16"/>
      <c r="P53" s="16"/>
      <c r="Q53" s="16"/>
      <c r="R53" s="16"/>
      <c r="S53" s="16"/>
      <c r="T53" s="16"/>
      <c r="U53" s="542">
        <f>Таблица1[13]</f>
        <v>0</v>
      </c>
      <c r="V53" s="16"/>
      <c r="W53" s="222">
        <f>Таблица1[11.1]</f>
        <v>0</v>
      </c>
      <c r="X53" s="223"/>
      <c r="Y53" s="223"/>
      <c r="Z53" s="224"/>
      <c r="AA53" s="224"/>
      <c r="AB53" s="114"/>
      <c r="AC53" s="16"/>
      <c r="AD53" s="438"/>
      <c r="AE53" s="16"/>
      <c r="AF53" s="438"/>
      <c r="AG53" s="114"/>
      <c r="AH53" s="222" t="str">
        <f>IF(Таблица5[[#This Row],[30]]=0,"НД",Таблица5[[#This Row],[20]]-Таблица5[[#This Row],[30]])</f>
        <v>НД</v>
      </c>
      <c r="AI53" s="475" t="e">
        <f>IF(((1-Таблица5[[#This Row],[30]]/Таблица5[[#This Row],[20]])=1),"НД",(1-Таблица5[[#This Row],[30]]/Таблица5[[#This Row],[20]]))</f>
        <v>#DIV/0!</v>
      </c>
      <c r="AJ53" s="114"/>
      <c r="AK53" s="114"/>
      <c r="AL53" s="476"/>
      <c r="AM53" s="15">
        <f>Таблица1[15.5]</f>
        <v>0</v>
      </c>
      <c r="AN53" s="477"/>
      <c r="AO53" s="544">
        <f>Таблица1[15.4]</f>
        <v>0</v>
      </c>
      <c r="AP53" s="435">
        <f>Таблица1[15.12]</f>
        <v>0</v>
      </c>
      <c r="AQ53" s="432"/>
      <c r="AR53" s="437">
        <f>IF(Таблица5[[#This Row],[11]]=0,,MONTH(Таблица5[[#This Row],[11]]))</f>
        <v>0</v>
      </c>
    </row>
  </sheetData>
  <sheetProtection insertRows="0" autoFilter="0"/>
  <dataConsolidate/>
  <mergeCells count="40">
    <mergeCell ref="C12:C14"/>
    <mergeCell ref="D12:D14"/>
    <mergeCell ref="E12:E14"/>
    <mergeCell ref="L12:L13"/>
    <mergeCell ref="F12:F14"/>
    <mergeCell ref="I13:I14"/>
    <mergeCell ref="J13:J14"/>
    <mergeCell ref="K13:K14"/>
    <mergeCell ref="I12:K12"/>
    <mergeCell ref="A12:A14"/>
    <mergeCell ref="AR12:AR14"/>
    <mergeCell ref="P13:Q13"/>
    <mergeCell ref="R13:S13"/>
    <mergeCell ref="U13:V13"/>
    <mergeCell ref="W12:W13"/>
    <mergeCell ref="Z12:Z14"/>
    <mergeCell ref="AN12:AN13"/>
    <mergeCell ref="AJ14:AL14"/>
    <mergeCell ref="AA12:AA14"/>
    <mergeCell ref="AH12:AI12"/>
    <mergeCell ref="AG12:AG14"/>
    <mergeCell ref="B12:B14"/>
    <mergeCell ref="AF12:AF13"/>
    <mergeCell ref="AD12:AE13"/>
    <mergeCell ref="AP12:AP14"/>
    <mergeCell ref="G1:N1"/>
    <mergeCell ref="G12:G14"/>
    <mergeCell ref="X12:X14"/>
    <mergeCell ref="Y12:Y14"/>
    <mergeCell ref="H12:H14"/>
    <mergeCell ref="M12:V12"/>
    <mergeCell ref="M13:N13"/>
    <mergeCell ref="AQ12:AQ14"/>
    <mergeCell ref="AJ12:AM12"/>
    <mergeCell ref="AM13:AM14"/>
    <mergeCell ref="AO12:AO14"/>
    <mergeCell ref="W1:AC1"/>
    <mergeCell ref="W2:AC2"/>
    <mergeCell ref="AB12:AC12"/>
    <mergeCell ref="AB13:AB14"/>
  </mergeCells>
  <conditionalFormatting sqref="M16:M53">
    <cfRule type="cellIs" dxfId="94" priority="3" operator="equal">
      <formula>0</formula>
    </cfRule>
  </conditionalFormatting>
  <conditionalFormatting sqref="U16:U53">
    <cfRule type="cellIs" dxfId="93" priority="2" operator="equal">
      <formula>0</formula>
    </cfRule>
  </conditionalFormatting>
  <conditionalFormatting sqref="B3:B9">
    <cfRule type="cellIs" dxfId="92" priority="1" operator="equal">
      <formula>0</formula>
    </cfRule>
  </conditionalFormatting>
  <dataValidations xWindow="804" yWindow="714" count="38">
    <dataValidation allowBlank="1" showInputMessage="1" showErrorMessage="1" promptTitle="Не требует заполнения." prompt="Заполнение происходит автоматически на основании сведений вкладки «РПЗ»." sqref="M14 W14 B12:D14 A12"/>
    <dataValidation allowBlank="1" showInputMessage="1" showErrorMessage="1" promptTitle="Пример:" prompt=" 01.01.2015" sqref="L14 O14:S14"/>
    <dataValidation allowBlank="1" showErrorMessage="1" promptTitle="Подсказка:" prompt="Способ закупки выбирается из всплывающего списка._x000a__x000a_В том числе, способ закупки «ЕП» в случае признания закупки несостоявшийся и принятия решения о заключении договора с единственным поставщиком." sqref="E12:E14 G12:G14 H12"/>
    <dataValidation allowBlank="1" showErrorMessage="1" promptTitle="Не требует заполнения." prompt="Заполнение происходит автоматически на основании сведений вкладки «РПЗ»._x000a__x000a_В случае проведения закупки у ЕП по результатам несостоявшейся конкурентной процедуры из выпадающего списка выбирается значение «6.6.1(32)»" sqref="F12:F14 I12 I13:K13"/>
    <dataValidation allowBlank="1" showInputMessage="1" showErrorMessage="1" promptTitle="Пример:" prompt=" 01.2015_x000a__x000a_01.2015-12.2016" sqref="T14"/>
    <dataValidation allowBlank="1" showInputMessage="1" showErrorMessage="1" promptTitle="Не требует заполнения." prompt="Заполнение происходит автоматически на основании сведений вкладки «РПЗ»._x000a__x000a_За исключением случаев, когда фактически объявленная НМЦ отличается от запланированной НМЦ не более чем на 10 %._x000a_В этом случае НМЦ меняется на фактическую." sqref="U14"/>
    <dataValidation allowBlank="1" showInputMessage="1" showErrorMessage="1" promptTitle="Подсказка:" prompt="Указывается количество участников, подавших предложения в соответствии с протоколом открытия доступа/вскрытия конвертов к поданным заявкам по соответствующему лоту._x000a__x000a_В случае если не подано ни одной заявки, поле заполняется с нулевым значением (пример: 0)" sqref="X12:X14"/>
    <dataValidation allowBlank="1" showInputMessage="1" showErrorMessage="1" promptTitle="Подсказка:" prompt="Указывается количество участников, предложения которых были отклонены в соответствии с протоколом рассмотрения заявок по соответствующему лоту._x000a__x000a_Если не отклонено ни одного предложения, поле заполняется с нулевым значением (пример: 0)" sqref="Y12:Y14"/>
    <dataValidation allowBlank="1" showInputMessage="1" showErrorMessage="1" promptTitle="Подсказка:" prompt="Указывается в строгом соответствии с выпиской из: ЕГРЮЛ – для юридических лиц; ЕГРИП – для индивидуальных предпринимателей; свидетельства для постановки на учет – для физических лиц._x000a__x000a_Пример:7654321098" sqref="Z12:Z14"/>
    <dataValidation allowBlank="1" showInputMessage="1" showErrorMessage="1" promptTitle="Пример:" prompt="ООО &quot;Наименование Плюс&quot;" sqref="AA12:AA14"/>
    <dataValidation allowBlank="1" showInputMessage="1" showErrorMessage="1" promptTitle="Подсказка:" prompt="Не допускается использование пробелов, знаков препинания (за исключением запятых для разделения целой и дробной частей числа) и текстовой части._x000a__x000a_Пример: 1000000_x000a_Это значение будет автоматически преобразовано в вид: _x000a_1 000 000,00" sqref="AG12:AG14"/>
    <dataValidation allowBlank="1" showInputMessage="1" showErrorMessage="1" promptTitle="Пример:" prompt="01.2015_x000a_или_x000a_01.2015-12.2016" sqref="AC14"/>
    <dataValidation allowBlank="1" showInputMessage="1" showErrorMessage="1" promptTitle="Пример:" prompt="01.2015_x000a_или_x000a_01.2015-12.2016_x000a__x000a_Поле желательно для заполнения" sqref="V14"/>
    <dataValidation allowBlank="1" showInputMessage="1" showErrorMessage="1" promptTitle="Подсказка:" prompt="Указывается дата договора по соответствующему лоту_x000a__x000a_Пример: 01.01.2015" sqref="AE14"/>
    <dataValidation allowBlank="1" showInputMessage="1" showErrorMessage="1" promptTitle="Не требует заполнения." prompt="Заполнение происходит автоматически на основании сведений Отчета." sqref="AH12:AI14"/>
    <dataValidation allowBlank="1" showInputMessage="1" showErrorMessage="1" promptTitle="Подсказка:" prompt="Обязательно для заполнения по каждому лоту, по результатам проведения которого заключен договор с субъектом МСП при условии, что проведенный лот был конкурентной процедурой и в нем принимали участие как субъекты МСП, так и субъекты, не относящиеся к МСП" sqref="AJ13"/>
    <dataValidation allowBlank="1" showInputMessage="1" showErrorMessage="1" promptTitle="Подсказка:" prompt="Обязательно для заполнения по каждому лоту, по результатам проведения которого заключен договор с субъектом МСП при условии, что в нем принимали участие только субъекты МСП или проведена закупка у единственного поставщика (субъекта МСП)." sqref="AK13"/>
    <dataValidation allowBlank="1" showInputMessage="1" showErrorMessage="1" promptTitle="Подсказка:" prompt="Для каждого лота, по результатам проведения которого заключен договор с субъектом, не относящимся к субъектам МСП, заключившим договор с субъектом/субъектами МСП при условии, что было установлено требование о привлечении на субподряд субъектов МСП" sqref="AL13"/>
    <dataValidation allowBlank="1" showInputMessage="1" showErrorMessage="1" promptTitle="Подсказка:" prompt="В случае наличия жалоб по соответствующему лоту указывается «Да». В случае отсутствия жалоб указывает «Нет»." sqref="AN12:AN13"/>
    <dataValidation allowBlank="1" showInputMessage="1" showErrorMessage="1" promptTitle="Подсказка:" prompt="Поле не обязательно для заполнения и служит для указания справочной информации, не вошедшей в прочие поля (например, указание официального курса ЦБ РФ для пересчета из валюты в рубли)" sqref="AQ12:AQ14"/>
    <dataValidation allowBlank="1" showInputMessage="1" showErrorMessage="1" promptTitle="Подсказка:" prompt="Заполняется в случае, если договор заключен в целях реализации обязательств по заключенному контракту (договору)" sqref="AF12:AF14"/>
    <dataValidation allowBlank="1" showInputMessage="1" showErrorMessage="1" promptTitle="Подсказка:" prompt="Указывается номер договора по соответствующему лоту, присвоенного в соответствии с правилами внутреннего документооборота, принятыми в Корпорации_x000a__x000a_Пример: 123" sqref="AD14"/>
    <dataValidation allowBlank="1" showInputMessage="1" showErrorMessage="1" promptTitle="Подсказка:" prompt="В случае наличия жалоб по соответствующему лоту указывается «Да». В случае отсутствия жалоб указывается «Нет»." sqref="AN14"/>
    <dataValidation allowBlank="1" showInputMessage="1" showErrorMessage="1" errorTitle="Ошибка ввода" error="Дата должна быть в формате: &quot;дд.мм.гггг&quot;_x000a__x000a_Пример: 01.01.2015" sqref="U16:V53"/>
    <dataValidation allowBlank="1" showErrorMessage="1" errorTitle="Ошибка ввода" error="Дата должна быть в формате: &quot;дд.мм.гггг&quot;_x000a__x000a_Пример: 01.01.2015" sqref="AR16:AR53"/>
    <dataValidation allowBlank="1" showInputMessage="1" showErrorMessage="1" promptTitle="Пример:" prompt="Январь 2015" sqref="N14"/>
    <dataValidation allowBlank="1" showErrorMessage="1" promptTitle="Пример:" prompt="Январь 2015" sqref="AR12:AR14"/>
    <dataValidation allowBlank="1" showInputMessage="1" showErrorMessage="1" promptTitle="Подсказка:" prompt="Поле заполняется автоматически" sqref="AP12:AP14"/>
    <dataValidation allowBlank="1" showInputMessage="1" showErrorMessage="1" promptTitle="Подсказка:" prompt="Поле заполняется автоматически " sqref="AO12:AO14"/>
    <dataValidation type="date" allowBlank="1" showInputMessage="1" showErrorMessage="1" errorTitle="Неверный формат данных" error="Введенное значение не является датой, либо введенная дата не в пределах 2018 года." sqref="N16:S53 L16:L53">
      <formula1>43101</formula1>
      <formula2>43465</formula2>
    </dataValidation>
    <dataValidation type="date" operator="greaterThan" allowBlank="1" showInputMessage="1" showErrorMessage="1" errorTitle="Неверный формат данных" error="Введеное значение не является датой, либо введенная дата должна быть позже фактической даты размещения извещения" sqref="T16:T53 AE16:AE53">
      <formula1>$N16</formula1>
    </dataValidation>
    <dataValidation type="whole" operator="greaterThanOrEqual" allowBlank="1" showInputMessage="1" showErrorMessage="1" sqref="X16:X53">
      <formula1>0</formula1>
    </dataValidation>
    <dataValidation type="decimal" operator="greaterThanOrEqual" allowBlank="1" showInputMessage="1" showErrorMessage="1" errorTitle="Неверный формат данных" error="Введенное значение не является числом" sqref="AL16:AL53 AG16:AG53 AB16:AB53 W16:W53">
      <formula1>0</formula1>
    </dataValidation>
    <dataValidation type="whole" operator="lessThanOrEqual" allowBlank="1" showInputMessage="1" showErrorMessage="1" errorTitle="Неверный формат данных" error="Введеное значение не является числом, либо введенное значение превышает значение в Поле 21" sqref="Y16:Y53">
      <formula1>$X16</formula1>
    </dataValidation>
    <dataValidation type="decimal" operator="equal" allowBlank="1" showInputMessage="1" showErrorMessage="1" errorTitle="Неверный формат данных" error="Введенное значение не является числом, либо не равно цене договора (Поле 30)" sqref="AJ16:AK53">
      <formula1>$AG16</formula1>
    </dataValidation>
    <dataValidation type="custom" operator="equal" allowBlank="1" showInputMessage="1" showErrorMessage="1" errorTitle="Неверный формат данных" error="ИНН указывается в числовом формате и должен содержать 10 или 12 знаков" sqref="Z16:Z53">
      <formula1>OR(AND(LEN(Z16)=10,ISNUMBER(Z16)),AND(LEN(Z16)=12,ISNUMBER(Z16)))</formula1>
    </dataValidation>
    <dataValidation allowBlank="1" showInputMessage="1" showErrorMessage="1" promptTitle="Подсказка:" sqref="AM13"/>
    <dataValidation operator="greaterThanOrEqual" allowBlank="1" showInputMessage="1" showErrorMessage="1" errorTitle="Неверный формат данных" error="Введенное значение не предусмотрено п.7 ПП 1352" sqref="AM16:AM53"/>
  </dataValidations>
  <pageMargins left="0.31496062992125984" right="0.31496062992125984" top="0.35433070866141736" bottom="0.35433070866141736" header="0" footer="0.31496062992125984"/>
  <pageSetup paperSize="8" scale="27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804" yWindow="714" count="2">
        <x14:dataValidation type="list" allowBlank="1" showInputMessage="1" showErrorMessage="1" errorTitle="Ошибка ввода" error="Необходимо выбрать из выпадающего списка">
          <x14:formula1>
            <xm:f>Справочно!$E$16:$E$18</xm:f>
          </x14:formula1>
          <xm:sqref>AN16:AN53</xm:sqref>
        </x14:dataValidation>
        <x14:dataValidation type="list" allowBlank="1" showInputMessage="1" showErrorMessage="1">
          <x14:formula1>
            <xm:f>Справочно!$E$3:$E$11</xm:f>
          </x14:formula1>
          <xm:sqref>E16:E53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zoomScale="90" zoomScaleNormal="90" workbookViewId="0">
      <selection activeCell="F16" sqref="F16"/>
    </sheetView>
  </sheetViews>
  <sheetFormatPr defaultRowHeight="12.75" x14ac:dyDescent="0.2"/>
  <cols>
    <col min="1" max="1" width="28.5703125" style="551" customWidth="1"/>
    <col min="2" max="2" width="11.42578125" style="551" customWidth="1"/>
    <col min="3" max="3" width="17" style="551" customWidth="1"/>
    <col min="4" max="4" width="32" style="551" customWidth="1"/>
    <col min="5" max="5" width="18" style="551" customWidth="1"/>
    <col min="6" max="6" width="22.7109375" style="551" customWidth="1"/>
    <col min="7" max="7" width="49.85546875" style="551" customWidth="1"/>
    <col min="8" max="8" width="28.7109375" style="551" customWidth="1"/>
    <col min="9" max="9" width="13.42578125" style="551" bestFit="1" customWidth="1"/>
    <col min="10" max="10" width="13.28515625" style="551" customWidth="1"/>
    <col min="11" max="11" width="20.28515625" style="551" customWidth="1"/>
    <col min="12" max="12" width="22.7109375" style="551" customWidth="1"/>
    <col min="13" max="16384" width="9.140625" style="550"/>
  </cols>
  <sheetData>
    <row r="1" spans="1:12" ht="18" x14ac:dyDescent="0.2">
      <c r="B1" s="733" t="s">
        <v>867</v>
      </c>
      <c r="C1" s="733"/>
      <c r="D1" s="733"/>
      <c r="E1" s="733"/>
      <c r="F1" s="733"/>
      <c r="G1" s="733"/>
      <c r="H1" s="733"/>
      <c r="I1" s="733"/>
      <c r="J1" s="733"/>
      <c r="K1" s="733"/>
      <c r="L1" s="733"/>
    </row>
    <row r="3" spans="1:12" ht="13.5" thickBot="1" x14ac:dyDescent="0.25">
      <c r="F3" s="207"/>
      <c r="G3" s="574" t="s">
        <v>317</v>
      </c>
      <c r="H3" s="207"/>
      <c r="I3" s="14" t="s">
        <v>318</v>
      </c>
    </row>
    <row r="4" spans="1:12" ht="13.5" thickBot="1" x14ac:dyDescent="0.25">
      <c r="F4" s="579"/>
      <c r="G4" s="574"/>
      <c r="H4" s="579"/>
      <c r="I4" s="14"/>
    </row>
    <row r="5" spans="1:12" x14ac:dyDescent="0.2">
      <c r="A5" s="575" t="s">
        <v>1</v>
      </c>
      <c r="B5" s="734">
        <f>РПЗ!B4</f>
        <v>0</v>
      </c>
      <c r="C5" s="735"/>
      <c r="D5" s="736"/>
    </row>
    <row r="6" spans="1:12" ht="25.5" x14ac:dyDescent="0.2">
      <c r="A6" s="576" t="s">
        <v>2</v>
      </c>
      <c r="B6" s="724">
        <f>РПЗ!B5</f>
        <v>0</v>
      </c>
      <c r="C6" s="725"/>
      <c r="D6" s="726"/>
    </row>
    <row r="7" spans="1:12" x14ac:dyDescent="0.2">
      <c r="A7" s="576" t="s">
        <v>3</v>
      </c>
      <c r="B7" s="724">
        <f>РПЗ!B6</f>
        <v>0</v>
      </c>
      <c r="C7" s="725"/>
      <c r="D7" s="726"/>
    </row>
    <row r="8" spans="1:12" x14ac:dyDescent="0.2">
      <c r="A8" s="576" t="s">
        <v>4</v>
      </c>
      <c r="B8" s="724">
        <f>РПЗ!B7</f>
        <v>0</v>
      </c>
      <c r="C8" s="725"/>
      <c r="D8" s="726"/>
    </row>
    <row r="9" spans="1:12" x14ac:dyDescent="0.2">
      <c r="A9" s="576" t="s">
        <v>5</v>
      </c>
      <c r="B9" s="724">
        <f>РПЗ!B8</f>
        <v>0</v>
      </c>
      <c r="C9" s="725"/>
      <c r="D9" s="726"/>
    </row>
    <row r="10" spans="1:12" x14ac:dyDescent="0.2">
      <c r="A10" s="576" t="s">
        <v>6</v>
      </c>
      <c r="B10" s="724">
        <f>РПЗ!B9</f>
        <v>0</v>
      </c>
      <c r="C10" s="725"/>
      <c r="D10" s="726"/>
    </row>
    <row r="11" spans="1:12" ht="13.5" thickBot="1" x14ac:dyDescent="0.25">
      <c r="A11" s="577" t="s">
        <v>7</v>
      </c>
      <c r="B11" s="727">
        <f>РПЗ!B10</f>
        <v>0</v>
      </c>
      <c r="C11" s="728"/>
      <c r="D11" s="729"/>
    </row>
    <row r="12" spans="1:12" ht="26.25" thickBot="1" x14ac:dyDescent="0.25">
      <c r="A12" s="578" t="s">
        <v>320</v>
      </c>
      <c r="B12" s="730"/>
      <c r="C12" s="731"/>
      <c r="D12" s="732"/>
    </row>
    <row r="15" spans="1:12" ht="28.5" customHeight="1" x14ac:dyDescent="0.2">
      <c r="A15" s="718" t="s">
        <v>830</v>
      </c>
      <c r="B15" s="719"/>
      <c r="C15" s="719"/>
      <c r="D15" s="719"/>
      <c r="E15" s="719"/>
      <c r="F15" s="580"/>
    </row>
    <row r="16" spans="1:12" ht="28.5" customHeight="1" x14ac:dyDescent="0.2">
      <c r="A16" s="718" t="s">
        <v>863</v>
      </c>
      <c r="B16" s="719"/>
      <c r="C16" s="719"/>
      <c r="D16" s="719"/>
      <c r="E16" s="719"/>
      <c r="F16" s="570" t="e">
        <f>SUMIF(МалыеЗакупки[11],"*(39)*",МалыеЗакупки[6])/F15</f>
        <v>#DIV/0!</v>
      </c>
      <c r="G16" s="552"/>
      <c r="H16" s="553"/>
    </row>
    <row r="18" spans="1:12" ht="13.5" thickBot="1" x14ac:dyDescent="0.25"/>
    <row r="19" spans="1:12" x14ac:dyDescent="0.2">
      <c r="A19" s="720" t="s">
        <v>827</v>
      </c>
      <c r="B19" s="714" t="s">
        <v>226</v>
      </c>
      <c r="C19" s="714"/>
      <c r="D19" s="714" t="s">
        <v>206</v>
      </c>
      <c r="E19" s="714" t="s">
        <v>207</v>
      </c>
      <c r="F19" s="714" t="s">
        <v>225</v>
      </c>
      <c r="G19" s="714" t="s">
        <v>15</v>
      </c>
      <c r="H19" s="714" t="s">
        <v>14</v>
      </c>
      <c r="I19" s="714" t="s">
        <v>229</v>
      </c>
      <c r="J19" s="714"/>
      <c r="K19" s="722" t="s">
        <v>13</v>
      </c>
      <c r="L19" s="716" t="s">
        <v>212</v>
      </c>
    </row>
    <row r="20" spans="1:12" ht="26.25" thickBot="1" x14ac:dyDescent="0.25">
      <c r="A20" s="721"/>
      <c r="B20" s="559" t="s">
        <v>227</v>
      </c>
      <c r="C20" s="559" t="s">
        <v>270</v>
      </c>
      <c r="D20" s="715"/>
      <c r="E20" s="715"/>
      <c r="F20" s="715"/>
      <c r="G20" s="715"/>
      <c r="H20" s="715"/>
      <c r="I20" s="559" t="s">
        <v>866</v>
      </c>
      <c r="J20" s="559" t="s">
        <v>864</v>
      </c>
      <c r="K20" s="723"/>
      <c r="L20" s="717"/>
    </row>
    <row r="21" spans="1:12" x14ac:dyDescent="0.2">
      <c r="A21" s="562" t="s">
        <v>119</v>
      </c>
      <c r="B21" s="558" t="s">
        <v>120</v>
      </c>
      <c r="C21" s="558" t="s">
        <v>121</v>
      </c>
      <c r="D21" s="557" t="s">
        <v>122</v>
      </c>
      <c r="E21" s="557" t="s">
        <v>123</v>
      </c>
      <c r="F21" s="557" t="s">
        <v>124</v>
      </c>
      <c r="G21" s="557" t="s">
        <v>125</v>
      </c>
      <c r="H21" s="557" t="s">
        <v>126</v>
      </c>
      <c r="I21" s="558" t="s">
        <v>127</v>
      </c>
      <c r="J21" s="558" t="s">
        <v>128</v>
      </c>
      <c r="K21" s="616" t="s">
        <v>129</v>
      </c>
      <c r="L21" s="563" t="s">
        <v>130</v>
      </c>
    </row>
    <row r="22" spans="1:12" x14ac:dyDescent="0.2">
      <c r="A22" s="560">
        <f t="shared" ref="A22:A27" si="0">ROW()-21</f>
        <v>1</v>
      </c>
      <c r="B22" s="554"/>
      <c r="C22" s="555"/>
      <c r="D22" s="554"/>
      <c r="E22" s="554"/>
      <c r="F22" s="556"/>
      <c r="G22" s="554"/>
      <c r="H22" s="554"/>
      <c r="I22" s="554"/>
      <c r="J22" s="554"/>
      <c r="K22" s="561"/>
      <c r="L22" s="561"/>
    </row>
    <row r="23" spans="1:12" x14ac:dyDescent="0.2">
      <c r="A23" s="560">
        <f t="shared" si="0"/>
        <v>2</v>
      </c>
      <c r="B23" s="554"/>
      <c r="C23" s="555"/>
      <c r="D23" s="554"/>
      <c r="E23" s="554"/>
      <c r="F23" s="556"/>
      <c r="G23" s="554"/>
      <c r="H23" s="554"/>
      <c r="I23" s="554"/>
      <c r="J23" s="554"/>
      <c r="K23" s="561"/>
      <c r="L23" s="561"/>
    </row>
    <row r="24" spans="1:12" x14ac:dyDescent="0.2">
      <c r="A24" s="560">
        <f t="shared" si="0"/>
        <v>3</v>
      </c>
      <c r="B24" s="554"/>
      <c r="C24" s="555"/>
      <c r="D24" s="554"/>
      <c r="E24" s="554"/>
      <c r="F24" s="556"/>
      <c r="G24" s="554"/>
      <c r="H24" s="554"/>
      <c r="I24" s="554"/>
      <c r="J24" s="554"/>
      <c r="K24" s="561"/>
      <c r="L24" s="561"/>
    </row>
    <row r="25" spans="1:12" x14ac:dyDescent="0.2">
      <c r="A25" s="564">
        <f t="shared" si="0"/>
        <v>4</v>
      </c>
      <c r="B25" s="565"/>
      <c r="C25" s="566"/>
      <c r="D25" s="565"/>
      <c r="E25" s="565"/>
      <c r="F25" s="567"/>
      <c r="G25" s="565"/>
      <c r="H25" s="565"/>
      <c r="I25" s="568"/>
      <c r="J25" s="568"/>
      <c r="K25" s="561"/>
      <c r="L25" s="569"/>
    </row>
    <row r="26" spans="1:12" x14ac:dyDescent="0.2">
      <c r="A26" s="564">
        <f t="shared" si="0"/>
        <v>5</v>
      </c>
      <c r="B26" s="554"/>
      <c r="C26" s="555"/>
      <c r="D26" s="554"/>
      <c r="E26" s="554"/>
      <c r="F26" s="556"/>
      <c r="G26" s="554"/>
      <c r="H26" s="554"/>
      <c r="I26" s="554"/>
      <c r="J26" s="554"/>
      <c r="K26" s="561"/>
      <c r="L26" s="561"/>
    </row>
    <row r="27" spans="1:12" x14ac:dyDescent="0.2">
      <c r="A27" s="564">
        <f t="shared" si="0"/>
        <v>6</v>
      </c>
      <c r="B27" s="554"/>
      <c r="C27" s="555"/>
      <c r="D27" s="554"/>
      <c r="E27" s="554"/>
      <c r="F27" s="556"/>
      <c r="G27" s="554"/>
      <c r="H27" s="554"/>
      <c r="I27" s="554"/>
      <c r="J27" s="554"/>
      <c r="K27" s="561"/>
      <c r="L27" s="561"/>
    </row>
  </sheetData>
  <mergeCells count="21">
    <mergeCell ref="B9:D9"/>
    <mergeCell ref="B10:D10"/>
    <mergeCell ref="B11:D11"/>
    <mergeCell ref="B12:D12"/>
    <mergeCell ref="B1:L1"/>
    <mergeCell ref="B5:D5"/>
    <mergeCell ref="B6:D6"/>
    <mergeCell ref="B7:D7"/>
    <mergeCell ref="B8:D8"/>
    <mergeCell ref="H19:H20"/>
    <mergeCell ref="L19:L20"/>
    <mergeCell ref="I19:J19"/>
    <mergeCell ref="A15:E15"/>
    <mergeCell ref="A16:E16"/>
    <mergeCell ref="A19:A20"/>
    <mergeCell ref="B19:C19"/>
    <mergeCell ref="D19:D20"/>
    <mergeCell ref="E19:E20"/>
    <mergeCell ref="F19:F20"/>
    <mergeCell ref="G19:G20"/>
    <mergeCell ref="K19:K20"/>
  </mergeCells>
  <conditionalFormatting sqref="H16">
    <cfRule type="cellIs" dxfId="44" priority="20" operator="greaterThan">
      <formula>500000</formula>
    </cfRule>
  </conditionalFormatting>
  <conditionalFormatting sqref="F22:F27">
    <cfRule type="cellIs" dxfId="43" priority="19" operator="greaterThan">
      <formula>500000</formula>
    </cfRule>
  </conditionalFormatting>
  <conditionalFormatting sqref="B5">
    <cfRule type="cellIs" dxfId="42" priority="7" operator="equal">
      <formula>0</formula>
    </cfRule>
  </conditionalFormatting>
  <conditionalFormatting sqref="B6">
    <cfRule type="cellIs" dxfId="41" priority="6" operator="equal">
      <formula>0</formula>
    </cfRule>
  </conditionalFormatting>
  <conditionalFormatting sqref="B7">
    <cfRule type="cellIs" dxfId="40" priority="5" operator="equal">
      <formula>0</formula>
    </cfRule>
  </conditionalFormatting>
  <conditionalFormatting sqref="B8">
    <cfRule type="cellIs" dxfId="39" priority="4" operator="equal">
      <formula>0</formula>
    </cfRule>
  </conditionalFormatting>
  <conditionalFormatting sqref="B9">
    <cfRule type="cellIs" dxfId="38" priority="3" operator="equal">
      <formula>0</formula>
    </cfRule>
  </conditionalFormatting>
  <conditionalFormatting sqref="B10">
    <cfRule type="cellIs" dxfId="37" priority="2" operator="equal">
      <formula>0</formula>
    </cfRule>
  </conditionalFormatting>
  <conditionalFormatting sqref="B11">
    <cfRule type="cellIs" dxfId="36" priority="1" operator="equal">
      <formula>0</formula>
    </cfRule>
  </conditionalFormatting>
  <dataValidations count="8">
    <dataValidation allowBlank="1" showInputMessage="1" showErrorMessage="1" promptTitle="Подсказка:" prompt="Указывается номер договора по соответствующему лоту, присвоенного в соответствии с правилами внутреннего документооборота, принятыми в Корпорации_x000a__x000a_Пример: 123" sqref="B20"/>
    <dataValidation allowBlank="1" showInputMessage="1" showErrorMessage="1" promptTitle="Подсказка:" prompt="Указывается дата договора по соответствующему лоту_x000a__x000a_Пример: 01.01.2015" sqref="C20"/>
    <dataValidation type="date" allowBlank="1" showInputMessage="1" showErrorMessage="1" errorTitle="Неверный формат данных" error="Введеное значение не является датой, либо введеная дата не относится к 2018 году" sqref="C22:C27">
      <formula1>43101</formula1>
      <formula2>43465</formula2>
    </dataValidation>
    <dataValidation type="list" allowBlank="1" showInputMessage="1" showErrorMessage="1" sqref="I22:I27">
      <formula1>"ДА,НЕТ"</formula1>
    </dataValidation>
    <dataValidation type="decimal" allowBlank="1" showInputMessage="1" showErrorMessage="1" errorTitle="Неверный формат данных" error="Введенное значение не является числом, либо превышает 500 тыс.руб." sqref="F22:F27">
      <formula1>0</formula1>
      <formula2>500000</formula2>
    </dataValidation>
    <dataValidation type="custom" operator="equal" allowBlank="1" showInputMessage="1" showErrorMessage="1" errorTitle="Неверный формат данных" error="ИНН указывается в числовом формате и должен содержать 10 или 12 знаков" sqref="E22:E27">
      <formula1>OR(AND(LEN(E22)=10,ISNUMBER(E22)),AND(LEN(E22)=12,ISNUMBER(E22)))</formula1>
    </dataValidation>
    <dataValidation type="list" allowBlank="1" showInputMessage="1" showErrorMessage="1" sqref="J22:J27">
      <formula1>п7_1352</formula1>
    </dataValidation>
    <dataValidation type="decimal" operator="greaterThanOrEqual" allowBlank="1" showInputMessage="1" showErrorMessage="1" sqref="F15">
      <formula1>0</formula1>
    </dataValidation>
  </dataValidations>
  <pageMargins left="0.7" right="0.7" top="0.75" bottom="0.75" header="0.3" footer="0.3"/>
  <pageSetup paperSize="9" scale="51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72B4A223-1197-4CCF-940C-B695BA9F91A2}">
            <x14:iconSet iconSet="3Symbols" custom="1">
              <x14:cfvo type="percent">
                <xm:f>0</xm:f>
              </x14:cfvo>
              <x14:cfvo type="num">
                <xm:f>0.08</xm:f>
              </x14:cfvo>
              <x14:cfvo type="num">
                <xm:f>0.1</xm:f>
              </x14:cfvo>
              <x14:cfIcon iconSet="3Symbols" iconId="2"/>
              <x14:cfIcon iconSet="3Symbols" iconId="1"/>
              <x14:cfIcon iconSet="3Symbols" iconId="0"/>
            </x14:iconSet>
          </x14:cfRule>
          <xm:sqref>F16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Справочно!$G$3:$G$63</xm:f>
          </x14:formula1>
          <xm:sqref>K22:K27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18"/>
  <sheetViews>
    <sheetView zoomScale="85" zoomScaleNormal="85" workbookViewId="0">
      <selection activeCell="C117" sqref="C117"/>
    </sheetView>
  </sheetViews>
  <sheetFormatPr defaultRowHeight="12.75" x14ac:dyDescent="0.2"/>
  <cols>
    <col min="1" max="1" width="3.28515625" style="59" customWidth="1"/>
    <col min="2" max="2" width="54.140625" style="59" customWidth="1"/>
    <col min="3" max="3" width="21.85546875" style="59" customWidth="1"/>
    <col min="4" max="4" width="22.7109375" style="59" customWidth="1"/>
    <col min="5" max="5" width="24.28515625" style="59" customWidth="1"/>
    <col min="6" max="6" width="20.28515625" style="59" customWidth="1"/>
    <col min="7" max="7" width="18.7109375" style="59" customWidth="1"/>
    <col min="8" max="9" width="20.85546875" style="59" customWidth="1"/>
    <col min="10" max="10" width="13" style="59" customWidth="1"/>
    <col min="11" max="11" width="6" style="59" customWidth="1"/>
    <col min="12" max="12" width="17.140625" style="59" customWidth="1"/>
    <col min="13" max="13" width="16" style="59" customWidth="1"/>
    <col min="14" max="14" width="23" style="59" customWidth="1"/>
    <col min="15" max="15" width="18.140625" style="59" customWidth="1"/>
    <col min="16" max="16" width="18.5703125" style="59" customWidth="1"/>
    <col min="17" max="17" width="16" style="59" customWidth="1"/>
    <col min="18" max="18" width="18.85546875" style="59" customWidth="1"/>
    <col min="19" max="19" width="19.28515625" style="59" customWidth="1"/>
    <col min="20" max="20" width="20.140625" style="59" customWidth="1"/>
    <col min="21" max="21" width="16" style="59" customWidth="1"/>
    <col min="22" max="22" width="19.42578125" style="59" customWidth="1"/>
    <col min="23" max="23" width="18.7109375" style="59" customWidth="1"/>
    <col min="24" max="24" width="18.140625" style="59" customWidth="1"/>
    <col min="25" max="25" width="16" style="59" customWidth="1"/>
    <col min="26" max="26" width="21.5703125" style="59" customWidth="1"/>
    <col min="27" max="27" width="18.28515625" style="59" customWidth="1"/>
    <col min="28" max="29" width="16" style="59" customWidth="1"/>
    <col min="30" max="30" width="26.7109375" style="59" customWidth="1"/>
    <col min="31" max="33" width="16" style="59" customWidth="1"/>
    <col min="34" max="34" width="17.5703125" style="59" customWidth="1"/>
    <col min="35" max="37" width="16" style="59" customWidth="1"/>
    <col min="38" max="38" width="18.5703125" style="59" customWidth="1"/>
    <col min="39" max="41" width="16" style="59" customWidth="1"/>
    <col min="42" max="42" width="21.7109375" style="59" customWidth="1"/>
    <col min="43" max="43" width="16" style="59" customWidth="1"/>
    <col min="44" max="44" width="16" style="59" customWidth="1" collapsed="1"/>
    <col min="45" max="57" width="16" style="59" customWidth="1"/>
    <col min="58" max="58" width="18.85546875" style="59" customWidth="1"/>
    <col min="59" max="59" width="16" style="59" customWidth="1"/>
    <col min="60" max="60" width="16" style="59" customWidth="1" collapsed="1"/>
    <col min="61" max="75" width="16" style="59" customWidth="1"/>
    <col min="76" max="16384" width="9.140625" style="59"/>
  </cols>
  <sheetData>
    <row r="1" spans="1:31" ht="2.25" customHeight="1" x14ac:dyDescent="0.2"/>
    <row r="2" spans="1:31" ht="25.5" customHeight="1" x14ac:dyDescent="0.2">
      <c r="B2" s="617" t="s">
        <v>272</v>
      </c>
      <c r="C2" s="617"/>
      <c r="D2" s="617"/>
      <c r="E2" s="617"/>
      <c r="F2" s="617"/>
      <c r="G2" s="617"/>
      <c r="H2" s="617"/>
      <c r="I2" s="617"/>
      <c r="J2" s="617"/>
    </row>
    <row r="3" spans="1:31" ht="13.5" customHeight="1" thickBot="1" x14ac:dyDescent="0.25">
      <c r="A3" s="14"/>
      <c r="B3" s="14"/>
      <c r="C3" s="205"/>
      <c r="D3" s="207"/>
      <c r="E3" s="143" t="s">
        <v>317</v>
      </c>
      <c r="F3" s="207"/>
      <c r="G3" s="14" t="s">
        <v>318</v>
      </c>
      <c r="H3" s="14"/>
      <c r="I3" s="14"/>
      <c r="J3" s="14"/>
    </row>
    <row r="4" spans="1:31" ht="18" customHeight="1" thickBot="1" x14ac:dyDescent="0.25">
      <c r="A4" s="110"/>
      <c r="B4" s="110"/>
      <c r="C4" s="110"/>
      <c r="D4" s="110"/>
      <c r="E4" s="110"/>
      <c r="F4" s="110"/>
      <c r="G4" s="110"/>
      <c r="H4" s="110"/>
      <c r="I4" s="110"/>
      <c r="J4" s="110"/>
    </row>
    <row r="5" spans="1:31" x14ac:dyDescent="0.2">
      <c r="B5" s="122" t="s">
        <v>1</v>
      </c>
      <c r="C5" s="753">
        <f>РПЗ!$B4</f>
        <v>0</v>
      </c>
      <c r="D5" s="754"/>
      <c r="E5" s="127"/>
      <c r="F5" s="127"/>
      <c r="G5" s="127"/>
      <c r="J5" s="127"/>
    </row>
    <row r="6" spans="1:31" x14ac:dyDescent="0.2">
      <c r="B6" s="123" t="s">
        <v>2</v>
      </c>
      <c r="C6" s="755">
        <f>РПЗ!$B5</f>
        <v>0</v>
      </c>
      <c r="D6" s="756"/>
      <c r="E6" s="127"/>
      <c r="F6" s="127"/>
      <c r="G6" s="127"/>
      <c r="J6" s="127"/>
    </row>
    <row r="7" spans="1:31" x14ac:dyDescent="0.2">
      <c r="B7" s="123" t="s">
        <v>3</v>
      </c>
      <c r="C7" s="757">
        <f>РПЗ!$B6</f>
        <v>0</v>
      </c>
      <c r="D7" s="756"/>
      <c r="E7" s="127"/>
      <c r="F7" s="127"/>
      <c r="G7" s="127"/>
      <c r="J7" s="127"/>
    </row>
    <row r="8" spans="1:31" x14ac:dyDescent="0.2">
      <c r="B8" s="123" t="s">
        <v>4</v>
      </c>
      <c r="C8" s="755">
        <f>РПЗ!$B7</f>
        <v>0</v>
      </c>
      <c r="D8" s="756"/>
      <c r="E8" s="127"/>
      <c r="F8" s="127"/>
      <c r="G8" s="127"/>
      <c r="H8" s="127"/>
      <c r="I8" s="127"/>
      <c r="J8" s="127"/>
    </row>
    <row r="9" spans="1:31" x14ac:dyDescent="0.2">
      <c r="B9" s="123" t="s">
        <v>5</v>
      </c>
      <c r="C9" s="755">
        <f>РПЗ!$B8</f>
        <v>0</v>
      </c>
      <c r="D9" s="756"/>
      <c r="E9" s="127"/>
      <c r="F9" s="127"/>
      <c r="G9" s="127"/>
      <c r="H9" s="127"/>
      <c r="I9" s="127"/>
      <c r="J9" s="127"/>
    </row>
    <row r="10" spans="1:31" x14ac:dyDescent="0.2">
      <c r="B10" s="123" t="s">
        <v>6</v>
      </c>
      <c r="C10" s="755">
        <f>РПЗ!$B9</f>
        <v>0</v>
      </c>
      <c r="D10" s="756"/>
    </row>
    <row r="11" spans="1:31" ht="13.5" thickBot="1" x14ac:dyDescent="0.25">
      <c r="B11" s="124" t="s">
        <v>7</v>
      </c>
      <c r="C11" s="758">
        <f>РПЗ!$B10</f>
        <v>0</v>
      </c>
      <c r="D11" s="759"/>
    </row>
    <row r="12" spans="1:31" ht="31.5" customHeight="1" thickBot="1" x14ac:dyDescent="0.25">
      <c r="B12" s="125" t="s">
        <v>320</v>
      </c>
      <c r="C12" s="706"/>
      <c r="D12" s="707"/>
    </row>
    <row r="13" spans="1:31" ht="6" hidden="1" customHeight="1" x14ac:dyDescent="0.2">
      <c r="B13" s="19"/>
      <c r="C13" s="136"/>
      <c r="D13" s="136"/>
    </row>
    <row r="14" spans="1:31" ht="15.75" customHeight="1" thickBot="1" x14ac:dyDescent="0.25">
      <c r="B14" s="19"/>
      <c r="K14" s="654" t="s">
        <v>319</v>
      </c>
      <c r="L14" s="654"/>
      <c r="M14" s="654"/>
      <c r="N14" s="654"/>
      <c r="O14" s="654"/>
      <c r="P14" s="654"/>
      <c r="Q14" s="654"/>
      <c r="R14" s="654"/>
      <c r="S14" s="654"/>
      <c r="T14" s="654"/>
      <c r="U14" s="654"/>
      <c r="V14" s="654"/>
      <c r="W14" s="654"/>
      <c r="X14" s="654"/>
      <c r="Y14" s="654"/>
      <c r="Z14" s="654"/>
      <c r="AA14" s="654"/>
    </row>
    <row r="15" spans="1:31" ht="51.75" thickBot="1" x14ac:dyDescent="0.25">
      <c r="B15" s="751" t="s">
        <v>673</v>
      </c>
      <c r="C15" s="751" t="s">
        <v>674</v>
      </c>
      <c r="D15" s="751" t="s">
        <v>672</v>
      </c>
      <c r="E15" s="743" t="s">
        <v>701</v>
      </c>
      <c r="F15" s="65" t="s">
        <v>705</v>
      </c>
      <c r="G15" s="65" t="s">
        <v>705</v>
      </c>
      <c r="H15" s="742" t="s">
        <v>219</v>
      </c>
      <c r="I15" s="739"/>
      <c r="K15" s="776" t="s">
        <v>274</v>
      </c>
      <c r="L15" s="775" t="s">
        <v>280</v>
      </c>
      <c r="M15" s="775"/>
      <c r="N15" s="775"/>
      <c r="O15" s="775"/>
      <c r="P15" s="775" t="s">
        <v>281</v>
      </c>
      <c r="Q15" s="775"/>
      <c r="R15" s="775"/>
      <c r="S15" s="775"/>
      <c r="T15" s="775" t="s">
        <v>282</v>
      </c>
      <c r="U15" s="775"/>
      <c r="V15" s="775"/>
      <c r="W15" s="775"/>
      <c r="X15" s="775" t="s">
        <v>283</v>
      </c>
      <c r="Y15" s="775"/>
      <c r="Z15" s="775"/>
      <c r="AA15" s="784"/>
      <c r="AB15" s="208"/>
      <c r="AC15" s="787">
        <f>ПП!$G$3</f>
        <v>0</v>
      </c>
      <c r="AD15" s="787"/>
      <c r="AE15" s="209"/>
    </row>
    <row r="16" spans="1:31" ht="15" customHeight="1" thickBot="1" x14ac:dyDescent="0.25">
      <c r="B16" s="752"/>
      <c r="C16" s="752"/>
      <c r="D16" s="752"/>
      <c r="E16" s="744"/>
      <c r="F16" s="249" t="s">
        <v>40</v>
      </c>
      <c r="G16" s="249" t="s">
        <v>247</v>
      </c>
      <c r="H16" s="94" t="s">
        <v>222</v>
      </c>
      <c r="I16" s="75" t="s">
        <v>116</v>
      </c>
      <c r="K16" s="777"/>
      <c r="L16" s="785" t="s">
        <v>290</v>
      </c>
      <c r="M16" s="785"/>
      <c r="N16" s="785" t="s">
        <v>291</v>
      </c>
      <c r="O16" s="785"/>
      <c r="P16" s="785" t="s">
        <v>290</v>
      </c>
      <c r="Q16" s="785"/>
      <c r="R16" s="785" t="s">
        <v>291</v>
      </c>
      <c r="S16" s="785"/>
      <c r="T16" s="785" t="s">
        <v>290</v>
      </c>
      <c r="U16" s="785"/>
      <c r="V16" s="785" t="s">
        <v>291</v>
      </c>
      <c r="W16" s="785"/>
      <c r="X16" s="785" t="s">
        <v>290</v>
      </c>
      <c r="Y16" s="785"/>
      <c r="Z16" s="785" t="s">
        <v>291</v>
      </c>
      <c r="AA16" s="786"/>
      <c r="AB16" s="782" t="s">
        <v>290</v>
      </c>
      <c r="AC16" s="782"/>
      <c r="AD16" s="782" t="s">
        <v>291</v>
      </c>
      <c r="AE16" s="782"/>
    </row>
    <row r="17" spans="2:75" ht="12.75" customHeight="1" thickBot="1" x14ac:dyDescent="0.25">
      <c r="B17" s="255">
        <f>COUNTIF(Таблица5[2],"*-*")</f>
        <v>0</v>
      </c>
      <c r="C17" s="255">
        <f>COUNTA(Таблица5[11])</f>
        <v>0</v>
      </c>
      <c r="D17" s="244">
        <f>COUNTIF(Таблица5[30], "&gt;0")</f>
        <v>0</v>
      </c>
      <c r="E17" s="293" t="e">
        <f>$C$17/(IF($D$3=1,$X$52,0)+IF($D$3=2,$X$52+$AN$52,0)+IF($D$3=3,$X$52+$AN$52+$BD$52,0)+IF($D$3=4,$X$52+$AN$52+$BD$52+$BT$52,0))</f>
        <v>#DIV/0!</v>
      </c>
      <c r="F17" s="294">
        <f>SUMIF('Отчет РПЗ(ПЗ)_ПЗИП'!AG:AG,"&gt;0",'Отчет РПЗ(ПЗ)_ПЗИП'!W:W)</f>
        <v>0</v>
      </c>
      <c r="G17" s="294">
        <f>SUM('Отчет РПЗ(ПЗ)_ПЗИП'!$AG:$AG)</f>
        <v>0</v>
      </c>
      <c r="H17" s="295">
        <f>F17-G17</f>
        <v>0</v>
      </c>
      <c r="I17" s="296" t="e">
        <f>H17/F17</f>
        <v>#DIV/0!</v>
      </c>
      <c r="K17" s="777"/>
      <c r="L17" s="762" t="s">
        <v>278</v>
      </c>
      <c r="M17" s="762" t="s">
        <v>279</v>
      </c>
      <c r="N17" s="762" t="s">
        <v>278</v>
      </c>
      <c r="O17" s="762" t="s">
        <v>279</v>
      </c>
      <c r="P17" s="762" t="s">
        <v>278</v>
      </c>
      <c r="Q17" s="762" t="s">
        <v>279</v>
      </c>
      <c r="R17" s="762" t="s">
        <v>278</v>
      </c>
      <c r="S17" s="762" t="s">
        <v>279</v>
      </c>
      <c r="T17" s="762" t="s">
        <v>278</v>
      </c>
      <c r="U17" s="762" t="s">
        <v>279</v>
      </c>
      <c r="V17" s="762" t="s">
        <v>278</v>
      </c>
      <c r="W17" s="762" t="s">
        <v>279</v>
      </c>
      <c r="X17" s="762" t="s">
        <v>278</v>
      </c>
      <c r="Y17" s="762" t="s">
        <v>279</v>
      </c>
      <c r="Z17" s="762" t="s">
        <v>278</v>
      </c>
      <c r="AA17" s="760" t="s">
        <v>279</v>
      </c>
      <c r="AB17" s="783" t="s">
        <v>278</v>
      </c>
      <c r="AC17" s="783" t="s">
        <v>279</v>
      </c>
      <c r="AD17" s="783" t="s">
        <v>278</v>
      </c>
      <c r="AE17" s="783" t="s">
        <v>279</v>
      </c>
    </row>
    <row r="18" spans="2:75" ht="31.5" customHeight="1" thickBot="1" x14ac:dyDescent="0.25">
      <c r="B18" s="19"/>
      <c r="C18" s="64"/>
      <c r="D18" s="64"/>
      <c r="E18" s="64"/>
      <c r="F18" s="64"/>
      <c r="G18" s="64"/>
      <c r="H18" s="64"/>
      <c r="K18" s="777"/>
      <c r="L18" s="762"/>
      <c r="M18" s="762"/>
      <c r="N18" s="762"/>
      <c r="O18" s="762"/>
      <c r="P18" s="762"/>
      <c r="Q18" s="762"/>
      <c r="R18" s="762"/>
      <c r="S18" s="762"/>
      <c r="T18" s="762"/>
      <c r="U18" s="762"/>
      <c r="V18" s="762"/>
      <c r="W18" s="762"/>
      <c r="X18" s="762"/>
      <c r="Y18" s="762"/>
      <c r="Z18" s="762"/>
      <c r="AA18" s="760"/>
      <c r="AB18" s="783"/>
      <c r="AC18" s="783"/>
      <c r="AD18" s="783"/>
      <c r="AE18" s="783"/>
    </row>
    <row r="19" spans="2:75" ht="22.5" customHeight="1" thickBot="1" x14ac:dyDescent="0.25">
      <c r="B19" s="738" t="s">
        <v>702</v>
      </c>
      <c r="C19" s="774"/>
      <c r="D19" s="739"/>
      <c r="E19" s="377" t="e">
        <f>($C$17/$B$17)*100</f>
        <v>#DIV/0!</v>
      </c>
      <c r="G19" s="64"/>
      <c r="K19" s="778"/>
      <c r="L19" s="763"/>
      <c r="M19" s="763"/>
      <c r="N19" s="763"/>
      <c r="O19" s="763"/>
      <c r="P19" s="763"/>
      <c r="Q19" s="763"/>
      <c r="R19" s="763"/>
      <c r="S19" s="763"/>
      <c r="T19" s="763"/>
      <c r="U19" s="763"/>
      <c r="V19" s="763"/>
      <c r="W19" s="763"/>
      <c r="X19" s="763"/>
      <c r="Y19" s="763"/>
      <c r="Z19" s="763"/>
      <c r="AA19" s="761"/>
      <c r="AB19" s="783"/>
      <c r="AC19" s="783"/>
      <c r="AD19" s="783"/>
      <c r="AE19" s="783"/>
    </row>
    <row r="20" spans="2:75" ht="48.75" customHeight="1" thickBot="1" x14ac:dyDescent="0.25">
      <c r="B20" s="19"/>
      <c r="K20" s="163" t="s">
        <v>275</v>
      </c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6"/>
      <c r="AB20" s="170">
        <f>SUM(L20,P20,T20,X20)</f>
        <v>0</v>
      </c>
      <c r="AC20" s="170">
        <f t="shared" ref="AC20:AE22" si="0">SUM(M20,Q20,U20,Y20)</f>
        <v>0</v>
      </c>
      <c r="AD20" s="170">
        <f t="shared" si="0"/>
        <v>0</v>
      </c>
      <c r="AE20" s="170">
        <f t="shared" si="0"/>
        <v>0</v>
      </c>
    </row>
    <row r="21" spans="2:75" ht="49.5" customHeight="1" thickBot="1" x14ac:dyDescent="0.25">
      <c r="B21" s="772" t="s">
        <v>865</v>
      </c>
      <c r="C21" s="548" t="s">
        <v>828</v>
      </c>
      <c r="D21" s="548" t="s">
        <v>829</v>
      </c>
      <c r="E21" s="548" t="s">
        <v>831</v>
      </c>
      <c r="F21" s="549" t="s">
        <v>1045</v>
      </c>
      <c r="K21" s="132" t="s">
        <v>276</v>
      </c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8"/>
      <c r="AB21" s="170">
        <f>SUM(L21,P21,T21,X21)</f>
        <v>0</v>
      </c>
      <c r="AC21" s="170">
        <f t="shared" si="0"/>
        <v>0</v>
      </c>
      <c r="AD21" s="170">
        <f t="shared" si="0"/>
        <v>0</v>
      </c>
      <c r="AE21" s="170">
        <f t="shared" si="0"/>
        <v>0</v>
      </c>
    </row>
    <row r="22" spans="2:75" ht="34.5" customHeight="1" thickBot="1" x14ac:dyDescent="0.25">
      <c r="B22" s="773"/>
      <c r="C22" s="169">
        <f>COUNT(МалыеЗакупки[6])</f>
        <v>0</v>
      </c>
      <c r="D22" s="169">
        <f>SUM(МалыеЗакупки[6])</f>
        <v>0</v>
      </c>
      <c r="E22" s="572">
        <f>'Закупки до 100-500т.р.'!$F$15</f>
        <v>0</v>
      </c>
      <c r="F22" s="571" t="e">
        <f>'Закупки до 100-500т.р.'!F16</f>
        <v>#DIV/0!</v>
      </c>
      <c r="K22" s="133" t="s">
        <v>277</v>
      </c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30"/>
      <c r="AB22" s="170">
        <f>SUM(L22,P22,T22,X22)</f>
        <v>0</v>
      </c>
      <c r="AC22" s="170">
        <f t="shared" si="0"/>
        <v>0</v>
      </c>
      <c r="AD22" s="170">
        <f t="shared" si="0"/>
        <v>0</v>
      </c>
      <c r="AE22" s="170">
        <f t="shared" si="0"/>
        <v>0</v>
      </c>
    </row>
    <row r="23" spans="2:75" ht="13.5" thickBot="1" x14ac:dyDescent="0.25">
      <c r="B23" s="19"/>
      <c r="C23" s="160"/>
      <c r="D23" s="160"/>
      <c r="E23" s="161"/>
      <c r="F23" s="161"/>
      <c r="G23" s="161"/>
      <c r="H23" s="161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28"/>
    </row>
    <row r="24" spans="2:75" ht="15.75" customHeight="1" thickBot="1" x14ac:dyDescent="0.25">
      <c r="B24" s="652" t="s">
        <v>9</v>
      </c>
      <c r="C24" s="741" t="s">
        <v>289</v>
      </c>
      <c r="D24" s="741" t="s">
        <v>241</v>
      </c>
      <c r="E24" s="741" t="s">
        <v>289</v>
      </c>
      <c r="F24" s="741" t="s">
        <v>241</v>
      </c>
      <c r="G24" s="741" t="s">
        <v>288</v>
      </c>
      <c r="H24" s="741" t="s">
        <v>243</v>
      </c>
      <c r="I24" s="741" t="s">
        <v>26</v>
      </c>
      <c r="J24" s="653" t="s">
        <v>671</v>
      </c>
      <c r="K24" s="64"/>
      <c r="L24" s="779" t="s">
        <v>280</v>
      </c>
      <c r="M24" s="780"/>
      <c r="N24" s="780"/>
      <c r="O24" s="780"/>
      <c r="P24" s="780"/>
      <c r="Q24" s="780"/>
      <c r="R24" s="780"/>
      <c r="S24" s="780"/>
      <c r="T24" s="780"/>
      <c r="U24" s="780"/>
      <c r="V24" s="780"/>
      <c r="W24" s="780"/>
      <c r="X24" s="780"/>
      <c r="Y24" s="780"/>
      <c r="Z24" s="780"/>
      <c r="AA24" s="781"/>
      <c r="AB24" s="788" t="s">
        <v>281</v>
      </c>
      <c r="AC24" s="789"/>
      <c r="AD24" s="789"/>
      <c r="AE24" s="789"/>
      <c r="AF24" s="789"/>
      <c r="AG24" s="789"/>
      <c r="AH24" s="789"/>
      <c r="AI24" s="789"/>
      <c r="AJ24" s="789"/>
      <c r="AK24" s="789"/>
      <c r="AL24" s="789"/>
      <c r="AM24" s="789"/>
      <c r="AN24" s="789"/>
      <c r="AO24" s="789"/>
      <c r="AP24" s="789"/>
      <c r="AQ24" s="790"/>
      <c r="AR24" s="797" t="s">
        <v>282</v>
      </c>
      <c r="AS24" s="798"/>
      <c r="AT24" s="798"/>
      <c r="AU24" s="798"/>
      <c r="AV24" s="798"/>
      <c r="AW24" s="798"/>
      <c r="AX24" s="798"/>
      <c r="AY24" s="798"/>
      <c r="AZ24" s="798"/>
      <c r="BA24" s="798"/>
      <c r="BB24" s="798"/>
      <c r="BC24" s="798"/>
      <c r="BD24" s="798"/>
      <c r="BE24" s="798"/>
      <c r="BF24" s="798"/>
      <c r="BG24" s="799"/>
      <c r="BH24" s="794" t="s">
        <v>283</v>
      </c>
      <c r="BI24" s="795"/>
      <c r="BJ24" s="795"/>
      <c r="BK24" s="795"/>
      <c r="BL24" s="795"/>
      <c r="BM24" s="795"/>
      <c r="BN24" s="795"/>
      <c r="BO24" s="795"/>
      <c r="BP24" s="795"/>
      <c r="BQ24" s="795"/>
      <c r="BR24" s="795"/>
      <c r="BS24" s="795"/>
      <c r="BT24" s="795"/>
      <c r="BU24" s="795"/>
      <c r="BV24" s="795"/>
      <c r="BW24" s="796"/>
    </row>
    <row r="25" spans="2:75" ht="15" customHeight="1" thickBot="1" x14ac:dyDescent="0.25">
      <c r="B25" s="770"/>
      <c r="C25" s="768"/>
      <c r="D25" s="768"/>
      <c r="E25" s="768"/>
      <c r="F25" s="768"/>
      <c r="G25" s="768"/>
      <c r="H25" s="768"/>
      <c r="I25" s="768"/>
      <c r="J25" s="769"/>
      <c r="K25" s="64"/>
      <c r="L25" s="658" t="str">
        <f>ПП!G14</f>
        <v xml:space="preserve">Январь </v>
      </c>
      <c r="M25" s="659"/>
      <c r="N25" s="659"/>
      <c r="O25" s="659"/>
      <c r="P25" s="659" t="str">
        <f>ПП!I14</f>
        <v xml:space="preserve">Февраль </v>
      </c>
      <c r="Q25" s="659"/>
      <c r="R25" s="659"/>
      <c r="S25" s="659"/>
      <c r="T25" s="659" t="str">
        <f>ПП!K14</f>
        <v xml:space="preserve">Март </v>
      </c>
      <c r="U25" s="659"/>
      <c r="V25" s="659"/>
      <c r="W25" s="660"/>
      <c r="X25" s="661" t="s">
        <v>284</v>
      </c>
      <c r="Y25" s="661"/>
      <c r="Z25" s="661"/>
      <c r="AA25" s="661"/>
      <c r="AB25" s="658" t="str">
        <f>ПП!O14</f>
        <v xml:space="preserve">Апрель </v>
      </c>
      <c r="AC25" s="659"/>
      <c r="AD25" s="659"/>
      <c r="AE25" s="659"/>
      <c r="AF25" s="659" t="str">
        <f>ПП!Q14</f>
        <v xml:space="preserve">Май </v>
      </c>
      <c r="AG25" s="659"/>
      <c r="AH25" s="659"/>
      <c r="AI25" s="659"/>
      <c r="AJ25" s="659" t="str">
        <f>ПП!S14</f>
        <v xml:space="preserve">Июнь </v>
      </c>
      <c r="AK25" s="659"/>
      <c r="AL25" s="659"/>
      <c r="AM25" s="660"/>
      <c r="AN25" s="661" t="s">
        <v>285</v>
      </c>
      <c r="AO25" s="661"/>
      <c r="AP25" s="661"/>
      <c r="AQ25" s="661"/>
      <c r="AR25" s="658" t="str">
        <f>ПП!W14</f>
        <v xml:space="preserve">Июль </v>
      </c>
      <c r="AS25" s="659"/>
      <c r="AT25" s="659"/>
      <c r="AU25" s="659"/>
      <c r="AV25" s="659" t="str">
        <f>ПП!Y14</f>
        <v xml:space="preserve">Август </v>
      </c>
      <c r="AW25" s="659"/>
      <c r="AX25" s="659"/>
      <c r="AY25" s="659"/>
      <c r="AZ25" s="659" t="str">
        <f>ПП!AA14</f>
        <v xml:space="preserve">Сентябрь </v>
      </c>
      <c r="BA25" s="659"/>
      <c r="BB25" s="659"/>
      <c r="BC25" s="660"/>
      <c r="BD25" s="661" t="s">
        <v>286</v>
      </c>
      <c r="BE25" s="661"/>
      <c r="BF25" s="661"/>
      <c r="BG25" s="661"/>
      <c r="BH25" s="658" t="str">
        <f>ПП!AE14</f>
        <v xml:space="preserve">Октябрь </v>
      </c>
      <c r="BI25" s="659"/>
      <c r="BJ25" s="659"/>
      <c r="BK25" s="659"/>
      <c r="BL25" s="659" t="str">
        <f>ПП!AG14</f>
        <v xml:space="preserve">Ноябрь </v>
      </c>
      <c r="BM25" s="659"/>
      <c r="BN25" s="659"/>
      <c r="BO25" s="659"/>
      <c r="BP25" s="659" t="str">
        <f>ПП!AI14</f>
        <v xml:space="preserve">Декабрь </v>
      </c>
      <c r="BQ25" s="659"/>
      <c r="BR25" s="659"/>
      <c r="BS25" s="660"/>
      <c r="BT25" s="661" t="s">
        <v>287</v>
      </c>
      <c r="BU25" s="661"/>
      <c r="BV25" s="661"/>
      <c r="BW25" s="661"/>
    </row>
    <row r="26" spans="2:75" ht="12.75" customHeight="1" thickBot="1" x14ac:dyDescent="0.25">
      <c r="B26" s="770"/>
      <c r="C26" s="768"/>
      <c r="D26" s="768"/>
      <c r="E26" s="768"/>
      <c r="F26" s="768"/>
      <c r="G26" s="768"/>
      <c r="H26" s="768"/>
      <c r="I26" s="768"/>
      <c r="J26" s="769"/>
      <c r="K26" s="64"/>
      <c r="L26" s="770" t="s">
        <v>289</v>
      </c>
      <c r="M26" s="768"/>
      <c r="N26" s="768" t="s">
        <v>288</v>
      </c>
      <c r="O26" s="768"/>
      <c r="P26" s="768" t="s">
        <v>289</v>
      </c>
      <c r="Q26" s="768"/>
      <c r="R26" s="768" t="s">
        <v>288</v>
      </c>
      <c r="S26" s="768"/>
      <c r="T26" s="768" t="s">
        <v>289</v>
      </c>
      <c r="U26" s="768"/>
      <c r="V26" s="768" t="s">
        <v>288</v>
      </c>
      <c r="W26" s="769"/>
      <c r="X26" s="747" t="s">
        <v>289</v>
      </c>
      <c r="Y26" s="747"/>
      <c r="Z26" s="747" t="s">
        <v>288</v>
      </c>
      <c r="AA26" s="747"/>
      <c r="AB26" s="770" t="s">
        <v>289</v>
      </c>
      <c r="AC26" s="768"/>
      <c r="AD26" s="768" t="s">
        <v>288</v>
      </c>
      <c r="AE26" s="768"/>
      <c r="AF26" s="768" t="s">
        <v>289</v>
      </c>
      <c r="AG26" s="768"/>
      <c r="AH26" s="768" t="s">
        <v>288</v>
      </c>
      <c r="AI26" s="768"/>
      <c r="AJ26" s="768" t="s">
        <v>289</v>
      </c>
      <c r="AK26" s="768"/>
      <c r="AL26" s="768" t="s">
        <v>288</v>
      </c>
      <c r="AM26" s="769"/>
      <c r="AN26" s="747" t="s">
        <v>289</v>
      </c>
      <c r="AO26" s="747"/>
      <c r="AP26" s="747" t="s">
        <v>288</v>
      </c>
      <c r="AQ26" s="747"/>
      <c r="AR26" s="770" t="s">
        <v>289</v>
      </c>
      <c r="AS26" s="768"/>
      <c r="AT26" s="768" t="s">
        <v>288</v>
      </c>
      <c r="AU26" s="768"/>
      <c r="AV26" s="768" t="s">
        <v>289</v>
      </c>
      <c r="AW26" s="768"/>
      <c r="AX26" s="768" t="s">
        <v>288</v>
      </c>
      <c r="AY26" s="768"/>
      <c r="AZ26" s="768" t="s">
        <v>289</v>
      </c>
      <c r="BA26" s="768"/>
      <c r="BB26" s="768" t="s">
        <v>288</v>
      </c>
      <c r="BC26" s="769"/>
      <c r="BD26" s="747" t="s">
        <v>289</v>
      </c>
      <c r="BE26" s="747"/>
      <c r="BF26" s="747" t="s">
        <v>288</v>
      </c>
      <c r="BG26" s="747"/>
      <c r="BH26" s="770" t="s">
        <v>289</v>
      </c>
      <c r="BI26" s="768"/>
      <c r="BJ26" s="768" t="s">
        <v>288</v>
      </c>
      <c r="BK26" s="768"/>
      <c r="BL26" s="768" t="s">
        <v>289</v>
      </c>
      <c r="BM26" s="768"/>
      <c r="BN26" s="768" t="s">
        <v>288</v>
      </c>
      <c r="BO26" s="768"/>
      <c r="BP26" s="768" t="s">
        <v>289</v>
      </c>
      <c r="BQ26" s="768"/>
      <c r="BR26" s="768" t="s">
        <v>288</v>
      </c>
      <c r="BS26" s="769"/>
      <c r="BT26" s="747" t="s">
        <v>289</v>
      </c>
      <c r="BU26" s="747"/>
      <c r="BV26" s="747" t="s">
        <v>288</v>
      </c>
      <c r="BW26" s="747"/>
    </row>
    <row r="27" spans="2:75" ht="15.75" customHeight="1" thickBot="1" x14ac:dyDescent="0.25">
      <c r="B27" s="771"/>
      <c r="C27" s="740" t="s">
        <v>40</v>
      </c>
      <c r="D27" s="740"/>
      <c r="E27" s="740" t="s">
        <v>247</v>
      </c>
      <c r="F27" s="740"/>
      <c r="G27" s="740" t="s">
        <v>40</v>
      </c>
      <c r="H27" s="740"/>
      <c r="I27" s="740" t="s">
        <v>247</v>
      </c>
      <c r="J27" s="767"/>
      <c r="K27" s="64"/>
      <c r="L27" s="139" t="s">
        <v>40</v>
      </c>
      <c r="M27" s="140" t="s">
        <v>247</v>
      </c>
      <c r="N27" s="140" t="s">
        <v>40</v>
      </c>
      <c r="O27" s="140" t="s">
        <v>247</v>
      </c>
      <c r="P27" s="140" t="s">
        <v>40</v>
      </c>
      <c r="Q27" s="140" t="s">
        <v>247</v>
      </c>
      <c r="R27" s="140" t="s">
        <v>40</v>
      </c>
      <c r="S27" s="140" t="s">
        <v>247</v>
      </c>
      <c r="T27" s="140" t="s">
        <v>40</v>
      </c>
      <c r="U27" s="140" t="s">
        <v>247</v>
      </c>
      <c r="V27" s="140" t="s">
        <v>40</v>
      </c>
      <c r="W27" s="141" t="s">
        <v>247</v>
      </c>
      <c r="X27" s="100" t="s">
        <v>40</v>
      </c>
      <c r="Y27" s="100" t="s">
        <v>247</v>
      </c>
      <c r="Z27" s="100" t="s">
        <v>40</v>
      </c>
      <c r="AA27" s="100" t="s">
        <v>247</v>
      </c>
      <c r="AB27" s="139" t="s">
        <v>40</v>
      </c>
      <c r="AC27" s="140" t="s">
        <v>247</v>
      </c>
      <c r="AD27" s="140" t="s">
        <v>40</v>
      </c>
      <c r="AE27" s="140" t="s">
        <v>247</v>
      </c>
      <c r="AF27" s="140" t="s">
        <v>40</v>
      </c>
      <c r="AG27" s="140" t="s">
        <v>247</v>
      </c>
      <c r="AH27" s="140" t="s">
        <v>40</v>
      </c>
      <c r="AI27" s="140" t="s">
        <v>247</v>
      </c>
      <c r="AJ27" s="140" t="s">
        <v>40</v>
      </c>
      <c r="AK27" s="140" t="s">
        <v>247</v>
      </c>
      <c r="AL27" s="140" t="s">
        <v>40</v>
      </c>
      <c r="AM27" s="141" t="s">
        <v>247</v>
      </c>
      <c r="AN27" s="100" t="s">
        <v>40</v>
      </c>
      <c r="AO27" s="100" t="s">
        <v>247</v>
      </c>
      <c r="AP27" s="100" t="s">
        <v>40</v>
      </c>
      <c r="AQ27" s="100" t="s">
        <v>247</v>
      </c>
      <c r="AR27" s="139" t="s">
        <v>40</v>
      </c>
      <c r="AS27" s="140" t="s">
        <v>247</v>
      </c>
      <c r="AT27" s="140" t="s">
        <v>40</v>
      </c>
      <c r="AU27" s="140" t="s">
        <v>247</v>
      </c>
      <c r="AV27" s="140" t="s">
        <v>40</v>
      </c>
      <c r="AW27" s="140" t="s">
        <v>247</v>
      </c>
      <c r="AX27" s="140" t="s">
        <v>40</v>
      </c>
      <c r="AY27" s="140" t="s">
        <v>247</v>
      </c>
      <c r="AZ27" s="140" t="s">
        <v>40</v>
      </c>
      <c r="BA27" s="140" t="s">
        <v>247</v>
      </c>
      <c r="BB27" s="140" t="s">
        <v>40</v>
      </c>
      <c r="BC27" s="141" t="s">
        <v>247</v>
      </c>
      <c r="BD27" s="100" t="s">
        <v>40</v>
      </c>
      <c r="BE27" s="100" t="s">
        <v>247</v>
      </c>
      <c r="BF27" s="100" t="s">
        <v>40</v>
      </c>
      <c r="BG27" s="100" t="s">
        <v>247</v>
      </c>
      <c r="BH27" s="139" t="s">
        <v>40</v>
      </c>
      <c r="BI27" s="140" t="s">
        <v>247</v>
      </c>
      <c r="BJ27" s="140" t="s">
        <v>40</v>
      </c>
      <c r="BK27" s="140" t="s">
        <v>247</v>
      </c>
      <c r="BL27" s="140" t="s">
        <v>40</v>
      </c>
      <c r="BM27" s="140" t="s">
        <v>247</v>
      </c>
      <c r="BN27" s="140" t="s">
        <v>40</v>
      </c>
      <c r="BO27" s="140" t="s">
        <v>247</v>
      </c>
      <c r="BP27" s="140" t="s">
        <v>40</v>
      </c>
      <c r="BQ27" s="140" t="s">
        <v>247</v>
      </c>
      <c r="BR27" s="140" t="s">
        <v>40</v>
      </c>
      <c r="BS27" s="141" t="s">
        <v>247</v>
      </c>
      <c r="BT27" s="100" t="s">
        <v>40</v>
      </c>
      <c r="BU27" s="100" t="s">
        <v>247</v>
      </c>
      <c r="BV27" s="100" t="s">
        <v>40</v>
      </c>
      <c r="BW27" s="100" t="s">
        <v>247</v>
      </c>
    </row>
    <row r="28" spans="2:75" ht="13.5" thickBot="1" x14ac:dyDescent="0.25">
      <c r="B28" s="85" t="s">
        <v>99</v>
      </c>
      <c r="C28" s="95">
        <f>ПП!B16</f>
        <v>0</v>
      </c>
      <c r="D28" s="381" t="e">
        <f>ПП!C16</f>
        <v>#DIV/0!</v>
      </c>
      <c r="E28" s="66">
        <f>COUNTIFS('Отчет РПЗ(ПЗ)_ПЗИП'!$G:$G,Справочно!$C12,'Отчет РПЗ(ПЗ)_ПЗИП'!AG:AG, "&gt;0")</f>
        <v>0</v>
      </c>
      <c r="F28" s="382" t="e">
        <f>E28/$E$52</f>
        <v>#DIV/0!</v>
      </c>
      <c r="G28" s="383">
        <f>ПП!D16</f>
        <v>0</v>
      </c>
      <c r="H28" s="384" t="e">
        <f>ПП!E16</f>
        <v>#DIV/0!</v>
      </c>
      <c r="I28" s="385">
        <f>SUMIF('Отчет РПЗ(ПЗ)_ПЗИП'!$G:$G,Справочно!$C12,'Отчет РПЗ(ПЗ)_ПЗИП'!$AG:$AG)</f>
        <v>0</v>
      </c>
      <c r="J28" s="382" t="e">
        <f>I28/$I$52</f>
        <v>#DIV/0!</v>
      </c>
      <c r="K28" s="64"/>
      <c r="L28" s="164">
        <f>ПП!G16</f>
        <v>0</v>
      </c>
      <c r="M28" s="150">
        <f>COUNTIFS('Отчет РПЗ(ПЗ)_ПЗИП'!$G:$G,Справочно!$C12,'Отчет РПЗ(ПЗ)_ПЗИП'!$AR:$AR,1,'Отчет РПЗ(ПЗ)_ПЗИП'!$AG:$AG,"&gt;0")</f>
        <v>0</v>
      </c>
      <c r="N28" s="392">
        <f>ПП!H16</f>
        <v>0</v>
      </c>
      <c r="O28" s="330">
        <f>SUMIFS('Отчет РПЗ(ПЗ)_ПЗИП'!$AG:$AG,'Отчет РПЗ(ПЗ)_ПЗИП'!$G:$G,Справочно!$C12,'Отчет РПЗ(ПЗ)_ПЗИП'!$AR:$AR,1,'Отчет РПЗ(ПЗ)_ПЗИП'!$AG:$AG,"&gt;0")</f>
        <v>0</v>
      </c>
      <c r="P28" s="166">
        <f>ПП!I16</f>
        <v>0</v>
      </c>
      <c r="Q28" s="165">
        <f>COUNTIFS('Отчет РПЗ(ПЗ)_ПЗИП'!$G:$G,Справочно!$C12,'Отчет РПЗ(ПЗ)_ПЗИП'!$AR:$AR,2,'Отчет РПЗ(ПЗ)_ПЗИП'!$AG:$AG,"&gt;0")</f>
        <v>0</v>
      </c>
      <c r="R28" s="392">
        <f>ПП!J16</f>
        <v>0</v>
      </c>
      <c r="S28" s="330">
        <f>SUMIFS('Отчет РПЗ(ПЗ)_ПЗИП'!$AG:$AG,'Отчет РПЗ(ПЗ)_ПЗИП'!$G:$G,Справочно!$C12,'Отчет РПЗ(ПЗ)_ПЗИП'!$AR:$AR,2,'Отчет РПЗ(ПЗ)_ПЗИП'!$AG:$AG,"&gt;0")</f>
        <v>0</v>
      </c>
      <c r="T28" s="166">
        <f>ПП!K16</f>
        <v>0</v>
      </c>
      <c r="U28" s="165">
        <f>COUNTIFS('Отчет РПЗ(ПЗ)_ПЗИП'!$G:$G,Справочно!$C12,'Отчет РПЗ(ПЗ)_ПЗИП'!$AR:$AR,3,'Отчет РПЗ(ПЗ)_ПЗИП'!$AG:$AG,"&gt;0")</f>
        <v>0</v>
      </c>
      <c r="V28" s="392">
        <f>ПП!L16</f>
        <v>0</v>
      </c>
      <c r="W28" s="331">
        <f>SUMIFS('Отчет РПЗ(ПЗ)_ПЗИП'!$AG:$AG,'Отчет РПЗ(ПЗ)_ПЗИП'!$G:$G,Справочно!$C12,'Отчет РПЗ(ПЗ)_ПЗИП'!$AR:$AR,3,'Отчет РПЗ(ПЗ)_ПЗИП'!$AG:$AG,"&gt;0")</f>
        <v>0</v>
      </c>
      <c r="X28" s="174">
        <f>ПП!M16</f>
        <v>0</v>
      </c>
      <c r="Y28" s="175">
        <f>SUM(M28,Q28,U28)</f>
        <v>0</v>
      </c>
      <c r="Z28" s="393">
        <f>SUM(N28,R28,V28)</f>
        <v>0</v>
      </c>
      <c r="AA28" s="298">
        <f>SUM(O28,S28,W28)</f>
        <v>0</v>
      </c>
      <c r="AB28" s="164">
        <f>ПП!O16</f>
        <v>0</v>
      </c>
      <c r="AC28" s="153">
        <f>COUNTIFS('Отчет РПЗ(ПЗ)_ПЗИП'!$G:$G,Справочно!$C12,'Отчет РПЗ(ПЗ)_ПЗИП'!$AR:$AR,4,'Отчет РПЗ(ПЗ)_ПЗИП'!$AG:$AG,"&gt;0")</f>
        <v>0</v>
      </c>
      <c r="AD28" s="392">
        <f>ПП!P16</f>
        <v>0</v>
      </c>
      <c r="AE28" s="332">
        <f>SUMIFS('Отчет РПЗ(ПЗ)_ПЗИП'!$AG:$AG,'Отчет РПЗ(ПЗ)_ПЗИП'!$G:$G,Справочно!$C12,'Отчет РПЗ(ПЗ)_ПЗИП'!$AR:$AR,4,'Отчет РПЗ(ПЗ)_ПЗИП'!$AG:$AG,"&gt;0")</f>
        <v>0</v>
      </c>
      <c r="AF28" s="166">
        <f>ПП!Q16</f>
        <v>0</v>
      </c>
      <c r="AG28" s="153">
        <f>COUNTIFS('Отчет РПЗ(ПЗ)_ПЗИП'!$G:$G,Справочно!$C12,'Отчет РПЗ(ПЗ)_ПЗИП'!$AR:$AR,5,'Отчет РПЗ(ПЗ)_ПЗИП'!$AG:$AG,"&gt;0")</f>
        <v>0</v>
      </c>
      <c r="AH28" s="392">
        <f>ПП!R16</f>
        <v>0</v>
      </c>
      <c r="AI28" s="332">
        <f>SUMIFS('Отчет РПЗ(ПЗ)_ПЗИП'!$AG:$AG,'Отчет РПЗ(ПЗ)_ПЗИП'!$G:$G,Справочно!$C12,'Отчет РПЗ(ПЗ)_ПЗИП'!$AR:$AR,5,'Отчет РПЗ(ПЗ)_ПЗИП'!$AG:$AG,"&gt;0")</f>
        <v>0</v>
      </c>
      <c r="AJ28" s="166">
        <f>ПП!S16</f>
        <v>0</v>
      </c>
      <c r="AK28" s="153">
        <f>COUNTIFS('Отчет РПЗ(ПЗ)_ПЗИП'!$G:$G,Справочно!$C12,'Отчет РПЗ(ПЗ)_ПЗИП'!$AR:$AR,6,'Отчет РПЗ(ПЗ)_ПЗИП'!$AG:$AG,"&gt;0")</f>
        <v>0</v>
      </c>
      <c r="AL28" s="392">
        <f>ПП!T16</f>
        <v>0</v>
      </c>
      <c r="AM28" s="333">
        <f>SUMIFS('Отчет РПЗ(ПЗ)_ПЗИП'!$AG:$AG,'Отчет РПЗ(ПЗ)_ПЗИП'!$G:$G,Справочно!$C12,'Отчет РПЗ(ПЗ)_ПЗИП'!$AR:$AR,6,'Отчет РПЗ(ПЗ)_ПЗИП'!$AG:$AG,"&gt;0")</f>
        <v>0</v>
      </c>
      <c r="AN28" s="174">
        <f>ПП!U16</f>
        <v>0</v>
      </c>
      <c r="AO28" s="188">
        <f>SUM(AC28,AG28,AK28)</f>
        <v>0</v>
      </c>
      <c r="AP28" s="393">
        <f>SUM(AD28,AH28,AL28)</f>
        <v>0</v>
      </c>
      <c r="AQ28" s="300">
        <f>SUM(AE28,AI28,AM28)</f>
        <v>0</v>
      </c>
      <c r="AR28" s="164">
        <f>ПП!W16</f>
        <v>0</v>
      </c>
      <c r="AS28" s="184">
        <f>COUNTIFS('Отчет РПЗ(ПЗ)_ПЗИП'!$G:$G,Справочно!$C12,'Отчет РПЗ(ПЗ)_ПЗИП'!$AR:$AR,7,'Отчет РПЗ(ПЗ)_ПЗИП'!$AG:$AG,"&gt;0")</f>
        <v>0</v>
      </c>
      <c r="AT28" s="392">
        <f>ПП!X16</f>
        <v>0</v>
      </c>
      <c r="AU28" s="334">
        <f>SUMIFS('Отчет РПЗ(ПЗ)_ПЗИП'!$AG:$AG,'Отчет РПЗ(ПЗ)_ПЗИП'!$G:$G,Справочно!$C12,'Отчет РПЗ(ПЗ)_ПЗИП'!$AR:$AR,7,'Отчет РПЗ(ПЗ)_ПЗИП'!$AG:$AG,"&gt;0")</f>
        <v>0</v>
      </c>
      <c r="AV28" s="166">
        <f>ПП!Y16</f>
        <v>0</v>
      </c>
      <c r="AW28" s="184">
        <f>COUNTIFS('Отчет РПЗ(ПЗ)_ПЗИП'!$G:$G,Справочно!$C12,'Отчет РПЗ(ПЗ)_ПЗИП'!$AR:$AR,8,'Отчет РПЗ(ПЗ)_ПЗИП'!$AG:$AG,"&gt;0")</f>
        <v>0</v>
      </c>
      <c r="AX28" s="392">
        <f>ПП!Z16</f>
        <v>0</v>
      </c>
      <c r="AY28" s="334">
        <f>SUMIFS('Отчет РПЗ(ПЗ)_ПЗИП'!$AG:$AG,'Отчет РПЗ(ПЗ)_ПЗИП'!$G:$G,Справочно!$C12,'Отчет РПЗ(ПЗ)_ПЗИП'!$AR:$AR,8,'Отчет РПЗ(ПЗ)_ПЗИП'!$AG:$AG,"&gt;0")</f>
        <v>0</v>
      </c>
      <c r="AZ28" s="166">
        <f>ПП!AA16</f>
        <v>0</v>
      </c>
      <c r="BA28" s="184">
        <f>COUNTIFS('Отчет РПЗ(ПЗ)_ПЗИП'!$G:$G,Справочно!$C12,'Отчет РПЗ(ПЗ)_ПЗИП'!$AR:$AR,9,'Отчет РПЗ(ПЗ)_ПЗИП'!$AG:$AG,"&gt;0")</f>
        <v>0</v>
      </c>
      <c r="BB28" s="392">
        <f>ПП!AB16</f>
        <v>0</v>
      </c>
      <c r="BC28" s="335">
        <f>SUMIFS('Отчет РПЗ(ПЗ)_ПЗИП'!$AG:$AG,'Отчет РПЗ(ПЗ)_ПЗИП'!$G:$G,Справочно!$C12,'Отчет РПЗ(ПЗ)_ПЗИП'!$AR:$AR,9,'Отчет РПЗ(ПЗ)_ПЗИП'!$AG:$AG,"&gt;0")</f>
        <v>0</v>
      </c>
      <c r="BD28" s="174">
        <f>ПП!AC16</f>
        <v>0</v>
      </c>
      <c r="BE28" s="183">
        <f>SUM(AS28,AW28,BA28)</f>
        <v>0</v>
      </c>
      <c r="BF28" s="393">
        <f>SUM(AT28,AX28,BB28)</f>
        <v>0</v>
      </c>
      <c r="BG28" s="302">
        <f>SUM(AU28,AY28,BC28)</f>
        <v>0</v>
      </c>
      <c r="BH28" s="164">
        <f>ПП!AE16</f>
        <v>0</v>
      </c>
      <c r="BI28" s="179">
        <f>COUNTIFS('Отчет РПЗ(ПЗ)_ПЗИП'!$G:$G,Справочно!$C12,'Отчет РПЗ(ПЗ)_ПЗИП'!$AR:$AR,10,'Отчет РПЗ(ПЗ)_ПЗИП'!$AG:$AG,"&gt;0")</f>
        <v>0</v>
      </c>
      <c r="BJ28" s="392">
        <f>ПП!AF16</f>
        <v>0</v>
      </c>
      <c r="BK28" s="336">
        <f>SUMIFS('Отчет РПЗ(ПЗ)_ПЗИП'!$AG:$AG,'Отчет РПЗ(ПЗ)_ПЗИП'!$G:$G,Справочно!$C12,'Отчет РПЗ(ПЗ)_ПЗИП'!$AR:$AR,10,'Отчет РПЗ(ПЗ)_ПЗИП'!$AG:$AG,"&gt;0")</f>
        <v>0</v>
      </c>
      <c r="BL28" s="166">
        <f>ПП!AG16</f>
        <v>0</v>
      </c>
      <c r="BM28" s="179">
        <f>COUNTIFS('Отчет РПЗ(ПЗ)_ПЗИП'!$G:$G,Справочно!$C12,'Отчет РПЗ(ПЗ)_ПЗИП'!$AR:$AR,11,'Отчет РПЗ(ПЗ)_ПЗИП'!$AG:$AG,"&gt;0")</f>
        <v>0</v>
      </c>
      <c r="BN28" s="392">
        <f>ПП!AH16</f>
        <v>0</v>
      </c>
      <c r="BO28" s="336">
        <f>SUMIFS('Отчет РПЗ(ПЗ)_ПЗИП'!$AG:$AG,'Отчет РПЗ(ПЗ)_ПЗИП'!$G:$G,Справочно!$C12,'Отчет РПЗ(ПЗ)_ПЗИП'!$AR:$AR,11,'Отчет РПЗ(ПЗ)_ПЗИП'!$AG:$AG,"&gt;0")</f>
        <v>0</v>
      </c>
      <c r="BP28" s="166">
        <f>ПП!AI16</f>
        <v>0</v>
      </c>
      <c r="BQ28" s="179">
        <f>COUNTIFS('Отчет РПЗ(ПЗ)_ПЗИП'!$G:$G,Справочно!$C12,'Отчет РПЗ(ПЗ)_ПЗИП'!$AR:$AR,12,'Отчет РПЗ(ПЗ)_ПЗИП'!$AG:$AG,"&gt;0")</f>
        <v>0</v>
      </c>
      <c r="BR28" s="392">
        <f>ПП!AJ16</f>
        <v>0</v>
      </c>
      <c r="BS28" s="337">
        <f>SUMIFS('Отчет РПЗ(ПЗ)_ПЗИП'!$AG:$AG,'Отчет РПЗ(ПЗ)_ПЗИП'!$G:$G,Справочно!$C12,'Отчет РПЗ(ПЗ)_ПЗИП'!$AR:$AR,12,'Отчет РПЗ(ПЗ)_ПЗИП'!$AG:$AG,"&gt;0")</f>
        <v>0</v>
      </c>
      <c r="BT28" s="174">
        <f>ПП!AK16</f>
        <v>0</v>
      </c>
      <c r="BU28" s="182">
        <f>SUM(BI28,BM28,BQ28)</f>
        <v>0</v>
      </c>
      <c r="BV28" s="393">
        <f>SUM(BJ28,BN28,BR28)</f>
        <v>0</v>
      </c>
      <c r="BW28" s="304">
        <f>SUM(BK28,BO28,BS28)</f>
        <v>0</v>
      </c>
    </row>
    <row r="29" spans="2:75" ht="15" customHeight="1" thickBot="1" x14ac:dyDescent="0.25">
      <c r="B29" s="86" t="s">
        <v>248</v>
      </c>
      <c r="C29" s="95">
        <f>ПП!B17</f>
        <v>0</v>
      </c>
      <c r="D29" s="381" t="e">
        <f>ПП!C17</f>
        <v>#DIV/0!</v>
      </c>
      <c r="E29" s="66">
        <f>COUNTIFS('Отчет РПЗ(ПЗ)_ПЗИП'!$G:$G,Справочно!$C13,'Отчет РПЗ(ПЗ)_ПЗИП'!AG:AG, "&gt;0")</f>
        <v>0</v>
      </c>
      <c r="F29" s="382" t="e">
        <f t="shared" ref="F29:F47" si="1">E29/$E$52</f>
        <v>#DIV/0!</v>
      </c>
      <c r="G29" s="383">
        <f>ПП!D17</f>
        <v>0</v>
      </c>
      <c r="H29" s="384" t="e">
        <f>ПП!E17</f>
        <v>#DIV/0!</v>
      </c>
      <c r="I29" s="385">
        <f>SUMIF('Отчет РПЗ(ПЗ)_ПЗИП'!$G:$G,Справочно!$C13,'Отчет РПЗ(ПЗ)_ПЗИП'!$AG:$AG)</f>
        <v>0</v>
      </c>
      <c r="J29" s="382" t="e">
        <f t="shared" ref="J29:J47" si="2">I29/$I$52</f>
        <v>#DIV/0!</v>
      </c>
      <c r="K29" s="64"/>
      <c r="L29" s="162">
        <f>ПП!G17</f>
        <v>0</v>
      </c>
      <c r="M29" s="150">
        <f>COUNTIFS('Отчет РПЗ(ПЗ)_ПЗИП'!$G:$G,Справочно!$C13,'Отчет РПЗ(ПЗ)_ПЗИП'!$AR:$AR,1,'Отчет РПЗ(ПЗ)_ПЗИП'!$AG:$AG,"&gt;0")</f>
        <v>0</v>
      </c>
      <c r="N29" s="394">
        <f>ПП!H17</f>
        <v>0</v>
      </c>
      <c r="O29" s="305">
        <f>SUMIFS('Отчет РПЗ(ПЗ)_ПЗИП'!$AG:$AG,'Отчет РПЗ(ПЗ)_ПЗИП'!$G:$G,Справочно!$C13,'Отчет РПЗ(ПЗ)_ПЗИП'!$AR:$AR,1,'Отчет РПЗ(ПЗ)_ПЗИП'!$AG:$AG,"&gt;0")</f>
        <v>0</v>
      </c>
      <c r="P29" s="45">
        <f>ПП!I17</f>
        <v>0</v>
      </c>
      <c r="Q29" s="150">
        <f>COUNTIFS('Отчет РПЗ(ПЗ)_ПЗИП'!$G:$G,Справочно!$C13,'Отчет РПЗ(ПЗ)_ПЗИП'!$AR:$AR,2,'Отчет РПЗ(ПЗ)_ПЗИП'!$AG:$AG,"&gt;0")</f>
        <v>0</v>
      </c>
      <c r="R29" s="394">
        <f>ПП!J17</f>
        <v>0</v>
      </c>
      <c r="S29" s="305">
        <f>SUMIFS('Отчет РПЗ(ПЗ)_ПЗИП'!$AG:$AG,'Отчет РПЗ(ПЗ)_ПЗИП'!$G:$G,Справочно!$C13,'Отчет РПЗ(ПЗ)_ПЗИП'!$AR:$AR,2,'Отчет РПЗ(ПЗ)_ПЗИП'!$AG:$AG,"&gt;0")</f>
        <v>0</v>
      </c>
      <c r="T29" s="45">
        <f>ПП!K17</f>
        <v>0</v>
      </c>
      <c r="U29" s="150">
        <f>COUNTIFS('Отчет РПЗ(ПЗ)_ПЗИП'!$G:$G,Справочно!$C13,'Отчет РПЗ(ПЗ)_ПЗИП'!$AR:$AR,3,'Отчет РПЗ(ПЗ)_ПЗИП'!$AG:$AG,"&gt;0")</f>
        <v>0</v>
      </c>
      <c r="V29" s="394">
        <f>ПП!L17</f>
        <v>0</v>
      </c>
      <c r="W29" s="338">
        <f>SUMIFS('Отчет РПЗ(ПЗ)_ПЗИП'!$AG:$AG,'Отчет РПЗ(ПЗ)_ПЗИП'!$G:$G,Справочно!$C13,'Отчет РПЗ(ПЗ)_ПЗИП'!$AR:$AR,3,'Отчет РПЗ(ПЗ)_ПЗИП'!$AG:$AG,"&gt;0")</f>
        <v>0</v>
      </c>
      <c r="X29" s="174">
        <f>ПП!M17</f>
        <v>0</v>
      </c>
      <c r="Y29" s="175">
        <f t="shared" ref="Y29:Y47" si="3">SUM(M29,Q29,U29)</f>
        <v>0</v>
      </c>
      <c r="Z29" s="393">
        <f t="shared" ref="Z29:Z47" si="4">SUM(N29,R29,V29)</f>
        <v>0</v>
      </c>
      <c r="AA29" s="298">
        <f t="shared" ref="AA29:AA47" si="5">SUM(O29,S29,W29)</f>
        <v>0</v>
      </c>
      <c r="AB29" s="162">
        <f>ПП!O17</f>
        <v>0</v>
      </c>
      <c r="AC29" s="186">
        <f>COUNTIFS('Отчет РПЗ(ПЗ)_ПЗИП'!$G:$G,Справочно!$C13,'Отчет РПЗ(ПЗ)_ПЗИП'!$AR:$AR,4,'Отчет РПЗ(ПЗ)_ПЗИП'!$AG:$AG,"&gt;0")</f>
        <v>0</v>
      </c>
      <c r="AD29" s="394">
        <f>ПП!P17</f>
        <v>0</v>
      </c>
      <c r="AE29" s="339">
        <f>SUMIFS('Отчет РПЗ(ПЗ)_ПЗИП'!$AG:$AG,'Отчет РПЗ(ПЗ)_ПЗИП'!$G:$G,Справочно!$C13,'Отчет РПЗ(ПЗ)_ПЗИП'!$AR:$AR,4,'Отчет РПЗ(ПЗ)_ПЗИП'!$AG:$AG,"&gt;0")</f>
        <v>0</v>
      </c>
      <c r="AF29" s="45">
        <f>ПП!Q17</f>
        <v>0</v>
      </c>
      <c r="AG29" s="186">
        <f>COUNTIFS('Отчет РПЗ(ПЗ)_ПЗИП'!$G:$G,Справочно!$C13,'Отчет РПЗ(ПЗ)_ПЗИП'!$AR:$AR,5,'Отчет РПЗ(ПЗ)_ПЗИП'!$AG:$AG,"&gt;0")</f>
        <v>0</v>
      </c>
      <c r="AH29" s="394">
        <f>ПП!R17</f>
        <v>0</v>
      </c>
      <c r="AI29" s="339">
        <f>SUMIFS('Отчет РПЗ(ПЗ)_ПЗИП'!$AG:$AG,'Отчет РПЗ(ПЗ)_ПЗИП'!$G:$G,Справочно!$C13,'Отчет РПЗ(ПЗ)_ПЗИП'!$AR:$AR,5,'Отчет РПЗ(ПЗ)_ПЗИП'!$AG:$AG,"&gt;0")</f>
        <v>0</v>
      </c>
      <c r="AJ29" s="45">
        <f>ПП!S17</f>
        <v>0</v>
      </c>
      <c r="AK29" s="186">
        <f>COUNTIFS('Отчет РПЗ(ПЗ)_ПЗИП'!$G:$G,Справочно!$C13,'Отчет РПЗ(ПЗ)_ПЗИП'!$AR:$AR,6,'Отчет РПЗ(ПЗ)_ПЗИП'!$AG:$AG,"&gt;0")</f>
        <v>0</v>
      </c>
      <c r="AL29" s="394">
        <f>ПП!T17</f>
        <v>0</v>
      </c>
      <c r="AM29" s="340">
        <f>SUMIFS('Отчет РПЗ(ПЗ)_ПЗИП'!$AG:$AG,'Отчет РПЗ(ПЗ)_ПЗИП'!$G:$G,Справочно!$C13,'Отчет РПЗ(ПЗ)_ПЗИП'!$AR:$AR,6,'Отчет РПЗ(ПЗ)_ПЗИП'!$AG:$AG,"&gt;0")</f>
        <v>0</v>
      </c>
      <c r="AN29" s="174">
        <f>ПП!U17</f>
        <v>0</v>
      </c>
      <c r="AO29" s="188">
        <f t="shared" ref="AO29:AO47" si="6">SUM(AC29,AG29,AK29)</f>
        <v>0</v>
      </c>
      <c r="AP29" s="393">
        <f t="shared" ref="AP29:AP47" si="7">SUM(AD29,AH29,AL29)</f>
        <v>0</v>
      </c>
      <c r="AQ29" s="300">
        <f t="shared" ref="AQ29:AQ47" si="8">SUM(AE29,AI29,AM29)</f>
        <v>0</v>
      </c>
      <c r="AR29" s="162">
        <f>ПП!W17</f>
        <v>0</v>
      </c>
      <c r="AS29" s="147">
        <f>COUNTIFS('Отчет РПЗ(ПЗ)_ПЗИП'!$G:$G,Справочно!$C13,'Отчет РПЗ(ПЗ)_ПЗИП'!$AR:$AR,7,'Отчет РПЗ(ПЗ)_ПЗИП'!$AG:$AG,"&gt;0")</f>
        <v>0</v>
      </c>
      <c r="AT29" s="394">
        <f>ПП!X17</f>
        <v>0</v>
      </c>
      <c r="AU29" s="341">
        <f>SUMIFS('Отчет РПЗ(ПЗ)_ПЗИП'!$AG:$AG,'Отчет РПЗ(ПЗ)_ПЗИП'!$G:$G,Справочно!$C13,'Отчет РПЗ(ПЗ)_ПЗИП'!$AR:$AR,7,'Отчет РПЗ(ПЗ)_ПЗИП'!$AG:$AG,"&gt;0")</f>
        <v>0</v>
      </c>
      <c r="AV29" s="45">
        <f>ПП!Y17</f>
        <v>0</v>
      </c>
      <c r="AW29" s="147">
        <f>COUNTIFS('Отчет РПЗ(ПЗ)_ПЗИП'!$G:$G,Справочно!$C13,'Отчет РПЗ(ПЗ)_ПЗИП'!$AR:$AR,8,'Отчет РПЗ(ПЗ)_ПЗИП'!$AG:$AG,"&gt;0")</f>
        <v>0</v>
      </c>
      <c r="AX29" s="394">
        <f>ПП!Z17</f>
        <v>0</v>
      </c>
      <c r="AY29" s="341">
        <f>SUMIFS('Отчет РПЗ(ПЗ)_ПЗИП'!$AG:$AG,'Отчет РПЗ(ПЗ)_ПЗИП'!$G:$G,Справочно!$C13,'Отчет РПЗ(ПЗ)_ПЗИП'!$AR:$AR,8,'Отчет РПЗ(ПЗ)_ПЗИП'!$AG:$AG,"&gt;0")</f>
        <v>0</v>
      </c>
      <c r="AZ29" s="45">
        <f>ПП!AA17</f>
        <v>0</v>
      </c>
      <c r="BA29" s="147">
        <f>COUNTIFS('Отчет РПЗ(ПЗ)_ПЗИП'!$G:$G,Справочно!$C13,'Отчет РПЗ(ПЗ)_ПЗИП'!$AR:$AR,9,'Отчет РПЗ(ПЗ)_ПЗИП'!$AG:$AG,"&gt;0")</f>
        <v>0</v>
      </c>
      <c r="BB29" s="394">
        <f>ПП!AB17</f>
        <v>0</v>
      </c>
      <c r="BC29" s="342">
        <f>SUMIFS('Отчет РПЗ(ПЗ)_ПЗИП'!$AG:$AG,'Отчет РПЗ(ПЗ)_ПЗИП'!$G:$G,Справочно!$C13,'Отчет РПЗ(ПЗ)_ПЗИП'!$AR:$AR,9,'Отчет РПЗ(ПЗ)_ПЗИП'!$AG:$AG,"&gt;0")</f>
        <v>0</v>
      </c>
      <c r="BD29" s="174">
        <f>ПП!AC17</f>
        <v>0</v>
      </c>
      <c r="BE29" s="183">
        <f t="shared" ref="BE29:BE47" si="9">SUM(AS29,AW29,BA29)</f>
        <v>0</v>
      </c>
      <c r="BF29" s="393">
        <f t="shared" ref="BF29:BF47" si="10">SUM(AT29,AX29,BB29)</f>
        <v>0</v>
      </c>
      <c r="BG29" s="302">
        <f t="shared" ref="BG29:BG47" si="11">SUM(AU29,AY29,BC29)</f>
        <v>0</v>
      </c>
      <c r="BH29" s="162">
        <f>ПП!AE17</f>
        <v>0</v>
      </c>
      <c r="BI29" s="180">
        <f>COUNTIFS('Отчет РПЗ(ПЗ)_ПЗИП'!$G:$G,Справочно!$C13,'Отчет РПЗ(ПЗ)_ПЗИП'!$AR:$AR,10,'Отчет РПЗ(ПЗ)_ПЗИП'!$AG:$AG,"&gt;0")</f>
        <v>0</v>
      </c>
      <c r="BJ29" s="394">
        <f>ПП!AF17</f>
        <v>0</v>
      </c>
      <c r="BK29" s="343">
        <f>SUMIFS('Отчет РПЗ(ПЗ)_ПЗИП'!$AG:$AG,'Отчет РПЗ(ПЗ)_ПЗИП'!$G:$G,Справочно!$C13,'Отчет РПЗ(ПЗ)_ПЗИП'!$AR:$AR,10,'Отчет РПЗ(ПЗ)_ПЗИП'!$AG:$AG,"&gt;0")</f>
        <v>0</v>
      </c>
      <c r="BL29" s="45">
        <f>ПП!AG17</f>
        <v>0</v>
      </c>
      <c r="BM29" s="180">
        <f>COUNTIFS('Отчет РПЗ(ПЗ)_ПЗИП'!$G:$G,Справочно!$C13,'Отчет РПЗ(ПЗ)_ПЗИП'!$AR:$AR,11,'Отчет РПЗ(ПЗ)_ПЗИП'!$AG:$AG,"&gt;0")</f>
        <v>0</v>
      </c>
      <c r="BN29" s="394">
        <f>ПП!AH17</f>
        <v>0</v>
      </c>
      <c r="BO29" s="343">
        <f>SUMIFS('Отчет РПЗ(ПЗ)_ПЗИП'!$AG:$AG,'Отчет РПЗ(ПЗ)_ПЗИП'!$G:$G,Справочно!$C13,'Отчет РПЗ(ПЗ)_ПЗИП'!$AR:$AR,11,'Отчет РПЗ(ПЗ)_ПЗИП'!$AG:$AG,"&gt;0")</f>
        <v>0</v>
      </c>
      <c r="BP29" s="45">
        <f>ПП!AI17</f>
        <v>0</v>
      </c>
      <c r="BQ29" s="180">
        <f>COUNTIFS('Отчет РПЗ(ПЗ)_ПЗИП'!$G:$G,Справочно!$C13,'Отчет РПЗ(ПЗ)_ПЗИП'!$AR:$AR,12,'Отчет РПЗ(ПЗ)_ПЗИП'!$AG:$AG,"&gt;0")</f>
        <v>0</v>
      </c>
      <c r="BR29" s="394">
        <f>ПП!AJ17</f>
        <v>0</v>
      </c>
      <c r="BS29" s="344">
        <f>SUMIFS('Отчет РПЗ(ПЗ)_ПЗИП'!$AG:$AG,'Отчет РПЗ(ПЗ)_ПЗИП'!$G:$G,Справочно!$C13,'Отчет РПЗ(ПЗ)_ПЗИП'!$AR:$AR,12,'Отчет РПЗ(ПЗ)_ПЗИП'!$AG:$AG,"&gt;0")</f>
        <v>0</v>
      </c>
      <c r="BT29" s="174">
        <f>ПП!AK17</f>
        <v>0</v>
      </c>
      <c r="BU29" s="182">
        <f t="shared" ref="BU29:BU47" si="12">SUM(BI29,BM29,BQ29)</f>
        <v>0</v>
      </c>
      <c r="BV29" s="393">
        <f t="shared" ref="BV29:BV47" si="13">SUM(BJ29,BN29,BR29)</f>
        <v>0</v>
      </c>
      <c r="BW29" s="304">
        <f t="shared" ref="BW29:BW47" si="14">SUM(BK29,BO29,BS29)</f>
        <v>0</v>
      </c>
    </row>
    <row r="30" spans="2:75" ht="13.5" customHeight="1" thickBot="1" x14ac:dyDescent="0.25">
      <c r="B30" s="86" t="s">
        <v>101</v>
      </c>
      <c r="C30" s="95">
        <f>ПП!B18</f>
        <v>0</v>
      </c>
      <c r="D30" s="381" t="e">
        <f>ПП!C18</f>
        <v>#DIV/0!</v>
      </c>
      <c r="E30" s="66">
        <f>COUNTIFS('Отчет РПЗ(ПЗ)_ПЗИП'!$G:$G,Справочно!$C14,'Отчет РПЗ(ПЗ)_ПЗИП'!AG:AG, "&gt;0")</f>
        <v>0</v>
      </c>
      <c r="F30" s="382" t="e">
        <f t="shared" si="1"/>
        <v>#DIV/0!</v>
      </c>
      <c r="G30" s="383">
        <f>ПП!D18</f>
        <v>0</v>
      </c>
      <c r="H30" s="384" t="e">
        <f>ПП!E18</f>
        <v>#DIV/0!</v>
      </c>
      <c r="I30" s="385">
        <f>SUMIF('Отчет РПЗ(ПЗ)_ПЗИП'!$G:$G,Справочно!$C14,'Отчет РПЗ(ПЗ)_ПЗИП'!$AG:$AG)</f>
        <v>0</v>
      </c>
      <c r="J30" s="382" t="e">
        <f t="shared" si="2"/>
        <v>#DIV/0!</v>
      </c>
      <c r="K30" s="64"/>
      <c r="L30" s="162">
        <f>ПП!G18</f>
        <v>0</v>
      </c>
      <c r="M30" s="150">
        <f>COUNTIFS('Отчет РПЗ(ПЗ)_ПЗИП'!$G:$G,Справочно!$C14,'Отчет РПЗ(ПЗ)_ПЗИП'!$AR:$AR,1,'Отчет РПЗ(ПЗ)_ПЗИП'!$AG:$AG,"&gt;0")</f>
        <v>0</v>
      </c>
      <c r="N30" s="394">
        <f>ПП!H18</f>
        <v>0</v>
      </c>
      <c r="O30" s="305">
        <f>SUMIFS('Отчет РПЗ(ПЗ)_ПЗИП'!$AG:$AG,'Отчет РПЗ(ПЗ)_ПЗИП'!$G:$G,Справочно!$C14,'Отчет РПЗ(ПЗ)_ПЗИП'!$AR:$AR,1,'Отчет РПЗ(ПЗ)_ПЗИП'!$AG:$AG,"&gt;0")</f>
        <v>0</v>
      </c>
      <c r="P30" s="45">
        <f>ПП!I18</f>
        <v>0</v>
      </c>
      <c r="Q30" s="150">
        <f>COUNTIFS('Отчет РПЗ(ПЗ)_ПЗИП'!$G:$G,Справочно!$C14,'Отчет РПЗ(ПЗ)_ПЗИП'!$AR:$AR,2,'Отчет РПЗ(ПЗ)_ПЗИП'!$AG:$AG,"&gt;0")</f>
        <v>0</v>
      </c>
      <c r="R30" s="394">
        <f>ПП!J18</f>
        <v>0</v>
      </c>
      <c r="S30" s="305">
        <f>SUMIFS('Отчет РПЗ(ПЗ)_ПЗИП'!$AG:$AG,'Отчет РПЗ(ПЗ)_ПЗИП'!$G:$G,Справочно!$C14,'Отчет РПЗ(ПЗ)_ПЗИП'!$AR:$AR,2,'Отчет РПЗ(ПЗ)_ПЗИП'!$AG:$AG,"&gt;0")</f>
        <v>0</v>
      </c>
      <c r="T30" s="45">
        <f>ПП!K18</f>
        <v>0</v>
      </c>
      <c r="U30" s="150">
        <f>COUNTIFS('Отчет РПЗ(ПЗ)_ПЗИП'!$G:$G,Справочно!$C14,'Отчет РПЗ(ПЗ)_ПЗИП'!$AR:$AR,3,'Отчет РПЗ(ПЗ)_ПЗИП'!$AG:$AG,"&gt;0")</f>
        <v>0</v>
      </c>
      <c r="V30" s="394">
        <f>ПП!L18</f>
        <v>0</v>
      </c>
      <c r="W30" s="338">
        <f>SUMIFS('Отчет РПЗ(ПЗ)_ПЗИП'!$AG:$AG,'Отчет РПЗ(ПЗ)_ПЗИП'!$G:$G,Справочно!$C14,'Отчет РПЗ(ПЗ)_ПЗИП'!$AR:$AR,3,'Отчет РПЗ(ПЗ)_ПЗИП'!$AG:$AG,"&gt;0")</f>
        <v>0</v>
      </c>
      <c r="X30" s="174">
        <f>ПП!M18</f>
        <v>0</v>
      </c>
      <c r="Y30" s="175">
        <f t="shared" si="3"/>
        <v>0</v>
      </c>
      <c r="Z30" s="393">
        <f t="shared" si="4"/>
        <v>0</v>
      </c>
      <c r="AA30" s="298">
        <f t="shared" si="5"/>
        <v>0</v>
      </c>
      <c r="AB30" s="162">
        <f>ПП!O18</f>
        <v>0</v>
      </c>
      <c r="AC30" s="186">
        <f>COUNTIFS('Отчет РПЗ(ПЗ)_ПЗИП'!$G:$G,Справочно!$C14,'Отчет РПЗ(ПЗ)_ПЗИП'!$AR:$AR,4,'Отчет РПЗ(ПЗ)_ПЗИП'!$AG:$AG,"&gt;0")</f>
        <v>0</v>
      </c>
      <c r="AD30" s="394">
        <f>ПП!P18</f>
        <v>0</v>
      </c>
      <c r="AE30" s="339">
        <f>SUMIFS('Отчет РПЗ(ПЗ)_ПЗИП'!$AG:$AG,'Отчет РПЗ(ПЗ)_ПЗИП'!$G:$G,Справочно!$C14,'Отчет РПЗ(ПЗ)_ПЗИП'!$AR:$AR,4,'Отчет РПЗ(ПЗ)_ПЗИП'!$AG:$AG,"&gt;0")</f>
        <v>0</v>
      </c>
      <c r="AF30" s="45">
        <f>ПП!Q18</f>
        <v>0</v>
      </c>
      <c r="AG30" s="186">
        <f>COUNTIFS('Отчет РПЗ(ПЗ)_ПЗИП'!$G:$G,Справочно!$C14,'Отчет РПЗ(ПЗ)_ПЗИП'!$AR:$AR,5,'Отчет РПЗ(ПЗ)_ПЗИП'!$AG:$AG,"&gt;0")</f>
        <v>0</v>
      </c>
      <c r="AH30" s="394">
        <f>ПП!R18</f>
        <v>0</v>
      </c>
      <c r="AI30" s="339">
        <f>SUMIFS('Отчет РПЗ(ПЗ)_ПЗИП'!$AG:$AG,'Отчет РПЗ(ПЗ)_ПЗИП'!$G:$G,Справочно!$C14,'Отчет РПЗ(ПЗ)_ПЗИП'!$AR:$AR,5,'Отчет РПЗ(ПЗ)_ПЗИП'!$AG:$AG,"&gt;0")</f>
        <v>0</v>
      </c>
      <c r="AJ30" s="45">
        <f>ПП!S18</f>
        <v>0</v>
      </c>
      <c r="AK30" s="186">
        <f>COUNTIFS('Отчет РПЗ(ПЗ)_ПЗИП'!$G:$G,Справочно!$C14,'Отчет РПЗ(ПЗ)_ПЗИП'!$AR:$AR,6,'Отчет РПЗ(ПЗ)_ПЗИП'!$AG:$AG,"&gt;0")</f>
        <v>0</v>
      </c>
      <c r="AL30" s="394">
        <f>ПП!T18</f>
        <v>0</v>
      </c>
      <c r="AM30" s="340">
        <f>SUMIFS('Отчет РПЗ(ПЗ)_ПЗИП'!$AG:$AG,'Отчет РПЗ(ПЗ)_ПЗИП'!$G:$G,Справочно!$C14,'Отчет РПЗ(ПЗ)_ПЗИП'!$AR:$AR,6,'Отчет РПЗ(ПЗ)_ПЗИП'!$AG:$AG,"&gt;0")</f>
        <v>0</v>
      </c>
      <c r="AN30" s="174">
        <f>ПП!U18</f>
        <v>0</v>
      </c>
      <c r="AO30" s="188">
        <f t="shared" si="6"/>
        <v>0</v>
      </c>
      <c r="AP30" s="393">
        <f t="shared" si="7"/>
        <v>0</v>
      </c>
      <c r="AQ30" s="300">
        <f t="shared" si="8"/>
        <v>0</v>
      </c>
      <c r="AR30" s="162">
        <f>ПП!W18</f>
        <v>0</v>
      </c>
      <c r="AS30" s="147">
        <f>COUNTIFS('Отчет РПЗ(ПЗ)_ПЗИП'!$G:$G,Справочно!$C14,'Отчет РПЗ(ПЗ)_ПЗИП'!$AR:$AR,7,'Отчет РПЗ(ПЗ)_ПЗИП'!$AG:$AG,"&gt;0")</f>
        <v>0</v>
      </c>
      <c r="AT30" s="394">
        <f>ПП!X18</f>
        <v>0</v>
      </c>
      <c r="AU30" s="341">
        <f>SUMIFS('Отчет РПЗ(ПЗ)_ПЗИП'!$AG:$AG,'Отчет РПЗ(ПЗ)_ПЗИП'!$G:$G,Справочно!$C14,'Отчет РПЗ(ПЗ)_ПЗИП'!$AR:$AR,7,'Отчет РПЗ(ПЗ)_ПЗИП'!$AG:$AG,"&gt;0")</f>
        <v>0</v>
      </c>
      <c r="AV30" s="45">
        <f>ПП!Y18</f>
        <v>0</v>
      </c>
      <c r="AW30" s="147">
        <f>COUNTIFS('Отчет РПЗ(ПЗ)_ПЗИП'!$G:$G,Справочно!$C14,'Отчет РПЗ(ПЗ)_ПЗИП'!$AR:$AR,8,'Отчет РПЗ(ПЗ)_ПЗИП'!$AG:$AG,"&gt;0")</f>
        <v>0</v>
      </c>
      <c r="AX30" s="394">
        <f>ПП!Z18</f>
        <v>0</v>
      </c>
      <c r="AY30" s="341">
        <f>SUMIFS('Отчет РПЗ(ПЗ)_ПЗИП'!$AG:$AG,'Отчет РПЗ(ПЗ)_ПЗИП'!$G:$G,Справочно!$C14,'Отчет РПЗ(ПЗ)_ПЗИП'!$AR:$AR,8,'Отчет РПЗ(ПЗ)_ПЗИП'!$AG:$AG,"&gt;0")</f>
        <v>0</v>
      </c>
      <c r="AZ30" s="45">
        <f>ПП!AA18</f>
        <v>0</v>
      </c>
      <c r="BA30" s="147">
        <f>COUNTIFS('Отчет РПЗ(ПЗ)_ПЗИП'!$G:$G,Справочно!$C14,'Отчет РПЗ(ПЗ)_ПЗИП'!$AR:$AR,9,'Отчет РПЗ(ПЗ)_ПЗИП'!$AG:$AG,"&gt;0")</f>
        <v>0</v>
      </c>
      <c r="BB30" s="394">
        <f>ПП!AB18</f>
        <v>0</v>
      </c>
      <c r="BC30" s="342">
        <f>SUMIFS('Отчет РПЗ(ПЗ)_ПЗИП'!$AG:$AG,'Отчет РПЗ(ПЗ)_ПЗИП'!$G:$G,Справочно!$C14,'Отчет РПЗ(ПЗ)_ПЗИП'!$AR:$AR,9,'Отчет РПЗ(ПЗ)_ПЗИП'!$AG:$AG,"&gt;0")</f>
        <v>0</v>
      </c>
      <c r="BD30" s="174">
        <f>ПП!AC18</f>
        <v>0</v>
      </c>
      <c r="BE30" s="183">
        <f t="shared" si="9"/>
        <v>0</v>
      </c>
      <c r="BF30" s="393">
        <f t="shared" si="10"/>
        <v>0</v>
      </c>
      <c r="BG30" s="302">
        <f t="shared" si="11"/>
        <v>0</v>
      </c>
      <c r="BH30" s="162">
        <f>ПП!AE18</f>
        <v>0</v>
      </c>
      <c r="BI30" s="180">
        <f>COUNTIFS('Отчет РПЗ(ПЗ)_ПЗИП'!$G:$G,Справочно!$C14,'Отчет РПЗ(ПЗ)_ПЗИП'!$AR:$AR,10,'Отчет РПЗ(ПЗ)_ПЗИП'!$AG:$AG,"&gt;0")</f>
        <v>0</v>
      </c>
      <c r="BJ30" s="394">
        <f>ПП!AF18</f>
        <v>0</v>
      </c>
      <c r="BK30" s="343">
        <f>SUMIFS('Отчет РПЗ(ПЗ)_ПЗИП'!$AG:$AG,'Отчет РПЗ(ПЗ)_ПЗИП'!$G:$G,Справочно!$C14,'Отчет РПЗ(ПЗ)_ПЗИП'!$AR:$AR,10,'Отчет РПЗ(ПЗ)_ПЗИП'!$AG:$AG,"&gt;0")</f>
        <v>0</v>
      </c>
      <c r="BL30" s="45">
        <f>ПП!AG18</f>
        <v>0</v>
      </c>
      <c r="BM30" s="180">
        <f>COUNTIFS('Отчет РПЗ(ПЗ)_ПЗИП'!$G:$G,Справочно!$C14,'Отчет РПЗ(ПЗ)_ПЗИП'!$AR:$AR,11,'Отчет РПЗ(ПЗ)_ПЗИП'!$AG:$AG,"&gt;0")</f>
        <v>0</v>
      </c>
      <c r="BN30" s="394">
        <f>ПП!AH18</f>
        <v>0</v>
      </c>
      <c r="BO30" s="343">
        <f>SUMIFS('Отчет РПЗ(ПЗ)_ПЗИП'!$AG:$AG,'Отчет РПЗ(ПЗ)_ПЗИП'!$G:$G,Справочно!$C14,'Отчет РПЗ(ПЗ)_ПЗИП'!$AR:$AR,11,'Отчет РПЗ(ПЗ)_ПЗИП'!$AG:$AG,"&gt;0")</f>
        <v>0</v>
      </c>
      <c r="BP30" s="45">
        <f>ПП!AI18</f>
        <v>0</v>
      </c>
      <c r="BQ30" s="180">
        <f>COUNTIFS('Отчет РПЗ(ПЗ)_ПЗИП'!$G:$G,Справочно!$C14,'Отчет РПЗ(ПЗ)_ПЗИП'!$AR:$AR,12,'Отчет РПЗ(ПЗ)_ПЗИП'!$AG:$AG,"&gt;0")</f>
        <v>0</v>
      </c>
      <c r="BR30" s="394">
        <f>ПП!AJ18</f>
        <v>0</v>
      </c>
      <c r="BS30" s="344">
        <f>SUMIFS('Отчет РПЗ(ПЗ)_ПЗИП'!$AG:$AG,'Отчет РПЗ(ПЗ)_ПЗИП'!$G:$G,Справочно!$C14,'Отчет РПЗ(ПЗ)_ПЗИП'!$AR:$AR,12,'Отчет РПЗ(ПЗ)_ПЗИП'!$AG:$AG,"&gt;0")</f>
        <v>0</v>
      </c>
      <c r="BT30" s="174">
        <f>ПП!AK18</f>
        <v>0</v>
      </c>
      <c r="BU30" s="182">
        <f t="shared" si="12"/>
        <v>0</v>
      </c>
      <c r="BV30" s="393">
        <f t="shared" si="13"/>
        <v>0</v>
      </c>
      <c r="BW30" s="304">
        <f t="shared" si="14"/>
        <v>0</v>
      </c>
    </row>
    <row r="31" spans="2:75" ht="15" customHeight="1" thickBot="1" x14ac:dyDescent="0.25">
      <c r="B31" s="86" t="s">
        <v>249</v>
      </c>
      <c r="C31" s="95">
        <f>ПП!B19</f>
        <v>0</v>
      </c>
      <c r="D31" s="381" t="e">
        <f>ПП!C19</f>
        <v>#DIV/0!</v>
      </c>
      <c r="E31" s="66">
        <f>COUNTIFS('Отчет РПЗ(ПЗ)_ПЗИП'!$G:$G,Справочно!$C15,'Отчет РПЗ(ПЗ)_ПЗИП'!AG:AG, "&gt;0")</f>
        <v>0</v>
      </c>
      <c r="F31" s="382" t="e">
        <f t="shared" si="1"/>
        <v>#DIV/0!</v>
      </c>
      <c r="G31" s="383">
        <f>ПП!D19</f>
        <v>0</v>
      </c>
      <c r="H31" s="384" t="e">
        <f>ПП!E19</f>
        <v>#DIV/0!</v>
      </c>
      <c r="I31" s="385">
        <f>SUMIF('Отчет РПЗ(ПЗ)_ПЗИП'!$G:$G,Справочно!$C15,'Отчет РПЗ(ПЗ)_ПЗИП'!$AG:$AG)</f>
        <v>0</v>
      </c>
      <c r="J31" s="382" t="e">
        <f t="shared" si="2"/>
        <v>#DIV/0!</v>
      </c>
      <c r="K31" s="64"/>
      <c r="L31" s="162">
        <f>ПП!G19</f>
        <v>0</v>
      </c>
      <c r="M31" s="150">
        <f>COUNTIFS('Отчет РПЗ(ПЗ)_ПЗИП'!$G:$G,Справочно!$C15,'Отчет РПЗ(ПЗ)_ПЗИП'!$AR:$AR,1,'Отчет РПЗ(ПЗ)_ПЗИП'!$AG:$AG,"&gt;0")</f>
        <v>0</v>
      </c>
      <c r="N31" s="394">
        <f>ПП!H19</f>
        <v>0</v>
      </c>
      <c r="O31" s="305">
        <f>SUMIFS('Отчет РПЗ(ПЗ)_ПЗИП'!$AG:$AG,'Отчет РПЗ(ПЗ)_ПЗИП'!$G:$G,Справочно!$C15,'Отчет РПЗ(ПЗ)_ПЗИП'!$AR:$AR,1,'Отчет РПЗ(ПЗ)_ПЗИП'!$AG:$AG,"&gt;0")</f>
        <v>0</v>
      </c>
      <c r="P31" s="45">
        <f>ПП!I19</f>
        <v>0</v>
      </c>
      <c r="Q31" s="150">
        <f>COUNTIFS('Отчет РПЗ(ПЗ)_ПЗИП'!$G:$G,Справочно!$C15,'Отчет РПЗ(ПЗ)_ПЗИП'!$AR:$AR,2,'Отчет РПЗ(ПЗ)_ПЗИП'!$AG:$AG,"&gt;0")</f>
        <v>0</v>
      </c>
      <c r="R31" s="394">
        <f>ПП!J19</f>
        <v>0</v>
      </c>
      <c r="S31" s="305">
        <f>SUMIFS('Отчет РПЗ(ПЗ)_ПЗИП'!$AG:$AG,'Отчет РПЗ(ПЗ)_ПЗИП'!$G:$G,Справочно!$C15,'Отчет РПЗ(ПЗ)_ПЗИП'!$AR:$AR,2,'Отчет РПЗ(ПЗ)_ПЗИП'!$AG:$AG,"&gt;0")</f>
        <v>0</v>
      </c>
      <c r="T31" s="45">
        <f>ПП!K19</f>
        <v>0</v>
      </c>
      <c r="U31" s="150">
        <f>COUNTIFS('Отчет РПЗ(ПЗ)_ПЗИП'!$G:$G,Справочно!$C15,'Отчет РПЗ(ПЗ)_ПЗИП'!$AR:$AR,3,'Отчет РПЗ(ПЗ)_ПЗИП'!$AG:$AG,"&gt;0")</f>
        <v>0</v>
      </c>
      <c r="V31" s="394">
        <f>ПП!L19</f>
        <v>0</v>
      </c>
      <c r="W31" s="338">
        <f>SUMIFS('Отчет РПЗ(ПЗ)_ПЗИП'!$AG:$AG,'Отчет РПЗ(ПЗ)_ПЗИП'!$G:$G,Справочно!$C15,'Отчет РПЗ(ПЗ)_ПЗИП'!$AR:$AR,3,'Отчет РПЗ(ПЗ)_ПЗИП'!$AG:$AG,"&gt;0")</f>
        <v>0</v>
      </c>
      <c r="X31" s="174">
        <f>ПП!M19</f>
        <v>0</v>
      </c>
      <c r="Y31" s="175">
        <f t="shared" si="3"/>
        <v>0</v>
      </c>
      <c r="Z31" s="393">
        <f t="shared" si="4"/>
        <v>0</v>
      </c>
      <c r="AA31" s="298">
        <f t="shared" si="5"/>
        <v>0</v>
      </c>
      <c r="AB31" s="162">
        <f>ПП!O19</f>
        <v>0</v>
      </c>
      <c r="AC31" s="186">
        <f>COUNTIFS('Отчет РПЗ(ПЗ)_ПЗИП'!$G:$G,Справочно!$C15,'Отчет РПЗ(ПЗ)_ПЗИП'!$AR:$AR,4,'Отчет РПЗ(ПЗ)_ПЗИП'!$AG:$AG,"&gt;0")</f>
        <v>0</v>
      </c>
      <c r="AD31" s="394">
        <f>ПП!P19</f>
        <v>0</v>
      </c>
      <c r="AE31" s="339">
        <f>SUMIFS('Отчет РПЗ(ПЗ)_ПЗИП'!$AG:$AG,'Отчет РПЗ(ПЗ)_ПЗИП'!$G:$G,Справочно!$C15,'Отчет РПЗ(ПЗ)_ПЗИП'!$AR:$AR,4,'Отчет РПЗ(ПЗ)_ПЗИП'!$AG:$AG,"&gt;0")</f>
        <v>0</v>
      </c>
      <c r="AF31" s="45">
        <f>ПП!Q19</f>
        <v>0</v>
      </c>
      <c r="AG31" s="186">
        <f>COUNTIFS('Отчет РПЗ(ПЗ)_ПЗИП'!$G:$G,Справочно!$C15,'Отчет РПЗ(ПЗ)_ПЗИП'!$AR:$AR,5,'Отчет РПЗ(ПЗ)_ПЗИП'!$AG:$AG,"&gt;0")</f>
        <v>0</v>
      </c>
      <c r="AH31" s="394">
        <f>ПП!R19</f>
        <v>0</v>
      </c>
      <c r="AI31" s="339">
        <f>SUMIFS('Отчет РПЗ(ПЗ)_ПЗИП'!$AG:$AG,'Отчет РПЗ(ПЗ)_ПЗИП'!$G:$G,Справочно!$C15,'Отчет РПЗ(ПЗ)_ПЗИП'!$AR:$AR,5,'Отчет РПЗ(ПЗ)_ПЗИП'!$AG:$AG,"&gt;0")</f>
        <v>0</v>
      </c>
      <c r="AJ31" s="45">
        <f>ПП!S19</f>
        <v>0</v>
      </c>
      <c r="AK31" s="186">
        <f>COUNTIFS('Отчет РПЗ(ПЗ)_ПЗИП'!$G:$G,Справочно!$C15,'Отчет РПЗ(ПЗ)_ПЗИП'!$AR:$AR,6,'Отчет РПЗ(ПЗ)_ПЗИП'!$AG:$AG,"&gt;0")</f>
        <v>0</v>
      </c>
      <c r="AL31" s="394">
        <f>ПП!T19</f>
        <v>0</v>
      </c>
      <c r="AM31" s="340">
        <f>SUMIFS('Отчет РПЗ(ПЗ)_ПЗИП'!$AG:$AG,'Отчет РПЗ(ПЗ)_ПЗИП'!$G:$G,Справочно!$C15,'Отчет РПЗ(ПЗ)_ПЗИП'!$AR:$AR,6,'Отчет РПЗ(ПЗ)_ПЗИП'!$AG:$AG,"&gt;0")</f>
        <v>0</v>
      </c>
      <c r="AN31" s="174">
        <f>ПП!U19</f>
        <v>0</v>
      </c>
      <c r="AO31" s="188">
        <f t="shared" si="6"/>
        <v>0</v>
      </c>
      <c r="AP31" s="393">
        <f t="shared" si="7"/>
        <v>0</v>
      </c>
      <c r="AQ31" s="300">
        <f t="shared" si="8"/>
        <v>0</v>
      </c>
      <c r="AR31" s="162">
        <f>ПП!W19</f>
        <v>0</v>
      </c>
      <c r="AS31" s="147">
        <f>COUNTIFS('Отчет РПЗ(ПЗ)_ПЗИП'!$G:$G,Справочно!$C15,'Отчет РПЗ(ПЗ)_ПЗИП'!$AR:$AR,7,'Отчет РПЗ(ПЗ)_ПЗИП'!$AG:$AG,"&gt;0")</f>
        <v>0</v>
      </c>
      <c r="AT31" s="394">
        <f>ПП!X19</f>
        <v>0</v>
      </c>
      <c r="AU31" s="341">
        <f>SUMIFS('Отчет РПЗ(ПЗ)_ПЗИП'!$AG:$AG,'Отчет РПЗ(ПЗ)_ПЗИП'!$G:$G,Справочно!$C15,'Отчет РПЗ(ПЗ)_ПЗИП'!$AR:$AR,7,'Отчет РПЗ(ПЗ)_ПЗИП'!$AG:$AG,"&gt;0")</f>
        <v>0</v>
      </c>
      <c r="AV31" s="45">
        <f>ПП!Y19</f>
        <v>0</v>
      </c>
      <c r="AW31" s="147">
        <f>COUNTIFS('Отчет РПЗ(ПЗ)_ПЗИП'!$G:$G,Справочно!$C15,'Отчет РПЗ(ПЗ)_ПЗИП'!$AR:$AR,8,'Отчет РПЗ(ПЗ)_ПЗИП'!$AG:$AG,"&gt;0")</f>
        <v>0</v>
      </c>
      <c r="AX31" s="394">
        <f>ПП!Z19</f>
        <v>0</v>
      </c>
      <c r="AY31" s="341">
        <f>SUMIFS('Отчет РПЗ(ПЗ)_ПЗИП'!$AG:$AG,'Отчет РПЗ(ПЗ)_ПЗИП'!$G:$G,Справочно!$C15,'Отчет РПЗ(ПЗ)_ПЗИП'!$AR:$AR,8,'Отчет РПЗ(ПЗ)_ПЗИП'!$AG:$AG,"&gt;0")</f>
        <v>0</v>
      </c>
      <c r="AZ31" s="45">
        <f>ПП!AA19</f>
        <v>0</v>
      </c>
      <c r="BA31" s="147">
        <f>COUNTIFS('Отчет РПЗ(ПЗ)_ПЗИП'!$G:$G,Справочно!$C15,'Отчет РПЗ(ПЗ)_ПЗИП'!$AR:$AR,9,'Отчет РПЗ(ПЗ)_ПЗИП'!$AG:$AG,"&gt;0")</f>
        <v>0</v>
      </c>
      <c r="BB31" s="394">
        <f>ПП!AB19</f>
        <v>0</v>
      </c>
      <c r="BC31" s="342">
        <f>SUMIFS('Отчет РПЗ(ПЗ)_ПЗИП'!$AG:$AG,'Отчет РПЗ(ПЗ)_ПЗИП'!$G:$G,Справочно!$C15,'Отчет РПЗ(ПЗ)_ПЗИП'!$AR:$AR,9,'Отчет РПЗ(ПЗ)_ПЗИП'!$AG:$AG,"&gt;0")</f>
        <v>0</v>
      </c>
      <c r="BD31" s="174">
        <f>ПП!AC19</f>
        <v>0</v>
      </c>
      <c r="BE31" s="183">
        <f t="shared" si="9"/>
        <v>0</v>
      </c>
      <c r="BF31" s="393">
        <f t="shared" si="10"/>
        <v>0</v>
      </c>
      <c r="BG31" s="302">
        <f t="shared" si="11"/>
        <v>0</v>
      </c>
      <c r="BH31" s="162">
        <f>ПП!AE19</f>
        <v>0</v>
      </c>
      <c r="BI31" s="180">
        <f>COUNTIFS('Отчет РПЗ(ПЗ)_ПЗИП'!$G:$G,Справочно!$C15,'Отчет РПЗ(ПЗ)_ПЗИП'!$AR:$AR,10,'Отчет РПЗ(ПЗ)_ПЗИП'!$AG:$AG,"&gt;0")</f>
        <v>0</v>
      </c>
      <c r="BJ31" s="394">
        <f>ПП!AF19</f>
        <v>0</v>
      </c>
      <c r="BK31" s="343">
        <f>SUMIFS('Отчет РПЗ(ПЗ)_ПЗИП'!$AG:$AG,'Отчет РПЗ(ПЗ)_ПЗИП'!$G:$G,Справочно!$C15,'Отчет РПЗ(ПЗ)_ПЗИП'!$AR:$AR,10,'Отчет РПЗ(ПЗ)_ПЗИП'!$AG:$AG,"&gt;0")</f>
        <v>0</v>
      </c>
      <c r="BL31" s="45">
        <f>ПП!AG19</f>
        <v>0</v>
      </c>
      <c r="BM31" s="180">
        <f>COUNTIFS('Отчет РПЗ(ПЗ)_ПЗИП'!$G:$G,Справочно!$C15,'Отчет РПЗ(ПЗ)_ПЗИП'!$AR:$AR,11,'Отчет РПЗ(ПЗ)_ПЗИП'!$AG:$AG,"&gt;0")</f>
        <v>0</v>
      </c>
      <c r="BN31" s="394">
        <f>ПП!AH19</f>
        <v>0</v>
      </c>
      <c r="BO31" s="343">
        <f>SUMIFS('Отчет РПЗ(ПЗ)_ПЗИП'!$AG:$AG,'Отчет РПЗ(ПЗ)_ПЗИП'!$G:$G,Справочно!$C15,'Отчет РПЗ(ПЗ)_ПЗИП'!$AR:$AR,11,'Отчет РПЗ(ПЗ)_ПЗИП'!$AG:$AG,"&gt;0")</f>
        <v>0</v>
      </c>
      <c r="BP31" s="45">
        <f>ПП!AI19</f>
        <v>0</v>
      </c>
      <c r="BQ31" s="180">
        <f>COUNTIFS('Отчет РПЗ(ПЗ)_ПЗИП'!$G:$G,Справочно!$C15,'Отчет РПЗ(ПЗ)_ПЗИП'!$AR:$AR,12,'Отчет РПЗ(ПЗ)_ПЗИП'!$AG:$AG,"&gt;0")</f>
        <v>0</v>
      </c>
      <c r="BR31" s="394">
        <f>ПП!AJ19</f>
        <v>0</v>
      </c>
      <c r="BS31" s="344">
        <f>SUMIFS('Отчет РПЗ(ПЗ)_ПЗИП'!$AG:$AG,'Отчет РПЗ(ПЗ)_ПЗИП'!$G:$G,Справочно!$C15,'Отчет РПЗ(ПЗ)_ПЗИП'!$AR:$AR,12,'Отчет РПЗ(ПЗ)_ПЗИП'!$AG:$AG,"&gt;0")</f>
        <v>0</v>
      </c>
      <c r="BT31" s="174">
        <f>ПП!AK19</f>
        <v>0</v>
      </c>
      <c r="BU31" s="182">
        <f t="shared" si="12"/>
        <v>0</v>
      </c>
      <c r="BV31" s="393">
        <f t="shared" si="13"/>
        <v>0</v>
      </c>
      <c r="BW31" s="304">
        <f t="shared" si="14"/>
        <v>0</v>
      </c>
    </row>
    <row r="32" spans="2:75" ht="13.5" customHeight="1" thickBot="1" x14ac:dyDescent="0.25">
      <c r="B32" s="86" t="s">
        <v>103</v>
      </c>
      <c r="C32" s="95">
        <f>ПП!B20</f>
        <v>0</v>
      </c>
      <c r="D32" s="381" t="e">
        <f>ПП!C20</f>
        <v>#DIV/0!</v>
      </c>
      <c r="E32" s="66">
        <f>COUNTIFS('Отчет РПЗ(ПЗ)_ПЗИП'!$G:$G,Справочно!$C16,'Отчет РПЗ(ПЗ)_ПЗИП'!AG:AG, "&gt;0")</f>
        <v>0</v>
      </c>
      <c r="F32" s="382" t="e">
        <f t="shared" si="1"/>
        <v>#DIV/0!</v>
      </c>
      <c r="G32" s="383">
        <f>ПП!D20</f>
        <v>0</v>
      </c>
      <c r="H32" s="384" t="e">
        <f>ПП!E20</f>
        <v>#DIV/0!</v>
      </c>
      <c r="I32" s="385">
        <f>SUMIF('Отчет РПЗ(ПЗ)_ПЗИП'!$G:$G,Справочно!$C16,'Отчет РПЗ(ПЗ)_ПЗИП'!$AG:$AG)</f>
        <v>0</v>
      </c>
      <c r="J32" s="382" t="e">
        <f t="shared" si="2"/>
        <v>#DIV/0!</v>
      </c>
      <c r="K32" s="64"/>
      <c r="L32" s="162">
        <f>ПП!G20</f>
        <v>0</v>
      </c>
      <c r="M32" s="150">
        <f>COUNTIFS('Отчет РПЗ(ПЗ)_ПЗИП'!$G:$G,Справочно!$C16,'Отчет РПЗ(ПЗ)_ПЗИП'!$AR:$AR,1,'Отчет РПЗ(ПЗ)_ПЗИП'!$AG:$AG,"&gt;0")</f>
        <v>0</v>
      </c>
      <c r="N32" s="394">
        <f>ПП!H20</f>
        <v>0</v>
      </c>
      <c r="O32" s="305">
        <f>SUMIFS('Отчет РПЗ(ПЗ)_ПЗИП'!$AG:$AG,'Отчет РПЗ(ПЗ)_ПЗИП'!$G:$G,Справочно!$C16,'Отчет РПЗ(ПЗ)_ПЗИП'!$AR:$AR,1,'Отчет РПЗ(ПЗ)_ПЗИП'!$AG:$AG,"&gt;0")</f>
        <v>0</v>
      </c>
      <c r="P32" s="45">
        <f>ПП!I20</f>
        <v>0</v>
      </c>
      <c r="Q32" s="150">
        <f>COUNTIFS('Отчет РПЗ(ПЗ)_ПЗИП'!$G:$G,Справочно!$C16,'Отчет РПЗ(ПЗ)_ПЗИП'!$AR:$AR,2,'Отчет РПЗ(ПЗ)_ПЗИП'!$AG:$AG,"&gt;0")</f>
        <v>0</v>
      </c>
      <c r="R32" s="394">
        <f>ПП!J20</f>
        <v>0</v>
      </c>
      <c r="S32" s="305">
        <f>SUMIFS('Отчет РПЗ(ПЗ)_ПЗИП'!$AG:$AG,'Отчет РПЗ(ПЗ)_ПЗИП'!$G:$G,Справочно!$C16,'Отчет РПЗ(ПЗ)_ПЗИП'!$AR:$AR,2,'Отчет РПЗ(ПЗ)_ПЗИП'!$AG:$AG,"&gt;0")</f>
        <v>0</v>
      </c>
      <c r="T32" s="45">
        <f>ПП!K20</f>
        <v>0</v>
      </c>
      <c r="U32" s="150">
        <f>COUNTIFS('Отчет РПЗ(ПЗ)_ПЗИП'!$G:$G,Справочно!$C16,'Отчет РПЗ(ПЗ)_ПЗИП'!$AR:$AR,3,'Отчет РПЗ(ПЗ)_ПЗИП'!$AG:$AG,"&gt;0")</f>
        <v>0</v>
      </c>
      <c r="V32" s="394">
        <f>ПП!L20</f>
        <v>0</v>
      </c>
      <c r="W32" s="338">
        <f>SUMIFS('Отчет РПЗ(ПЗ)_ПЗИП'!$AG:$AG,'Отчет РПЗ(ПЗ)_ПЗИП'!$G:$G,Справочно!$C16,'Отчет РПЗ(ПЗ)_ПЗИП'!$AR:$AR,3,'Отчет РПЗ(ПЗ)_ПЗИП'!$AG:$AG,"&gt;0")</f>
        <v>0</v>
      </c>
      <c r="X32" s="174">
        <f>ПП!M20</f>
        <v>0</v>
      </c>
      <c r="Y32" s="175">
        <f t="shared" si="3"/>
        <v>0</v>
      </c>
      <c r="Z32" s="393">
        <f t="shared" si="4"/>
        <v>0</v>
      </c>
      <c r="AA32" s="298">
        <f t="shared" si="5"/>
        <v>0</v>
      </c>
      <c r="AB32" s="162">
        <f>ПП!O20</f>
        <v>0</v>
      </c>
      <c r="AC32" s="186">
        <f>COUNTIFS('Отчет РПЗ(ПЗ)_ПЗИП'!$G:$G,Справочно!$C16,'Отчет РПЗ(ПЗ)_ПЗИП'!$AR:$AR,4,'Отчет РПЗ(ПЗ)_ПЗИП'!$AG:$AG,"&gt;0")</f>
        <v>0</v>
      </c>
      <c r="AD32" s="394">
        <f>ПП!P20</f>
        <v>0</v>
      </c>
      <c r="AE32" s="339">
        <f>SUMIFS('Отчет РПЗ(ПЗ)_ПЗИП'!$AG:$AG,'Отчет РПЗ(ПЗ)_ПЗИП'!$G:$G,Справочно!$C16,'Отчет РПЗ(ПЗ)_ПЗИП'!$AR:$AR,4,'Отчет РПЗ(ПЗ)_ПЗИП'!$AG:$AG,"&gt;0")</f>
        <v>0</v>
      </c>
      <c r="AF32" s="45">
        <f>ПП!Q20</f>
        <v>0</v>
      </c>
      <c r="AG32" s="186">
        <f>COUNTIFS('Отчет РПЗ(ПЗ)_ПЗИП'!$G:$G,Справочно!$C16,'Отчет РПЗ(ПЗ)_ПЗИП'!$AR:$AR,5,'Отчет РПЗ(ПЗ)_ПЗИП'!$AG:$AG,"&gt;0")</f>
        <v>0</v>
      </c>
      <c r="AH32" s="394">
        <f>ПП!R20</f>
        <v>0</v>
      </c>
      <c r="AI32" s="339">
        <f>SUMIFS('Отчет РПЗ(ПЗ)_ПЗИП'!$AG:$AG,'Отчет РПЗ(ПЗ)_ПЗИП'!$G:$G,Справочно!$C16,'Отчет РПЗ(ПЗ)_ПЗИП'!$AR:$AR,5,'Отчет РПЗ(ПЗ)_ПЗИП'!$AG:$AG,"&gt;0")</f>
        <v>0</v>
      </c>
      <c r="AJ32" s="45">
        <f>ПП!S20</f>
        <v>0</v>
      </c>
      <c r="AK32" s="186">
        <f>COUNTIFS('Отчет РПЗ(ПЗ)_ПЗИП'!$G:$G,Справочно!$C16,'Отчет РПЗ(ПЗ)_ПЗИП'!$AR:$AR,6,'Отчет РПЗ(ПЗ)_ПЗИП'!$AG:$AG,"&gt;0")</f>
        <v>0</v>
      </c>
      <c r="AL32" s="394">
        <f>ПП!T20</f>
        <v>0</v>
      </c>
      <c r="AM32" s="340">
        <f>SUMIFS('Отчет РПЗ(ПЗ)_ПЗИП'!$AG:$AG,'Отчет РПЗ(ПЗ)_ПЗИП'!$G:$G,Справочно!$C16,'Отчет РПЗ(ПЗ)_ПЗИП'!$AR:$AR,6,'Отчет РПЗ(ПЗ)_ПЗИП'!$AG:$AG,"&gt;0")</f>
        <v>0</v>
      </c>
      <c r="AN32" s="174">
        <f>ПП!U20</f>
        <v>0</v>
      </c>
      <c r="AO32" s="188">
        <f t="shared" si="6"/>
        <v>0</v>
      </c>
      <c r="AP32" s="393">
        <f t="shared" si="7"/>
        <v>0</v>
      </c>
      <c r="AQ32" s="300">
        <f t="shared" si="8"/>
        <v>0</v>
      </c>
      <c r="AR32" s="162">
        <f>ПП!W20</f>
        <v>0</v>
      </c>
      <c r="AS32" s="147">
        <f>COUNTIFS('Отчет РПЗ(ПЗ)_ПЗИП'!$G:$G,Справочно!$C16,'Отчет РПЗ(ПЗ)_ПЗИП'!$AR:$AR,7,'Отчет РПЗ(ПЗ)_ПЗИП'!$AG:$AG,"&gt;0")</f>
        <v>0</v>
      </c>
      <c r="AT32" s="394">
        <f>ПП!X20</f>
        <v>0</v>
      </c>
      <c r="AU32" s="341">
        <f>SUMIFS('Отчет РПЗ(ПЗ)_ПЗИП'!$AG:$AG,'Отчет РПЗ(ПЗ)_ПЗИП'!$G:$G,Справочно!$C16,'Отчет РПЗ(ПЗ)_ПЗИП'!$AR:$AR,7,'Отчет РПЗ(ПЗ)_ПЗИП'!$AG:$AG,"&gt;0")</f>
        <v>0</v>
      </c>
      <c r="AV32" s="45">
        <f>ПП!Y20</f>
        <v>0</v>
      </c>
      <c r="AW32" s="147">
        <f>COUNTIFS('Отчет РПЗ(ПЗ)_ПЗИП'!$G:$G,Справочно!$C16,'Отчет РПЗ(ПЗ)_ПЗИП'!$AR:$AR,8,'Отчет РПЗ(ПЗ)_ПЗИП'!$AG:$AG,"&gt;0")</f>
        <v>0</v>
      </c>
      <c r="AX32" s="394">
        <f>ПП!Z20</f>
        <v>0</v>
      </c>
      <c r="AY32" s="341">
        <f>SUMIFS('Отчет РПЗ(ПЗ)_ПЗИП'!$AG:$AG,'Отчет РПЗ(ПЗ)_ПЗИП'!$G:$G,Справочно!$C16,'Отчет РПЗ(ПЗ)_ПЗИП'!$AR:$AR,8,'Отчет РПЗ(ПЗ)_ПЗИП'!$AG:$AG,"&gt;0")</f>
        <v>0</v>
      </c>
      <c r="AZ32" s="45">
        <f>ПП!AA20</f>
        <v>0</v>
      </c>
      <c r="BA32" s="147">
        <f>COUNTIFS('Отчет РПЗ(ПЗ)_ПЗИП'!$G:$G,Справочно!$C16,'Отчет РПЗ(ПЗ)_ПЗИП'!$AR:$AR,9,'Отчет РПЗ(ПЗ)_ПЗИП'!$AG:$AG,"&gt;0")</f>
        <v>0</v>
      </c>
      <c r="BB32" s="394">
        <f>ПП!AB20</f>
        <v>0</v>
      </c>
      <c r="BC32" s="342">
        <f>SUMIFS('Отчет РПЗ(ПЗ)_ПЗИП'!$AG:$AG,'Отчет РПЗ(ПЗ)_ПЗИП'!$G:$G,Справочно!$C16,'Отчет РПЗ(ПЗ)_ПЗИП'!$AR:$AR,9,'Отчет РПЗ(ПЗ)_ПЗИП'!$AG:$AG,"&gt;0")</f>
        <v>0</v>
      </c>
      <c r="BD32" s="174">
        <f>ПП!AC20</f>
        <v>0</v>
      </c>
      <c r="BE32" s="183">
        <f t="shared" si="9"/>
        <v>0</v>
      </c>
      <c r="BF32" s="393">
        <f t="shared" si="10"/>
        <v>0</v>
      </c>
      <c r="BG32" s="302">
        <f t="shared" si="11"/>
        <v>0</v>
      </c>
      <c r="BH32" s="162">
        <f>ПП!AE20</f>
        <v>0</v>
      </c>
      <c r="BI32" s="180">
        <f>COUNTIFS('Отчет РПЗ(ПЗ)_ПЗИП'!$G:$G,Справочно!$C16,'Отчет РПЗ(ПЗ)_ПЗИП'!$AR:$AR,10,'Отчет РПЗ(ПЗ)_ПЗИП'!$AG:$AG,"&gt;0")</f>
        <v>0</v>
      </c>
      <c r="BJ32" s="394">
        <f>ПП!AF20</f>
        <v>0</v>
      </c>
      <c r="BK32" s="343">
        <f>SUMIFS('Отчет РПЗ(ПЗ)_ПЗИП'!$AG:$AG,'Отчет РПЗ(ПЗ)_ПЗИП'!$G:$G,Справочно!$C16,'Отчет РПЗ(ПЗ)_ПЗИП'!$AR:$AR,10,'Отчет РПЗ(ПЗ)_ПЗИП'!$AG:$AG,"&gt;0")</f>
        <v>0</v>
      </c>
      <c r="BL32" s="45">
        <f>ПП!AG20</f>
        <v>0</v>
      </c>
      <c r="BM32" s="180">
        <f>COUNTIFS('Отчет РПЗ(ПЗ)_ПЗИП'!$G:$G,Справочно!$C16,'Отчет РПЗ(ПЗ)_ПЗИП'!$AR:$AR,11,'Отчет РПЗ(ПЗ)_ПЗИП'!$AG:$AG,"&gt;0")</f>
        <v>0</v>
      </c>
      <c r="BN32" s="394">
        <f>ПП!AH20</f>
        <v>0</v>
      </c>
      <c r="BO32" s="343">
        <f>SUMIFS('Отчет РПЗ(ПЗ)_ПЗИП'!$AG:$AG,'Отчет РПЗ(ПЗ)_ПЗИП'!$G:$G,Справочно!$C16,'Отчет РПЗ(ПЗ)_ПЗИП'!$AR:$AR,11,'Отчет РПЗ(ПЗ)_ПЗИП'!$AG:$AG,"&gt;0")</f>
        <v>0</v>
      </c>
      <c r="BP32" s="45">
        <f>ПП!AI20</f>
        <v>0</v>
      </c>
      <c r="BQ32" s="180">
        <f>COUNTIFS('Отчет РПЗ(ПЗ)_ПЗИП'!$G:$G,Справочно!$C16,'Отчет РПЗ(ПЗ)_ПЗИП'!$AR:$AR,12,'Отчет РПЗ(ПЗ)_ПЗИП'!$AG:$AG,"&gt;0")</f>
        <v>0</v>
      </c>
      <c r="BR32" s="394">
        <f>ПП!AJ20</f>
        <v>0</v>
      </c>
      <c r="BS32" s="344">
        <f>SUMIFS('Отчет РПЗ(ПЗ)_ПЗИП'!$AG:$AG,'Отчет РПЗ(ПЗ)_ПЗИП'!$G:$G,Справочно!$C16,'Отчет РПЗ(ПЗ)_ПЗИП'!$AR:$AR,12,'Отчет РПЗ(ПЗ)_ПЗИП'!$AG:$AG,"&gt;0")</f>
        <v>0</v>
      </c>
      <c r="BT32" s="174">
        <f>ПП!AK20</f>
        <v>0</v>
      </c>
      <c r="BU32" s="182">
        <f t="shared" si="12"/>
        <v>0</v>
      </c>
      <c r="BV32" s="393">
        <f t="shared" si="13"/>
        <v>0</v>
      </c>
      <c r="BW32" s="304">
        <f t="shared" si="14"/>
        <v>0</v>
      </c>
    </row>
    <row r="33" spans="2:75" ht="12.75" customHeight="1" thickBot="1" x14ac:dyDescent="0.25">
      <c r="B33" s="86" t="s">
        <v>250</v>
      </c>
      <c r="C33" s="95">
        <f>ПП!B21</f>
        <v>0</v>
      </c>
      <c r="D33" s="381" t="e">
        <f>ПП!C21</f>
        <v>#DIV/0!</v>
      </c>
      <c r="E33" s="66">
        <f>COUNTIFS('Отчет РПЗ(ПЗ)_ПЗИП'!$G:$G,Справочно!$C17,'Отчет РПЗ(ПЗ)_ПЗИП'!AG:AG, "&gt;0")</f>
        <v>0</v>
      </c>
      <c r="F33" s="382" t="e">
        <f t="shared" si="1"/>
        <v>#DIV/0!</v>
      </c>
      <c r="G33" s="383">
        <f>ПП!D21</f>
        <v>0</v>
      </c>
      <c r="H33" s="384" t="e">
        <f>ПП!E21</f>
        <v>#DIV/0!</v>
      </c>
      <c r="I33" s="385">
        <f>SUMIF('Отчет РПЗ(ПЗ)_ПЗИП'!$G:$G,Справочно!$C17,'Отчет РПЗ(ПЗ)_ПЗИП'!$AG:$AG)</f>
        <v>0</v>
      </c>
      <c r="J33" s="382" t="e">
        <f t="shared" si="2"/>
        <v>#DIV/0!</v>
      </c>
      <c r="K33" s="64"/>
      <c r="L33" s="162">
        <f>ПП!G21</f>
        <v>0</v>
      </c>
      <c r="M33" s="150">
        <f>COUNTIFS('Отчет РПЗ(ПЗ)_ПЗИП'!$G:$G,Справочно!$C17,'Отчет РПЗ(ПЗ)_ПЗИП'!$AR:$AR,1,'Отчет РПЗ(ПЗ)_ПЗИП'!$AG:$AG,"&gt;0")</f>
        <v>0</v>
      </c>
      <c r="N33" s="394">
        <f>ПП!H21</f>
        <v>0</v>
      </c>
      <c r="O33" s="305">
        <f>SUMIFS('Отчет РПЗ(ПЗ)_ПЗИП'!$AG:$AG,'Отчет РПЗ(ПЗ)_ПЗИП'!$G:$G,Справочно!$C17,'Отчет РПЗ(ПЗ)_ПЗИП'!$AR:$AR,1,'Отчет РПЗ(ПЗ)_ПЗИП'!$AG:$AG,"&gt;0")</f>
        <v>0</v>
      </c>
      <c r="P33" s="45">
        <f>ПП!I21</f>
        <v>0</v>
      </c>
      <c r="Q33" s="150">
        <f>COUNTIFS('Отчет РПЗ(ПЗ)_ПЗИП'!$G:$G,Справочно!$C17,'Отчет РПЗ(ПЗ)_ПЗИП'!$AR:$AR,2,'Отчет РПЗ(ПЗ)_ПЗИП'!$AG:$AG,"&gt;0")</f>
        <v>0</v>
      </c>
      <c r="R33" s="394">
        <f>ПП!J21</f>
        <v>0</v>
      </c>
      <c r="S33" s="305">
        <f>SUMIFS('Отчет РПЗ(ПЗ)_ПЗИП'!$AG:$AG,'Отчет РПЗ(ПЗ)_ПЗИП'!$G:$G,Справочно!$C17,'Отчет РПЗ(ПЗ)_ПЗИП'!$AR:$AR,2,'Отчет РПЗ(ПЗ)_ПЗИП'!$AG:$AG,"&gt;0")</f>
        <v>0</v>
      </c>
      <c r="T33" s="45">
        <f>ПП!K21</f>
        <v>0</v>
      </c>
      <c r="U33" s="150">
        <f>COUNTIFS('Отчет РПЗ(ПЗ)_ПЗИП'!$G:$G,Справочно!$C17,'Отчет РПЗ(ПЗ)_ПЗИП'!$AR:$AR,3,'Отчет РПЗ(ПЗ)_ПЗИП'!$AG:$AG,"&gt;0")</f>
        <v>0</v>
      </c>
      <c r="V33" s="394">
        <f>ПП!L21</f>
        <v>0</v>
      </c>
      <c r="W33" s="338">
        <f>SUMIFS('Отчет РПЗ(ПЗ)_ПЗИП'!$AG:$AG,'Отчет РПЗ(ПЗ)_ПЗИП'!$G:$G,Справочно!$C17,'Отчет РПЗ(ПЗ)_ПЗИП'!$AR:$AR,3,'Отчет РПЗ(ПЗ)_ПЗИП'!$AG:$AG,"&gt;0")</f>
        <v>0</v>
      </c>
      <c r="X33" s="174">
        <f>ПП!M21</f>
        <v>0</v>
      </c>
      <c r="Y33" s="175">
        <f t="shared" si="3"/>
        <v>0</v>
      </c>
      <c r="Z33" s="393">
        <f t="shared" si="4"/>
        <v>0</v>
      </c>
      <c r="AA33" s="298">
        <f t="shared" si="5"/>
        <v>0</v>
      </c>
      <c r="AB33" s="162">
        <f>ПП!O21</f>
        <v>0</v>
      </c>
      <c r="AC33" s="186">
        <f>COUNTIFS('Отчет РПЗ(ПЗ)_ПЗИП'!$G:$G,Справочно!$C17,'Отчет РПЗ(ПЗ)_ПЗИП'!$AR:$AR,4,'Отчет РПЗ(ПЗ)_ПЗИП'!$AG:$AG,"&gt;0")</f>
        <v>0</v>
      </c>
      <c r="AD33" s="394">
        <f>ПП!P21</f>
        <v>0</v>
      </c>
      <c r="AE33" s="339">
        <f>SUMIFS('Отчет РПЗ(ПЗ)_ПЗИП'!$AG:$AG,'Отчет РПЗ(ПЗ)_ПЗИП'!$G:$G,Справочно!$C17,'Отчет РПЗ(ПЗ)_ПЗИП'!$AR:$AR,4,'Отчет РПЗ(ПЗ)_ПЗИП'!$AG:$AG,"&gt;0")</f>
        <v>0</v>
      </c>
      <c r="AF33" s="45">
        <f>ПП!Q21</f>
        <v>0</v>
      </c>
      <c r="AG33" s="186">
        <f>COUNTIFS('Отчет РПЗ(ПЗ)_ПЗИП'!$G:$G,Справочно!$C17,'Отчет РПЗ(ПЗ)_ПЗИП'!$AR:$AR,5,'Отчет РПЗ(ПЗ)_ПЗИП'!$AG:$AG,"&gt;0")</f>
        <v>0</v>
      </c>
      <c r="AH33" s="394">
        <f>ПП!R21</f>
        <v>0</v>
      </c>
      <c r="AI33" s="339">
        <f>SUMIFS('Отчет РПЗ(ПЗ)_ПЗИП'!$AG:$AG,'Отчет РПЗ(ПЗ)_ПЗИП'!$G:$G,Справочно!$C17,'Отчет РПЗ(ПЗ)_ПЗИП'!$AR:$AR,5,'Отчет РПЗ(ПЗ)_ПЗИП'!$AG:$AG,"&gt;0")</f>
        <v>0</v>
      </c>
      <c r="AJ33" s="45">
        <f>ПП!S21</f>
        <v>0</v>
      </c>
      <c r="AK33" s="186">
        <f>COUNTIFS('Отчет РПЗ(ПЗ)_ПЗИП'!$G:$G,Справочно!$C17,'Отчет РПЗ(ПЗ)_ПЗИП'!$AR:$AR,6,'Отчет РПЗ(ПЗ)_ПЗИП'!$AG:$AG,"&gt;0")</f>
        <v>0</v>
      </c>
      <c r="AL33" s="394">
        <f>ПП!T21</f>
        <v>0</v>
      </c>
      <c r="AM33" s="340">
        <f>SUMIFS('Отчет РПЗ(ПЗ)_ПЗИП'!$AG:$AG,'Отчет РПЗ(ПЗ)_ПЗИП'!$G:$G,Справочно!$C17,'Отчет РПЗ(ПЗ)_ПЗИП'!$AR:$AR,6,'Отчет РПЗ(ПЗ)_ПЗИП'!$AG:$AG,"&gt;0")</f>
        <v>0</v>
      </c>
      <c r="AN33" s="174">
        <f>ПП!U21</f>
        <v>0</v>
      </c>
      <c r="AO33" s="188">
        <f t="shared" si="6"/>
        <v>0</v>
      </c>
      <c r="AP33" s="393">
        <f t="shared" si="7"/>
        <v>0</v>
      </c>
      <c r="AQ33" s="300">
        <f t="shared" si="8"/>
        <v>0</v>
      </c>
      <c r="AR33" s="162">
        <f>ПП!W21</f>
        <v>0</v>
      </c>
      <c r="AS33" s="147">
        <f>COUNTIFS('Отчет РПЗ(ПЗ)_ПЗИП'!$G:$G,Справочно!$C17,'Отчет РПЗ(ПЗ)_ПЗИП'!$AR:$AR,7,'Отчет РПЗ(ПЗ)_ПЗИП'!$AG:$AG,"&gt;0")</f>
        <v>0</v>
      </c>
      <c r="AT33" s="394">
        <f>ПП!X21</f>
        <v>0</v>
      </c>
      <c r="AU33" s="341">
        <f>SUMIFS('Отчет РПЗ(ПЗ)_ПЗИП'!$AG:$AG,'Отчет РПЗ(ПЗ)_ПЗИП'!$G:$G,Справочно!$C17,'Отчет РПЗ(ПЗ)_ПЗИП'!$AR:$AR,7,'Отчет РПЗ(ПЗ)_ПЗИП'!$AG:$AG,"&gt;0")</f>
        <v>0</v>
      </c>
      <c r="AV33" s="45">
        <f>ПП!Y21</f>
        <v>0</v>
      </c>
      <c r="AW33" s="147">
        <f>COUNTIFS('Отчет РПЗ(ПЗ)_ПЗИП'!$G:$G,Справочно!$C17,'Отчет РПЗ(ПЗ)_ПЗИП'!$AR:$AR,8,'Отчет РПЗ(ПЗ)_ПЗИП'!$AG:$AG,"&gt;0")</f>
        <v>0</v>
      </c>
      <c r="AX33" s="394">
        <f>ПП!Z21</f>
        <v>0</v>
      </c>
      <c r="AY33" s="341">
        <f>SUMIFS('Отчет РПЗ(ПЗ)_ПЗИП'!$AG:$AG,'Отчет РПЗ(ПЗ)_ПЗИП'!$G:$G,Справочно!$C17,'Отчет РПЗ(ПЗ)_ПЗИП'!$AR:$AR,8,'Отчет РПЗ(ПЗ)_ПЗИП'!$AG:$AG,"&gt;0")</f>
        <v>0</v>
      </c>
      <c r="AZ33" s="45">
        <f>ПП!AA21</f>
        <v>0</v>
      </c>
      <c r="BA33" s="147">
        <f>COUNTIFS('Отчет РПЗ(ПЗ)_ПЗИП'!$G:$G,Справочно!$C17,'Отчет РПЗ(ПЗ)_ПЗИП'!$AR:$AR,9,'Отчет РПЗ(ПЗ)_ПЗИП'!$AG:$AG,"&gt;0")</f>
        <v>0</v>
      </c>
      <c r="BB33" s="394">
        <f>ПП!AB21</f>
        <v>0</v>
      </c>
      <c r="BC33" s="342">
        <f>SUMIFS('Отчет РПЗ(ПЗ)_ПЗИП'!$AG:$AG,'Отчет РПЗ(ПЗ)_ПЗИП'!$G:$G,Справочно!$C17,'Отчет РПЗ(ПЗ)_ПЗИП'!$AR:$AR,9,'Отчет РПЗ(ПЗ)_ПЗИП'!$AG:$AG,"&gt;0")</f>
        <v>0</v>
      </c>
      <c r="BD33" s="174">
        <f>ПП!AC21</f>
        <v>0</v>
      </c>
      <c r="BE33" s="183">
        <f t="shared" si="9"/>
        <v>0</v>
      </c>
      <c r="BF33" s="393">
        <f t="shared" si="10"/>
        <v>0</v>
      </c>
      <c r="BG33" s="302">
        <f t="shared" si="11"/>
        <v>0</v>
      </c>
      <c r="BH33" s="162">
        <f>ПП!AE21</f>
        <v>0</v>
      </c>
      <c r="BI33" s="180">
        <f>COUNTIFS('Отчет РПЗ(ПЗ)_ПЗИП'!$G:$G,Справочно!$C17,'Отчет РПЗ(ПЗ)_ПЗИП'!$AR:$AR,10,'Отчет РПЗ(ПЗ)_ПЗИП'!$AG:$AG,"&gt;0")</f>
        <v>0</v>
      </c>
      <c r="BJ33" s="394">
        <f>ПП!AF21</f>
        <v>0</v>
      </c>
      <c r="BK33" s="343">
        <f>SUMIFS('Отчет РПЗ(ПЗ)_ПЗИП'!$AG:$AG,'Отчет РПЗ(ПЗ)_ПЗИП'!$G:$G,Справочно!$C17,'Отчет РПЗ(ПЗ)_ПЗИП'!$AR:$AR,10,'Отчет РПЗ(ПЗ)_ПЗИП'!$AG:$AG,"&gt;0")</f>
        <v>0</v>
      </c>
      <c r="BL33" s="45">
        <f>ПП!AG21</f>
        <v>0</v>
      </c>
      <c r="BM33" s="180">
        <f>COUNTIFS('Отчет РПЗ(ПЗ)_ПЗИП'!$G:$G,Справочно!$C17,'Отчет РПЗ(ПЗ)_ПЗИП'!$AR:$AR,11,'Отчет РПЗ(ПЗ)_ПЗИП'!$AG:$AG,"&gt;0")</f>
        <v>0</v>
      </c>
      <c r="BN33" s="394">
        <f>ПП!AH21</f>
        <v>0</v>
      </c>
      <c r="BO33" s="343">
        <f>SUMIFS('Отчет РПЗ(ПЗ)_ПЗИП'!$AG:$AG,'Отчет РПЗ(ПЗ)_ПЗИП'!$G:$G,Справочно!$C17,'Отчет РПЗ(ПЗ)_ПЗИП'!$AR:$AR,11,'Отчет РПЗ(ПЗ)_ПЗИП'!$AG:$AG,"&gt;0")</f>
        <v>0</v>
      </c>
      <c r="BP33" s="45">
        <f>ПП!AI21</f>
        <v>0</v>
      </c>
      <c r="BQ33" s="180">
        <f>COUNTIFS('Отчет РПЗ(ПЗ)_ПЗИП'!$G:$G,Справочно!$C17,'Отчет РПЗ(ПЗ)_ПЗИП'!$AR:$AR,12,'Отчет РПЗ(ПЗ)_ПЗИП'!$AG:$AG,"&gt;0")</f>
        <v>0</v>
      </c>
      <c r="BR33" s="394">
        <f>ПП!AJ21</f>
        <v>0</v>
      </c>
      <c r="BS33" s="344">
        <f>SUMIFS('Отчет РПЗ(ПЗ)_ПЗИП'!$AG:$AG,'Отчет РПЗ(ПЗ)_ПЗИП'!$G:$G,Справочно!$C17,'Отчет РПЗ(ПЗ)_ПЗИП'!$AR:$AR,12,'Отчет РПЗ(ПЗ)_ПЗИП'!$AG:$AG,"&gt;0")</f>
        <v>0</v>
      </c>
      <c r="BT33" s="174">
        <f>ПП!AK21</f>
        <v>0</v>
      </c>
      <c r="BU33" s="182">
        <f t="shared" si="12"/>
        <v>0</v>
      </c>
      <c r="BV33" s="393">
        <f t="shared" si="13"/>
        <v>0</v>
      </c>
      <c r="BW33" s="304">
        <f t="shared" si="14"/>
        <v>0</v>
      </c>
    </row>
    <row r="34" spans="2:75" ht="13.5" thickBot="1" x14ac:dyDescent="0.25">
      <c r="B34" s="86" t="s">
        <v>105</v>
      </c>
      <c r="C34" s="95">
        <f>ПП!B22</f>
        <v>0</v>
      </c>
      <c r="D34" s="381" t="e">
        <f>ПП!C22</f>
        <v>#DIV/0!</v>
      </c>
      <c r="E34" s="66">
        <f>COUNTIFS('Отчет РПЗ(ПЗ)_ПЗИП'!$G:$G,Справочно!$C18,'Отчет РПЗ(ПЗ)_ПЗИП'!AG:AG, "&gt;0")</f>
        <v>0</v>
      </c>
      <c r="F34" s="382" t="e">
        <f t="shared" si="1"/>
        <v>#DIV/0!</v>
      </c>
      <c r="G34" s="383">
        <f>ПП!D22</f>
        <v>0</v>
      </c>
      <c r="H34" s="384" t="e">
        <f>ПП!E22</f>
        <v>#DIV/0!</v>
      </c>
      <c r="I34" s="385">
        <f>SUMIF('Отчет РПЗ(ПЗ)_ПЗИП'!$G:$G,Справочно!$C18,'Отчет РПЗ(ПЗ)_ПЗИП'!$AG:$AG)</f>
        <v>0</v>
      </c>
      <c r="J34" s="382" t="e">
        <f t="shared" si="2"/>
        <v>#DIV/0!</v>
      </c>
      <c r="K34" s="64"/>
      <c r="L34" s="162">
        <f>ПП!G22</f>
        <v>0</v>
      </c>
      <c r="M34" s="150">
        <f>COUNTIFS('Отчет РПЗ(ПЗ)_ПЗИП'!$G:$G,Справочно!$C18,'Отчет РПЗ(ПЗ)_ПЗИП'!$AR:$AR,1,'Отчет РПЗ(ПЗ)_ПЗИП'!$AG:$AG,"&gt;0")</f>
        <v>0</v>
      </c>
      <c r="N34" s="394">
        <f>ПП!H22</f>
        <v>0</v>
      </c>
      <c r="O34" s="305">
        <f>SUMIFS('Отчет РПЗ(ПЗ)_ПЗИП'!$AG:$AG,'Отчет РПЗ(ПЗ)_ПЗИП'!$G:$G,Справочно!$C18,'Отчет РПЗ(ПЗ)_ПЗИП'!$AR:$AR,1,'Отчет РПЗ(ПЗ)_ПЗИП'!$AG:$AG,"&gt;0")</f>
        <v>0</v>
      </c>
      <c r="P34" s="45">
        <f>ПП!I22</f>
        <v>0</v>
      </c>
      <c r="Q34" s="150">
        <f>COUNTIFS('Отчет РПЗ(ПЗ)_ПЗИП'!$G:$G,Справочно!$C18,'Отчет РПЗ(ПЗ)_ПЗИП'!$AR:$AR,2,'Отчет РПЗ(ПЗ)_ПЗИП'!$AG:$AG,"&gt;0")</f>
        <v>0</v>
      </c>
      <c r="R34" s="394">
        <f>ПП!J22</f>
        <v>0</v>
      </c>
      <c r="S34" s="305">
        <f>SUMIFS('Отчет РПЗ(ПЗ)_ПЗИП'!$AG:$AG,'Отчет РПЗ(ПЗ)_ПЗИП'!$G:$G,Справочно!$C18,'Отчет РПЗ(ПЗ)_ПЗИП'!$AR:$AR,2,'Отчет РПЗ(ПЗ)_ПЗИП'!$AG:$AG,"&gt;0")</f>
        <v>0</v>
      </c>
      <c r="T34" s="45">
        <f>ПП!K22</f>
        <v>0</v>
      </c>
      <c r="U34" s="150">
        <f>COUNTIFS('Отчет РПЗ(ПЗ)_ПЗИП'!$G:$G,Справочно!$C18,'Отчет РПЗ(ПЗ)_ПЗИП'!$AR:$AR,3,'Отчет РПЗ(ПЗ)_ПЗИП'!$AG:$AG,"&gt;0")</f>
        <v>0</v>
      </c>
      <c r="V34" s="394">
        <f>ПП!L22</f>
        <v>0</v>
      </c>
      <c r="W34" s="338">
        <f>SUMIFS('Отчет РПЗ(ПЗ)_ПЗИП'!$AG:$AG,'Отчет РПЗ(ПЗ)_ПЗИП'!$G:$G,Справочно!$C18,'Отчет РПЗ(ПЗ)_ПЗИП'!$AR:$AR,3,'Отчет РПЗ(ПЗ)_ПЗИП'!$AG:$AG,"&gt;0")</f>
        <v>0</v>
      </c>
      <c r="X34" s="174">
        <f>ПП!M22</f>
        <v>0</v>
      </c>
      <c r="Y34" s="175">
        <f t="shared" si="3"/>
        <v>0</v>
      </c>
      <c r="Z34" s="393">
        <f t="shared" si="4"/>
        <v>0</v>
      </c>
      <c r="AA34" s="298">
        <f t="shared" si="5"/>
        <v>0</v>
      </c>
      <c r="AB34" s="162">
        <f>ПП!O22</f>
        <v>0</v>
      </c>
      <c r="AC34" s="186">
        <f>COUNTIFS('Отчет РПЗ(ПЗ)_ПЗИП'!$G:$G,Справочно!$C18,'Отчет РПЗ(ПЗ)_ПЗИП'!$AR:$AR,4,'Отчет РПЗ(ПЗ)_ПЗИП'!$AG:$AG,"&gt;0")</f>
        <v>0</v>
      </c>
      <c r="AD34" s="394">
        <f>ПП!P22</f>
        <v>0</v>
      </c>
      <c r="AE34" s="339">
        <f>SUMIFS('Отчет РПЗ(ПЗ)_ПЗИП'!$AG:$AG,'Отчет РПЗ(ПЗ)_ПЗИП'!$G:$G,Справочно!$C18,'Отчет РПЗ(ПЗ)_ПЗИП'!$AR:$AR,4,'Отчет РПЗ(ПЗ)_ПЗИП'!$AG:$AG,"&gt;0")</f>
        <v>0</v>
      </c>
      <c r="AF34" s="45">
        <f>ПП!Q22</f>
        <v>0</v>
      </c>
      <c r="AG34" s="186">
        <f>COUNTIFS('Отчет РПЗ(ПЗ)_ПЗИП'!$G:$G,Справочно!$C18,'Отчет РПЗ(ПЗ)_ПЗИП'!$AR:$AR,5,'Отчет РПЗ(ПЗ)_ПЗИП'!$AG:$AG,"&gt;0")</f>
        <v>0</v>
      </c>
      <c r="AH34" s="394">
        <f>ПП!R22</f>
        <v>0</v>
      </c>
      <c r="AI34" s="339">
        <f>SUMIFS('Отчет РПЗ(ПЗ)_ПЗИП'!$AG:$AG,'Отчет РПЗ(ПЗ)_ПЗИП'!$G:$G,Справочно!$C18,'Отчет РПЗ(ПЗ)_ПЗИП'!$AR:$AR,5,'Отчет РПЗ(ПЗ)_ПЗИП'!$AG:$AG,"&gt;0")</f>
        <v>0</v>
      </c>
      <c r="AJ34" s="45">
        <f>ПП!S22</f>
        <v>0</v>
      </c>
      <c r="AK34" s="186">
        <f>COUNTIFS('Отчет РПЗ(ПЗ)_ПЗИП'!$G:$G,Справочно!$C18,'Отчет РПЗ(ПЗ)_ПЗИП'!$AR:$AR,6,'Отчет РПЗ(ПЗ)_ПЗИП'!$AG:$AG,"&gt;0")</f>
        <v>0</v>
      </c>
      <c r="AL34" s="394">
        <f>ПП!T22</f>
        <v>0</v>
      </c>
      <c r="AM34" s="340">
        <f>SUMIFS('Отчет РПЗ(ПЗ)_ПЗИП'!$AG:$AG,'Отчет РПЗ(ПЗ)_ПЗИП'!$G:$G,Справочно!$C18,'Отчет РПЗ(ПЗ)_ПЗИП'!$AR:$AR,6,'Отчет РПЗ(ПЗ)_ПЗИП'!$AG:$AG,"&gt;0")</f>
        <v>0</v>
      </c>
      <c r="AN34" s="174">
        <f>ПП!U22</f>
        <v>0</v>
      </c>
      <c r="AO34" s="188">
        <f t="shared" si="6"/>
        <v>0</v>
      </c>
      <c r="AP34" s="393">
        <f t="shared" si="7"/>
        <v>0</v>
      </c>
      <c r="AQ34" s="300">
        <f t="shared" si="8"/>
        <v>0</v>
      </c>
      <c r="AR34" s="162">
        <f>ПП!W22</f>
        <v>0</v>
      </c>
      <c r="AS34" s="147">
        <f>COUNTIFS('Отчет РПЗ(ПЗ)_ПЗИП'!$G:$G,Справочно!$C18,'Отчет РПЗ(ПЗ)_ПЗИП'!$AR:$AR,7,'Отчет РПЗ(ПЗ)_ПЗИП'!$AG:$AG,"&gt;0")</f>
        <v>0</v>
      </c>
      <c r="AT34" s="394">
        <f>ПП!X22</f>
        <v>0</v>
      </c>
      <c r="AU34" s="341">
        <f>SUMIFS('Отчет РПЗ(ПЗ)_ПЗИП'!$AG:$AG,'Отчет РПЗ(ПЗ)_ПЗИП'!$G:$G,Справочно!$C18,'Отчет РПЗ(ПЗ)_ПЗИП'!$AR:$AR,7,'Отчет РПЗ(ПЗ)_ПЗИП'!$AG:$AG,"&gt;0")</f>
        <v>0</v>
      </c>
      <c r="AV34" s="45">
        <f>ПП!Y22</f>
        <v>0</v>
      </c>
      <c r="AW34" s="147">
        <f>COUNTIFS('Отчет РПЗ(ПЗ)_ПЗИП'!$G:$G,Справочно!$C18,'Отчет РПЗ(ПЗ)_ПЗИП'!$AR:$AR,8,'Отчет РПЗ(ПЗ)_ПЗИП'!$AG:$AG,"&gt;0")</f>
        <v>0</v>
      </c>
      <c r="AX34" s="394">
        <f>ПП!Z22</f>
        <v>0</v>
      </c>
      <c r="AY34" s="341">
        <f>SUMIFS('Отчет РПЗ(ПЗ)_ПЗИП'!$AG:$AG,'Отчет РПЗ(ПЗ)_ПЗИП'!$G:$G,Справочно!$C18,'Отчет РПЗ(ПЗ)_ПЗИП'!$AR:$AR,8,'Отчет РПЗ(ПЗ)_ПЗИП'!$AG:$AG,"&gt;0")</f>
        <v>0</v>
      </c>
      <c r="AZ34" s="45">
        <f>ПП!AA22</f>
        <v>0</v>
      </c>
      <c r="BA34" s="147">
        <f>COUNTIFS('Отчет РПЗ(ПЗ)_ПЗИП'!$G:$G,Справочно!$C18,'Отчет РПЗ(ПЗ)_ПЗИП'!$AR:$AR,9,'Отчет РПЗ(ПЗ)_ПЗИП'!$AG:$AG,"&gt;0")</f>
        <v>0</v>
      </c>
      <c r="BB34" s="394">
        <f>ПП!AB22</f>
        <v>0</v>
      </c>
      <c r="BC34" s="342">
        <f>SUMIFS('Отчет РПЗ(ПЗ)_ПЗИП'!$AG:$AG,'Отчет РПЗ(ПЗ)_ПЗИП'!$G:$G,Справочно!$C18,'Отчет РПЗ(ПЗ)_ПЗИП'!$AR:$AR,9,'Отчет РПЗ(ПЗ)_ПЗИП'!$AG:$AG,"&gt;0")</f>
        <v>0</v>
      </c>
      <c r="BD34" s="174">
        <f>ПП!AC22</f>
        <v>0</v>
      </c>
      <c r="BE34" s="183">
        <f t="shared" si="9"/>
        <v>0</v>
      </c>
      <c r="BF34" s="393">
        <f t="shared" si="10"/>
        <v>0</v>
      </c>
      <c r="BG34" s="302">
        <f t="shared" si="11"/>
        <v>0</v>
      </c>
      <c r="BH34" s="162">
        <f>ПП!AE22</f>
        <v>0</v>
      </c>
      <c r="BI34" s="180">
        <f>COUNTIFS('Отчет РПЗ(ПЗ)_ПЗИП'!$G:$G,Справочно!$C18,'Отчет РПЗ(ПЗ)_ПЗИП'!$AR:$AR,10,'Отчет РПЗ(ПЗ)_ПЗИП'!$AG:$AG,"&gt;0")</f>
        <v>0</v>
      </c>
      <c r="BJ34" s="394">
        <f>ПП!AF22</f>
        <v>0</v>
      </c>
      <c r="BK34" s="343">
        <f>SUMIFS('Отчет РПЗ(ПЗ)_ПЗИП'!$AG:$AG,'Отчет РПЗ(ПЗ)_ПЗИП'!$G:$G,Справочно!$C18,'Отчет РПЗ(ПЗ)_ПЗИП'!$AR:$AR,10,'Отчет РПЗ(ПЗ)_ПЗИП'!$AG:$AG,"&gt;0")</f>
        <v>0</v>
      </c>
      <c r="BL34" s="45">
        <f>ПП!AG22</f>
        <v>0</v>
      </c>
      <c r="BM34" s="180">
        <f>COUNTIFS('Отчет РПЗ(ПЗ)_ПЗИП'!$G:$G,Справочно!$C18,'Отчет РПЗ(ПЗ)_ПЗИП'!$AR:$AR,11,'Отчет РПЗ(ПЗ)_ПЗИП'!$AG:$AG,"&gt;0")</f>
        <v>0</v>
      </c>
      <c r="BN34" s="394">
        <f>ПП!AH22</f>
        <v>0</v>
      </c>
      <c r="BO34" s="343">
        <f>SUMIFS('Отчет РПЗ(ПЗ)_ПЗИП'!$AG:$AG,'Отчет РПЗ(ПЗ)_ПЗИП'!$G:$G,Справочно!$C18,'Отчет РПЗ(ПЗ)_ПЗИП'!$AR:$AR,11,'Отчет РПЗ(ПЗ)_ПЗИП'!$AG:$AG,"&gt;0")</f>
        <v>0</v>
      </c>
      <c r="BP34" s="45">
        <f>ПП!AI22</f>
        <v>0</v>
      </c>
      <c r="BQ34" s="180">
        <f>COUNTIFS('Отчет РПЗ(ПЗ)_ПЗИП'!$G:$G,Справочно!$C18,'Отчет РПЗ(ПЗ)_ПЗИП'!$AR:$AR,12,'Отчет РПЗ(ПЗ)_ПЗИП'!$AG:$AG,"&gt;0")</f>
        <v>0</v>
      </c>
      <c r="BR34" s="394">
        <f>ПП!AJ22</f>
        <v>0</v>
      </c>
      <c r="BS34" s="344">
        <f>SUMIFS('Отчет РПЗ(ПЗ)_ПЗИП'!$AG:$AG,'Отчет РПЗ(ПЗ)_ПЗИП'!$G:$G,Справочно!$C18,'Отчет РПЗ(ПЗ)_ПЗИП'!$AR:$AR,12,'Отчет РПЗ(ПЗ)_ПЗИП'!$AG:$AG,"&gt;0")</f>
        <v>0</v>
      </c>
      <c r="BT34" s="174">
        <f>ПП!AK22</f>
        <v>0</v>
      </c>
      <c r="BU34" s="182">
        <f t="shared" si="12"/>
        <v>0</v>
      </c>
      <c r="BV34" s="393">
        <f t="shared" si="13"/>
        <v>0</v>
      </c>
      <c r="BW34" s="304">
        <f t="shared" si="14"/>
        <v>0</v>
      </c>
    </row>
    <row r="35" spans="2:75" ht="13.5" thickBot="1" x14ac:dyDescent="0.25">
      <c r="B35" s="86" t="s">
        <v>251</v>
      </c>
      <c r="C35" s="95">
        <f>ПП!B23</f>
        <v>0</v>
      </c>
      <c r="D35" s="381" t="e">
        <f>ПП!C23</f>
        <v>#DIV/0!</v>
      </c>
      <c r="E35" s="66">
        <f>COUNTIFS('Отчет РПЗ(ПЗ)_ПЗИП'!$G:$G,Справочно!$C19,'Отчет РПЗ(ПЗ)_ПЗИП'!AG:AG, "&gt;0")</f>
        <v>0</v>
      </c>
      <c r="F35" s="382" t="e">
        <f t="shared" si="1"/>
        <v>#DIV/0!</v>
      </c>
      <c r="G35" s="383">
        <f>ПП!D23</f>
        <v>0</v>
      </c>
      <c r="H35" s="384" t="e">
        <f>ПП!E23</f>
        <v>#DIV/0!</v>
      </c>
      <c r="I35" s="385">
        <f>SUMIF('Отчет РПЗ(ПЗ)_ПЗИП'!$G:$G,Справочно!$C19,'Отчет РПЗ(ПЗ)_ПЗИП'!$AG:$AG)</f>
        <v>0</v>
      </c>
      <c r="J35" s="382" t="e">
        <f t="shared" si="2"/>
        <v>#DIV/0!</v>
      </c>
      <c r="K35" s="64"/>
      <c r="L35" s="162">
        <f>ПП!G23</f>
        <v>0</v>
      </c>
      <c r="M35" s="150">
        <f>COUNTIFS('Отчет РПЗ(ПЗ)_ПЗИП'!$G:$G,Справочно!$C19,'Отчет РПЗ(ПЗ)_ПЗИП'!$AR:$AR,1,'Отчет РПЗ(ПЗ)_ПЗИП'!$AG:$AG,"&gt;0")</f>
        <v>0</v>
      </c>
      <c r="N35" s="394">
        <f>ПП!H23</f>
        <v>0</v>
      </c>
      <c r="O35" s="305">
        <f>SUMIFS('Отчет РПЗ(ПЗ)_ПЗИП'!$AG:$AG,'Отчет РПЗ(ПЗ)_ПЗИП'!$G:$G,Справочно!$C19,'Отчет РПЗ(ПЗ)_ПЗИП'!$AR:$AR,1,'Отчет РПЗ(ПЗ)_ПЗИП'!$AG:$AG,"&gt;0")</f>
        <v>0</v>
      </c>
      <c r="P35" s="45">
        <f>ПП!I23</f>
        <v>0</v>
      </c>
      <c r="Q35" s="150">
        <f>COUNTIFS('Отчет РПЗ(ПЗ)_ПЗИП'!$G:$G,Справочно!$C19,'Отчет РПЗ(ПЗ)_ПЗИП'!$AR:$AR,2,'Отчет РПЗ(ПЗ)_ПЗИП'!$AG:$AG,"&gt;0")</f>
        <v>0</v>
      </c>
      <c r="R35" s="394">
        <f>ПП!J23</f>
        <v>0</v>
      </c>
      <c r="S35" s="305">
        <f>SUMIFS('Отчет РПЗ(ПЗ)_ПЗИП'!$AG:$AG,'Отчет РПЗ(ПЗ)_ПЗИП'!$G:$G,Справочно!$C19,'Отчет РПЗ(ПЗ)_ПЗИП'!$AR:$AR,2,'Отчет РПЗ(ПЗ)_ПЗИП'!$AG:$AG,"&gt;0")</f>
        <v>0</v>
      </c>
      <c r="T35" s="45">
        <f>ПП!K23</f>
        <v>0</v>
      </c>
      <c r="U35" s="150">
        <f>COUNTIFS('Отчет РПЗ(ПЗ)_ПЗИП'!$G:$G,Справочно!$C19,'Отчет РПЗ(ПЗ)_ПЗИП'!$AR:$AR,3,'Отчет РПЗ(ПЗ)_ПЗИП'!$AG:$AG,"&gt;0")</f>
        <v>0</v>
      </c>
      <c r="V35" s="394">
        <f>ПП!L23</f>
        <v>0</v>
      </c>
      <c r="W35" s="338">
        <f>SUMIFS('Отчет РПЗ(ПЗ)_ПЗИП'!$AG:$AG,'Отчет РПЗ(ПЗ)_ПЗИП'!$G:$G,Справочно!$C19,'Отчет РПЗ(ПЗ)_ПЗИП'!$AR:$AR,3,'Отчет РПЗ(ПЗ)_ПЗИП'!$AG:$AG,"&gt;0")</f>
        <v>0</v>
      </c>
      <c r="X35" s="174">
        <f>ПП!M23</f>
        <v>0</v>
      </c>
      <c r="Y35" s="175">
        <f t="shared" si="3"/>
        <v>0</v>
      </c>
      <c r="Z35" s="393">
        <f t="shared" si="4"/>
        <v>0</v>
      </c>
      <c r="AA35" s="298">
        <f t="shared" si="5"/>
        <v>0</v>
      </c>
      <c r="AB35" s="162">
        <f>ПП!O23</f>
        <v>0</v>
      </c>
      <c r="AC35" s="186">
        <f>COUNTIFS('Отчет РПЗ(ПЗ)_ПЗИП'!$G:$G,Справочно!$C19,'Отчет РПЗ(ПЗ)_ПЗИП'!$AR:$AR,4,'Отчет РПЗ(ПЗ)_ПЗИП'!$AG:$AG,"&gt;0")</f>
        <v>0</v>
      </c>
      <c r="AD35" s="394">
        <f>ПП!P23</f>
        <v>0</v>
      </c>
      <c r="AE35" s="339">
        <f>SUMIFS('Отчет РПЗ(ПЗ)_ПЗИП'!$AG:$AG,'Отчет РПЗ(ПЗ)_ПЗИП'!$G:$G,Справочно!$C19,'Отчет РПЗ(ПЗ)_ПЗИП'!$AR:$AR,4,'Отчет РПЗ(ПЗ)_ПЗИП'!$AG:$AG,"&gt;0")</f>
        <v>0</v>
      </c>
      <c r="AF35" s="45">
        <f>ПП!Q23</f>
        <v>0</v>
      </c>
      <c r="AG35" s="186">
        <f>COUNTIFS('Отчет РПЗ(ПЗ)_ПЗИП'!$G:$G,Справочно!$C19,'Отчет РПЗ(ПЗ)_ПЗИП'!$AR:$AR,5,'Отчет РПЗ(ПЗ)_ПЗИП'!$AG:$AG,"&gt;0")</f>
        <v>0</v>
      </c>
      <c r="AH35" s="394">
        <f>ПП!R23</f>
        <v>0</v>
      </c>
      <c r="AI35" s="339">
        <f>SUMIFS('Отчет РПЗ(ПЗ)_ПЗИП'!$AG:$AG,'Отчет РПЗ(ПЗ)_ПЗИП'!$G:$G,Справочно!$C19,'Отчет РПЗ(ПЗ)_ПЗИП'!$AR:$AR,5,'Отчет РПЗ(ПЗ)_ПЗИП'!$AG:$AG,"&gt;0")</f>
        <v>0</v>
      </c>
      <c r="AJ35" s="45">
        <f>ПП!S23</f>
        <v>0</v>
      </c>
      <c r="AK35" s="186">
        <f>COUNTIFS('Отчет РПЗ(ПЗ)_ПЗИП'!$G:$G,Справочно!$C19,'Отчет РПЗ(ПЗ)_ПЗИП'!$AR:$AR,6,'Отчет РПЗ(ПЗ)_ПЗИП'!$AG:$AG,"&gt;0")</f>
        <v>0</v>
      </c>
      <c r="AL35" s="394">
        <f>ПП!T23</f>
        <v>0</v>
      </c>
      <c r="AM35" s="340">
        <f>SUMIFS('Отчет РПЗ(ПЗ)_ПЗИП'!$AG:$AG,'Отчет РПЗ(ПЗ)_ПЗИП'!$G:$G,Справочно!$C19,'Отчет РПЗ(ПЗ)_ПЗИП'!$AR:$AR,6,'Отчет РПЗ(ПЗ)_ПЗИП'!$AG:$AG,"&gt;0")</f>
        <v>0</v>
      </c>
      <c r="AN35" s="174">
        <f>ПП!U23</f>
        <v>0</v>
      </c>
      <c r="AO35" s="188">
        <f t="shared" si="6"/>
        <v>0</v>
      </c>
      <c r="AP35" s="393">
        <f t="shared" si="7"/>
        <v>0</v>
      </c>
      <c r="AQ35" s="300">
        <f t="shared" si="8"/>
        <v>0</v>
      </c>
      <c r="AR35" s="162">
        <f>ПП!W23</f>
        <v>0</v>
      </c>
      <c r="AS35" s="147">
        <f>COUNTIFS('Отчет РПЗ(ПЗ)_ПЗИП'!$G:$G,Справочно!$C19,'Отчет РПЗ(ПЗ)_ПЗИП'!$AR:$AR,7,'Отчет РПЗ(ПЗ)_ПЗИП'!$AG:$AG,"&gt;0")</f>
        <v>0</v>
      </c>
      <c r="AT35" s="394">
        <f>ПП!X23</f>
        <v>0</v>
      </c>
      <c r="AU35" s="341">
        <f>SUMIFS('Отчет РПЗ(ПЗ)_ПЗИП'!$AG:$AG,'Отчет РПЗ(ПЗ)_ПЗИП'!$G:$G,Справочно!$C19,'Отчет РПЗ(ПЗ)_ПЗИП'!$AR:$AR,7,'Отчет РПЗ(ПЗ)_ПЗИП'!$AG:$AG,"&gt;0")</f>
        <v>0</v>
      </c>
      <c r="AV35" s="45">
        <f>ПП!Y23</f>
        <v>0</v>
      </c>
      <c r="AW35" s="147">
        <f>COUNTIFS('Отчет РПЗ(ПЗ)_ПЗИП'!$G:$G,Справочно!$C19,'Отчет РПЗ(ПЗ)_ПЗИП'!$AR:$AR,8,'Отчет РПЗ(ПЗ)_ПЗИП'!$AG:$AG,"&gt;0")</f>
        <v>0</v>
      </c>
      <c r="AX35" s="394">
        <f>ПП!Z23</f>
        <v>0</v>
      </c>
      <c r="AY35" s="341">
        <f>SUMIFS('Отчет РПЗ(ПЗ)_ПЗИП'!$AG:$AG,'Отчет РПЗ(ПЗ)_ПЗИП'!$G:$G,Справочно!$C19,'Отчет РПЗ(ПЗ)_ПЗИП'!$AR:$AR,8,'Отчет РПЗ(ПЗ)_ПЗИП'!$AG:$AG,"&gt;0")</f>
        <v>0</v>
      </c>
      <c r="AZ35" s="45">
        <f>ПП!AA23</f>
        <v>0</v>
      </c>
      <c r="BA35" s="147">
        <f>COUNTIFS('Отчет РПЗ(ПЗ)_ПЗИП'!$G:$G,Справочно!$C19,'Отчет РПЗ(ПЗ)_ПЗИП'!$AR:$AR,9,'Отчет РПЗ(ПЗ)_ПЗИП'!$AG:$AG,"&gt;0")</f>
        <v>0</v>
      </c>
      <c r="BB35" s="394">
        <f>ПП!AB23</f>
        <v>0</v>
      </c>
      <c r="BC35" s="342">
        <f>SUMIFS('Отчет РПЗ(ПЗ)_ПЗИП'!$AG:$AG,'Отчет РПЗ(ПЗ)_ПЗИП'!$G:$G,Справочно!$C19,'Отчет РПЗ(ПЗ)_ПЗИП'!$AR:$AR,9,'Отчет РПЗ(ПЗ)_ПЗИП'!$AG:$AG,"&gt;0")</f>
        <v>0</v>
      </c>
      <c r="BD35" s="174">
        <f>ПП!AC23</f>
        <v>0</v>
      </c>
      <c r="BE35" s="183">
        <f t="shared" si="9"/>
        <v>0</v>
      </c>
      <c r="BF35" s="393">
        <f t="shared" si="10"/>
        <v>0</v>
      </c>
      <c r="BG35" s="302">
        <f t="shared" si="11"/>
        <v>0</v>
      </c>
      <c r="BH35" s="162">
        <f>ПП!AE23</f>
        <v>0</v>
      </c>
      <c r="BI35" s="180">
        <f>COUNTIFS('Отчет РПЗ(ПЗ)_ПЗИП'!$G:$G,Справочно!$C19,'Отчет РПЗ(ПЗ)_ПЗИП'!$AR:$AR,10,'Отчет РПЗ(ПЗ)_ПЗИП'!$AG:$AG,"&gt;0")</f>
        <v>0</v>
      </c>
      <c r="BJ35" s="394">
        <f>ПП!AF23</f>
        <v>0</v>
      </c>
      <c r="BK35" s="343">
        <f>SUMIFS('Отчет РПЗ(ПЗ)_ПЗИП'!$AG:$AG,'Отчет РПЗ(ПЗ)_ПЗИП'!$G:$G,Справочно!$C19,'Отчет РПЗ(ПЗ)_ПЗИП'!$AR:$AR,10,'Отчет РПЗ(ПЗ)_ПЗИП'!$AG:$AG,"&gt;0")</f>
        <v>0</v>
      </c>
      <c r="BL35" s="45">
        <f>ПП!AG23</f>
        <v>0</v>
      </c>
      <c r="BM35" s="180">
        <f>COUNTIFS('Отчет РПЗ(ПЗ)_ПЗИП'!$G:$G,Справочно!$C19,'Отчет РПЗ(ПЗ)_ПЗИП'!$AR:$AR,11,'Отчет РПЗ(ПЗ)_ПЗИП'!$AG:$AG,"&gt;0")</f>
        <v>0</v>
      </c>
      <c r="BN35" s="394">
        <f>ПП!AH23</f>
        <v>0</v>
      </c>
      <c r="BO35" s="343">
        <f>SUMIFS('Отчет РПЗ(ПЗ)_ПЗИП'!$AG:$AG,'Отчет РПЗ(ПЗ)_ПЗИП'!$G:$G,Справочно!$C19,'Отчет РПЗ(ПЗ)_ПЗИП'!$AR:$AR,11,'Отчет РПЗ(ПЗ)_ПЗИП'!$AG:$AG,"&gt;0")</f>
        <v>0</v>
      </c>
      <c r="BP35" s="45">
        <f>ПП!AI23</f>
        <v>0</v>
      </c>
      <c r="BQ35" s="180">
        <f>COUNTIFS('Отчет РПЗ(ПЗ)_ПЗИП'!$G:$G,Справочно!$C19,'Отчет РПЗ(ПЗ)_ПЗИП'!$AR:$AR,12,'Отчет РПЗ(ПЗ)_ПЗИП'!$AG:$AG,"&gt;0")</f>
        <v>0</v>
      </c>
      <c r="BR35" s="394">
        <f>ПП!AJ23</f>
        <v>0</v>
      </c>
      <c r="BS35" s="344">
        <f>SUMIFS('Отчет РПЗ(ПЗ)_ПЗИП'!$AG:$AG,'Отчет РПЗ(ПЗ)_ПЗИП'!$G:$G,Справочно!$C19,'Отчет РПЗ(ПЗ)_ПЗИП'!$AR:$AR,12,'Отчет РПЗ(ПЗ)_ПЗИП'!$AG:$AG,"&gt;0")</f>
        <v>0</v>
      </c>
      <c r="BT35" s="174">
        <f>ПП!AK23</f>
        <v>0</v>
      </c>
      <c r="BU35" s="182">
        <f t="shared" si="12"/>
        <v>0</v>
      </c>
      <c r="BV35" s="393">
        <f t="shared" si="13"/>
        <v>0</v>
      </c>
      <c r="BW35" s="304">
        <f t="shared" si="14"/>
        <v>0</v>
      </c>
    </row>
    <row r="36" spans="2:75" ht="13.5" thickBot="1" x14ac:dyDescent="0.25">
      <c r="B36" s="86" t="s">
        <v>107</v>
      </c>
      <c r="C36" s="95">
        <f>ПП!B24</f>
        <v>0</v>
      </c>
      <c r="D36" s="381" t="e">
        <f>ПП!C24</f>
        <v>#DIV/0!</v>
      </c>
      <c r="E36" s="66">
        <f>COUNTIFS('Отчет РПЗ(ПЗ)_ПЗИП'!$G:$G,Справочно!$C20,'Отчет РПЗ(ПЗ)_ПЗИП'!AG:AG, "&gt;0")</f>
        <v>0</v>
      </c>
      <c r="F36" s="382" t="e">
        <f t="shared" si="1"/>
        <v>#DIV/0!</v>
      </c>
      <c r="G36" s="383">
        <f>ПП!D24</f>
        <v>0</v>
      </c>
      <c r="H36" s="384" t="e">
        <f>ПП!E24</f>
        <v>#DIV/0!</v>
      </c>
      <c r="I36" s="385">
        <f>SUMIF('Отчет РПЗ(ПЗ)_ПЗИП'!$G:$G,Справочно!$C20,'Отчет РПЗ(ПЗ)_ПЗИП'!$AG:$AG)</f>
        <v>0</v>
      </c>
      <c r="J36" s="382" t="e">
        <f t="shared" si="2"/>
        <v>#DIV/0!</v>
      </c>
      <c r="K36" s="64"/>
      <c r="L36" s="162">
        <f>ПП!G24</f>
        <v>0</v>
      </c>
      <c r="M36" s="150">
        <f>COUNTIFS('Отчет РПЗ(ПЗ)_ПЗИП'!$G:$G,Справочно!$C20,'Отчет РПЗ(ПЗ)_ПЗИП'!$AR:$AR,1,'Отчет РПЗ(ПЗ)_ПЗИП'!$AG:$AG,"&gt;0")</f>
        <v>0</v>
      </c>
      <c r="N36" s="394">
        <f>ПП!H24</f>
        <v>0</v>
      </c>
      <c r="O36" s="305">
        <f>SUMIFS('Отчет РПЗ(ПЗ)_ПЗИП'!$AG:$AG,'Отчет РПЗ(ПЗ)_ПЗИП'!$G:$G,Справочно!$C20,'Отчет РПЗ(ПЗ)_ПЗИП'!$AR:$AR,1,'Отчет РПЗ(ПЗ)_ПЗИП'!$AG:$AG,"&gt;0")</f>
        <v>0</v>
      </c>
      <c r="P36" s="45">
        <f>ПП!I24</f>
        <v>0</v>
      </c>
      <c r="Q36" s="150">
        <f>COUNTIFS('Отчет РПЗ(ПЗ)_ПЗИП'!$G:$G,Справочно!$C20,'Отчет РПЗ(ПЗ)_ПЗИП'!$AR:$AR,2,'Отчет РПЗ(ПЗ)_ПЗИП'!$AG:$AG,"&gt;0")</f>
        <v>0</v>
      </c>
      <c r="R36" s="394">
        <f>ПП!J24</f>
        <v>0</v>
      </c>
      <c r="S36" s="305">
        <f>SUMIFS('Отчет РПЗ(ПЗ)_ПЗИП'!$AG:$AG,'Отчет РПЗ(ПЗ)_ПЗИП'!$G:$G,Справочно!$C20,'Отчет РПЗ(ПЗ)_ПЗИП'!$AR:$AR,2,'Отчет РПЗ(ПЗ)_ПЗИП'!$AG:$AG,"&gt;0")</f>
        <v>0</v>
      </c>
      <c r="T36" s="45">
        <f>ПП!K24</f>
        <v>0</v>
      </c>
      <c r="U36" s="150">
        <f>COUNTIFS('Отчет РПЗ(ПЗ)_ПЗИП'!$G:$G,Справочно!$C20,'Отчет РПЗ(ПЗ)_ПЗИП'!$AR:$AR,3,'Отчет РПЗ(ПЗ)_ПЗИП'!$AG:$AG,"&gt;0")</f>
        <v>0</v>
      </c>
      <c r="V36" s="394">
        <f>ПП!L24</f>
        <v>0</v>
      </c>
      <c r="W36" s="338">
        <f>SUMIFS('Отчет РПЗ(ПЗ)_ПЗИП'!$AG:$AG,'Отчет РПЗ(ПЗ)_ПЗИП'!$G:$G,Справочно!$C20,'Отчет РПЗ(ПЗ)_ПЗИП'!$AR:$AR,3,'Отчет РПЗ(ПЗ)_ПЗИП'!$AG:$AG,"&gt;0")</f>
        <v>0</v>
      </c>
      <c r="X36" s="174">
        <f>ПП!M24</f>
        <v>0</v>
      </c>
      <c r="Y36" s="175">
        <f t="shared" si="3"/>
        <v>0</v>
      </c>
      <c r="Z36" s="393">
        <f t="shared" si="4"/>
        <v>0</v>
      </c>
      <c r="AA36" s="298">
        <f t="shared" si="5"/>
        <v>0</v>
      </c>
      <c r="AB36" s="162">
        <f>ПП!O24</f>
        <v>0</v>
      </c>
      <c r="AC36" s="186">
        <f>COUNTIFS('Отчет РПЗ(ПЗ)_ПЗИП'!$G:$G,Справочно!$C20,'Отчет РПЗ(ПЗ)_ПЗИП'!$AR:$AR,4,'Отчет РПЗ(ПЗ)_ПЗИП'!$AG:$AG,"&gt;0")</f>
        <v>0</v>
      </c>
      <c r="AD36" s="394">
        <f>ПП!P24</f>
        <v>0</v>
      </c>
      <c r="AE36" s="339">
        <f>SUMIFS('Отчет РПЗ(ПЗ)_ПЗИП'!$AG:$AG,'Отчет РПЗ(ПЗ)_ПЗИП'!$G:$G,Справочно!$C20,'Отчет РПЗ(ПЗ)_ПЗИП'!$AR:$AR,4,'Отчет РПЗ(ПЗ)_ПЗИП'!$AG:$AG,"&gt;0")</f>
        <v>0</v>
      </c>
      <c r="AF36" s="45">
        <f>ПП!Q24</f>
        <v>0</v>
      </c>
      <c r="AG36" s="186">
        <f>COUNTIFS('Отчет РПЗ(ПЗ)_ПЗИП'!$G:$G,Справочно!$C20,'Отчет РПЗ(ПЗ)_ПЗИП'!$AR:$AR,5,'Отчет РПЗ(ПЗ)_ПЗИП'!$AG:$AG,"&gt;0")</f>
        <v>0</v>
      </c>
      <c r="AH36" s="394">
        <f>ПП!R24</f>
        <v>0</v>
      </c>
      <c r="AI36" s="339">
        <f>SUMIFS('Отчет РПЗ(ПЗ)_ПЗИП'!$AG:$AG,'Отчет РПЗ(ПЗ)_ПЗИП'!$G:$G,Справочно!$C20,'Отчет РПЗ(ПЗ)_ПЗИП'!$AR:$AR,5,'Отчет РПЗ(ПЗ)_ПЗИП'!$AG:$AG,"&gt;0")</f>
        <v>0</v>
      </c>
      <c r="AJ36" s="45">
        <f>ПП!S24</f>
        <v>0</v>
      </c>
      <c r="AK36" s="186">
        <f>COUNTIFS('Отчет РПЗ(ПЗ)_ПЗИП'!$G:$G,Справочно!$C20,'Отчет РПЗ(ПЗ)_ПЗИП'!$AR:$AR,6,'Отчет РПЗ(ПЗ)_ПЗИП'!$AG:$AG,"&gt;0")</f>
        <v>0</v>
      </c>
      <c r="AL36" s="394">
        <f>ПП!T24</f>
        <v>0</v>
      </c>
      <c r="AM36" s="340">
        <f>SUMIFS('Отчет РПЗ(ПЗ)_ПЗИП'!$AG:$AG,'Отчет РПЗ(ПЗ)_ПЗИП'!$G:$G,Справочно!$C20,'Отчет РПЗ(ПЗ)_ПЗИП'!$AR:$AR,6,'Отчет РПЗ(ПЗ)_ПЗИП'!$AG:$AG,"&gt;0")</f>
        <v>0</v>
      </c>
      <c r="AN36" s="174">
        <f>ПП!U24</f>
        <v>0</v>
      </c>
      <c r="AO36" s="188">
        <f t="shared" si="6"/>
        <v>0</v>
      </c>
      <c r="AP36" s="393">
        <f t="shared" si="7"/>
        <v>0</v>
      </c>
      <c r="AQ36" s="300">
        <f t="shared" si="8"/>
        <v>0</v>
      </c>
      <c r="AR36" s="162">
        <f>ПП!W24</f>
        <v>0</v>
      </c>
      <c r="AS36" s="147">
        <f>COUNTIFS('Отчет РПЗ(ПЗ)_ПЗИП'!$G:$G,Справочно!$C20,'Отчет РПЗ(ПЗ)_ПЗИП'!$AR:$AR,7,'Отчет РПЗ(ПЗ)_ПЗИП'!$AG:$AG,"&gt;0")</f>
        <v>0</v>
      </c>
      <c r="AT36" s="394">
        <f>ПП!X24</f>
        <v>0</v>
      </c>
      <c r="AU36" s="341">
        <f>SUMIFS('Отчет РПЗ(ПЗ)_ПЗИП'!$AG:$AG,'Отчет РПЗ(ПЗ)_ПЗИП'!$G:$G,Справочно!$C20,'Отчет РПЗ(ПЗ)_ПЗИП'!$AR:$AR,7,'Отчет РПЗ(ПЗ)_ПЗИП'!$AG:$AG,"&gt;0")</f>
        <v>0</v>
      </c>
      <c r="AV36" s="45">
        <f>ПП!Y24</f>
        <v>0</v>
      </c>
      <c r="AW36" s="147">
        <f>COUNTIFS('Отчет РПЗ(ПЗ)_ПЗИП'!$G:$G,Справочно!$C20,'Отчет РПЗ(ПЗ)_ПЗИП'!$AR:$AR,8,'Отчет РПЗ(ПЗ)_ПЗИП'!$AG:$AG,"&gt;0")</f>
        <v>0</v>
      </c>
      <c r="AX36" s="394">
        <f>ПП!Z24</f>
        <v>0</v>
      </c>
      <c r="AY36" s="341">
        <f>SUMIFS('Отчет РПЗ(ПЗ)_ПЗИП'!$AG:$AG,'Отчет РПЗ(ПЗ)_ПЗИП'!$G:$G,Справочно!$C20,'Отчет РПЗ(ПЗ)_ПЗИП'!$AR:$AR,8,'Отчет РПЗ(ПЗ)_ПЗИП'!$AG:$AG,"&gt;0")</f>
        <v>0</v>
      </c>
      <c r="AZ36" s="45">
        <f>ПП!AA24</f>
        <v>0</v>
      </c>
      <c r="BA36" s="147">
        <f>COUNTIFS('Отчет РПЗ(ПЗ)_ПЗИП'!$G:$G,Справочно!$C20,'Отчет РПЗ(ПЗ)_ПЗИП'!$AR:$AR,9,'Отчет РПЗ(ПЗ)_ПЗИП'!$AG:$AG,"&gt;0")</f>
        <v>0</v>
      </c>
      <c r="BB36" s="394">
        <f>ПП!AB24</f>
        <v>0</v>
      </c>
      <c r="BC36" s="342">
        <f>SUMIFS('Отчет РПЗ(ПЗ)_ПЗИП'!$AG:$AG,'Отчет РПЗ(ПЗ)_ПЗИП'!$G:$G,Справочно!$C20,'Отчет РПЗ(ПЗ)_ПЗИП'!$AR:$AR,9,'Отчет РПЗ(ПЗ)_ПЗИП'!$AG:$AG,"&gt;0")</f>
        <v>0</v>
      </c>
      <c r="BD36" s="174">
        <f>ПП!AC24</f>
        <v>0</v>
      </c>
      <c r="BE36" s="183">
        <f t="shared" si="9"/>
        <v>0</v>
      </c>
      <c r="BF36" s="393">
        <f t="shared" si="10"/>
        <v>0</v>
      </c>
      <c r="BG36" s="302">
        <f t="shared" si="11"/>
        <v>0</v>
      </c>
      <c r="BH36" s="162">
        <f>ПП!AE24</f>
        <v>0</v>
      </c>
      <c r="BI36" s="180">
        <f>COUNTIFS('Отчет РПЗ(ПЗ)_ПЗИП'!$G:$G,Справочно!$C20,'Отчет РПЗ(ПЗ)_ПЗИП'!$AR:$AR,10,'Отчет РПЗ(ПЗ)_ПЗИП'!$AG:$AG,"&gt;0")</f>
        <v>0</v>
      </c>
      <c r="BJ36" s="394">
        <f>ПП!AF24</f>
        <v>0</v>
      </c>
      <c r="BK36" s="343">
        <f>SUMIFS('Отчет РПЗ(ПЗ)_ПЗИП'!$AG:$AG,'Отчет РПЗ(ПЗ)_ПЗИП'!$G:$G,Справочно!$C20,'Отчет РПЗ(ПЗ)_ПЗИП'!$AR:$AR,10,'Отчет РПЗ(ПЗ)_ПЗИП'!$AG:$AG,"&gt;0")</f>
        <v>0</v>
      </c>
      <c r="BL36" s="45">
        <f>ПП!AG24</f>
        <v>0</v>
      </c>
      <c r="BM36" s="180">
        <f>COUNTIFS('Отчет РПЗ(ПЗ)_ПЗИП'!$G:$G,Справочно!$C20,'Отчет РПЗ(ПЗ)_ПЗИП'!$AR:$AR,11,'Отчет РПЗ(ПЗ)_ПЗИП'!$AG:$AG,"&gt;0")</f>
        <v>0</v>
      </c>
      <c r="BN36" s="394">
        <f>ПП!AH24</f>
        <v>0</v>
      </c>
      <c r="BO36" s="343">
        <f>SUMIFS('Отчет РПЗ(ПЗ)_ПЗИП'!$AG:$AG,'Отчет РПЗ(ПЗ)_ПЗИП'!$G:$G,Справочно!$C20,'Отчет РПЗ(ПЗ)_ПЗИП'!$AR:$AR,11,'Отчет РПЗ(ПЗ)_ПЗИП'!$AG:$AG,"&gt;0")</f>
        <v>0</v>
      </c>
      <c r="BP36" s="45">
        <f>ПП!AI24</f>
        <v>0</v>
      </c>
      <c r="BQ36" s="180">
        <f>COUNTIFS('Отчет РПЗ(ПЗ)_ПЗИП'!$G:$G,Справочно!$C20,'Отчет РПЗ(ПЗ)_ПЗИП'!$AR:$AR,12,'Отчет РПЗ(ПЗ)_ПЗИП'!$AG:$AG,"&gt;0")</f>
        <v>0</v>
      </c>
      <c r="BR36" s="394">
        <f>ПП!AJ24</f>
        <v>0</v>
      </c>
      <c r="BS36" s="344">
        <f>SUMIFS('Отчет РПЗ(ПЗ)_ПЗИП'!$AG:$AG,'Отчет РПЗ(ПЗ)_ПЗИП'!$G:$G,Справочно!$C20,'Отчет РПЗ(ПЗ)_ПЗИП'!$AR:$AR,12,'Отчет РПЗ(ПЗ)_ПЗИП'!$AG:$AG,"&gt;0")</f>
        <v>0</v>
      </c>
      <c r="BT36" s="174">
        <f>ПП!AK24</f>
        <v>0</v>
      </c>
      <c r="BU36" s="182">
        <f t="shared" si="12"/>
        <v>0</v>
      </c>
      <c r="BV36" s="393">
        <f t="shared" si="13"/>
        <v>0</v>
      </c>
      <c r="BW36" s="304">
        <f t="shared" si="14"/>
        <v>0</v>
      </c>
    </row>
    <row r="37" spans="2:75" ht="13.5" thickBot="1" x14ac:dyDescent="0.25">
      <c r="B37" s="86" t="s">
        <v>252</v>
      </c>
      <c r="C37" s="95">
        <f>ПП!B25</f>
        <v>0</v>
      </c>
      <c r="D37" s="381" t="e">
        <f>ПП!C25</f>
        <v>#DIV/0!</v>
      </c>
      <c r="E37" s="66">
        <f>COUNTIFS('Отчет РПЗ(ПЗ)_ПЗИП'!$G:$G,Справочно!$C21,'Отчет РПЗ(ПЗ)_ПЗИП'!AG:AG, "&gt;0")</f>
        <v>0</v>
      </c>
      <c r="F37" s="382" t="e">
        <f t="shared" si="1"/>
        <v>#DIV/0!</v>
      </c>
      <c r="G37" s="383">
        <f>ПП!D25</f>
        <v>0</v>
      </c>
      <c r="H37" s="384" t="e">
        <f>ПП!E25</f>
        <v>#DIV/0!</v>
      </c>
      <c r="I37" s="385">
        <f>SUMIF('Отчет РПЗ(ПЗ)_ПЗИП'!$G:$G,Справочно!$C21,'Отчет РПЗ(ПЗ)_ПЗИП'!$AG:$AG)</f>
        <v>0</v>
      </c>
      <c r="J37" s="382" t="e">
        <f t="shared" si="2"/>
        <v>#DIV/0!</v>
      </c>
      <c r="K37" s="64"/>
      <c r="L37" s="162">
        <f>ПП!G25</f>
        <v>0</v>
      </c>
      <c r="M37" s="150">
        <f>COUNTIFS('Отчет РПЗ(ПЗ)_ПЗИП'!$G:$G,Справочно!$C21,'Отчет РПЗ(ПЗ)_ПЗИП'!$AR:$AR,1,'Отчет РПЗ(ПЗ)_ПЗИП'!$AG:$AG,"&gt;0")</f>
        <v>0</v>
      </c>
      <c r="N37" s="394">
        <f>ПП!H25</f>
        <v>0</v>
      </c>
      <c r="O37" s="305">
        <f>SUMIFS('Отчет РПЗ(ПЗ)_ПЗИП'!$AG:$AG,'Отчет РПЗ(ПЗ)_ПЗИП'!$G:$G,Справочно!$C21,'Отчет РПЗ(ПЗ)_ПЗИП'!$AR:$AR,1,'Отчет РПЗ(ПЗ)_ПЗИП'!$AG:$AG,"&gt;0")</f>
        <v>0</v>
      </c>
      <c r="P37" s="45">
        <f>ПП!I25</f>
        <v>0</v>
      </c>
      <c r="Q37" s="150">
        <f>COUNTIFS('Отчет РПЗ(ПЗ)_ПЗИП'!$G:$G,Справочно!$C21,'Отчет РПЗ(ПЗ)_ПЗИП'!$AR:$AR,2,'Отчет РПЗ(ПЗ)_ПЗИП'!$AG:$AG,"&gt;0")</f>
        <v>0</v>
      </c>
      <c r="R37" s="394">
        <f>ПП!J25</f>
        <v>0</v>
      </c>
      <c r="S37" s="305">
        <f>SUMIFS('Отчет РПЗ(ПЗ)_ПЗИП'!$AG:$AG,'Отчет РПЗ(ПЗ)_ПЗИП'!$G:$G,Справочно!$C21,'Отчет РПЗ(ПЗ)_ПЗИП'!$AR:$AR,2,'Отчет РПЗ(ПЗ)_ПЗИП'!$AG:$AG,"&gt;0")</f>
        <v>0</v>
      </c>
      <c r="T37" s="45">
        <f>ПП!K25</f>
        <v>0</v>
      </c>
      <c r="U37" s="150">
        <f>COUNTIFS('Отчет РПЗ(ПЗ)_ПЗИП'!$G:$G,Справочно!$C21,'Отчет РПЗ(ПЗ)_ПЗИП'!$AR:$AR,3,'Отчет РПЗ(ПЗ)_ПЗИП'!$AG:$AG,"&gt;0")</f>
        <v>0</v>
      </c>
      <c r="V37" s="394">
        <f>ПП!L25</f>
        <v>0</v>
      </c>
      <c r="W37" s="338">
        <f>SUMIFS('Отчет РПЗ(ПЗ)_ПЗИП'!$AG:$AG,'Отчет РПЗ(ПЗ)_ПЗИП'!$G:$G,Справочно!$C21,'Отчет РПЗ(ПЗ)_ПЗИП'!$AR:$AR,3,'Отчет РПЗ(ПЗ)_ПЗИП'!$AG:$AG,"&gt;0")</f>
        <v>0</v>
      </c>
      <c r="X37" s="174">
        <f>ПП!M25</f>
        <v>0</v>
      </c>
      <c r="Y37" s="175">
        <f t="shared" si="3"/>
        <v>0</v>
      </c>
      <c r="Z37" s="393">
        <f t="shared" si="4"/>
        <v>0</v>
      </c>
      <c r="AA37" s="298">
        <f t="shared" si="5"/>
        <v>0</v>
      </c>
      <c r="AB37" s="162">
        <f>ПП!O25</f>
        <v>0</v>
      </c>
      <c r="AC37" s="186">
        <f>COUNTIFS('Отчет РПЗ(ПЗ)_ПЗИП'!$G:$G,Справочно!$C21,'Отчет РПЗ(ПЗ)_ПЗИП'!$AR:$AR,4,'Отчет РПЗ(ПЗ)_ПЗИП'!$AG:$AG,"&gt;0")</f>
        <v>0</v>
      </c>
      <c r="AD37" s="394">
        <f>ПП!P25</f>
        <v>0</v>
      </c>
      <c r="AE37" s="339">
        <f>SUMIFS('Отчет РПЗ(ПЗ)_ПЗИП'!$AG:$AG,'Отчет РПЗ(ПЗ)_ПЗИП'!$G:$G,Справочно!$C21,'Отчет РПЗ(ПЗ)_ПЗИП'!$AR:$AR,4,'Отчет РПЗ(ПЗ)_ПЗИП'!$AG:$AG,"&gt;0")</f>
        <v>0</v>
      </c>
      <c r="AF37" s="45">
        <f>ПП!Q25</f>
        <v>0</v>
      </c>
      <c r="AG37" s="186">
        <f>COUNTIFS('Отчет РПЗ(ПЗ)_ПЗИП'!$G:$G,Справочно!$C21,'Отчет РПЗ(ПЗ)_ПЗИП'!$AR:$AR,5,'Отчет РПЗ(ПЗ)_ПЗИП'!$AG:$AG,"&gt;0")</f>
        <v>0</v>
      </c>
      <c r="AH37" s="394">
        <f>ПП!R25</f>
        <v>0</v>
      </c>
      <c r="AI37" s="339">
        <f>SUMIFS('Отчет РПЗ(ПЗ)_ПЗИП'!$AG:$AG,'Отчет РПЗ(ПЗ)_ПЗИП'!$G:$G,Справочно!$C21,'Отчет РПЗ(ПЗ)_ПЗИП'!$AR:$AR,5,'Отчет РПЗ(ПЗ)_ПЗИП'!$AG:$AG,"&gt;0")</f>
        <v>0</v>
      </c>
      <c r="AJ37" s="45">
        <f>ПП!S25</f>
        <v>0</v>
      </c>
      <c r="AK37" s="186">
        <f>COUNTIFS('Отчет РПЗ(ПЗ)_ПЗИП'!$G:$G,Справочно!$C21,'Отчет РПЗ(ПЗ)_ПЗИП'!$AR:$AR,6,'Отчет РПЗ(ПЗ)_ПЗИП'!$AG:$AG,"&gt;0")</f>
        <v>0</v>
      </c>
      <c r="AL37" s="394">
        <f>ПП!T25</f>
        <v>0</v>
      </c>
      <c r="AM37" s="340">
        <f>SUMIFS('Отчет РПЗ(ПЗ)_ПЗИП'!$AG:$AG,'Отчет РПЗ(ПЗ)_ПЗИП'!$G:$G,Справочно!$C21,'Отчет РПЗ(ПЗ)_ПЗИП'!$AR:$AR,6,'Отчет РПЗ(ПЗ)_ПЗИП'!$AG:$AG,"&gt;0")</f>
        <v>0</v>
      </c>
      <c r="AN37" s="174">
        <f>ПП!U25</f>
        <v>0</v>
      </c>
      <c r="AO37" s="188">
        <f t="shared" si="6"/>
        <v>0</v>
      </c>
      <c r="AP37" s="393">
        <f t="shared" si="7"/>
        <v>0</v>
      </c>
      <c r="AQ37" s="300">
        <f t="shared" si="8"/>
        <v>0</v>
      </c>
      <c r="AR37" s="162">
        <f>ПП!W25</f>
        <v>0</v>
      </c>
      <c r="AS37" s="147">
        <f>COUNTIFS('Отчет РПЗ(ПЗ)_ПЗИП'!$G:$G,Справочно!$C21,'Отчет РПЗ(ПЗ)_ПЗИП'!$AR:$AR,7,'Отчет РПЗ(ПЗ)_ПЗИП'!$AG:$AG,"&gt;0")</f>
        <v>0</v>
      </c>
      <c r="AT37" s="394">
        <f>ПП!X25</f>
        <v>0</v>
      </c>
      <c r="AU37" s="341">
        <f>SUMIFS('Отчет РПЗ(ПЗ)_ПЗИП'!$AG:$AG,'Отчет РПЗ(ПЗ)_ПЗИП'!$G:$G,Справочно!$C21,'Отчет РПЗ(ПЗ)_ПЗИП'!$AR:$AR,7,'Отчет РПЗ(ПЗ)_ПЗИП'!$AG:$AG,"&gt;0")</f>
        <v>0</v>
      </c>
      <c r="AV37" s="45">
        <f>ПП!Y25</f>
        <v>0</v>
      </c>
      <c r="AW37" s="147">
        <f>COUNTIFS('Отчет РПЗ(ПЗ)_ПЗИП'!$G:$G,Справочно!$C21,'Отчет РПЗ(ПЗ)_ПЗИП'!$AR:$AR,8,'Отчет РПЗ(ПЗ)_ПЗИП'!$AG:$AG,"&gt;0")</f>
        <v>0</v>
      </c>
      <c r="AX37" s="394">
        <f>ПП!Z25</f>
        <v>0</v>
      </c>
      <c r="AY37" s="341">
        <f>SUMIFS('Отчет РПЗ(ПЗ)_ПЗИП'!$AG:$AG,'Отчет РПЗ(ПЗ)_ПЗИП'!$G:$G,Справочно!$C21,'Отчет РПЗ(ПЗ)_ПЗИП'!$AR:$AR,8,'Отчет РПЗ(ПЗ)_ПЗИП'!$AG:$AG,"&gt;0")</f>
        <v>0</v>
      </c>
      <c r="AZ37" s="45">
        <f>ПП!AA25</f>
        <v>0</v>
      </c>
      <c r="BA37" s="147">
        <f>COUNTIFS('Отчет РПЗ(ПЗ)_ПЗИП'!$G:$G,Справочно!$C21,'Отчет РПЗ(ПЗ)_ПЗИП'!$AR:$AR,9,'Отчет РПЗ(ПЗ)_ПЗИП'!$AG:$AG,"&gt;0")</f>
        <v>0</v>
      </c>
      <c r="BB37" s="394">
        <f>ПП!AB25</f>
        <v>0</v>
      </c>
      <c r="BC37" s="342">
        <f>SUMIFS('Отчет РПЗ(ПЗ)_ПЗИП'!$AG:$AG,'Отчет РПЗ(ПЗ)_ПЗИП'!$G:$G,Справочно!$C21,'Отчет РПЗ(ПЗ)_ПЗИП'!$AR:$AR,9,'Отчет РПЗ(ПЗ)_ПЗИП'!$AG:$AG,"&gt;0")</f>
        <v>0</v>
      </c>
      <c r="BD37" s="174">
        <f>ПП!AC25</f>
        <v>0</v>
      </c>
      <c r="BE37" s="183">
        <f t="shared" si="9"/>
        <v>0</v>
      </c>
      <c r="BF37" s="393">
        <f t="shared" si="10"/>
        <v>0</v>
      </c>
      <c r="BG37" s="302">
        <f t="shared" si="11"/>
        <v>0</v>
      </c>
      <c r="BH37" s="162">
        <f>ПП!AE25</f>
        <v>0</v>
      </c>
      <c r="BI37" s="180">
        <f>COUNTIFS('Отчет РПЗ(ПЗ)_ПЗИП'!$G:$G,Справочно!$C21,'Отчет РПЗ(ПЗ)_ПЗИП'!$AR:$AR,10,'Отчет РПЗ(ПЗ)_ПЗИП'!$AG:$AG,"&gt;0")</f>
        <v>0</v>
      </c>
      <c r="BJ37" s="394">
        <f>ПП!AF25</f>
        <v>0</v>
      </c>
      <c r="BK37" s="343">
        <f>SUMIFS('Отчет РПЗ(ПЗ)_ПЗИП'!$AG:$AG,'Отчет РПЗ(ПЗ)_ПЗИП'!$G:$G,Справочно!$C21,'Отчет РПЗ(ПЗ)_ПЗИП'!$AR:$AR,10,'Отчет РПЗ(ПЗ)_ПЗИП'!$AG:$AG,"&gt;0")</f>
        <v>0</v>
      </c>
      <c r="BL37" s="45">
        <f>ПП!AG25</f>
        <v>0</v>
      </c>
      <c r="BM37" s="180">
        <f>COUNTIFS('Отчет РПЗ(ПЗ)_ПЗИП'!$G:$G,Справочно!$C21,'Отчет РПЗ(ПЗ)_ПЗИП'!$AR:$AR,11,'Отчет РПЗ(ПЗ)_ПЗИП'!$AG:$AG,"&gt;0")</f>
        <v>0</v>
      </c>
      <c r="BN37" s="394">
        <f>ПП!AH25</f>
        <v>0</v>
      </c>
      <c r="BO37" s="343">
        <f>SUMIFS('Отчет РПЗ(ПЗ)_ПЗИП'!$AG:$AG,'Отчет РПЗ(ПЗ)_ПЗИП'!$G:$G,Справочно!$C21,'Отчет РПЗ(ПЗ)_ПЗИП'!$AR:$AR,11,'Отчет РПЗ(ПЗ)_ПЗИП'!$AG:$AG,"&gt;0")</f>
        <v>0</v>
      </c>
      <c r="BP37" s="45">
        <f>ПП!AI25</f>
        <v>0</v>
      </c>
      <c r="BQ37" s="180">
        <f>COUNTIFS('Отчет РПЗ(ПЗ)_ПЗИП'!$G:$G,Справочно!$C21,'Отчет РПЗ(ПЗ)_ПЗИП'!$AR:$AR,12,'Отчет РПЗ(ПЗ)_ПЗИП'!$AG:$AG,"&gt;0")</f>
        <v>0</v>
      </c>
      <c r="BR37" s="394">
        <f>ПП!AJ25</f>
        <v>0</v>
      </c>
      <c r="BS37" s="344">
        <f>SUMIFS('Отчет РПЗ(ПЗ)_ПЗИП'!$AG:$AG,'Отчет РПЗ(ПЗ)_ПЗИП'!$G:$G,Справочно!$C21,'Отчет РПЗ(ПЗ)_ПЗИП'!$AR:$AR,12,'Отчет РПЗ(ПЗ)_ПЗИП'!$AG:$AG,"&gt;0")</f>
        <v>0</v>
      </c>
      <c r="BT37" s="174">
        <f>ПП!AK25</f>
        <v>0</v>
      </c>
      <c r="BU37" s="182">
        <f t="shared" si="12"/>
        <v>0</v>
      </c>
      <c r="BV37" s="393">
        <f t="shared" si="13"/>
        <v>0</v>
      </c>
      <c r="BW37" s="304">
        <f t="shared" si="14"/>
        <v>0</v>
      </c>
    </row>
    <row r="38" spans="2:75" ht="13.5" thickBot="1" x14ac:dyDescent="0.25">
      <c r="B38" s="86" t="s">
        <v>166</v>
      </c>
      <c r="C38" s="95">
        <f>ПП!B26</f>
        <v>0</v>
      </c>
      <c r="D38" s="381" t="e">
        <f>ПП!C26</f>
        <v>#DIV/0!</v>
      </c>
      <c r="E38" s="66">
        <f>COUNTIFS('Отчет РПЗ(ПЗ)_ПЗИП'!$G:$G,Справочно!$C22,'Отчет РПЗ(ПЗ)_ПЗИП'!AG:AG, "&gt;0")</f>
        <v>0</v>
      </c>
      <c r="F38" s="382" t="e">
        <f t="shared" si="1"/>
        <v>#DIV/0!</v>
      </c>
      <c r="G38" s="383">
        <f>ПП!D26</f>
        <v>0</v>
      </c>
      <c r="H38" s="384" t="e">
        <f>ПП!E26</f>
        <v>#DIV/0!</v>
      </c>
      <c r="I38" s="385">
        <f>SUMIF('Отчет РПЗ(ПЗ)_ПЗИП'!$G:$G,Справочно!$C22,'Отчет РПЗ(ПЗ)_ПЗИП'!$AG:$AG)</f>
        <v>0</v>
      </c>
      <c r="J38" s="382" t="e">
        <f t="shared" si="2"/>
        <v>#DIV/0!</v>
      </c>
      <c r="K38" s="64"/>
      <c r="L38" s="162">
        <f>ПП!G26</f>
        <v>0</v>
      </c>
      <c r="M38" s="150">
        <f>COUNTIFS('Отчет РПЗ(ПЗ)_ПЗИП'!$G:$G,Справочно!$C22,'Отчет РПЗ(ПЗ)_ПЗИП'!$AR:$AR,1,'Отчет РПЗ(ПЗ)_ПЗИП'!$AG:$AG,"&gt;0")</f>
        <v>0</v>
      </c>
      <c r="N38" s="394">
        <f>ПП!H26</f>
        <v>0</v>
      </c>
      <c r="O38" s="305">
        <f>SUMIFS('Отчет РПЗ(ПЗ)_ПЗИП'!$AG:$AG,'Отчет РПЗ(ПЗ)_ПЗИП'!$G:$G,Справочно!$C22,'Отчет РПЗ(ПЗ)_ПЗИП'!$AR:$AR,1,'Отчет РПЗ(ПЗ)_ПЗИП'!$AG:$AG,"&gt;0")</f>
        <v>0</v>
      </c>
      <c r="P38" s="45">
        <f>ПП!I26</f>
        <v>0</v>
      </c>
      <c r="Q38" s="150">
        <f>COUNTIFS('Отчет РПЗ(ПЗ)_ПЗИП'!$G:$G,Справочно!$C22,'Отчет РПЗ(ПЗ)_ПЗИП'!$AR:$AR,2,'Отчет РПЗ(ПЗ)_ПЗИП'!$AG:$AG,"&gt;0")</f>
        <v>0</v>
      </c>
      <c r="R38" s="394">
        <f>ПП!J26</f>
        <v>0</v>
      </c>
      <c r="S38" s="305">
        <f>SUMIFS('Отчет РПЗ(ПЗ)_ПЗИП'!$AG:$AG,'Отчет РПЗ(ПЗ)_ПЗИП'!$G:$G,Справочно!$C22,'Отчет РПЗ(ПЗ)_ПЗИП'!$AR:$AR,2,'Отчет РПЗ(ПЗ)_ПЗИП'!$AG:$AG,"&gt;0")</f>
        <v>0</v>
      </c>
      <c r="T38" s="45">
        <f>ПП!K26</f>
        <v>0</v>
      </c>
      <c r="U38" s="150">
        <f>COUNTIFS('Отчет РПЗ(ПЗ)_ПЗИП'!$G:$G,Справочно!$C22,'Отчет РПЗ(ПЗ)_ПЗИП'!$AR:$AR,3,'Отчет РПЗ(ПЗ)_ПЗИП'!$AG:$AG,"&gt;0")</f>
        <v>0</v>
      </c>
      <c r="V38" s="394">
        <f>ПП!L26</f>
        <v>0</v>
      </c>
      <c r="W38" s="338">
        <f>SUMIFS('Отчет РПЗ(ПЗ)_ПЗИП'!$AG:$AG,'Отчет РПЗ(ПЗ)_ПЗИП'!$G:$G,Справочно!$C22,'Отчет РПЗ(ПЗ)_ПЗИП'!$AR:$AR,3,'Отчет РПЗ(ПЗ)_ПЗИП'!$AG:$AG,"&gt;0")</f>
        <v>0</v>
      </c>
      <c r="X38" s="174">
        <f>ПП!M26</f>
        <v>0</v>
      </c>
      <c r="Y38" s="175">
        <f t="shared" si="3"/>
        <v>0</v>
      </c>
      <c r="Z38" s="393">
        <f t="shared" si="4"/>
        <v>0</v>
      </c>
      <c r="AA38" s="298">
        <f t="shared" si="5"/>
        <v>0</v>
      </c>
      <c r="AB38" s="162">
        <f>ПП!O26</f>
        <v>0</v>
      </c>
      <c r="AC38" s="186">
        <f>COUNTIFS('Отчет РПЗ(ПЗ)_ПЗИП'!$G:$G,Справочно!$C22,'Отчет РПЗ(ПЗ)_ПЗИП'!$AR:$AR,4,'Отчет РПЗ(ПЗ)_ПЗИП'!$AG:$AG,"&gt;0")</f>
        <v>0</v>
      </c>
      <c r="AD38" s="394">
        <f>ПП!P26</f>
        <v>0</v>
      </c>
      <c r="AE38" s="339">
        <f>SUMIFS('Отчет РПЗ(ПЗ)_ПЗИП'!$AG:$AG,'Отчет РПЗ(ПЗ)_ПЗИП'!$G:$G,Справочно!$C22,'Отчет РПЗ(ПЗ)_ПЗИП'!$AR:$AR,4,'Отчет РПЗ(ПЗ)_ПЗИП'!$AG:$AG,"&gt;0")</f>
        <v>0</v>
      </c>
      <c r="AF38" s="45">
        <f>ПП!Q26</f>
        <v>0</v>
      </c>
      <c r="AG38" s="186">
        <f>COUNTIFS('Отчет РПЗ(ПЗ)_ПЗИП'!$G:$G,Справочно!$C22,'Отчет РПЗ(ПЗ)_ПЗИП'!$AR:$AR,5,'Отчет РПЗ(ПЗ)_ПЗИП'!$AG:$AG,"&gt;0")</f>
        <v>0</v>
      </c>
      <c r="AH38" s="394">
        <f>ПП!R26</f>
        <v>0</v>
      </c>
      <c r="AI38" s="339">
        <f>SUMIFS('Отчет РПЗ(ПЗ)_ПЗИП'!$AG:$AG,'Отчет РПЗ(ПЗ)_ПЗИП'!$G:$G,Справочно!$C22,'Отчет РПЗ(ПЗ)_ПЗИП'!$AR:$AR,5,'Отчет РПЗ(ПЗ)_ПЗИП'!$AG:$AG,"&gt;0")</f>
        <v>0</v>
      </c>
      <c r="AJ38" s="45">
        <f>ПП!S26</f>
        <v>0</v>
      </c>
      <c r="AK38" s="186">
        <f>COUNTIFS('Отчет РПЗ(ПЗ)_ПЗИП'!$G:$G,Справочно!$C22,'Отчет РПЗ(ПЗ)_ПЗИП'!$AR:$AR,6,'Отчет РПЗ(ПЗ)_ПЗИП'!$AG:$AG,"&gt;0")</f>
        <v>0</v>
      </c>
      <c r="AL38" s="394">
        <f>ПП!T26</f>
        <v>0</v>
      </c>
      <c r="AM38" s="340">
        <f>SUMIFS('Отчет РПЗ(ПЗ)_ПЗИП'!$AG:$AG,'Отчет РПЗ(ПЗ)_ПЗИП'!$G:$G,Справочно!$C22,'Отчет РПЗ(ПЗ)_ПЗИП'!$AR:$AR,6,'Отчет РПЗ(ПЗ)_ПЗИП'!$AG:$AG,"&gt;0")</f>
        <v>0</v>
      </c>
      <c r="AN38" s="174">
        <f>ПП!U26</f>
        <v>0</v>
      </c>
      <c r="AO38" s="188">
        <f t="shared" si="6"/>
        <v>0</v>
      </c>
      <c r="AP38" s="393">
        <f t="shared" si="7"/>
        <v>0</v>
      </c>
      <c r="AQ38" s="300">
        <f t="shared" si="8"/>
        <v>0</v>
      </c>
      <c r="AR38" s="162">
        <f>ПП!W26</f>
        <v>0</v>
      </c>
      <c r="AS38" s="147">
        <f>COUNTIFS('Отчет РПЗ(ПЗ)_ПЗИП'!$G:$G,Справочно!$C22,'Отчет РПЗ(ПЗ)_ПЗИП'!$AR:$AR,7,'Отчет РПЗ(ПЗ)_ПЗИП'!$AG:$AG,"&gt;0")</f>
        <v>0</v>
      </c>
      <c r="AT38" s="394">
        <f>ПП!X26</f>
        <v>0</v>
      </c>
      <c r="AU38" s="341">
        <f>SUMIFS('Отчет РПЗ(ПЗ)_ПЗИП'!$AG:$AG,'Отчет РПЗ(ПЗ)_ПЗИП'!$G:$G,Справочно!$C22,'Отчет РПЗ(ПЗ)_ПЗИП'!$AR:$AR,7,'Отчет РПЗ(ПЗ)_ПЗИП'!$AG:$AG,"&gt;0")</f>
        <v>0</v>
      </c>
      <c r="AV38" s="45">
        <f>ПП!Y26</f>
        <v>0</v>
      </c>
      <c r="AW38" s="147">
        <f>COUNTIFS('Отчет РПЗ(ПЗ)_ПЗИП'!$G:$G,Справочно!$C22,'Отчет РПЗ(ПЗ)_ПЗИП'!$AR:$AR,8,'Отчет РПЗ(ПЗ)_ПЗИП'!$AG:$AG,"&gt;0")</f>
        <v>0</v>
      </c>
      <c r="AX38" s="394">
        <f>ПП!Z26</f>
        <v>0</v>
      </c>
      <c r="AY38" s="341">
        <f>SUMIFS('Отчет РПЗ(ПЗ)_ПЗИП'!$AG:$AG,'Отчет РПЗ(ПЗ)_ПЗИП'!$G:$G,Справочно!$C22,'Отчет РПЗ(ПЗ)_ПЗИП'!$AR:$AR,8,'Отчет РПЗ(ПЗ)_ПЗИП'!$AG:$AG,"&gt;0")</f>
        <v>0</v>
      </c>
      <c r="AZ38" s="45">
        <f>ПП!AA26</f>
        <v>0</v>
      </c>
      <c r="BA38" s="147">
        <f>COUNTIFS('Отчет РПЗ(ПЗ)_ПЗИП'!$G:$G,Справочно!$C22,'Отчет РПЗ(ПЗ)_ПЗИП'!$AR:$AR,9,'Отчет РПЗ(ПЗ)_ПЗИП'!$AG:$AG,"&gt;0")</f>
        <v>0</v>
      </c>
      <c r="BB38" s="394">
        <f>ПП!AB26</f>
        <v>0</v>
      </c>
      <c r="BC38" s="342">
        <f>SUMIFS('Отчет РПЗ(ПЗ)_ПЗИП'!$AG:$AG,'Отчет РПЗ(ПЗ)_ПЗИП'!$G:$G,Справочно!$C22,'Отчет РПЗ(ПЗ)_ПЗИП'!$AR:$AR,9,'Отчет РПЗ(ПЗ)_ПЗИП'!$AG:$AG,"&gt;0")</f>
        <v>0</v>
      </c>
      <c r="BD38" s="174">
        <f>ПП!AC26</f>
        <v>0</v>
      </c>
      <c r="BE38" s="183">
        <f t="shared" si="9"/>
        <v>0</v>
      </c>
      <c r="BF38" s="393">
        <f t="shared" si="10"/>
        <v>0</v>
      </c>
      <c r="BG38" s="302">
        <f t="shared" si="11"/>
        <v>0</v>
      </c>
      <c r="BH38" s="162">
        <f>ПП!AE26</f>
        <v>0</v>
      </c>
      <c r="BI38" s="180">
        <f>COUNTIFS('Отчет РПЗ(ПЗ)_ПЗИП'!$G:$G,Справочно!$C22,'Отчет РПЗ(ПЗ)_ПЗИП'!$AR:$AR,10,'Отчет РПЗ(ПЗ)_ПЗИП'!$AG:$AG,"&gt;0")</f>
        <v>0</v>
      </c>
      <c r="BJ38" s="394">
        <f>ПП!AF26</f>
        <v>0</v>
      </c>
      <c r="BK38" s="343">
        <f>SUMIFS('Отчет РПЗ(ПЗ)_ПЗИП'!$AG:$AG,'Отчет РПЗ(ПЗ)_ПЗИП'!$G:$G,Справочно!$C22,'Отчет РПЗ(ПЗ)_ПЗИП'!$AR:$AR,10,'Отчет РПЗ(ПЗ)_ПЗИП'!$AG:$AG,"&gt;0")</f>
        <v>0</v>
      </c>
      <c r="BL38" s="45">
        <f>ПП!AG26</f>
        <v>0</v>
      </c>
      <c r="BM38" s="180">
        <f>COUNTIFS('Отчет РПЗ(ПЗ)_ПЗИП'!$G:$G,Справочно!$C22,'Отчет РПЗ(ПЗ)_ПЗИП'!$AR:$AR,11,'Отчет РПЗ(ПЗ)_ПЗИП'!$AG:$AG,"&gt;0")</f>
        <v>0</v>
      </c>
      <c r="BN38" s="394">
        <f>ПП!AH26</f>
        <v>0</v>
      </c>
      <c r="BO38" s="343">
        <f>SUMIFS('Отчет РПЗ(ПЗ)_ПЗИП'!$AG:$AG,'Отчет РПЗ(ПЗ)_ПЗИП'!$G:$G,Справочно!$C22,'Отчет РПЗ(ПЗ)_ПЗИП'!$AR:$AR,11,'Отчет РПЗ(ПЗ)_ПЗИП'!$AG:$AG,"&gt;0")</f>
        <v>0</v>
      </c>
      <c r="BP38" s="45">
        <f>ПП!AI26</f>
        <v>0</v>
      </c>
      <c r="BQ38" s="180">
        <f>COUNTIFS('Отчет РПЗ(ПЗ)_ПЗИП'!$G:$G,Справочно!$C22,'Отчет РПЗ(ПЗ)_ПЗИП'!$AR:$AR,12,'Отчет РПЗ(ПЗ)_ПЗИП'!$AG:$AG,"&gt;0")</f>
        <v>0</v>
      </c>
      <c r="BR38" s="394">
        <f>ПП!AJ26</f>
        <v>0</v>
      </c>
      <c r="BS38" s="344">
        <f>SUMIFS('Отчет РПЗ(ПЗ)_ПЗИП'!$AG:$AG,'Отчет РПЗ(ПЗ)_ПЗИП'!$G:$G,Справочно!$C22,'Отчет РПЗ(ПЗ)_ПЗИП'!$AR:$AR,12,'Отчет РПЗ(ПЗ)_ПЗИП'!$AG:$AG,"&gt;0")</f>
        <v>0</v>
      </c>
      <c r="BT38" s="174">
        <f>ПП!AK26</f>
        <v>0</v>
      </c>
      <c r="BU38" s="182">
        <f t="shared" si="12"/>
        <v>0</v>
      </c>
      <c r="BV38" s="393">
        <f t="shared" si="13"/>
        <v>0</v>
      </c>
      <c r="BW38" s="304">
        <f t="shared" si="14"/>
        <v>0</v>
      </c>
    </row>
    <row r="39" spans="2:75" ht="13.5" thickBot="1" x14ac:dyDescent="0.25">
      <c r="B39" s="86" t="s">
        <v>253</v>
      </c>
      <c r="C39" s="95">
        <f>ПП!B27</f>
        <v>0</v>
      </c>
      <c r="D39" s="381" t="e">
        <f>ПП!C27</f>
        <v>#DIV/0!</v>
      </c>
      <c r="E39" s="66">
        <f>COUNTIFS('Отчет РПЗ(ПЗ)_ПЗИП'!$G:$G,Справочно!$C23,'Отчет РПЗ(ПЗ)_ПЗИП'!AG:AG, "&gt;0")</f>
        <v>0</v>
      </c>
      <c r="F39" s="382" t="e">
        <f t="shared" si="1"/>
        <v>#DIV/0!</v>
      </c>
      <c r="G39" s="383">
        <f>ПП!D27</f>
        <v>0</v>
      </c>
      <c r="H39" s="384" t="e">
        <f>ПП!E27</f>
        <v>#DIV/0!</v>
      </c>
      <c r="I39" s="385">
        <f>SUMIF('Отчет РПЗ(ПЗ)_ПЗИП'!$G:$G,Справочно!$C23,'Отчет РПЗ(ПЗ)_ПЗИП'!$AG:$AG)</f>
        <v>0</v>
      </c>
      <c r="J39" s="382" t="e">
        <f t="shared" si="2"/>
        <v>#DIV/0!</v>
      </c>
      <c r="K39" s="64"/>
      <c r="L39" s="162">
        <f>ПП!G27</f>
        <v>0</v>
      </c>
      <c r="M39" s="150">
        <f>COUNTIFS('Отчет РПЗ(ПЗ)_ПЗИП'!$G:$G,Справочно!$C23,'Отчет РПЗ(ПЗ)_ПЗИП'!$AR:$AR,1,'Отчет РПЗ(ПЗ)_ПЗИП'!$AG:$AG,"&gt;0")</f>
        <v>0</v>
      </c>
      <c r="N39" s="394">
        <f>ПП!H27</f>
        <v>0</v>
      </c>
      <c r="O39" s="305">
        <f>SUMIFS('Отчет РПЗ(ПЗ)_ПЗИП'!$AG:$AG,'Отчет РПЗ(ПЗ)_ПЗИП'!$G:$G,Справочно!$C23,'Отчет РПЗ(ПЗ)_ПЗИП'!$AR:$AR,1,'Отчет РПЗ(ПЗ)_ПЗИП'!$AG:$AG,"&gt;0")</f>
        <v>0</v>
      </c>
      <c r="P39" s="45">
        <f>ПП!I27</f>
        <v>0</v>
      </c>
      <c r="Q39" s="150">
        <f>COUNTIFS('Отчет РПЗ(ПЗ)_ПЗИП'!$G:$G,Справочно!$C23,'Отчет РПЗ(ПЗ)_ПЗИП'!$AR:$AR,2,'Отчет РПЗ(ПЗ)_ПЗИП'!$AG:$AG,"&gt;0")</f>
        <v>0</v>
      </c>
      <c r="R39" s="394">
        <f>ПП!J27</f>
        <v>0</v>
      </c>
      <c r="S39" s="305">
        <f>SUMIFS('Отчет РПЗ(ПЗ)_ПЗИП'!$AG:$AG,'Отчет РПЗ(ПЗ)_ПЗИП'!$G:$G,Справочно!$C23,'Отчет РПЗ(ПЗ)_ПЗИП'!$AR:$AR,2,'Отчет РПЗ(ПЗ)_ПЗИП'!$AG:$AG,"&gt;0")</f>
        <v>0</v>
      </c>
      <c r="T39" s="45">
        <f>ПП!K27</f>
        <v>0</v>
      </c>
      <c r="U39" s="150">
        <f>COUNTIFS('Отчет РПЗ(ПЗ)_ПЗИП'!$G:$G,Справочно!$C23,'Отчет РПЗ(ПЗ)_ПЗИП'!$AR:$AR,3,'Отчет РПЗ(ПЗ)_ПЗИП'!$AG:$AG,"&gt;0")</f>
        <v>0</v>
      </c>
      <c r="V39" s="394">
        <f>ПП!L27</f>
        <v>0</v>
      </c>
      <c r="W39" s="338">
        <f>SUMIFS('Отчет РПЗ(ПЗ)_ПЗИП'!$AG:$AG,'Отчет РПЗ(ПЗ)_ПЗИП'!$G:$G,Справочно!$C23,'Отчет РПЗ(ПЗ)_ПЗИП'!$AR:$AR,3,'Отчет РПЗ(ПЗ)_ПЗИП'!$AG:$AG,"&gt;0")</f>
        <v>0</v>
      </c>
      <c r="X39" s="174">
        <f>ПП!M27</f>
        <v>0</v>
      </c>
      <c r="Y39" s="175">
        <f t="shared" si="3"/>
        <v>0</v>
      </c>
      <c r="Z39" s="393">
        <f t="shared" si="4"/>
        <v>0</v>
      </c>
      <c r="AA39" s="298">
        <f t="shared" si="5"/>
        <v>0</v>
      </c>
      <c r="AB39" s="162">
        <f>ПП!O27</f>
        <v>0</v>
      </c>
      <c r="AC39" s="186">
        <f>COUNTIFS('Отчет РПЗ(ПЗ)_ПЗИП'!$G:$G,Справочно!$C23,'Отчет РПЗ(ПЗ)_ПЗИП'!$AR:$AR,4,'Отчет РПЗ(ПЗ)_ПЗИП'!$AG:$AG,"&gt;0")</f>
        <v>0</v>
      </c>
      <c r="AD39" s="394">
        <f>ПП!P27</f>
        <v>0</v>
      </c>
      <c r="AE39" s="339">
        <f>SUMIFS('Отчет РПЗ(ПЗ)_ПЗИП'!$AG:$AG,'Отчет РПЗ(ПЗ)_ПЗИП'!$G:$G,Справочно!$C23,'Отчет РПЗ(ПЗ)_ПЗИП'!$AR:$AR,4,'Отчет РПЗ(ПЗ)_ПЗИП'!$AG:$AG,"&gt;0")</f>
        <v>0</v>
      </c>
      <c r="AF39" s="45">
        <f>ПП!Q27</f>
        <v>0</v>
      </c>
      <c r="AG39" s="186">
        <f>COUNTIFS('Отчет РПЗ(ПЗ)_ПЗИП'!$G:$G,Справочно!$C23,'Отчет РПЗ(ПЗ)_ПЗИП'!$AR:$AR,5,'Отчет РПЗ(ПЗ)_ПЗИП'!$AG:$AG,"&gt;0")</f>
        <v>0</v>
      </c>
      <c r="AH39" s="394">
        <f>ПП!R27</f>
        <v>0</v>
      </c>
      <c r="AI39" s="339">
        <f>SUMIFS('Отчет РПЗ(ПЗ)_ПЗИП'!$AG:$AG,'Отчет РПЗ(ПЗ)_ПЗИП'!$G:$G,Справочно!$C23,'Отчет РПЗ(ПЗ)_ПЗИП'!$AR:$AR,5,'Отчет РПЗ(ПЗ)_ПЗИП'!$AG:$AG,"&gt;0")</f>
        <v>0</v>
      </c>
      <c r="AJ39" s="45">
        <f>ПП!S27</f>
        <v>0</v>
      </c>
      <c r="AK39" s="186">
        <f>COUNTIFS('Отчет РПЗ(ПЗ)_ПЗИП'!$G:$G,Справочно!$C23,'Отчет РПЗ(ПЗ)_ПЗИП'!$AR:$AR,6,'Отчет РПЗ(ПЗ)_ПЗИП'!$AG:$AG,"&gt;0")</f>
        <v>0</v>
      </c>
      <c r="AL39" s="394">
        <f>ПП!T27</f>
        <v>0</v>
      </c>
      <c r="AM39" s="340">
        <f>SUMIFS('Отчет РПЗ(ПЗ)_ПЗИП'!$AG:$AG,'Отчет РПЗ(ПЗ)_ПЗИП'!$G:$G,Справочно!$C23,'Отчет РПЗ(ПЗ)_ПЗИП'!$AR:$AR,6,'Отчет РПЗ(ПЗ)_ПЗИП'!$AG:$AG,"&gt;0")</f>
        <v>0</v>
      </c>
      <c r="AN39" s="174">
        <f>ПП!U27</f>
        <v>0</v>
      </c>
      <c r="AO39" s="188">
        <f t="shared" si="6"/>
        <v>0</v>
      </c>
      <c r="AP39" s="393">
        <f t="shared" si="7"/>
        <v>0</v>
      </c>
      <c r="AQ39" s="300">
        <f t="shared" si="8"/>
        <v>0</v>
      </c>
      <c r="AR39" s="162">
        <f>ПП!W27</f>
        <v>0</v>
      </c>
      <c r="AS39" s="147">
        <f>COUNTIFS('Отчет РПЗ(ПЗ)_ПЗИП'!$G:$G,Справочно!$C23,'Отчет РПЗ(ПЗ)_ПЗИП'!$AR:$AR,7,'Отчет РПЗ(ПЗ)_ПЗИП'!$AG:$AG,"&gt;0")</f>
        <v>0</v>
      </c>
      <c r="AT39" s="394">
        <f>ПП!X27</f>
        <v>0</v>
      </c>
      <c r="AU39" s="341">
        <f>SUMIFS('Отчет РПЗ(ПЗ)_ПЗИП'!$AG:$AG,'Отчет РПЗ(ПЗ)_ПЗИП'!$G:$G,Справочно!$C23,'Отчет РПЗ(ПЗ)_ПЗИП'!$AR:$AR,7,'Отчет РПЗ(ПЗ)_ПЗИП'!$AG:$AG,"&gt;0")</f>
        <v>0</v>
      </c>
      <c r="AV39" s="45">
        <f>ПП!Y27</f>
        <v>0</v>
      </c>
      <c r="AW39" s="147">
        <f>COUNTIFS('Отчет РПЗ(ПЗ)_ПЗИП'!$G:$G,Справочно!$C23,'Отчет РПЗ(ПЗ)_ПЗИП'!$AR:$AR,8,'Отчет РПЗ(ПЗ)_ПЗИП'!$AG:$AG,"&gt;0")</f>
        <v>0</v>
      </c>
      <c r="AX39" s="394">
        <f>ПП!Z27</f>
        <v>0</v>
      </c>
      <c r="AY39" s="341">
        <f>SUMIFS('Отчет РПЗ(ПЗ)_ПЗИП'!$AG:$AG,'Отчет РПЗ(ПЗ)_ПЗИП'!$G:$G,Справочно!$C23,'Отчет РПЗ(ПЗ)_ПЗИП'!$AR:$AR,8,'Отчет РПЗ(ПЗ)_ПЗИП'!$AG:$AG,"&gt;0")</f>
        <v>0</v>
      </c>
      <c r="AZ39" s="45">
        <f>ПП!AA27</f>
        <v>0</v>
      </c>
      <c r="BA39" s="147">
        <f>COUNTIFS('Отчет РПЗ(ПЗ)_ПЗИП'!$G:$G,Справочно!$C23,'Отчет РПЗ(ПЗ)_ПЗИП'!$AR:$AR,9,'Отчет РПЗ(ПЗ)_ПЗИП'!$AG:$AG,"&gt;0")</f>
        <v>0</v>
      </c>
      <c r="BB39" s="394">
        <f>ПП!AB27</f>
        <v>0</v>
      </c>
      <c r="BC39" s="342">
        <f>SUMIFS('Отчет РПЗ(ПЗ)_ПЗИП'!$AG:$AG,'Отчет РПЗ(ПЗ)_ПЗИП'!$G:$G,Справочно!$C23,'Отчет РПЗ(ПЗ)_ПЗИП'!$AR:$AR,9,'Отчет РПЗ(ПЗ)_ПЗИП'!$AG:$AG,"&gt;0")</f>
        <v>0</v>
      </c>
      <c r="BD39" s="174">
        <f>ПП!AC27</f>
        <v>0</v>
      </c>
      <c r="BE39" s="183">
        <f t="shared" si="9"/>
        <v>0</v>
      </c>
      <c r="BF39" s="393">
        <f t="shared" si="10"/>
        <v>0</v>
      </c>
      <c r="BG39" s="302">
        <f t="shared" si="11"/>
        <v>0</v>
      </c>
      <c r="BH39" s="162">
        <f>ПП!AE27</f>
        <v>0</v>
      </c>
      <c r="BI39" s="180">
        <f>COUNTIFS('Отчет РПЗ(ПЗ)_ПЗИП'!$G:$G,Справочно!$C23,'Отчет РПЗ(ПЗ)_ПЗИП'!$AR:$AR,10,'Отчет РПЗ(ПЗ)_ПЗИП'!$AG:$AG,"&gt;0")</f>
        <v>0</v>
      </c>
      <c r="BJ39" s="394">
        <f>ПП!AF27</f>
        <v>0</v>
      </c>
      <c r="BK39" s="343">
        <f>SUMIFS('Отчет РПЗ(ПЗ)_ПЗИП'!$AG:$AG,'Отчет РПЗ(ПЗ)_ПЗИП'!$G:$G,Справочно!$C23,'Отчет РПЗ(ПЗ)_ПЗИП'!$AR:$AR,10,'Отчет РПЗ(ПЗ)_ПЗИП'!$AG:$AG,"&gt;0")</f>
        <v>0</v>
      </c>
      <c r="BL39" s="45">
        <f>ПП!AG27</f>
        <v>0</v>
      </c>
      <c r="BM39" s="180">
        <f>COUNTIFS('Отчет РПЗ(ПЗ)_ПЗИП'!$G:$G,Справочно!$C23,'Отчет РПЗ(ПЗ)_ПЗИП'!$AR:$AR,11,'Отчет РПЗ(ПЗ)_ПЗИП'!$AG:$AG,"&gt;0")</f>
        <v>0</v>
      </c>
      <c r="BN39" s="394">
        <f>ПП!AH27</f>
        <v>0</v>
      </c>
      <c r="BO39" s="343">
        <f>SUMIFS('Отчет РПЗ(ПЗ)_ПЗИП'!$AG:$AG,'Отчет РПЗ(ПЗ)_ПЗИП'!$G:$G,Справочно!$C23,'Отчет РПЗ(ПЗ)_ПЗИП'!$AR:$AR,11,'Отчет РПЗ(ПЗ)_ПЗИП'!$AG:$AG,"&gt;0")</f>
        <v>0</v>
      </c>
      <c r="BP39" s="45">
        <f>ПП!AI27</f>
        <v>0</v>
      </c>
      <c r="BQ39" s="180">
        <f>COUNTIFS('Отчет РПЗ(ПЗ)_ПЗИП'!$G:$G,Справочно!$C23,'Отчет РПЗ(ПЗ)_ПЗИП'!$AR:$AR,12,'Отчет РПЗ(ПЗ)_ПЗИП'!$AG:$AG,"&gt;0")</f>
        <v>0</v>
      </c>
      <c r="BR39" s="394">
        <f>ПП!AJ27</f>
        <v>0</v>
      </c>
      <c r="BS39" s="344">
        <f>SUMIFS('Отчет РПЗ(ПЗ)_ПЗИП'!$AG:$AG,'Отчет РПЗ(ПЗ)_ПЗИП'!$G:$G,Справочно!$C23,'Отчет РПЗ(ПЗ)_ПЗИП'!$AR:$AR,12,'Отчет РПЗ(ПЗ)_ПЗИП'!$AG:$AG,"&gt;0")</f>
        <v>0</v>
      </c>
      <c r="BT39" s="174">
        <f>ПП!AK27</f>
        <v>0</v>
      </c>
      <c r="BU39" s="182">
        <f t="shared" si="12"/>
        <v>0</v>
      </c>
      <c r="BV39" s="393">
        <f t="shared" si="13"/>
        <v>0</v>
      </c>
      <c r="BW39" s="304">
        <f t="shared" si="14"/>
        <v>0</v>
      </c>
    </row>
    <row r="40" spans="2:75" ht="13.5" thickBot="1" x14ac:dyDescent="0.25">
      <c r="B40" s="86" t="s">
        <v>167</v>
      </c>
      <c r="C40" s="95">
        <f>ПП!B28</f>
        <v>0</v>
      </c>
      <c r="D40" s="381" t="e">
        <f>ПП!C28</f>
        <v>#DIV/0!</v>
      </c>
      <c r="E40" s="66">
        <f>COUNTIFS('Отчет РПЗ(ПЗ)_ПЗИП'!$G:$G,Справочно!$C24,'Отчет РПЗ(ПЗ)_ПЗИП'!AG:AG, "&gt;0")</f>
        <v>0</v>
      </c>
      <c r="F40" s="382" t="e">
        <f t="shared" si="1"/>
        <v>#DIV/0!</v>
      </c>
      <c r="G40" s="383">
        <f>ПП!D28</f>
        <v>0</v>
      </c>
      <c r="H40" s="384" t="e">
        <f>ПП!E28</f>
        <v>#DIV/0!</v>
      </c>
      <c r="I40" s="385">
        <f>SUMIF('Отчет РПЗ(ПЗ)_ПЗИП'!$G:$G,Справочно!$C24,'Отчет РПЗ(ПЗ)_ПЗИП'!$AG:$AG)</f>
        <v>0</v>
      </c>
      <c r="J40" s="382" t="e">
        <f t="shared" si="2"/>
        <v>#DIV/0!</v>
      </c>
      <c r="K40" s="64"/>
      <c r="L40" s="162">
        <f>ПП!G28</f>
        <v>0</v>
      </c>
      <c r="M40" s="150">
        <f>COUNTIFS('Отчет РПЗ(ПЗ)_ПЗИП'!$G:$G,Справочно!$C24,'Отчет РПЗ(ПЗ)_ПЗИП'!$AR:$AR,1,'Отчет РПЗ(ПЗ)_ПЗИП'!$AG:$AG,"&gt;0")</f>
        <v>0</v>
      </c>
      <c r="N40" s="394">
        <f>ПП!H28</f>
        <v>0</v>
      </c>
      <c r="O40" s="305">
        <f>SUMIFS('Отчет РПЗ(ПЗ)_ПЗИП'!$AG:$AG,'Отчет РПЗ(ПЗ)_ПЗИП'!$G:$G,Справочно!$C24,'Отчет РПЗ(ПЗ)_ПЗИП'!$AR:$AR,1,'Отчет РПЗ(ПЗ)_ПЗИП'!$AG:$AG,"&gt;0")</f>
        <v>0</v>
      </c>
      <c r="P40" s="45">
        <f>ПП!I28</f>
        <v>0</v>
      </c>
      <c r="Q40" s="150">
        <f>COUNTIFS('Отчет РПЗ(ПЗ)_ПЗИП'!$G:$G,Справочно!$C24,'Отчет РПЗ(ПЗ)_ПЗИП'!$AR:$AR,2,'Отчет РПЗ(ПЗ)_ПЗИП'!$AG:$AG,"&gt;0")</f>
        <v>0</v>
      </c>
      <c r="R40" s="394">
        <f>ПП!J28</f>
        <v>0</v>
      </c>
      <c r="S40" s="305">
        <f>SUMIFS('Отчет РПЗ(ПЗ)_ПЗИП'!$AG:$AG,'Отчет РПЗ(ПЗ)_ПЗИП'!$G:$G,Справочно!$C24,'Отчет РПЗ(ПЗ)_ПЗИП'!$AR:$AR,2,'Отчет РПЗ(ПЗ)_ПЗИП'!$AG:$AG,"&gt;0")</f>
        <v>0</v>
      </c>
      <c r="T40" s="45">
        <f>ПП!K28</f>
        <v>0</v>
      </c>
      <c r="U40" s="150">
        <f>COUNTIFS('Отчет РПЗ(ПЗ)_ПЗИП'!$G:$G,Справочно!$C24,'Отчет РПЗ(ПЗ)_ПЗИП'!$AR:$AR,3,'Отчет РПЗ(ПЗ)_ПЗИП'!$AG:$AG,"&gt;0")</f>
        <v>0</v>
      </c>
      <c r="V40" s="394">
        <f>ПП!L28</f>
        <v>0</v>
      </c>
      <c r="W40" s="338">
        <f>SUMIFS('Отчет РПЗ(ПЗ)_ПЗИП'!$AG:$AG,'Отчет РПЗ(ПЗ)_ПЗИП'!$G:$G,Справочно!$C24,'Отчет РПЗ(ПЗ)_ПЗИП'!$AR:$AR,3,'Отчет РПЗ(ПЗ)_ПЗИП'!$AG:$AG,"&gt;0")</f>
        <v>0</v>
      </c>
      <c r="X40" s="174">
        <f>ПП!M28</f>
        <v>0</v>
      </c>
      <c r="Y40" s="175">
        <f t="shared" si="3"/>
        <v>0</v>
      </c>
      <c r="Z40" s="393">
        <f t="shared" si="4"/>
        <v>0</v>
      </c>
      <c r="AA40" s="298">
        <f t="shared" si="5"/>
        <v>0</v>
      </c>
      <c r="AB40" s="162">
        <f>ПП!O28</f>
        <v>0</v>
      </c>
      <c r="AC40" s="186">
        <f>COUNTIFS('Отчет РПЗ(ПЗ)_ПЗИП'!$G:$G,Справочно!$C24,'Отчет РПЗ(ПЗ)_ПЗИП'!$AR:$AR,4,'Отчет РПЗ(ПЗ)_ПЗИП'!$AG:$AG,"&gt;0")</f>
        <v>0</v>
      </c>
      <c r="AD40" s="394">
        <f>ПП!P28</f>
        <v>0</v>
      </c>
      <c r="AE40" s="339">
        <f>SUMIFS('Отчет РПЗ(ПЗ)_ПЗИП'!$AG:$AG,'Отчет РПЗ(ПЗ)_ПЗИП'!$G:$G,Справочно!$C24,'Отчет РПЗ(ПЗ)_ПЗИП'!$AR:$AR,4,'Отчет РПЗ(ПЗ)_ПЗИП'!$AG:$AG,"&gt;0")</f>
        <v>0</v>
      </c>
      <c r="AF40" s="45">
        <f>ПП!Q28</f>
        <v>0</v>
      </c>
      <c r="AG40" s="186">
        <f>COUNTIFS('Отчет РПЗ(ПЗ)_ПЗИП'!$G:$G,Справочно!$C24,'Отчет РПЗ(ПЗ)_ПЗИП'!$AR:$AR,5,'Отчет РПЗ(ПЗ)_ПЗИП'!$AG:$AG,"&gt;0")</f>
        <v>0</v>
      </c>
      <c r="AH40" s="394">
        <f>ПП!R28</f>
        <v>0</v>
      </c>
      <c r="AI40" s="339">
        <f>SUMIFS('Отчет РПЗ(ПЗ)_ПЗИП'!$AG:$AG,'Отчет РПЗ(ПЗ)_ПЗИП'!$G:$G,Справочно!$C24,'Отчет РПЗ(ПЗ)_ПЗИП'!$AR:$AR,5,'Отчет РПЗ(ПЗ)_ПЗИП'!$AG:$AG,"&gt;0")</f>
        <v>0</v>
      </c>
      <c r="AJ40" s="45">
        <f>ПП!S28</f>
        <v>0</v>
      </c>
      <c r="AK40" s="186">
        <f>COUNTIFS('Отчет РПЗ(ПЗ)_ПЗИП'!$G:$G,Справочно!$C24,'Отчет РПЗ(ПЗ)_ПЗИП'!$AR:$AR,6,'Отчет РПЗ(ПЗ)_ПЗИП'!$AG:$AG,"&gt;0")</f>
        <v>0</v>
      </c>
      <c r="AL40" s="394">
        <f>ПП!T28</f>
        <v>0</v>
      </c>
      <c r="AM40" s="340">
        <f>SUMIFS('Отчет РПЗ(ПЗ)_ПЗИП'!$AG:$AG,'Отчет РПЗ(ПЗ)_ПЗИП'!$G:$G,Справочно!$C24,'Отчет РПЗ(ПЗ)_ПЗИП'!$AR:$AR,6,'Отчет РПЗ(ПЗ)_ПЗИП'!$AG:$AG,"&gt;0")</f>
        <v>0</v>
      </c>
      <c r="AN40" s="174">
        <f>ПП!U28</f>
        <v>0</v>
      </c>
      <c r="AO40" s="188">
        <f t="shared" si="6"/>
        <v>0</v>
      </c>
      <c r="AP40" s="393">
        <f t="shared" si="7"/>
        <v>0</v>
      </c>
      <c r="AQ40" s="300">
        <f t="shared" si="8"/>
        <v>0</v>
      </c>
      <c r="AR40" s="162">
        <f>ПП!W28</f>
        <v>0</v>
      </c>
      <c r="AS40" s="147">
        <f>COUNTIFS('Отчет РПЗ(ПЗ)_ПЗИП'!$G:$G,Справочно!$C24,'Отчет РПЗ(ПЗ)_ПЗИП'!$AR:$AR,7,'Отчет РПЗ(ПЗ)_ПЗИП'!$AG:$AG,"&gt;0")</f>
        <v>0</v>
      </c>
      <c r="AT40" s="394">
        <f>ПП!X28</f>
        <v>0</v>
      </c>
      <c r="AU40" s="341">
        <f>SUMIFS('Отчет РПЗ(ПЗ)_ПЗИП'!$AG:$AG,'Отчет РПЗ(ПЗ)_ПЗИП'!$G:$G,Справочно!$C24,'Отчет РПЗ(ПЗ)_ПЗИП'!$AR:$AR,7,'Отчет РПЗ(ПЗ)_ПЗИП'!$AG:$AG,"&gt;0")</f>
        <v>0</v>
      </c>
      <c r="AV40" s="45">
        <f>ПП!Y28</f>
        <v>0</v>
      </c>
      <c r="AW40" s="147">
        <f>COUNTIFS('Отчет РПЗ(ПЗ)_ПЗИП'!$G:$G,Справочно!$C24,'Отчет РПЗ(ПЗ)_ПЗИП'!$AR:$AR,8,'Отчет РПЗ(ПЗ)_ПЗИП'!$AG:$AG,"&gt;0")</f>
        <v>0</v>
      </c>
      <c r="AX40" s="394">
        <f>ПП!Z28</f>
        <v>0</v>
      </c>
      <c r="AY40" s="341">
        <f>SUMIFS('Отчет РПЗ(ПЗ)_ПЗИП'!$AG:$AG,'Отчет РПЗ(ПЗ)_ПЗИП'!$G:$G,Справочно!$C24,'Отчет РПЗ(ПЗ)_ПЗИП'!$AR:$AR,8,'Отчет РПЗ(ПЗ)_ПЗИП'!$AG:$AG,"&gt;0")</f>
        <v>0</v>
      </c>
      <c r="AZ40" s="45">
        <f>ПП!AA28</f>
        <v>0</v>
      </c>
      <c r="BA40" s="147">
        <f>COUNTIFS('Отчет РПЗ(ПЗ)_ПЗИП'!$G:$G,Справочно!$C24,'Отчет РПЗ(ПЗ)_ПЗИП'!$AR:$AR,9,'Отчет РПЗ(ПЗ)_ПЗИП'!$AG:$AG,"&gt;0")</f>
        <v>0</v>
      </c>
      <c r="BB40" s="394">
        <f>ПП!AB28</f>
        <v>0</v>
      </c>
      <c r="BC40" s="342">
        <f>SUMIFS('Отчет РПЗ(ПЗ)_ПЗИП'!$AG:$AG,'Отчет РПЗ(ПЗ)_ПЗИП'!$G:$G,Справочно!$C24,'Отчет РПЗ(ПЗ)_ПЗИП'!$AR:$AR,9,'Отчет РПЗ(ПЗ)_ПЗИП'!$AG:$AG,"&gt;0")</f>
        <v>0</v>
      </c>
      <c r="BD40" s="174">
        <f>ПП!AC28</f>
        <v>0</v>
      </c>
      <c r="BE40" s="183">
        <f t="shared" si="9"/>
        <v>0</v>
      </c>
      <c r="BF40" s="393">
        <f t="shared" si="10"/>
        <v>0</v>
      </c>
      <c r="BG40" s="302">
        <f t="shared" si="11"/>
        <v>0</v>
      </c>
      <c r="BH40" s="162">
        <f>ПП!AE28</f>
        <v>0</v>
      </c>
      <c r="BI40" s="180">
        <f>COUNTIFS('Отчет РПЗ(ПЗ)_ПЗИП'!$G:$G,Справочно!$C24,'Отчет РПЗ(ПЗ)_ПЗИП'!$AR:$AR,10,'Отчет РПЗ(ПЗ)_ПЗИП'!$AG:$AG,"&gt;0")</f>
        <v>0</v>
      </c>
      <c r="BJ40" s="394">
        <f>ПП!AF28</f>
        <v>0</v>
      </c>
      <c r="BK40" s="343">
        <f>SUMIFS('Отчет РПЗ(ПЗ)_ПЗИП'!$AG:$AG,'Отчет РПЗ(ПЗ)_ПЗИП'!$G:$G,Справочно!$C24,'Отчет РПЗ(ПЗ)_ПЗИП'!$AR:$AR,10,'Отчет РПЗ(ПЗ)_ПЗИП'!$AG:$AG,"&gt;0")</f>
        <v>0</v>
      </c>
      <c r="BL40" s="45">
        <f>ПП!AG28</f>
        <v>0</v>
      </c>
      <c r="BM40" s="180">
        <f>COUNTIFS('Отчет РПЗ(ПЗ)_ПЗИП'!$G:$G,Справочно!$C24,'Отчет РПЗ(ПЗ)_ПЗИП'!$AR:$AR,11,'Отчет РПЗ(ПЗ)_ПЗИП'!$AG:$AG,"&gt;0")</f>
        <v>0</v>
      </c>
      <c r="BN40" s="394">
        <f>ПП!AH28</f>
        <v>0</v>
      </c>
      <c r="BO40" s="343">
        <f>SUMIFS('Отчет РПЗ(ПЗ)_ПЗИП'!$AG:$AG,'Отчет РПЗ(ПЗ)_ПЗИП'!$G:$G,Справочно!$C24,'Отчет РПЗ(ПЗ)_ПЗИП'!$AR:$AR,11,'Отчет РПЗ(ПЗ)_ПЗИП'!$AG:$AG,"&gt;0")</f>
        <v>0</v>
      </c>
      <c r="BP40" s="45">
        <f>ПП!AI28</f>
        <v>0</v>
      </c>
      <c r="BQ40" s="180">
        <f>COUNTIFS('Отчет РПЗ(ПЗ)_ПЗИП'!$G:$G,Справочно!$C24,'Отчет РПЗ(ПЗ)_ПЗИП'!$AR:$AR,12,'Отчет РПЗ(ПЗ)_ПЗИП'!$AG:$AG,"&gt;0")</f>
        <v>0</v>
      </c>
      <c r="BR40" s="394">
        <f>ПП!AJ28</f>
        <v>0</v>
      </c>
      <c r="BS40" s="344">
        <f>SUMIFS('Отчет РПЗ(ПЗ)_ПЗИП'!$AG:$AG,'Отчет РПЗ(ПЗ)_ПЗИП'!$G:$G,Справочно!$C24,'Отчет РПЗ(ПЗ)_ПЗИП'!$AR:$AR,12,'Отчет РПЗ(ПЗ)_ПЗИП'!$AG:$AG,"&gt;0")</f>
        <v>0</v>
      </c>
      <c r="BT40" s="174">
        <f>ПП!AK28</f>
        <v>0</v>
      </c>
      <c r="BU40" s="182">
        <f t="shared" si="12"/>
        <v>0</v>
      </c>
      <c r="BV40" s="393">
        <f t="shared" si="13"/>
        <v>0</v>
      </c>
      <c r="BW40" s="304">
        <f t="shared" si="14"/>
        <v>0</v>
      </c>
    </row>
    <row r="41" spans="2:75" ht="13.5" thickBot="1" x14ac:dyDescent="0.25">
      <c r="B41" s="86" t="s">
        <v>254</v>
      </c>
      <c r="C41" s="95">
        <f>ПП!B29</f>
        <v>0</v>
      </c>
      <c r="D41" s="381" t="e">
        <f>ПП!C29</f>
        <v>#DIV/0!</v>
      </c>
      <c r="E41" s="66">
        <f>COUNTIFS('Отчет РПЗ(ПЗ)_ПЗИП'!$G:$G,Справочно!$C25,'Отчет РПЗ(ПЗ)_ПЗИП'!AG:AG, "&gt;0")</f>
        <v>0</v>
      </c>
      <c r="F41" s="382" t="e">
        <f t="shared" si="1"/>
        <v>#DIV/0!</v>
      </c>
      <c r="G41" s="383">
        <f>ПП!D29</f>
        <v>0</v>
      </c>
      <c r="H41" s="384" t="e">
        <f>ПП!E29</f>
        <v>#DIV/0!</v>
      </c>
      <c r="I41" s="385">
        <f>SUMIF('Отчет РПЗ(ПЗ)_ПЗИП'!$G:$G,Справочно!$C25,'Отчет РПЗ(ПЗ)_ПЗИП'!$AG:$AG)</f>
        <v>0</v>
      </c>
      <c r="J41" s="382" t="e">
        <f t="shared" si="2"/>
        <v>#DIV/0!</v>
      </c>
      <c r="K41" s="64"/>
      <c r="L41" s="162">
        <f>ПП!G29</f>
        <v>0</v>
      </c>
      <c r="M41" s="150">
        <f>COUNTIFS('Отчет РПЗ(ПЗ)_ПЗИП'!$G:$G,Справочно!$C25,'Отчет РПЗ(ПЗ)_ПЗИП'!$AR:$AR,1,'Отчет РПЗ(ПЗ)_ПЗИП'!$AG:$AG,"&gt;0")</f>
        <v>0</v>
      </c>
      <c r="N41" s="394">
        <f>ПП!H29</f>
        <v>0</v>
      </c>
      <c r="O41" s="305">
        <f>SUMIFS('Отчет РПЗ(ПЗ)_ПЗИП'!$AG:$AG,'Отчет РПЗ(ПЗ)_ПЗИП'!$G:$G,Справочно!$C25,'Отчет РПЗ(ПЗ)_ПЗИП'!$AR:$AR,1,'Отчет РПЗ(ПЗ)_ПЗИП'!$AG:$AG,"&gt;0")</f>
        <v>0</v>
      </c>
      <c r="P41" s="45">
        <f>ПП!I29</f>
        <v>0</v>
      </c>
      <c r="Q41" s="150">
        <f>COUNTIFS('Отчет РПЗ(ПЗ)_ПЗИП'!$G:$G,Справочно!$C25,'Отчет РПЗ(ПЗ)_ПЗИП'!$AR:$AR,2,'Отчет РПЗ(ПЗ)_ПЗИП'!$AG:$AG,"&gt;0")</f>
        <v>0</v>
      </c>
      <c r="R41" s="394">
        <f>ПП!J29</f>
        <v>0</v>
      </c>
      <c r="S41" s="305">
        <f>SUMIFS('Отчет РПЗ(ПЗ)_ПЗИП'!$AG:$AG,'Отчет РПЗ(ПЗ)_ПЗИП'!$G:$G,Справочно!$C25,'Отчет РПЗ(ПЗ)_ПЗИП'!$AR:$AR,2,'Отчет РПЗ(ПЗ)_ПЗИП'!$AG:$AG,"&gt;0")</f>
        <v>0</v>
      </c>
      <c r="T41" s="45">
        <f>ПП!K29</f>
        <v>0</v>
      </c>
      <c r="U41" s="150">
        <f>COUNTIFS('Отчет РПЗ(ПЗ)_ПЗИП'!$G:$G,Справочно!$C25,'Отчет РПЗ(ПЗ)_ПЗИП'!$AR:$AR,3,'Отчет РПЗ(ПЗ)_ПЗИП'!$AG:$AG,"&gt;0")</f>
        <v>0</v>
      </c>
      <c r="V41" s="394">
        <f>ПП!L29</f>
        <v>0</v>
      </c>
      <c r="W41" s="338">
        <f>SUMIFS('Отчет РПЗ(ПЗ)_ПЗИП'!$AG:$AG,'Отчет РПЗ(ПЗ)_ПЗИП'!$G:$G,Справочно!$C25,'Отчет РПЗ(ПЗ)_ПЗИП'!$AR:$AR,3,'Отчет РПЗ(ПЗ)_ПЗИП'!$AG:$AG,"&gt;0")</f>
        <v>0</v>
      </c>
      <c r="X41" s="174">
        <f>ПП!M29</f>
        <v>0</v>
      </c>
      <c r="Y41" s="175">
        <f t="shared" si="3"/>
        <v>0</v>
      </c>
      <c r="Z41" s="393">
        <f t="shared" si="4"/>
        <v>0</v>
      </c>
      <c r="AA41" s="298">
        <f t="shared" si="5"/>
        <v>0</v>
      </c>
      <c r="AB41" s="162">
        <f>ПП!O29</f>
        <v>0</v>
      </c>
      <c r="AC41" s="186">
        <f>COUNTIFS('Отчет РПЗ(ПЗ)_ПЗИП'!$G:$G,Справочно!$C25,'Отчет РПЗ(ПЗ)_ПЗИП'!$AR:$AR,4,'Отчет РПЗ(ПЗ)_ПЗИП'!$AG:$AG,"&gt;0")</f>
        <v>0</v>
      </c>
      <c r="AD41" s="394">
        <f>ПП!P29</f>
        <v>0</v>
      </c>
      <c r="AE41" s="339">
        <f>SUMIFS('Отчет РПЗ(ПЗ)_ПЗИП'!$AG:$AG,'Отчет РПЗ(ПЗ)_ПЗИП'!$G:$G,Справочно!$C25,'Отчет РПЗ(ПЗ)_ПЗИП'!$AR:$AR,4,'Отчет РПЗ(ПЗ)_ПЗИП'!$AG:$AG,"&gt;0")</f>
        <v>0</v>
      </c>
      <c r="AF41" s="45">
        <f>ПП!Q29</f>
        <v>0</v>
      </c>
      <c r="AG41" s="186">
        <f>COUNTIFS('Отчет РПЗ(ПЗ)_ПЗИП'!$G:$G,Справочно!$C25,'Отчет РПЗ(ПЗ)_ПЗИП'!$AR:$AR,5,'Отчет РПЗ(ПЗ)_ПЗИП'!$AG:$AG,"&gt;0")</f>
        <v>0</v>
      </c>
      <c r="AH41" s="394">
        <f>ПП!R29</f>
        <v>0</v>
      </c>
      <c r="AI41" s="339">
        <f>SUMIFS('Отчет РПЗ(ПЗ)_ПЗИП'!$AG:$AG,'Отчет РПЗ(ПЗ)_ПЗИП'!$G:$G,Справочно!$C25,'Отчет РПЗ(ПЗ)_ПЗИП'!$AR:$AR,5,'Отчет РПЗ(ПЗ)_ПЗИП'!$AG:$AG,"&gt;0")</f>
        <v>0</v>
      </c>
      <c r="AJ41" s="45">
        <f>ПП!S29</f>
        <v>0</v>
      </c>
      <c r="AK41" s="186">
        <f>COUNTIFS('Отчет РПЗ(ПЗ)_ПЗИП'!$G:$G,Справочно!$C25,'Отчет РПЗ(ПЗ)_ПЗИП'!$AR:$AR,6,'Отчет РПЗ(ПЗ)_ПЗИП'!$AG:$AG,"&gt;0")</f>
        <v>0</v>
      </c>
      <c r="AL41" s="394">
        <f>ПП!T29</f>
        <v>0</v>
      </c>
      <c r="AM41" s="340">
        <f>SUMIFS('Отчет РПЗ(ПЗ)_ПЗИП'!$AG:$AG,'Отчет РПЗ(ПЗ)_ПЗИП'!$G:$G,Справочно!$C25,'Отчет РПЗ(ПЗ)_ПЗИП'!$AR:$AR,6,'Отчет РПЗ(ПЗ)_ПЗИП'!$AG:$AG,"&gt;0")</f>
        <v>0</v>
      </c>
      <c r="AN41" s="174">
        <f>ПП!U29</f>
        <v>0</v>
      </c>
      <c r="AO41" s="188">
        <f t="shared" si="6"/>
        <v>0</v>
      </c>
      <c r="AP41" s="393">
        <f t="shared" si="7"/>
        <v>0</v>
      </c>
      <c r="AQ41" s="300">
        <f t="shared" si="8"/>
        <v>0</v>
      </c>
      <c r="AR41" s="162">
        <f>ПП!W29</f>
        <v>0</v>
      </c>
      <c r="AS41" s="147">
        <f>COUNTIFS('Отчет РПЗ(ПЗ)_ПЗИП'!$G:$G,Справочно!$C25,'Отчет РПЗ(ПЗ)_ПЗИП'!$AR:$AR,7,'Отчет РПЗ(ПЗ)_ПЗИП'!$AG:$AG,"&gt;0")</f>
        <v>0</v>
      </c>
      <c r="AT41" s="394">
        <f>ПП!X29</f>
        <v>0</v>
      </c>
      <c r="AU41" s="341">
        <f>SUMIFS('Отчет РПЗ(ПЗ)_ПЗИП'!$AG:$AG,'Отчет РПЗ(ПЗ)_ПЗИП'!$G:$G,Справочно!$C25,'Отчет РПЗ(ПЗ)_ПЗИП'!$AR:$AR,7,'Отчет РПЗ(ПЗ)_ПЗИП'!$AG:$AG,"&gt;0")</f>
        <v>0</v>
      </c>
      <c r="AV41" s="45">
        <f>ПП!Y29</f>
        <v>0</v>
      </c>
      <c r="AW41" s="147">
        <f>COUNTIFS('Отчет РПЗ(ПЗ)_ПЗИП'!$G:$G,Справочно!$C25,'Отчет РПЗ(ПЗ)_ПЗИП'!$AR:$AR,8,'Отчет РПЗ(ПЗ)_ПЗИП'!$AG:$AG,"&gt;0")</f>
        <v>0</v>
      </c>
      <c r="AX41" s="394">
        <f>ПП!Z29</f>
        <v>0</v>
      </c>
      <c r="AY41" s="341">
        <f>SUMIFS('Отчет РПЗ(ПЗ)_ПЗИП'!$AG:$AG,'Отчет РПЗ(ПЗ)_ПЗИП'!$G:$G,Справочно!$C25,'Отчет РПЗ(ПЗ)_ПЗИП'!$AR:$AR,8,'Отчет РПЗ(ПЗ)_ПЗИП'!$AG:$AG,"&gt;0")</f>
        <v>0</v>
      </c>
      <c r="AZ41" s="45">
        <f>ПП!AA29</f>
        <v>0</v>
      </c>
      <c r="BA41" s="147">
        <f>COUNTIFS('Отчет РПЗ(ПЗ)_ПЗИП'!$G:$G,Справочно!$C25,'Отчет РПЗ(ПЗ)_ПЗИП'!$AR:$AR,9,'Отчет РПЗ(ПЗ)_ПЗИП'!$AG:$AG,"&gt;0")</f>
        <v>0</v>
      </c>
      <c r="BB41" s="394">
        <f>ПП!AB29</f>
        <v>0</v>
      </c>
      <c r="BC41" s="342">
        <f>SUMIFS('Отчет РПЗ(ПЗ)_ПЗИП'!$AG:$AG,'Отчет РПЗ(ПЗ)_ПЗИП'!$G:$G,Справочно!$C25,'Отчет РПЗ(ПЗ)_ПЗИП'!$AR:$AR,9,'Отчет РПЗ(ПЗ)_ПЗИП'!$AG:$AG,"&gt;0")</f>
        <v>0</v>
      </c>
      <c r="BD41" s="174">
        <f>ПП!AC29</f>
        <v>0</v>
      </c>
      <c r="BE41" s="183">
        <f t="shared" si="9"/>
        <v>0</v>
      </c>
      <c r="BF41" s="393">
        <f t="shared" si="10"/>
        <v>0</v>
      </c>
      <c r="BG41" s="302">
        <f t="shared" si="11"/>
        <v>0</v>
      </c>
      <c r="BH41" s="162">
        <f>ПП!AE29</f>
        <v>0</v>
      </c>
      <c r="BI41" s="180">
        <f>COUNTIFS('Отчет РПЗ(ПЗ)_ПЗИП'!$G:$G,Справочно!$C25,'Отчет РПЗ(ПЗ)_ПЗИП'!$AR:$AR,10,'Отчет РПЗ(ПЗ)_ПЗИП'!$AG:$AG,"&gt;0")</f>
        <v>0</v>
      </c>
      <c r="BJ41" s="394">
        <f>ПП!AF29</f>
        <v>0</v>
      </c>
      <c r="BK41" s="343">
        <f>SUMIFS('Отчет РПЗ(ПЗ)_ПЗИП'!$AG:$AG,'Отчет РПЗ(ПЗ)_ПЗИП'!$G:$G,Справочно!$C25,'Отчет РПЗ(ПЗ)_ПЗИП'!$AR:$AR,10,'Отчет РПЗ(ПЗ)_ПЗИП'!$AG:$AG,"&gt;0")</f>
        <v>0</v>
      </c>
      <c r="BL41" s="45">
        <f>ПП!AG29</f>
        <v>0</v>
      </c>
      <c r="BM41" s="180">
        <f>COUNTIFS('Отчет РПЗ(ПЗ)_ПЗИП'!$G:$G,Справочно!$C25,'Отчет РПЗ(ПЗ)_ПЗИП'!$AR:$AR,11,'Отчет РПЗ(ПЗ)_ПЗИП'!$AG:$AG,"&gt;0")</f>
        <v>0</v>
      </c>
      <c r="BN41" s="394">
        <f>ПП!AH29</f>
        <v>0</v>
      </c>
      <c r="BO41" s="343">
        <f>SUMIFS('Отчет РПЗ(ПЗ)_ПЗИП'!$AG:$AG,'Отчет РПЗ(ПЗ)_ПЗИП'!$G:$G,Справочно!$C25,'Отчет РПЗ(ПЗ)_ПЗИП'!$AR:$AR,11,'Отчет РПЗ(ПЗ)_ПЗИП'!$AG:$AG,"&gt;0")</f>
        <v>0</v>
      </c>
      <c r="BP41" s="45">
        <f>ПП!AI29</f>
        <v>0</v>
      </c>
      <c r="BQ41" s="180">
        <f>COUNTIFS('Отчет РПЗ(ПЗ)_ПЗИП'!$G:$G,Справочно!$C25,'Отчет РПЗ(ПЗ)_ПЗИП'!$AR:$AR,12,'Отчет РПЗ(ПЗ)_ПЗИП'!$AG:$AG,"&gt;0")</f>
        <v>0</v>
      </c>
      <c r="BR41" s="394">
        <f>ПП!AJ29</f>
        <v>0</v>
      </c>
      <c r="BS41" s="344">
        <f>SUMIFS('Отчет РПЗ(ПЗ)_ПЗИП'!$AG:$AG,'Отчет РПЗ(ПЗ)_ПЗИП'!$G:$G,Справочно!$C25,'Отчет РПЗ(ПЗ)_ПЗИП'!$AR:$AR,12,'Отчет РПЗ(ПЗ)_ПЗИП'!$AG:$AG,"&gt;0")</f>
        <v>0</v>
      </c>
      <c r="BT41" s="174">
        <f>ПП!AK29</f>
        <v>0</v>
      </c>
      <c r="BU41" s="182">
        <f t="shared" si="12"/>
        <v>0</v>
      </c>
      <c r="BV41" s="393">
        <f t="shared" si="13"/>
        <v>0</v>
      </c>
      <c r="BW41" s="304">
        <f t="shared" si="14"/>
        <v>0</v>
      </c>
    </row>
    <row r="42" spans="2:75" ht="13.5" thickBot="1" x14ac:dyDescent="0.25">
      <c r="B42" s="86" t="s">
        <v>168</v>
      </c>
      <c r="C42" s="95">
        <f>ПП!B30</f>
        <v>0</v>
      </c>
      <c r="D42" s="381" t="e">
        <f>ПП!C30</f>
        <v>#DIV/0!</v>
      </c>
      <c r="E42" s="66">
        <f>COUNTIFS('Отчет РПЗ(ПЗ)_ПЗИП'!$G:$G,Справочно!$C26,'Отчет РПЗ(ПЗ)_ПЗИП'!AG:AG, "&gt;0")</f>
        <v>0</v>
      </c>
      <c r="F42" s="382" t="e">
        <f t="shared" si="1"/>
        <v>#DIV/0!</v>
      </c>
      <c r="G42" s="383">
        <f>ПП!D30</f>
        <v>0</v>
      </c>
      <c r="H42" s="384" t="e">
        <f>ПП!E30</f>
        <v>#DIV/0!</v>
      </c>
      <c r="I42" s="385">
        <f>SUMIF('Отчет РПЗ(ПЗ)_ПЗИП'!$G:$G,Справочно!$C26,'Отчет РПЗ(ПЗ)_ПЗИП'!$AG:$AG)</f>
        <v>0</v>
      </c>
      <c r="J42" s="382" t="e">
        <f t="shared" si="2"/>
        <v>#DIV/0!</v>
      </c>
      <c r="K42" s="64"/>
      <c r="L42" s="162">
        <f>ПП!G30</f>
        <v>0</v>
      </c>
      <c r="M42" s="150">
        <f>COUNTIFS('Отчет РПЗ(ПЗ)_ПЗИП'!$G:$G,Справочно!$C26,'Отчет РПЗ(ПЗ)_ПЗИП'!$AR:$AR,1,'Отчет РПЗ(ПЗ)_ПЗИП'!$AG:$AG,"&gt;0")</f>
        <v>0</v>
      </c>
      <c r="N42" s="394">
        <f>ПП!H30</f>
        <v>0</v>
      </c>
      <c r="O42" s="305">
        <f>SUMIFS('Отчет РПЗ(ПЗ)_ПЗИП'!$AG:$AG,'Отчет РПЗ(ПЗ)_ПЗИП'!$G:$G,Справочно!$C26,'Отчет РПЗ(ПЗ)_ПЗИП'!$AR:$AR,1,'Отчет РПЗ(ПЗ)_ПЗИП'!$AG:$AG,"&gt;0")</f>
        <v>0</v>
      </c>
      <c r="P42" s="45">
        <f>ПП!I30</f>
        <v>0</v>
      </c>
      <c r="Q42" s="150">
        <f>COUNTIFS('Отчет РПЗ(ПЗ)_ПЗИП'!$G:$G,Справочно!$C26,'Отчет РПЗ(ПЗ)_ПЗИП'!$AR:$AR,2,'Отчет РПЗ(ПЗ)_ПЗИП'!$AG:$AG,"&gt;0")</f>
        <v>0</v>
      </c>
      <c r="R42" s="394">
        <f>ПП!J30</f>
        <v>0</v>
      </c>
      <c r="S42" s="305">
        <f>SUMIFS('Отчет РПЗ(ПЗ)_ПЗИП'!$AG:$AG,'Отчет РПЗ(ПЗ)_ПЗИП'!$G:$G,Справочно!$C26,'Отчет РПЗ(ПЗ)_ПЗИП'!$AR:$AR,2,'Отчет РПЗ(ПЗ)_ПЗИП'!$AG:$AG,"&gt;0")</f>
        <v>0</v>
      </c>
      <c r="T42" s="45">
        <f>ПП!K30</f>
        <v>0</v>
      </c>
      <c r="U42" s="150">
        <f>COUNTIFS('Отчет РПЗ(ПЗ)_ПЗИП'!$G:$G,Справочно!$C26,'Отчет РПЗ(ПЗ)_ПЗИП'!$AR:$AR,3,'Отчет РПЗ(ПЗ)_ПЗИП'!$AG:$AG,"&gt;0")</f>
        <v>0</v>
      </c>
      <c r="V42" s="394">
        <f>ПП!L30</f>
        <v>0</v>
      </c>
      <c r="W42" s="338">
        <f>SUMIFS('Отчет РПЗ(ПЗ)_ПЗИП'!$AG:$AG,'Отчет РПЗ(ПЗ)_ПЗИП'!$G:$G,Справочно!$C26,'Отчет РПЗ(ПЗ)_ПЗИП'!$AR:$AR,3,'Отчет РПЗ(ПЗ)_ПЗИП'!$AG:$AG,"&gt;0")</f>
        <v>0</v>
      </c>
      <c r="X42" s="174">
        <f>ПП!M30</f>
        <v>0</v>
      </c>
      <c r="Y42" s="175">
        <f t="shared" si="3"/>
        <v>0</v>
      </c>
      <c r="Z42" s="393">
        <f t="shared" si="4"/>
        <v>0</v>
      </c>
      <c r="AA42" s="298">
        <f t="shared" si="5"/>
        <v>0</v>
      </c>
      <c r="AB42" s="162">
        <f>ПП!O30</f>
        <v>0</v>
      </c>
      <c r="AC42" s="186">
        <f>COUNTIFS('Отчет РПЗ(ПЗ)_ПЗИП'!$G:$G,Справочно!$C26,'Отчет РПЗ(ПЗ)_ПЗИП'!$AR:$AR,4,'Отчет РПЗ(ПЗ)_ПЗИП'!$AG:$AG,"&gt;0")</f>
        <v>0</v>
      </c>
      <c r="AD42" s="394">
        <f>ПП!P30</f>
        <v>0</v>
      </c>
      <c r="AE42" s="339">
        <f>SUMIFS('Отчет РПЗ(ПЗ)_ПЗИП'!$AG:$AG,'Отчет РПЗ(ПЗ)_ПЗИП'!$G:$G,Справочно!$C26,'Отчет РПЗ(ПЗ)_ПЗИП'!$AR:$AR,4,'Отчет РПЗ(ПЗ)_ПЗИП'!$AG:$AG,"&gt;0")</f>
        <v>0</v>
      </c>
      <c r="AF42" s="45">
        <f>ПП!Q30</f>
        <v>0</v>
      </c>
      <c r="AG42" s="186">
        <f>COUNTIFS('Отчет РПЗ(ПЗ)_ПЗИП'!$G:$G,Справочно!$C26,'Отчет РПЗ(ПЗ)_ПЗИП'!$AR:$AR,5,'Отчет РПЗ(ПЗ)_ПЗИП'!$AG:$AG,"&gt;0")</f>
        <v>0</v>
      </c>
      <c r="AH42" s="394">
        <f>ПП!R30</f>
        <v>0</v>
      </c>
      <c r="AI42" s="339">
        <f>SUMIFS('Отчет РПЗ(ПЗ)_ПЗИП'!$AG:$AG,'Отчет РПЗ(ПЗ)_ПЗИП'!$G:$G,Справочно!$C26,'Отчет РПЗ(ПЗ)_ПЗИП'!$AR:$AR,5,'Отчет РПЗ(ПЗ)_ПЗИП'!$AG:$AG,"&gt;0")</f>
        <v>0</v>
      </c>
      <c r="AJ42" s="45">
        <f>ПП!S30</f>
        <v>0</v>
      </c>
      <c r="AK42" s="186">
        <f>COUNTIFS('Отчет РПЗ(ПЗ)_ПЗИП'!$G:$G,Справочно!$C26,'Отчет РПЗ(ПЗ)_ПЗИП'!$AR:$AR,6,'Отчет РПЗ(ПЗ)_ПЗИП'!$AG:$AG,"&gt;0")</f>
        <v>0</v>
      </c>
      <c r="AL42" s="394">
        <f>ПП!T30</f>
        <v>0</v>
      </c>
      <c r="AM42" s="340">
        <f>SUMIFS('Отчет РПЗ(ПЗ)_ПЗИП'!$AG:$AG,'Отчет РПЗ(ПЗ)_ПЗИП'!$G:$G,Справочно!$C26,'Отчет РПЗ(ПЗ)_ПЗИП'!$AR:$AR,6,'Отчет РПЗ(ПЗ)_ПЗИП'!$AG:$AG,"&gt;0")</f>
        <v>0</v>
      </c>
      <c r="AN42" s="174">
        <f>ПП!U30</f>
        <v>0</v>
      </c>
      <c r="AO42" s="188">
        <f t="shared" si="6"/>
        <v>0</v>
      </c>
      <c r="AP42" s="393">
        <f t="shared" si="7"/>
        <v>0</v>
      </c>
      <c r="AQ42" s="300">
        <f t="shared" si="8"/>
        <v>0</v>
      </c>
      <c r="AR42" s="162">
        <f>ПП!W30</f>
        <v>0</v>
      </c>
      <c r="AS42" s="147">
        <f>COUNTIFS('Отчет РПЗ(ПЗ)_ПЗИП'!$G:$G,Справочно!$C26,'Отчет РПЗ(ПЗ)_ПЗИП'!$AR:$AR,7,'Отчет РПЗ(ПЗ)_ПЗИП'!$AG:$AG,"&gt;0")</f>
        <v>0</v>
      </c>
      <c r="AT42" s="394">
        <f>ПП!X30</f>
        <v>0</v>
      </c>
      <c r="AU42" s="341">
        <f>SUMIFS('Отчет РПЗ(ПЗ)_ПЗИП'!$AG:$AG,'Отчет РПЗ(ПЗ)_ПЗИП'!$G:$G,Справочно!$C26,'Отчет РПЗ(ПЗ)_ПЗИП'!$AR:$AR,7,'Отчет РПЗ(ПЗ)_ПЗИП'!$AG:$AG,"&gt;0")</f>
        <v>0</v>
      </c>
      <c r="AV42" s="45">
        <f>ПП!Y30</f>
        <v>0</v>
      </c>
      <c r="AW42" s="147">
        <f>COUNTIFS('Отчет РПЗ(ПЗ)_ПЗИП'!$G:$G,Справочно!$C26,'Отчет РПЗ(ПЗ)_ПЗИП'!$AR:$AR,8,'Отчет РПЗ(ПЗ)_ПЗИП'!$AG:$AG,"&gt;0")</f>
        <v>0</v>
      </c>
      <c r="AX42" s="394">
        <f>ПП!Z30</f>
        <v>0</v>
      </c>
      <c r="AY42" s="341">
        <f>SUMIFS('Отчет РПЗ(ПЗ)_ПЗИП'!$AG:$AG,'Отчет РПЗ(ПЗ)_ПЗИП'!$G:$G,Справочно!$C26,'Отчет РПЗ(ПЗ)_ПЗИП'!$AR:$AR,8,'Отчет РПЗ(ПЗ)_ПЗИП'!$AG:$AG,"&gt;0")</f>
        <v>0</v>
      </c>
      <c r="AZ42" s="45">
        <f>ПП!AA30</f>
        <v>0</v>
      </c>
      <c r="BA42" s="147">
        <f>COUNTIFS('Отчет РПЗ(ПЗ)_ПЗИП'!$G:$G,Справочно!$C26,'Отчет РПЗ(ПЗ)_ПЗИП'!$AR:$AR,9,'Отчет РПЗ(ПЗ)_ПЗИП'!$AG:$AG,"&gt;0")</f>
        <v>0</v>
      </c>
      <c r="BB42" s="394">
        <f>ПП!AB30</f>
        <v>0</v>
      </c>
      <c r="BC42" s="342">
        <f>SUMIFS('Отчет РПЗ(ПЗ)_ПЗИП'!$AG:$AG,'Отчет РПЗ(ПЗ)_ПЗИП'!$G:$G,Справочно!$C26,'Отчет РПЗ(ПЗ)_ПЗИП'!$AR:$AR,9,'Отчет РПЗ(ПЗ)_ПЗИП'!$AG:$AG,"&gt;0")</f>
        <v>0</v>
      </c>
      <c r="BD42" s="174">
        <f>ПП!AC30</f>
        <v>0</v>
      </c>
      <c r="BE42" s="183">
        <f t="shared" si="9"/>
        <v>0</v>
      </c>
      <c r="BF42" s="393">
        <f t="shared" si="10"/>
        <v>0</v>
      </c>
      <c r="BG42" s="302">
        <f t="shared" si="11"/>
        <v>0</v>
      </c>
      <c r="BH42" s="162">
        <f>ПП!AE30</f>
        <v>0</v>
      </c>
      <c r="BI42" s="180">
        <f>COUNTIFS('Отчет РПЗ(ПЗ)_ПЗИП'!$G:$G,Справочно!$C26,'Отчет РПЗ(ПЗ)_ПЗИП'!$AR:$AR,10,'Отчет РПЗ(ПЗ)_ПЗИП'!$AG:$AG,"&gt;0")</f>
        <v>0</v>
      </c>
      <c r="BJ42" s="394">
        <f>ПП!AF30</f>
        <v>0</v>
      </c>
      <c r="BK42" s="343">
        <f>SUMIFS('Отчет РПЗ(ПЗ)_ПЗИП'!$AG:$AG,'Отчет РПЗ(ПЗ)_ПЗИП'!$G:$G,Справочно!$C26,'Отчет РПЗ(ПЗ)_ПЗИП'!$AR:$AR,10,'Отчет РПЗ(ПЗ)_ПЗИП'!$AG:$AG,"&gt;0")</f>
        <v>0</v>
      </c>
      <c r="BL42" s="45">
        <f>ПП!AG30</f>
        <v>0</v>
      </c>
      <c r="BM42" s="180">
        <f>COUNTIFS('Отчет РПЗ(ПЗ)_ПЗИП'!$G:$G,Справочно!$C26,'Отчет РПЗ(ПЗ)_ПЗИП'!$AR:$AR,11,'Отчет РПЗ(ПЗ)_ПЗИП'!$AG:$AG,"&gt;0")</f>
        <v>0</v>
      </c>
      <c r="BN42" s="394">
        <f>ПП!AH30</f>
        <v>0</v>
      </c>
      <c r="BO42" s="343">
        <f>SUMIFS('Отчет РПЗ(ПЗ)_ПЗИП'!$AG:$AG,'Отчет РПЗ(ПЗ)_ПЗИП'!$G:$G,Справочно!$C26,'Отчет РПЗ(ПЗ)_ПЗИП'!$AR:$AR,11,'Отчет РПЗ(ПЗ)_ПЗИП'!$AG:$AG,"&gt;0")</f>
        <v>0</v>
      </c>
      <c r="BP42" s="45">
        <f>ПП!AI30</f>
        <v>0</v>
      </c>
      <c r="BQ42" s="180">
        <f>COUNTIFS('Отчет РПЗ(ПЗ)_ПЗИП'!$G:$G,Справочно!$C26,'Отчет РПЗ(ПЗ)_ПЗИП'!$AR:$AR,12,'Отчет РПЗ(ПЗ)_ПЗИП'!$AG:$AG,"&gt;0")</f>
        <v>0</v>
      </c>
      <c r="BR42" s="394">
        <f>ПП!AJ30</f>
        <v>0</v>
      </c>
      <c r="BS42" s="344">
        <f>SUMIFS('Отчет РПЗ(ПЗ)_ПЗИП'!$AG:$AG,'Отчет РПЗ(ПЗ)_ПЗИП'!$G:$G,Справочно!$C26,'Отчет РПЗ(ПЗ)_ПЗИП'!$AR:$AR,12,'Отчет РПЗ(ПЗ)_ПЗИП'!$AG:$AG,"&gt;0")</f>
        <v>0</v>
      </c>
      <c r="BT42" s="174">
        <f>ПП!AK30</f>
        <v>0</v>
      </c>
      <c r="BU42" s="182">
        <f t="shared" si="12"/>
        <v>0</v>
      </c>
      <c r="BV42" s="393">
        <f t="shared" si="13"/>
        <v>0</v>
      </c>
      <c r="BW42" s="304">
        <f t="shared" si="14"/>
        <v>0</v>
      </c>
    </row>
    <row r="43" spans="2:75" ht="13.5" thickBot="1" x14ac:dyDescent="0.25">
      <c r="B43" s="86" t="s">
        <v>255</v>
      </c>
      <c r="C43" s="95">
        <f>ПП!B31</f>
        <v>0</v>
      </c>
      <c r="D43" s="381" t="e">
        <f>ПП!C31</f>
        <v>#DIV/0!</v>
      </c>
      <c r="E43" s="66">
        <f>COUNTIFS('Отчет РПЗ(ПЗ)_ПЗИП'!$G:$G,Справочно!$C27,'Отчет РПЗ(ПЗ)_ПЗИП'!AG:AG, "&gt;0")</f>
        <v>0</v>
      </c>
      <c r="F43" s="382" t="e">
        <f t="shared" si="1"/>
        <v>#DIV/0!</v>
      </c>
      <c r="G43" s="383">
        <f>ПП!D31</f>
        <v>0</v>
      </c>
      <c r="H43" s="384" t="e">
        <f>ПП!E31</f>
        <v>#DIV/0!</v>
      </c>
      <c r="I43" s="385">
        <f>SUMIF('Отчет РПЗ(ПЗ)_ПЗИП'!$G:$G,Справочно!$C27,'Отчет РПЗ(ПЗ)_ПЗИП'!$AG:$AG)</f>
        <v>0</v>
      </c>
      <c r="J43" s="382" t="e">
        <f t="shared" si="2"/>
        <v>#DIV/0!</v>
      </c>
      <c r="K43" s="64"/>
      <c r="L43" s="162">
        <f>ПП!G31</f>
        <v>0</v>
      </c>
      <c r="M43" s="150">
        <f>COUNTIFS('Отчет РПЗ(ПЗ)_ПЗИП'!$G:$G,Справочно!$C27,'Отчет РПЗ(ПЗ)_ПЗИП'!$AR:$AR,1,'Отчет РПЗ(ПЗ)_ПЗИП'!$AG:$AG,"&gt;0")</f>
        <v>0</v>
      </c>
      <c r="N43" s="394">
        <f>ПП!H31</f>
        <v>0</v>
      </c>
      <c r="O43" s="305">
        <f>SUMIFS('Отчет РПЗ(ПЗ)_ПЗИП'!$AG:$AG,'Отчет РПЗ(ПЗ)_ПЗИП'!$G:$G,Справочно!$C27,'Отчет РПЗ(ПЗ)_ПЗИП'!$AR:$AR,1,'Отчет РПЗ(ПЗ)_ПЗИП'!$AG:$AG,"&gt;0")</f>
        <v>0</v>
      </c>
      <c r="P43" s="45">
        <f>ПП!I31</f>
        <v>0</v>
      </c>
      <c r="Q43" s="150">
        <f>COUNTIFS('Отчет РПЗ(ПЗ)_ПЗИП'!$G:$G,Справочно!$C27,'Отчет РПЗ(ПЗ)_ПЗИП'!$AR:$AR,2,'Отчет РПЗ(ПЗ)_ПЗИП'!$AG:$AG,"&gt;0")</f>
        <v>0</v>
      </c>
      <c r="R43" s="394">
        <f>ПП!J31</f>
        <v>0</v>
      </c>
      <c r="S43" s="305">
        <f>SUMIFS('Отчет РПЗ(ПЗ)_ПЗИП'!$AG:$AG,'Отчет РПЗ(ПЗ)_ПЗИП'!$G:$G,Справочно!$C27,'Отчет РПЗ(ПЗ)_ПЗИП'!$AR:$AR,2,'Отчет РПЗ(ПЗ)_ПЗИП'!$AG:$AG,"&gt;0")</f>
        <v>0</v>
      </c>
      <c r="T43" s="45">
        <f>ПП!K31</f>
        <v>0</v>
      </c>
      <c r="U43" s="150">
        <f>COUNTIFS('Отчет РПЗ(ПЗ)_ПЗИП'!$G:$G,Справочно!$C27,'Отчет РПЗ(ПЗ)_ПЗИП'!$AR:$AR,3,'Отчет РПЗ(ПЗ)_ПЗИП'!$AG:$AG,"&gt;0")</f>
        <v>0</v>
      </c>
      <c r="V43" s="394">
        <f>ПП!L31</f>
        <v>0</v>
      </c>
      <c r="W43" s="338">
        <f>SUMIFS('Отчет РПЗ(ПЗ)_ПЗИП'!$AG:$AG,'Отчет РПЗ(ПЗ)_ПЗИП'!$G:$G,Справочно!$C27,'Отчет РПЗ(ПЗ)_ПЗИП'!$AR:$AR,3,'Отчет РПЗ(ПЗ)_ПЗИП'!$AG:$AG,"&gt;0")</f>
        <v>0</v>
      </c>
      <c r="X43" s="174">
        <f>ПП!M31</f>
        <v>0</v>
      </c>
      <c r="Y43" s="175">
        <f t="shared" si="3"/>
        <v>0</v>
      </c>
      <c r="Z43" s="393">
        <f t="shared" si="4"/>
        <v>0</v>
      </c>
      <c r="AA43" s="298">
        <f t="shared" si="5"/>
        <v>0</v>
      </c>
      <c r="AB43" s="162">
        <f>ПП!O31</f>
        <v>0</v>
      </c>
      <c r="AC43" s="186">
        <f>COUNTIFS('Отчет РПЗ(ПЗ)_ПЗИП'!$G:$G,Справочно!$C27,'Отчет РПЗ(ПЗ)_ПЗИП'!$AR:$AR,4,'Отчет РПЗ(ПЗ)_ПЗИП'!$AG:$AG,"&gt;0")</f>
        <v>0</v>
      </c>
      <c r="AD43" s="394">
        <f>ПП!P31</f>
        <v>0</v>
      </c>
      <c r="AE43" s="339">
        <f>SUMIFS('Отчет РПЗ(ПЗ)_ПЗИП'!$AG:$AG,'Отчет РПЗ(ПЗ)_ПЗИП'!$G:$G,Справочно!$C27,'Отчет РПЗ(ПЗ)_ПЗИП'!$AR:$AR,4,'Отчет РПЗ(ПЗ)_ПЗИП'!$AG:$AG,"&gt;0")</f>
        <v>0</v>
      </c>
      <c r="AF43" s="45">
        <f>ПП!Q31</f>
        <v>0</v>
      </c>
      <c r="AG43" s="186">
        <f>COUNTIFS('Отчет РПЗ(ПЗ)_ПЗИП'!$G:$G,Справочно!$C27,'Отчет РПЗ(ПЗ)_ПЗИП'!$AR:$AR,5,'Отчет РПЗ(ПЗ)_ПЗИП'!$AG:$AG,"&gt;0")</f>
        <v>0</v>
      </c>
      <c r="AH43" s="394">
        <f>ПП!R31</f>
        <v>0</v>
      </c>
      <c r="AI43" s="339">
        <f>SUMIFS('Отчет РПЗ(ПЗ)_ПЗИП'!$AG:$AG,'Отчет РПЗ(ПЗ)_ПЗИП'!$G:$G,Справочно!$C27,'Отчет РПЗ(ПЗ)_ПЗИП'!$AR:$AR,5,'Отчет РПЗ(ПЗ)_ПЗИП'!$AG:$AG,"&gt;0")</f>
        <v>0</v>
      </c>
      <c r="AJ43" s="45">
        <f>ПП!S31</f>
        <v>0</v>
      </c>
      <c r="AK43" s="186">
        <f>COUNTIFS('Отчет РПЗ(ПЗ)_ПЗИП'!$G:$G,Справочно!$C27,'Отчет РПЗ(ПЗ)_ПЗИП'!$AR:$AR,6,'Отчет РПЗ(ПЗ)_ПЗИП'!$AG:$AG,"&gt;0")</f>
        <v>0</v>
      </c>
      <c r="AL43" s="394">
        <f>ПП!T31</f>
        <v>0</v>
      </c>
      <c r="AM43" s="340">
        <f>SUMIFS('Отчет РПЗ(ПЗ)_ПЗИП'!$AG:$AG,'Отчет РПЗ(ПЗ)_ПЗИП'!$G:$G,Справочно!$C27,'Отчет РПЗ(ПЗ)_ПЗИП'!$AR:$AR,6,'Отчет РПЗ(ПЗ)_ПЗИП'!$AG:$AG,"&gt;0")</f>
        <v>0</v>
      </c>
      <c r="AN43" s="174">
        <f>ПП!U31</f>
        <v>0</v>
      </c>
      <c r="AO43" s="188">
        <f t="shared" si="6"/>
        <v>0</v>
      </c>
      <c r="AP43" s="393">
        <f t="shared" si="7"/>
        <v>0</v>
      </c>
      <c r="AQ43" s="300">
        <f t="shared" si="8"/>
        <v>0</v>
      </c>
      <c r="AR43" s="162">
        <f>ПП!W31</f>
        <v>0</v>
      </c>
      <c r="AS43" s="147">
        <f>COUNTIFS('Отчет РПЗ(ПЗ)_ПЗИП'!$G:$G,Справочно!$C27,'Отчет РПЗ(ПЗ)_ПЗИП'!$AR:$AR,7,'Отчет РПЗ(ПЗ)_ПЗИП'!$AG:$AG,"&gt;0")</f>
        <v>0</v>
      </c>
      <c r="AT43" s="394">
        <f>ПП!X31</f>
        <v>0</v>
      </c>
      <c r="AU43" s="341">
        <f>SUMIFS('Отчет РПЗ(ПЗ)_ПЗИП'!$AG:$AG,'Отчет РПЗ(ПЗ)_ПЗИП'!$G:$G,Справочно!$C27,'Отчет РПЗ(ПЗ)_ПЗИП'!$AR:$AR,7,'Отчет РПЗ(ПЗ)_ПЗИП'!$AG:$AG,"&gt;0")</f>
        <v>0</v>
      </c>
      <c r="AV43" s="45">
        <f>ПП!Y31</f>
        <v>0</v>
      </c>
      <c r="AW43" s="147">
        <f>COUNTIFS('Отчет РПЗ(ПЗ)_ПЗИП'!$G:$G,Справочно!$C27,'Отчет РПЗ(ПЗ)_ПЗИП'!$AR:$AR,8,'Отчет РПЗ(ПЗ)_ПЗИП'!$AG:$AG,"&gt;0")</f>
        <v>0</v>
      </c>
      <c r="AX43" s="394">
        <f>ПП!Z31</f>
        <v>0</v>
      </c>
      <c r="AY43" s="341">
        <f>SUMIFS('Отчет РПЗ(ПЗ)_ПЗИП'!$AG:$AG,'Отчет РПЗ(ПЗ)_ПЗИП'!$G:$G,Справочно!$C27,'Отчет РПЗ(ПЗ)_ПЗИП'!$AR:$AR,8,'Отчет РПЗ(ПЗ)_ПЗИП'!$AG:$AG,"&gt;0")</f>
        <v>0</v>
      </c>
      <c r="AZ43" s="45">
        <f>ПП!AA31</f>
        <v>0</v>
      </c>
      <c r="BA43" s="147">
        <f>COUNTIFS('Отчет РПЗ(ПЗ)_ПЗИП'!$G:$G,Справочно!$C27,'Отчет РПЗ(ПЗ)_ПЗИП'!$AR:$AR,9,'Отчет РПЗ(ПЗ)_ПЗИП'!$AG:$AG,"&gt;0")</f>
        <v>0</v>
      </c>
      <c r="BB43" s="394">
        <f>ПП!AB31</f>
        <v>0</v>
      </c>
      <c r="BC43" s="342">
        <f>SUMIFS('Отчет РПЗ(ПЗ)_ПЗИП'!$AG:$AG,'Отчет РПЗ(ПЗ)_ПЗИП'!$G:$G,Справочно!$C27,'Отчет РПЗ(ПЗ)_ПЗИП'!$AR:$AR,9,'Отчет РПЗ(ПЗ)_ПЗИП'!$AG:$AG,"&gt;0")</f>
        <v>0</v>
      </c>
      <c r="BD43" s="174">
        <f>ПП!AC31</f>
        <v>0</v>
      </c>
      <c r="BE43" s="183">
        <f t="shared" si="9"/>
        <v>0</v>
      </c>
      <c r="BF43" s="393">
        <f t="shared" si="10"/>
        <v>0</v>
      </c>
      <c r="BG43" s="302">
        <f t="shared" si="11"/>
        <v>0</v>
      </c>
      <c r="BH43" s="162">
        <f>ПП!AE31</f>
        <v>0</v>
      </c>
      <c r="BI43" s="180">
        <f>COUNTIFS('Отчет РПЗ(ПЗ)_ПЗИП'!$G:$G,Справочно!$C27,'Отчет РПЗ(ПЗ)_ПЗИП'!$AR:$AR,10,'Отчет РПЗ(ПЗ)_ПЗИП'!$AG:$AG,"&gt;0")</f>
        <v>0</v>
      </c>
      <c r="BJ43" s="394">
        <f>ПП!AF31</f>
        <v>0</v>
      </c>
      <c r="BK43" s="343">
        <f>SUMIFS('Отчет РПЗ(ПЗ)_ПЗИП'!$AG:$AG,'Отчет РПЗ(ПЗ)_ПЗИП'!$G:$G,Справочно!$C27,'Отчет РПЗ(ПЗ)_ПЗИП'!$AR:$AR,10,'Отчет РПЗ(ПЗ)_ПЗИП'!$AG:$AG,"&gt;0")</f>
        <v>0</v>
      </c>
      <c r="BL43" s="45">
        <f>ПП!AG31</f>
        <v>0</v>
      </c>
      <c r="BM43" s="180">
        <f>COUNTIFS('Отчет РПЗ(ПЗ)_ПЗИП'!$G:$G,Справочно!$C27,'Отчет РПЗ(ПЗ)_ПЗИП'!$AR:$AR,11,'Отчет РПЗ(ПЗ)_ПЗИП'!$AG:$AG,"&gt;0")</f>
        <v>0</v>
      </c>
      <c r="BN43" s="394">
        <f>ПП!AH31</f>
        <v>0</v>
      </c>
      <c r="BO43" s="343">
        <f>SUMIFS('Отчет РПЗ(ПЗ)_ПЗИП'!$AG:$AG,'Отчет РПЗ(ПЗ)_ПЗИП'!$G:$G,Справочно!$C27,'Отчет РПЗ(ПЗ)_ПЗИП'!$AR:$AR,11,'Отчет РПЗ(ПЗ)_ПЗИП'!$AG:$AG,"&gt;0")</f>
        <v>0</v>
      </c>
      <c r="BP43" s="45">
        <f>ПП!AI31</f>
        <v>0</v>
      </c>
      <c r="BQ43" s="180">
        <f>COUNTIFS('Отчет РПЗ(ПЗ)_ПЗИП'!$G:$G,Справочно!$C27,'Отчет РПЗ(ПЗ)_ПЗИП'!$AR:$AR,12,'Отчет РПЗ(ПЗ)_ПЗИП'!$AG:$AG,"&gt;0")</f>
        <v>0</v>
      </c>
      <c r="BR43" s="394">
        <f>ПП!AJ31</f>
        <v>0</v>
      </c>
      <c r="BS43" s="344">
        <f>SUMIFS('Отчет РПЗ(ПЗ)_ПЗИП'!$AG:$AG,'Отчет РПЗ(ПЗ)_ПЗИП'!$G:$G,Справочно!$C27,'Отчет РПЗ(ПЗ)_ПЗИП'!$AR:$AR,12,'Отчет РПЗ(ПЗ)_ПЗИП'!$AG:$AG,"&gt;0")</f>
        <v>0</v>
      </c>
      <c r="BT43" s="174">
        <f>ПП!AK31</f>
        <v>0</v>
      </c>
      <c r="BU43" s="182">
        <f t="shared" si="12"/>
        <v>0</v>
      </c>
      <c r="BV43" s="393">
        <f t="shared" si="13"/>
        <v>0</v>
      </c>
      <c r="BW43" s="304">
        <f t="shared" si="14"/>
        <v>0</v>
      </c>
    </row>
    <row r="44" spans="2:75" ht="13.5" thickBot="1" x14ac:dyDescent="0.25">
      <c r="B44" s="86" t="s">
        <v>169</v>
      </c>
      <c r="C44" s="95">
        <f>ПП!B32</f>
        <v>0</v>
      </c>
      <c r="D44" s="381" t="e">
        <f>ПП!C32</f>
        <v>#DIV/0!</v>
      </c>
      <c r="E44" s="66">
        <f>COUNTIFS('Отчет РПЗ(ПЗ)_ПЗИП'!$G:$G,Справочно!$C28,'Отчет РПЗ(ПЗ)_ПЗИП'!AG:AG, "&gt;0")</f>
        <v>0</v>
      </c>
      <c r="F44" s="382" t="e">
        <f t="shared" si="1"/>
        <v>#DIV/0!</v>
      </c>
      <c r="G44" s="383">
        <f>ПП!D32</f>
        <v>0</v>
      </c>
      <c r="H44" s="384" t="e">
        <f>ПП!E32</f>
        <v>#DIV/0!</v>
      </c>
      <c r="I44" s="385">
        <f>SUMIF('Отчет РПЗ(ПЗ)_ПЗИП'!$G:$G,Справочно!$C28,'Отчет РПЗ(ПЗ)_ПЗИП'!$AG:$AG)</f>
        <v>0</v>
      </c>
      <c r="J44" s="382" t="e">
        <f t="shared" si="2"/>
        <v>#DIV/0!</v>
      </c>
      <c r="K44" s="64"/>
      <c r="L44" s="162">
        <f>ПП!G32</f>
        <v>0</v>
      </c>
      <c r="M44" s="150">
        <f>COUNTIFS('Отчет РПЗ(ПЗ)_ПЗИП'!$G:$G,Справочно!$C28,'Отчет РПЗ(ПЗ)_ПЗИП'!$AR:$AR,1,'Отчет РПЗ(ПЗ)_ПЗИП'!$AG:$AG,"&gt;0")</f>
        <v>0</v>
      </c>
      <c r="N44" s="394">
        <f>ПП!H32</f>
        <v>0</v>
      </c>
      <c r="O44" s="305">
        <f>SUMIFS('Отчет РПЗ(ПЗ)_ПЗИП'!$AG:$AG,'Отчет РПЗ(ПЗ)_ПЗИП'!$G:$G,Справочно!$C28,'Отчет РПЗ(ПЗ)_ПЗИП'!$AR:$AR,1,'Отчет РПЗ(ПЗ)_ПЗИП'!$AG:$AG,"&gt;0")</f>
        <v>0</v>
      </c>
      <c r="P44" s="45">
        <f>ПП!I32</f>
        <v>0</v>
      </c>
      <c r="Q44" s="150">
        <f>COUNTIFS('Отчет РПЗ(ПЗ)_ПЗИП'!$G:$G,Справочно!$C28,'Отчет РПЗ(ПЗ)_ПЗИП'!$AR:$AR,2,'Отчет РПЗ(ПЗ)_ПЗИП'!$AG:$AG,"&gt;0")</f>
        <v>0</v>
      </c>
      <c r="R44" s="394">
        <f>ПП!J32</f>
        <v>0</v>
      </c>
      <c r="S44" s="305">
        <f>SUMIFS('Отчет РПЗ(ПЗ)_ПЗИП'!$AG:$AG,'Отчет РПЗ(ПЗ)_ПЗИП'!$G:$G,Справочно!$C28,'Отчет РПЗ(ПЗ)_ПЗИП'!$AR:$AR,2,'Отчет РПЗ(ПЗ)_ПЗИП'!$AG:$AG,"&gt;0")</f>
        <v>0</v>
      </c>
      <c r="T44" s="45">
        <f>ПП!K32</f>
        <v>0</v>
      </c>
      <c r="U44" s="150">
        <f>COUNTIFS('Отчет РПЗ(ПЗ)_ПЗИП'!$G:$G,Справочно!$C28,'Отчет РПЗ(ПЗ)_ПЗИП'!$AR:$AR,3,'Отчет РПЗ(ПЗ)_ПЗИП'!$AG:$AG,"&gt;0")</f>
        <v>0</v>
      </c>
      <c r="V44" s="394">
        <f>ПП!L32</f>
        <v>0</v>
      </c>
      <c r="W44" s="338">
        <f>SUMIFS('Отчет РПЗ(ПЗ)_ПЗИП'!$AG:$AG,'Отчет РПЗ(ПЗ)_ПЗИП'!$G:$G,Справочно!$C28,'Отчет РПЗ(ПЗ)_ПЗИП'!$AR:$AR,3,'Отчет РПЗ(ПЗ)_ПЗИП'!$AG:$AG,"&gt;0")</f>
        <v>0</v>
      </c>
      <c r="X44" s="174">
        <f>ПП!M32</f>
        <v>0</v>
      </c>
      <c r="Y44" s="175">
        <f t="shared" si="3"/>
        <v>0</v>
      </c>
      <c r="Z44" s="393">
        <f t="shared" si="4"/>
        <v>0</v>
      </c>
      <c r="AA44" s="298">
        <f t="shared" si="5"/>
        <v>0</v>
      </c>
      <c r="AB44" s="162">
        <f>ПП!O32</f>
        <v>0</v>
      </c>
      <c r="AC44" s="186">
        <f>COUNTIFS('Отчет РПЗ(ПЗ)_ПЗИП'!$G:$G,Справочно!$C28,'Отчет РПЗ(ПЗ)_ПЗИП'!$AR:$AR,4,'Отчет РПЗ(ПЗ)_ПЗИП'!$AG:$AG,"&gt;0")</f>
        <v>0</v>
      </c>
      <c r="AD44" s="394">
        <f>ПП!P32</f>
        <v>0</v>
      </c>
      <c r="AE44" s="339">
        <f>SUMIFS('Отчет РПЗ(ПЗ)_ПЗИП'!$AG:$AG,'Отчет РПЗ(ПЗ)_ПЗИП'!$G:$G,Справочно!$C28,'Отчет РПЗ(ПЗ)_ПЗИП'!$AR:$AR,4,'Отчет РПЗ(ПЗ)_ПЗИП'!$AG:$AG,"&gt;0")</f>
        <v>0</v>
      </c>
      <c r="AF44" s="45">
        <f>ПП!Q32</f>
        <v>0</v>
      </c>
      <c r="AG44" s="186">
        <f>COUNTIFS('Отчет РПЗ(ПЗ)_ПЗИП'!$G:$G,Справочно!$C28,'Отчет РПЗ(ПЗ)_ПЗИП'!$AR:$AR,5,'Отчет РПЗ(ПЗ)_ПЗИП'!$AG:$AG,"&gt;0")</f>
        <v>0</v>
      </c>
      <c r="AH44" s="394">
        <f>ПП!R32</f>
        <v>0</v>
      </c>
      <c r="AI44" s="339">
        <f>SUMIFS('Отчет РПЗ(ПЗ)_ПЗИП'!$AG:$AG,'Отчет РПЗ(ПЗ)_ПЗИП'!$G:$G,Справочно!$C28,'Отчет РПЗ(ПЗ)_ПЗИП'!$AR:$AR,5,'Отчет РПЗ(ПЗ)_ПЗИП'!$AG:$AG,"&gt;0")</f>
        <v>0</v>
      </c>
      <c r="AJ44" s="45">
        <f>ПП!S32</f>
        <v>0</v>
      </c>
      <c r="AK44" s="186">
        <f>COUNTIFS('Отчет РПЗ(ПЗ)_ПЗИП'!$G:$G,Справочно!$C28,'Отчет РПЗ(ПЗ)_ПЗИП'!$AR:$AR,6,'Отчет РПЗ(ПЗ)_ПЗИП'!$AG:$AG,"&gt;0")</f>
        <v>0</v>
      </c>
      <c r="AL44" s="394">
        <f>ПП!T32</f>
        <v>0</v>
      </c>
      <c r="AM44" s="340">
        <f>SUMIFS('Отчет РПЗ(ПЗ)_ПЗИП'!$AG:$AG,'Отчет РПЗ(ПЗ)_ПЗИП'!$G:$G,Справочно!$C28,'Отчет РПЗ(ПЗ)_ПЗИП'!$AR:$AR,6,'Отчет РПЗ(ПЗ)_ПЗИП'!$AG:$AG,"&gt;0")</f>
        <v>0</v>
      </c>
      <c r="AN44" s="174">
        <f>ПП!U32</f>
        <v>0</v>
      </c>
      <c r="AO44" s="188">
        <f t="shared" si="6"/>
        <v>0</v>
      </c>
      <c r="AP44" s="393">
        <f t="shared" si="7"/>
        <v>0</v>
      </c>
      <c r="AQ44" s="300">
        <f t="shared" si="8"/>
        <v>0</v>
      </c>
      <c r="AR44" s="162">
        <f>ПП!W32</f>
        <v>0</v>
      </c>
      <c r="AS44" s="147">
        <f>COUNTIFS('Отчет РПЗ(ПЗ)_ПЗИП'!$G:$G,Справочно!$C28,'Отчет РПЗ(ПЗ)_ПЗИП'!$AR:$AR,7,'Отчет РПЗ(ПЗ)_ПЗИП'!$AG:$AG,"&gt;0")</f>
        <v>0</v>
      </c>
      <c r="AT44" s="394">
        <f>ПП!X32</f>
        <v>0</v>
      </c>
      <c r="AU44" s="341">
        <f>SUMIFS('Отчет РПЗ(ПЗ)_ПЗИП'!$AG:$AG,'Отчет РПЗ(ПЗ)_ПЗИП'!$G:$G,Справочно!$C28,'Отчет РПЗ(ПЗ)_ПЗИП'!$AR:$AR,7,'Отчет РПЗ(ПЗ)_ПЗИП'!$AG:$AG,"&gt;0")</f>
        <v>0</v>
      </c>
      <c r="AV44" s="45">
        <f>ПП!Y32</f>
        <v>0</v>
      </c>
      <c r="AW44" s="147">
        <f>COUNTIFS('Отчет РПЗ(ПЗ)_ПЗИП'!$G:$G,Справочно!$C28,'Отчет РПЗ(ПЗ)_ПЗИП'!$AR:$AR,8,'Отчет РПЗ(ПЗ)_ПЗИП'!$AG:$AG,"&gt;0")</f>
        <v>0</v>
      </c>
      <c r="AX44" s="394">
        <f>ПП!Z32</f>
        <v>0</v>
      </c>
      <c r="AY44" s="341">
        <f>SUMIFS('Отчет РПЗ(ПЗ)_ПЗИП'!$AG:$AG,'Отчет РПЗ(ПЗ)_ПЗИП'!$G:$G,Справочно!$C28,'Отчет РПЗ(ПЗ)_ПЗИП'!$AR:$AR,8,'Отчет РПЗ(ПЗ)_ПЗИП'!$AG:$AG,"&gt;0")</f>
        <v>0</v>
      </c>
      <c r="AZ44" s="45">
        <f>ПП!AA32</f>
        <v>0</v>
      </c>
      <c r="BA44" s="147">
        <f>COUNTIFS('Отчет РПЗ(ПЗ)_ПЗИП'!$G:$G,Справочно!$C28,'Отчет РПЗ(ПЗ)_ПЗИП'!$AR:$AR,9,'Отчет РПЗ(ПЗ)_ПЗИП'!$AG:$AG,"&gt;0")</f>
        <v>0</v>
      </c>
      <c r="BB44" s="394">
        <f>ПП!AB32</f>
        <v>0</v>
      </c>
      <c r="BC44" s="342">
        <f>SUMIFS('Отчет РПЗ(ПЗ)_ПЗИП'!$AG:$AG,'Отчет РПЗ(ПЗ)_ПЗИП'!$G:$G,Справочно!$C28,'Отчет РПЗ(ПЗ)_ПЗИП'!$AR:$AR,9,'Отчет РПЗ(ПЗ)_ПЗИП'!$AG:$AG,"&gt;0")</f>
        <v>0</v>
      </c>
      <c r="BD44" s="174">
        <f>ПП!AC32</f>
        <v>0</v>
      </c>
      <c r="BE44" s="183">
        <f t="shared" si="9"/>
        <v>0</v>
      </c>
      <c r="BF44" s="393">
        <f t="shared" si="10"/>
        <v>0</v>
      </c>
      <c r="BG44" s="302">
        <f t="shared" si="11"/>
        <v>0</v>
      </c>
      <c r="BH44" s="162">
        <f>ПП!AE32</f>
        <v>0</v>
      </c>
      <c r="BI44" s="180">
        <f>COUNTIFS('Отчет РПЗ(ПЗ)_ПЗИП'!$G:$G,Справочно!$C28,'Отчет РПЗ(ПЗ)_ПЗИП'!$AR:$AR,10,'Отчет РПЗ(ПЗ)_ПЗИП'!$AG:$AG,"&gt;0")</f>
        <v>0</v>
      </c>
      <c r="BJ44" s="394">
        <f>ПП!AF32</f>
        <v>0</v>
      </c>
      <c r="BK44" s="343">
        <f>SUMIFS('Отчет РПЗ(ПЗ)_ПЗИП'!$AG:$AG,'Отчет РПЗ(ПЗ)_ПЗИП'!$G:$G,Справочно!$C28,'Отчет РПЗ(ПЗ)_ПЗИП'!$AR:$AR,10,'Отчет РПЗ(ПЗ)_ПЗИП'!$AG:$AG,"&gt;0")</f>
        <v>0</v>
      </c>
      <c r="BL44" s="45">
        <f>ПП!AG32</f>
        <v>0</v>
      </c>
      <c r="BM44" s="180">
        <f>COUNTIFS('Отчет РПЗ(ПЗ)_ПЗИП'!$G:$G,Справочно!$C28,'Отчет РПЗ(ПЗ)_ПЗИП'!$AR:$AR,11,'Отчет РПЗ(ПЗ)_ПЗИП'!$AG:$AG,"&gt;0")</f>
        <v>0</v>
      </c>
      <c r="BN44" s="394">
        <f>ПП!AH32</f>
        <v>0</v>
      </c>
      <c r="BO44" s="343">
        <f>SUMIFS('Отчет РПЗ(ПЗ)_ПЗИП'!$AG:$AG,'Отчет РПЗ(ПЗ)_ПЗИП'!$G:$G,Справочно!$C28,'Отчет РПЗ(ПЗ)_ПЗИП'!$AR:$AR,11,'Отчет РПЗ(ПЗ)_ПЗИП'!$AG:$AG,"&gt;0")</f>
        <v>0</v>
      </c>
      <c r="BP44" s="45">
        <f>ПП!AI32</f>
        <v>0</v>
      </c>
      <c r="BQ44" s="180">
        <f>COUNTIFS('Отчет РПЗ(ПЗ)_ПЗИП'!$G:$G,Справочно!$C28,'Отчет РПЗ(ПЗ)_ПЗИП'!$AR:$AR,12,'Отчет РПЗ(ПЗ)_ПЗИП'!$AG:$AG,"&gt;0")</f>
        <v>0</v>
      </c>
      <c r="BR44" s="394">
        <f>ПП!AJ32</f>
        <v>0</v>
      </c>
      <c r="BS44" s="344">
        <f>SUMIFS('Отчет РПЗ(ПЗ)_ПЗИП'!$AG:$AG,'Отчет РПЗ(ПЗ)_ПЗИП'!$G:$G,Справочно!$C28,'Отчет РПЗ(ПЗ)_ПЗИП'!$AR:$AR,12,'Отчет РПЗ(ПЗ)_ПЗИП'!$AG:$AG,"&gt;0")</f>
        <v>0</v>
      </c>
      <c r="BT44" s="174">
        <f>ПП!AK32</f>
        <v>0</v>
      </c>
      <c r="BU44" s="182">
        <f t="shared" si="12"/>
        <v>0</v>
      </c>
      <c r="BV44" s="393">
        <f t="shared" si="13"/>
        <v>0</v>
      </c>
      <c r="BW44" s="304">
        <f t="shared" si="14"/>
        <v>0</v>
      </c>
    </row>
    <row r="45" spans="2:75" ht="13.5" thickBot="1" x14ac:dyDescent="0.25">
      <c r="B45" s="86" t="s">
        <v>256</v>
      </c>
      <c r="C45" s="95">
        <f>ПП!B33</f>
        <v>0</v>
      </c>
      <c r="D45" s="381" t="e">
        <f>ПП!C33</f>
        <v>#DIV/0!</v>
      </c>
      <c r="E45" s="66">
        <f>COUNTIFS('Отчет РПЗ(ПЗ)_ПЗИП'!$G:$G,Справочно!$C29,'Отчет РПЗ(ПЗ)_ПЗИП'!AG:AG, "&gt;0")</f>
        <v>0</v>
      </c>
      <c r="F45" s="382" t="e">
        <f t="shared" si="1"/>
        <v>#DIV/0!</v>
      </c>
      <c r="G45" s="383">
        <f>ПП!D33</f>
        <v>0</v>
      </c>
      <c r="H45" s="384" t="e">
        <f>ПП!E33</f>
        <v>#DIV/0!</v>
      </c>
      <c r="I45" s="385">
        <f>SUMIF('Отчет РПЗ(ПЗ)_ПЗИП'!$G:$G,Справочно!$C29,'Отчет РПЗ(ПЗ)_ПЗИП'!$AG:$AG)</f>
        <v>0</v>
      </c>
      <c r="J45" s="382" t="e">
        <f t="shared" si="2"/>
        <v>#DIV/0!</v>
      </c>
      <c r="K45" s="64"/>
      <c r="L45" s="162">
        <f>ПП!G33</f>
        <v>0</v>
      </c>
      <c r="M45" s="150">
        <f>COUNTIFS('Отчет РПЗ(ПЗ)_ПЗИП'!$G:$G,Справочно!$C29,'Отчет РПЗ(ПЗ)_ПЗИП'!$AR:$AR,1,'Отчет РПЗ(ПЗ)_ПЗИП'!$AG:$AG,"&gt;0")</f>
        <v>0</v>
      </c>
      <c r="N45" s="394">
        <f>ПП!H33</f>
        <v>0</v>
      </c>
      <c r="O45" s="305">
        <f>SUMIFS('Отчет РПЗ(ПЗ)_ПЗИП'!$AG:$AG,'Отчет РПЗ(ПЗ)_ПЗИП'!$G:$G,Справочно!$C29,'Отчет РПЗ(ПЗ)_ПЗИП'!$AR:$AR,1,'Отчет РПЗ(ПЗ)_ПЗИП'!$AG:$AG,"&gt;0")</f>
        <v>0</v>
      </c>
      <c r="P45" s="45">
        <f>ПП!I33</f>
        <v>0</v>
      </c>
      <c r="Q45" s="150">
        <f>COUNTIFS('Отчет РПЗ(ПЗ)_ПЗИП'!$G:$G,Справочно!$C29,'Отчет РПЗ(ПЗ)_ПЗИП'!$AR:$AR,2,'Отчет РПЗ(ПЗ)_ПЗИП'!$AG:$AG,"&gt;0")</f>
        <v>0</v>
      </c>
      <c r="R45" s="394">
        <f>ПП!J33</f>
        <v>0</v>
      </c>
      <c r="S45" s="305">
        <f>SUMIFS('Отчет РПЗ(ПЗ)_ПЗИП'!$AG:$AG,'Отчет РПЗ(ПЗ)_ПЗИП'!$G:$G,Справочно!$C29,'Отчет РПЗ(ПЗ)_ПЗИП'!$AR:$AR,2,'Отчет РПЗ(ПЗ)_ПЗИП'!$AG:$AG,"&gt;0")</f>
        <v>0</v>
      </c>
      <c r="T45" s="45">
        <f>ПП!K33</f>
        <v>0</v>
      </c>
      <c r="U45" s="150">
        <f>COUNTIFS('Отчет РПЗ(ПЗ)_ПЗИП'!$G:$G,Справочно!$C29,'Отчет РПЗ(ПЗ)_ПЗИП'!$AR:$AR,3,'Отчет РПЗ(ПЗ)_ПЗИП'!$AG:$AG,"&gt;0")</f>
        <v>0</v>
      </c>
      <c r="V45" s="394">
        <f>ПП!L33</f>
        <v>0</v>
      </c>
      <c r="W45" s="338">
        <f>SUMIFS('Отчет РПЗ(ПЗ)_ПЗИП'!$AG:$AG,'Отчет РПЗ(ПЗ)_ПЗИП'!$G:$G,Справочно!$C29,'Отчет РПЗ(ПЗ)_ПЗИП'!$AR:$AR,3,'Отчет РПЗ(ПЗ)_ПЗИП'!$AG:$AG,"&gt;0")</f>
        <v>0</v>
      </c>
      <c r="X45" s="174">
        <f>ПП!M33</f>
        <v>0</v>
      </c>
      <c r="Y45" s="175">
        <f t="shared" si="3"/>
        <v>0</v>
      </c>
      <c r="Z45" s="393">
        <f t="shared" si="4"/>
        <v>0</v>
      </c>
      <c r="AA45" s="298">
        <f t="shared" si="5"/>
        <v>0</v>
      </c>
      <c r="AB45" s="162">
        <f>ПП!O33</f>
        <v>0</v>
      </c>
      <c r="AC45" s="186">
        <f>COUNTIFS('Отчет РПЗ(ПЗ)_ПЗИП'!$G:$G,Справочно!$C29,'Отчет РПЗ(ПЗ)_ПЗИП'!$AR:$AR,4,'Отчет РПЗ(ПЗ)_ПЗИП'!$AG:$AG,"&gt;0")</f>
        <v>0</v>
      </c>
      <c r="AD45" s="394">
        <f>ПП!P33</f>
        <v>0</v>
      </c>
      <c r="AE45" s="339">
        <f>SUMIFS('Отчет РПЗ(ПЗ)_ПЗИП'!$AG:$AG,'Отчет РПЗ(ПЗ)_ПЗИП'!$G:$G,Справочно!$C29,'Отчет РПЗ(ПЗ)_ПЗИП'!$AR:$AR,4,'Отчет РПЗ(ПЗ)_ПЗИП'!$AG:$AG,"&gt;0")</f>
        <v>0</v>
      </c>
      <c r="AF45" s="45">
        <f>ПП!Q33</f>
        <v>0</v>
      </c>
      <c r="AG45" s="186">
        <f>COUNTIFS('Отчет РПЗ(ПЗ)_ПЗИП'!$G:$G,Справочно!$C29,'Отчет РПЗ(ПЗ)_ПЗИП'!$AR:$AR,5,'Отчет РПЗ(ПЗ)_ПЗИП'!$AG:$AG,"&gt;0")</f>
        <v>0</v>
      </c>
      <c r="AH45" s="394">
        <f>ПП!R33</f>
        <v>0</v>
      </c>
      <c r="AI45" s="339">
        <f>SUMIFS('Отчет РПЗ(ПЗ)_ПЗИП'!$AG:$AG,'Отчет РПЗ(ПЗ)_ПЗИП'!$G:$G,Справочно!$C29,'Отчет РПЗ(ПЗ)_ПЗИП'!$AR:$AR,5,'Отчет РПЗ(ПЗ)_ПЗИП'!$AG:$AG,"&gt;0")</f>
        <v>0</v>
      </c>
      <c r="AJ45" s="45">
        <f>ПП!S33</f>
        <v>0</v>
      </c>
      <c r="AK45" s="186">
        <f>COUNTIFS('Отчет РПЗ(ПЗ)_ПЗИП'!$G:$G,Справочно!$C29,'Отчет РПЗ(ПЗ)_ПЗИП'!$AR:$AR,6,'Отчет РПЗ(ПЗ)_ПЗИП'!$AG:$AG,"&gt;0")</f>
        <v>0</v>
      </c>
      <c r="AL45" s="394">
        <f>ПП!T33</f>
        <v>0</v>
      </c>
      <c r="AM45" s="340">
        <f>SUMIFS('Отчет РПЗ(ПЗ)_ПЗИП'!$AG:$AG,'Отчет РПЗ(ПЗ)_ПЗИП'!$G:$G,Справочно!$C29,'Отчет РПЗ(ПЗ)_ПЗИП'!$AR:$AR,6,'Отчет РПЗ(ПЗ)_ПЗИП'!$AG:$AG,"&gt;0")</f>
        <v>0</v>
      </c>
      <c r="AN45" s="174">
        <f>ПП!U33</f>
        <v>0</v>
      </c>
      <c r="AO45" s="188">
        <f t="shared" si="6"/>
        <v>0</v>
      </c>
      <c r="AP45" s="393">
        <f t="shared" si="7"/>
        <v>0</v>
      </c>
      <c r="AQ45" s="300">
        <f t="shared" si="8"/>
        <v>0</v>
      </c>
      <c r="AR45" s="162">
        <f>ПП!W33</f>
        <v>0</v>
      </c>
      <c r="AS45" s="147">
        <f>COUNTIFS('Отчет РПЗ(ПЗ)_ПЗИП'!$G:$G,Справочно!$C29,'Отчет РПЗ(ПЗ)_ПЗИП'!$AR:$AR,7,'Отчет РПЗ(ПЗ)_ПЗИП'!$AG:$AG,"&gt;0")</f>
        <v>0</v>
      </c>
      <c r="AT45" s="394">
        <f>ПП!X33</f>
        <v>0</v>
      </c>
      <c r="AU45" s="341">
        <f>SUMIFS('Отчет РПЗ(ПЗ)_ПЗИП'!$AG:$AG,'Отчет РПЗ(ПЗ)_ПЗИП'!$G:$G,Справочно!$C29,'Отчет РПЗ(ПЗ)_ПЗИП'!$AR:$AR,7,'Отчет РПЗ(ПЗ)_ПЗИП'!$AG:$AG,"&gt;0")</f>
        <v>0</v>
      </c>
      <c r="AV45" s="45">
        <f>ПП!Y33</f>
        <v>0</v>
      </c>
      <c r="AW45" s="147">
        <f>COUNTIFS('Отчет РПЗ(ПЗ)_ПЗИП'!$G:$G,Справочно!$C29,'Отчет РПЗ(ПЗ)_ПЗИП'!$AR:$AR,8,'Отчет РПЗ(ПЗ)_ПЗИП'!$AG:$AG,"&gt;0")</f>
        <v>0</v>
      </c>
      <c r="AX45" s="394">
        <f>ПП!Z33</f>
        <v>0</v>
      </c>
      <c r="AY45" s="341">
        <f>SUMIFS('Отчет РПЗ(ПЗ)_ПЗИП'!$AG:$AG,'Отчет РПЗ(ПЗ)_ПЗИП'!$G:$G,Справочно!$C29,'Отчет РПЗ(ПЗ)_ПЗИП'!$AR:$AR,8,'Отчет РПЗ(ПЗ)_ПЗИП'!$AG:$AG,"&gt;0")</f>
        <v>0</v>
      </c>
      <c r="AZ45" s="45">
        <f>ПП!AA33</f>
        <v>0</v>
      </c>
      <c r="BA45" s="147">
        <f>COUNTIFS('Отчет РПЗ(ПЗ)_ПЗИП'!$G:$G,Справочно!$C29,'Отчет РПЗ(ПЗ)_ПЗИП'!$AR:$AR,9,'Отчет РПЗ(ПЗ)_ПЗИП'!$AG:$AG,"&gt;0")</f>
        <v>0</v>
      </c>
      <c r="BB45" s="394">
        <f>ПП!AB33</f>
        <v>0</v>
      </c>
      <c r="BC45" s="342">
        <f>SUMIFS('Отчет РПЗ(ПЗ)_ПЗИП'!$AG:$AG,'Отчет РПЗ(ПЗ)_ПЗИП'!$G:$G,Справочно!$C29,'Отчет РПЗ(ПЗ)_ПЗИП'!$AR:$AR,9,'Отчет РПЗ(ПЗ)_ПЗИП'!$AG:$AG,"&gt;0")</f>
        <v>0</v>
      </c>
      <c r="BD45" s="174">
        <f>ПП!AC33</f>
        <v>0</v>
      </c>
      <c r="BE45" s="183">
        <f t="shared" si="9"/>
        <v>0</v>
      </c>
      <c r="BF45" s="393">
        <f t="shared" si="10"/>
        <v>0</v>
      </c>
      <c r="BG45" s="302">
        <f t="shared" si="11"/>
        <v>0</v>
      </c>
      <c r="BH45" s="162">
        <f>ПП!AE33</f>
        <v>0</v>
      </c>
      <c r="BI45" s="180">
        <f>COUNTIFS('Отчет РПЗ(ПЗ)_ПЗИП'!$G:$G,Справочно!$C29,'Отчет РПЗ(ПЗ)_ПЗИП'!$AR:$AR,10,'Отчет РПЗ(ПЗ)_ПЗИП'!$AG:$AG,"&gt;0")</f>
        <v>0</v>
      </c>
      <c r="BJ45" s="394">
        <f>ПП!AF33</f>
        <v>0</v>
      </c>
      <c r="BK45" s="343">
        <f>SUMIFS('Отчет РПЗ(ПЗ)_ПЗИП'!$AG:$AG,'Отчет РПЗ(ПЗ)_ПЗИП'!$G:$G,Справочно!$C29,'Отчет РПЗ(ПЗ)_ПЗИП'!$AR:$AR,10,'Отчет РПЗ(ПЗ)_ПЗИП'!$AG:$AG,"&gt;0")</f>
        <v>0</v>
      </c>
      <c r="BL45" s="45">
        <f>ПП!AG33</f>
        <v>0</v>
      </c>
      <c r="BM45" s="180">
        <f>COUNTIFS('Отчет РПЗ(ПЗ)_ПЗИП'!$G:$G,Справочно!$C29,'Отчет РПЗ(ПЗ)_ПЗИП'!$AR:$AR,11,'Отчет РПЗ(ПЗ)_ПЗИП'!$AG:$AG,"&gt;0")</f>
        <v>0</v>
      </c>
      <c r="BN45" s="394">
        <f>ПП!AH33</f>
        <v>0</v>
      </c>
      <c r="BO45" s="343">
        <f>SUMIFS('Отчет РПЗ(ПЗ)_ПЗИП'!$AG:$AG,'Отчет РПЗ(ПЗ)_ПЗИП'!$G:$G,Справочно!$C29,'Отчет РПЗ(ПЗ)_ПЗИП'!$AR:$AR,11,'Отчет РПЗ(ПЗ)_ПЗИП'!$AG:$AG,"&gt;0")</f>
        <v>0</v>
      </c>
      <c r="BP45" s="45">
        <f>ПП!AI33</f>
        <v>0</v>
      </c>
      <c r="BQ45" s="180">
        <f>COUNTIFS('Отчет РПЗ(ПЗ)_ПЗИП'!$G:$G,Справочно!$C29,'Отчет РПЗ(ПЗ)_ПЗИП'!$AR:$AR,12,'Отчет РПЗ(ПЗ)_ПЗИП'!$AG:$AG,"&gt;0")</f>
        <v>0</v>
      </c>
      <c r="BR45" s="394">
        <f>ПП!AJ33</f>
        <v>0</v>
      </c>
      <c r="BS45" s="344">
        <f>SUMIFS('Отчет РПЗ(ПЗ)_ПЗИП'!$AG:$AG,'Отчет РПЗ(ПЗ)_ПЗИП'!$G:$G,Справочно!$C29,'Отчет РПЗ(ПЗ)_ПЗИП'!$AR:$AR,12,'Отчет РПЗ(ПЗ)_ПЗИП'!$AG:$AG,"&gt;0")</f>
        <v>0</v>
      </c>
      <c r="BT45" s="174">
        <f>ПП!AK33</f>
        <v>0</v>
      </c>
      <c r="BU45" s="182">
        <f t="shared" si="12"/>
        <v>0</v>
      </c>
      <c r="BV45" s="393">
        <f t="shared" si="13"/>
        <v>0</v>
      </c>
      <c r="BW45" s="304">
        <f t="shared" si="14"/>
        <v>0</v>
      </c>
    </row>
    <row r="46" spans="2:75" ht="13.5" thickBot="1" x14ac:dyDescent="0.25">
      <c r="B46" s="86" t="s">
        <v>170</v>
      </c>
      <c r="C46" s="95">
        <f>ПП!B34</f>
        <v>0</v>
      </c>
      <c r="D46" s="381" t="e">
        <f>ПП!C34</f>
        <v>#DIV/0!</v>
      </c>
      <c r="E46" s="66">
        <f>COUNTIFS('Отчет РПЗ(ПЗ)_ПЗИП'!$G:$G,Справочно!$C30,'Отчет РПЗ(ПЗ)_ПЗИП'!AG:AG, "&gt;0")</f>
        <v>0</v>
      </c>
      <c r="F46" s="382" t="e">
        <f t="shared" si="1"/>
        <v>#DIV/0!</v>
      </c>
      <c r="G46" s="383">
        <f>ПП!D34</f>
        <v>0</v>
      </c>
      <c r="H46" s="384" t="e">
        <f>ПП!E34</f>
        <v>#DIV/0!</v>
      </c>
      <c r="I46" s="385">
        <f>SUMIF('Отчет РПЗ(ПЗ)_ПЗИП'!$G:$G,Справочно!$C30,'Отчет РПЗ(ПЗ)_ПЗИП'!$AG:$AG)</f>
        <v>0</v>
      </c>
      <c r="J46" s="382" t="e">
        <f t="shared" si="2"/>
        <v>#DIV/0!</v>
      </c>
      <c r="K46" s="64"/>
      <c r="L46" s="162">
        <f>ПП!G34</f>
        <v>0</v>
      </c>
      <c r="M46" s="150">
        <f>COUNTIFS('Отчет РПЗ(ПЗ)_ПЗИП'!$G:$G,Справочно!$C30,'Отчет РПЗ(ПЗ)_ПЗИП'!$AR:$AR,1,'Отчет РПЗ(ПЗ)_ПЗИП'!$AG:$AG,"&gt;0")</f>
        <v>0</v>
      </c>
      <c r="N46" s="394">
        <f>ПП!H34</f>
        <v>0</v>
      </c>
      <c r="O46" s="305">
        <f>SUMIFS('Отчет РПЗ(ПЗ)_ПЗИП'!$AG:$AG,'Отчет РПЗ(ПЗ)_ПЗИП'!$G:$G,Справочно!$C30,'Отчет РПЗ(ПЗ)_ПЗИП'!$AR:$AR,1,'Отчет РПЗ(ПЗ)_ПЗИП'!$AG:$AG,"&gt;0")</f>
        <v>0</v>
      </c>
      <c r="P46" s="45">
        <f>ПП!I34</f>
        <v>0</v>
      </c>
      <c r="Q46" s="150">
        <f>COUNTIFS('Отчет РПЗ(ПЗ)_ПЗИП'!$G:$G,Справочно!$C30,'Отчет РПЗ(ПЗ)_ПЗИП'!$AR:$AR,2,'Отчет РПЗ(ПЗ)_ПЗИП'!$AG:$AG,"&gt;0")</f>
        <v>0</v>
      </c>
      <c r="R46" s="394">
        <f>ПП!J34</f>
        <v>0</v>
      </c>
      <c r="S46" s="305">
        <f>SUMIFS('Отчет РПЗ(ПЗ)_ПЗИП'!$AG:$AG,'Отчет РПЗ(ПЗ)_ПЗИП'!$G:$G,Справочно!$C30,'Отчет РПЗ(ПЗ)_ПЗИП'!$AR:$AR,2,'Отчет РПЗ(ПЗ)_ПЗИП'!$AG:$AG,"&gt;0")</f>
        <v>0</v>
      </c>
      <c r="T46" s="45">
        <f>ПП!K34</f>
        <v>0</v>
      </c>
      <c r="U46" s="150">
        <f>COUNTIFS('Отчет РПЗ(ПЗ)_ПЗИП'!$G:$G,Справочно!$C30,'Отчет РПЗ(ПЗ)_ПЗИП'!$AR:$AR,3,'Отчет РПЗ(ПЗ)_ПЗИП'!$AG:$AG,"&gt;0")</f>
        <v>0</v>
      </c>
      <c r="V46" s="394">
        <f>ПП!L34</f>
        <v>0</v>
      </c>
      <c r="W46" s="338">
        <f>SUMIFS('Отчет РПЗ(ПЗ)_ПЗИП'!$AG:$AG,'Отчет РПЗ(ПЗ)_ПЗИП'!$G:$G,Справочно!$C30,'Отчет РПЗ(ПЗ)_ПЗИП'!$AR:$AR,3,'Отчет РПЗ(ПЗ)_ПЗИП'!$AG:$AG,"&gt;0")</f>
        <v>0</v>
      </c>
      <c r="X46" s="174">
        <f>ПП!M34</f>
        <v>0</v>
      </c>
      <c r="Y46" s="175">
        <f t="shared" si="3"/>
        <v>0</v>
      </c>
      <c r="Z46" s="393">
        <f t="shared" si="4"/>
        <v>0</v>
      </c>
      <c r="AA46" s="298">
        <f t="shared" si="5"/>
        <v>0</v>
      </c>
      <c r="AB46" s="162">
        <f>ПП!O34</f>
        <v>0</v>
      </c>
      <c r="AC46" s="186">
        <f>COUNTIFS('Отчет РПЗ(ПЗ)_ПЗИП'!$G:$G,Справочно!$C30,'Отчет РПЗ(ПЗ)_ПЗИП'!$AR:$AR,4,'Отчет РПЗ(ПЗ)_ПЗИП'!$AG:$AG,"&gt;0")</f>
        <v>0</v>
      </c>
      <c r="AD46" s="394">
        <f>ПП!P34</f>
        <v>0</v>
      </c>
      <c r="AE46" s="339">
        <f>SUMIFS('Отчет РПЗ(ПЗ)_ПЗИП'!$AG:$AG,'Отчет РПЗ(ПЗ)_ПЗИП'!$G:$G,Справочно!$C30,'Отчет РПЗ(ПЗ)_ПЗИП'!$AR:$AR,4,'Отчет РПЗ(ПЗ)_ПЗИП'!$AG:$AG,"&gt;0")</f>
        <v>0</v>
      </c>
      <c r="AF46" s="45">
        <f>ПП!Q34</f>
        <v>0</v>
      </c>
      <c r="AG46" s="186">
        <f>COUNTIFS('Отчет РПЗ(ПЗ)_ПЗИП'!$G:$G,Справочно!$C30,'Отчет РПЗ(ПЗ)_ПЗИП'!$AR:$AR,5,'Отчет РПЗ(ПЗ)_ПЗИП'!$AG:$AG,"&gt;0")</f>
        <v>0</v>
      </c>
      <c r="AH46" s="394">
        <f>ПП!R34</f>
        <v>0</v>
      </c>
      <c r="AI46" s="339">
        <f>SUMIFS('Отчет РПЗ(ПЗ)_ПЗИП'!$AG:$AG,'Отчет РПЗ(ПЗ)_ПЗИП'!$G:$G,Справочно!$C30,'Отчет РПЗ(ПЗ)_ПЗИП'!$AR:$AR,5,'Отчет РПЗ(ПЗ)_ПЗИП'!$AG:$AG,"&gt;0")</f>
        <v>0</v>
      </c>
      <c r="AJ46" s="45">
        <f>ПП!S34</f>
        <v>0</v>
      </c>
      <c r="AK46" s="186">
        <f>COUNTIFS('Отчет РПЗ(ПЗ)_ПЗИП'!$G:$G,Справочно!$C30,'Отчет РПЗ(ПЗ)_ПЗИП'!$AR:$AR,6,'Отчет РПЗ(ПЗ)_ПЗИП'!$AG:$AG,"&gt;0")</f>
        <v>0</v>
      </c>
      <c r="AL46" s="394">
        <f>ПП!T34</f>
        <v>0</v>
      </c>
      <c r="AM46" s="340">
        <f>SUMIFS('Отчет РПЗ(ПЗ)_ПЗИП'!$AG:$AG,'Отчет РПЗ(ПЗ)_ПЗИП'!$G:$G,Справочно!$C30,'Отчет РПЗ(ПЗ)_ПЗИП'!$AR:$AR,6,'Отчет РПЗ(ПЗ)_ПЗИП'!$AG:$AG,"&gt;0")</f>
        <v>0</v>
      </c>
      <c r="AN46" s="174">
        <f>ПП!U34</f>
        <v>0</v>
      </c>
      <c r="AO46" s="188">
        <f t="shared" si="6"/>
        <v>0</v>
      </c>
      <c r="AP46" s="393">
        <f t="shared" si="7"/>
        <v>0</v>
      </c>
      <c r="AQ46" s="300">
        <f t="shared" si="8"/>
        <v>0</v>
      </c>
      <c r="AR46" s="162">
        <f>ПП!W34</f>
        <v>0</v>
      </c>
      <c r="AS46" s="147">
        <f>COUNTIFS('Отчет РПЗ(ПЗ)_ПЗИП'!$G:$G,Справочно!$C30,'Отчет РПЗ(ПЗ)_ПЗИП'!$AR:$AR,7,'Отчет РПЗ(ПЗ)_ПЗИП'!$AG:$AG,"&gt;0")</f>
        <v>0</v>
      </c>
      <c r="AT46" s="394">
        <f>ПП!X34</f>
        <v>0</v>
      </c>
      <c r="AU46" s="341">
        <f>SUMIFS('Отчет РПЗ(ПЗ)_ПЗИП'!$AG:$AG,'Отчет РПЗ(ПЗ)_ПЗИП'!$G:$G,Справочно!$C30,'Отчет РПЗ(ПЗ)_ПЗИП'!$AR:$AR,7,'Отчет РПЗ(ПЗ)_ПЗИП'!$AG:$AG,"&gt;0")</f>
        <v>0</v>
      </c>
      <c r="AV46" s="45">
        <f>ПП!Y34</f>
        <v>0</v>
      </c>
      <c r="AW46" s="147">
        <f>COUNTIFS('Отчет РПЗ(ПЗ)_ПЗИП'!$G:$G,Справочно!$C30,'Отчет РПЗ(ПЗ)_ПЗИП'!$AR:$AR,8,'Отчет РПЗ(ПЗ)_ПЗИП'!$AG:$AG,"&gt;0")</f>
        <v>0</v>
      </c>
      <c r="AX46" s="394">
        <f>ПП!Z34</f>
        <v>0</v>
      </c>
      <c r="AY46" s="341">
        <f>SUMIFS('Отчет РПЗ(ПЗ)_ПЗИП'!$AG:$AG,'Отчет РПЗ(ПЗ)_ПЗИП'!$G:$G,Справочно!$C30,'Отчет РПЗ(ПЗ)_ПЗИП'!$AR:$AR,8,'Отчет РПЗ(ПЗ)_ПЗИП'!$AG:$AG,"&gt;0")</f>
        <v>0</v>
      </c>
      <c r="AZ46" s="45">
        <f>ПП!AA34</f>
        <v>0</v>
      </c>
      <c r="BA46" s="147">
        <f>COUNTIFS('Отчет РПЗ(ПЗ)_ПЗИП'!$G:$G,Справочно!$C30,'Отчет РПЗ(ПЗ)_ПЗИП'!$AR:$AR,9,'Отчет РПЗ(ПЗ)_ПЗИП'!$AG:$AG,"&gt;0")</f>
        <v>0</v>
      </c>
      <c r="BB46" s="394">
        <f>ПП!AB34</f>
        <v>0</v>
      </c>
      <c r="BC46" s="342">
        <f>SUMIFS('Отчет РПЗ(ПЗ)_ПЗИП'!$AG:$AG,'Отчет РПЗ(ПЗ)_ПЗИП'!$G:$G,Справочно!$C30,'Отчет РПЗ(ПЗ)_ПЗИП'!$AR:$AR,9,'Отчет РПЗ(ПЗ)_ПЗИП'!$AG:$AG,"&gt;0")</f>
        <v>0</v>
      </c>
      <c r="BD46" s="174">
        <f>ПП!AC34</f>
        <v>0</v>
      </c>
      <c r="BE46" s="183">
        <f t="shared" si="9"/>
        <v>0</v>
      </c>
      <c r="BF46" s="393">
        <f t="shared" si="10"/>
        <v>0</v>
      </c>
      <c r="BG46" s="302">
        <f t="shared" si="11"/>
        <v>0</v>
      </c>
      <c r="BH46" s="162">
        <f>ПП!AE34</f>
        <v>0</v>
      </c>
      <c r="BI46" s="180">
        <f>COUNTIFS('Отчет РПЗ(ПЗ)_ПЗИП'!$G:$G,Справочно!$C30,'Отчет РПЗ(ПЗ)_ПЗИП'!$AR:$AR,10,'Отчет РПЗ(ПЗ)_ПЗИП'!$AG:$AG,"&gt;0")</f>
        <v>0</v>
      </c>
      <c r="BJ46" s="394">
        <f>ПП!AF34</f>
        <v>0</v>
      </c>
      <c r="BK46" s="343">
        <f>SUMIFS('Отчет РПЗ(ПЗ)_ПЗИП'!$AG:$AG,'Отчет РПЗ(ПЗ)_ПЗИП'!$G:$G,Справочно!$C30,'Отчет РПЗ(ПЗ)_ПЗИП'!$AR:$AR,10,'Отчет РПЗ(ПЗ)_ПЗИП'!$AG:$AG,"&gt;0")</f>
        <v>0</v>
      </c>
      <c r="BL46" s="45">
        <f>ПП!AG34</f>
        <v>0</v>
      </c>
      <c r="BM46" s="180">
        <f>COUNTIFS('Отчет РПЗ(ПЗ)_ПЗИП'!$G:$G,Справочно!$C30,'Отчет РПЗ(ПЗ)_ПЗИП'!$AR:$AR,11,'Отчет РПЗ(ПЗ)_ПЗИП'!$AG:$AG,"&gt;0")</f>
        <v>0</v>
      </c>
      <c r="BN46" s="394">
        <f>ПП!AH34</f>
        <v>0</v>
      </c>
      <c r="BO46" s="343">
        <f>SUMIFS('Отчет РПЗ(ПЗ)_ПЗИП'!$AG:$AG,'Отчет РПЗ(ПЗ)_ПЗИП'!$G:$G,Справочно!$C30,'Отчет РПЗ(ПЗ)_ПЗИП'!$AR:$AR,11,'Отчет РПЗ(ПЗ)_ПЗИП'!$AG:$AG,"&gt;0")</f>
        <v>0</v>
      </c>
      <c r="BP46" s="45">
        <f>ПП!AI34</f>
        <v>0</v>
      </c>
      <c r="BQ46" s="180">
        <f>COUNTIFS('Отчет РПЗ(ПЗ)_ПЗИП'!$G:$G,Справочно!$C30,'Отчет РПЗ(ПЗ)_ПЗИП'!$AR:$AR,12,'Отчет РПЗ(ПЗ)_ПЗИП'!$AG:$AG,"&gt;0")</f>
        <v>0</v>
      </c>
      <c r="BR46" s="394">
        <f>ПП!AJ34</f>
        <v>0</v>
      </c>
      <c r="BS46" s="344">
        <f>SUMIFS('Отчет РПЗ(ПЗ)_ПЗИП'!$AG:$AG,'Отчет РПЗ(ПЗ)_ПЗИП'!$G:$G,Справочно!$C30,'Отчет РПЗ(ПЗ)_ПЗИП'!$AR:$AR,12,'Отчет РПЗ(ПЗ)_ПЗИП'!$AG:$AG,"&gt;0")</f>
        <v>0</v>
      </c>
      <c r="BT46" s="174">
        <f>ПП!AK34</f>
        <v>0</v>
      </c>
      <c r="BU46" s="182">
        <f t="shared" si="12"/>
        <v>0</v>
      </c>
      <c r="BV46" s="393">
        <f t="shared" si="13"/>
        <v>0</v>
      </c>
      <c r="BW46" s="304">
        <f t="shared" si="14"/>
        <v>0</v>
      </c>
    </row>
    <row r="47" spans="2:75" ht="13.5" thickBot="1" x14ac:dyDescent="0.25">
      <c r="B47" s="86" t="s">
        <v>257</v>
      </c>
      <c r="C47" s="95">
        <f>ПП!B35</f>
        <v>0</v>
      </c>
      <c r="D47" s="381" t="e">
        <f>ПП!C35</f>
        <v>#DIV/0!</v>
      </c>
      <c r="E47" s="66">
        <f>COUNTIFS('Отчет РПЗ(ПЗ)_ПЗИП'!$G:$G,Справочно!$C31,'Отчет РПЗ(ПЗ)_ПЗИП'!AG:AG, "&gt;0")</f>
        <v>0</v>
      </c>
      <c r="F47" s="382" t="e">
        <f t="shared" si="1"/>
        <v>#DIV/0!</v>
      </c>
      <c r="G47" s="383">
        <f>ПП!D35</f>
        <v>0</v>
      </c>
      <c r="H47" s="384" t="e">
        <f>ПП!E35</f>
        <v>#DIV/0!</v>
      </c>
      <c r="I47" s="385">
        <f>SUMIF('Отчет РПЗ(ПЗ)_ПЗИП'!$G:$G,Справочно!$C31,'Отчет РПЗ(ПЗ)_ПЗИП'!$AG:$AG)</f>
        <v>0</v>
      </c>
      <c r="J47" s="382" t="e">
        <f t="shared" si="2"/>
        <v>#DIV/0!</v>
      </c>
      <c r="K47" s="64"/>
      <c r="L47" s="167">
        <f>ПП!G35</f>
        <v>0</v>
      </c>
      <c r="M47" s="150">
        <f>COUNTIFS('Отчет РПЗ(ПЗ)_ПЗИП'!$G:$G,Справочно!$C31,'Отчет РПЗ(ПЗ)_ПЗИП'!$AR:$AR,1,'Отчет РПЗ(ПЗ)_ПЗИП'!$AG:$AG,"&gt;0")</f>
        <v>0</v>
      </c>
      <c r="N47" s="395">
        <f>ПП!H35</f>
        <v>0</v>
      </c>
      <c r="O47" s="348">
        <f>SUMIFS('Отчет РПЗ(ПЗ)_ПЗИП'!$AG:$AG,'Отчет РПЗ(ПЗ)_ПЗИП'!$G:$G,Справочно!$C31,'Отчет РПЗ(ПЗ)_ПЗИП'!$AR:$AR,1,'Отчет РПЗ(ПЗ)_ПЗИП'!$AG:$AG,"&gt;0")</f>
        <v>0</v>
      </c>
      <c r="P47" s="169">
        <f>ПП!I35</f>
        <v>0</v>
      </c>
      <c r="Q47" s="168">
        <f>COUNTIFS('Отчет РПЗ(ПЗ)_ПЗИП'!$G:$G,Справочно!$C31,'Отчет РПЗ(ПЗ)_ПЗИП'!$AR:$AR,2,'Отчет РПЗ(ПЗ)_ПЗИП'!$AG:$AG,"&gt;0")</f>
        <v>0</v>
      </c>
      <c r="R47" s="395">
        <f>ПП!J35</f>
        <v>0</v>
      </c>
      <c r="S47" s="348">
        <f>SUMIFS('Отчет РПЗ(ПЗ)_ПЗИП'!$AG:$AG,'Отчет РПЗ(ПЗ)_ПЗИП'!$G:$G,Справочно!$C31,'Отчет РПЗ(ПЗ)_ПЗИП'!$AR:$AR,2,'Отчет РПЗ(ПЗ)_ПЗИП'!$AG:$AG,"&gt;0")</f>
        <v>0</v>
      </c>
      <c r="T47" s="169">
        <f>ПП!K35</f>
        <v>0</v>
      </c>
      <c r="U47" s="168">
        <f>COUNTIFS('Отчет РПЗ(ПЗ)_ПЗИП'!$G:$G,Справочно!$C31,'Отчет РПЗ(ПЗ)_ПЗИП'!$AR:$AR,3,'Отчет РПЗ(ПЗ)_ПЗИП'!$AG:$AG,"&gt;0")</f>
        <v>0</v>
      </c>
      <c r="V47" s="395">
        <f>ПП!L35</f>
        <v>0</v>
      </c>
      <c r="W47" s="349">
        <f>SUMIFS('Отчет РПЗ(ПЗ)_ПЗИП'!$AG:$AG,'Отчет РПЗ(ПЗ)_ПЗИП'!$G:$G,Справочно!$C31,'Отчет РПЗ(ПЗ)_ПЗИП'!$AR:$AR,3,'Отчет РПЗ(ПЗ)_ПЗИП'!$AG:$AG,"&gt;0")</f>
        <v>0</v>
      </c>
      <c r="X47" s="174">
        <f>ПП!M35</f>
        <v>0</v>
      </c>
      <c r="Y47" s="175">
        <f t="shared" si="3"/>
        <v>0</v>
      </c>
      <c r="Z47" s="393">
        <f t="shared" si="4"/>
        <v>0</v>
      </c>
      <c r="AA47" s="298">
        <f t="shared" si="5"/>
        <v>0</v>
      </c>
      <c r="AB47" s="167">
        <f>ПП!O35</f>
        <v>0</v>
      </c>
      <c r="AC47" s="187">
        <f>COUNTIFS('Отчет РПЗ(ПЗ)_ПЗИП'!$G:$G,Справочно!$C31,'Отчет РПЗ(ПЗ)_ПЗИП'!$AR:$AR,4,'Отчет РПЗ(ПЗ)_ПЗИП'!$AG:$AG,"&gt;0")</f>
        <v>0</v>
      </c>
      <c r="AD47" s="395">
        <f>ПП!P35</f>
        <v>0</v>
      </c>
      <c r="AE47" s="350">
        <f>SUMIFS('Отчет РПЗ(ПЗ)_ПЗИП'!$AG:$AG,'Отчет РПЗ(ПЗ)_ПЗИП'!$G:$G,Справочно!$C31,'Отчет РПЗ(ПЗ)_ПЗИП'!$AR:$AR,4,'Отчет РПЗ(ПЗ)_ПЗИП'!$AG:$AG,"&gt;0")</f>
        <v>0</v>
      </c>
      <c r="AF47" s="169">
        <f>ПП!Q35</f>
        <v>0</v>
      </c>
      <c r="AG47" s="187">
        <f>COUNTIFS('Отчет РПЗ(ПЗ)_ПЗИП'!$G:$G,Справочно!$C31,'Отчет РПЗ(ПЗ)_ПЗИП'!$AR:$AR,5,'Отчет РПЗ(ПЗ)_ПЗИП'!$AG:$AG,"&gt;0")</f>
        <v>0</v>
      </c>
      <c r="AH47" s="395">
        <f>ПП!R35</f>
        <v>0</v>
      </c>
      <c r="AI47" s="350">
        <f>SUMIFS('Отчет РПЗ(ПЗ)_ПЗИП'!$AG:$AG,'Отчет РПЗ(ПЗ)_ПЗИП'!$G:$G,Справочно!$C31,'Отчет РПЗ(ПЗ)_ПЗИП'!$AR:$AR,5,'Отчет РПЗ(ПЗ)_ПЗИП'!$AG:$AG,"&gt;0")</f>
        <v>0</v>
      </c>
      <c r="AJ47" s="169">
        <f>ПП!S35</f>
        <v>0</v>
      </c>
      <c r="AK47" s="187">
        <f>COUNTIFS('Отчет РПЗ(ПЗ)_ПЗИП'!$G:$G,Справочно!$C31,'Отчет РПЗ(ПЗ)_ПЗИП'!$AR:$AR,6,'Отчет РПЗ(ПЗ)_ПЗИП'!$AG:$AG,"&gt;0")</f>
        <v>0</v>
      </c>
      <c r="AL47" s="395">
        <f>ПП!T35</f>
        <v>0</v>
      </c>
      <c r="AM47" s="351">
        <f>SUMIFS('Отчет РПЗ(ПЗ)_ПЗИП'!$AG:$AG,'Отчет РПЗ(ПЗ)_ПЗИП'!$G:$G,Справочно!$C31,'Отчет РПЗ(ПЗ)_ПЗИП'!$AR:$AR,6,'Отчет РПЗ(ПЗ)_ПЗИП'!$AG:$AG,"&gt;0")</f>
        <v>0</v>
      </c>
      <c r="AN47" s="174">
        <f>ПП!U35</f>
        <v>0</v>
      </c>
      <c r="AO47" s="188">
        <f t="shared" si="6"/>
        <v>0</v>
      </c>
      <c r="AP47" s="393">
        <f t="shared" si="7"/>
        <v>0</v>
      </c>
      <c r="AQ47" s="300">
        <f t="shared" si="8"/>
        <v>0</v>
      </c>
      <c r="AR47" s="167">
        <f>ПП!W35</f>
        <v>0</v>
      </c>
      <c r="AS47" s="185">
        <f>COUNTIFS('Отчет РПЗ(ПЗ)_ПЗИП'!$G:$G,Справочно!$C31,'Отчет РПЗ(ПЗ)_ПЗИП'!$AR:$AR,7,'Отчет РПЗ(ПЗ)_ПЗИП'!$AG:$AG,"&gt;0")</f>
        <v>0</v>
      </c>
      <c r="AT47" s="395">
        <f>ПП!X35</f>
        <v>0</v>
      </c>
      <c r="AU47" s="352">
        <f>SUMIFS('Отчет РПЗ(ПЗ)_ПЗИП'!$AG:$AG,'Отчет РПЗ(ПЗ)_ПЗИП'!$G:$G,Справочно!$C31,'Отчет РПЗ(ПЗ)_ПЗИП'!$AR:$AR,7,'Отчет РПЗ(ПЗ)_ПЗИП'!$AG:$AG,"&gt;0")</f>
        <v>0</v>
      </c>
      <c r="AV47" s="169">
        <f>ПП!Y35</f>
        <v>0</v>
      </c>
      <c r="AW47" s="185">
        <f>COUNTIFS('Отчет РПЗ(ПЗ)_ПЗИП'!$G:$G,Справочно!$C31,'Отчет РПЗ(ПЗ)_ПЗИП'!$AR:$AR,8,'Отчет РПЗ(ПЗ)_ПЗИП'!$AG:$AG,"&gt;0")</f>
        <v>0</v>
      </c>
      <c r="AX47" s="395">
        <f>ПП!Z35</f>
        <v>0</v>
      </c>
      <c r="AY47" s="352">
        <f>SUMIFS('Отчет РПЗ(ПЗ)_ПЗИП'!$AG:$AG,'Отчет РПЗ(ПЗ)_ПЗИП'!$G:$G,Справочно!$C31,'Отчет РПЗ(ПЗ)_ПЗИП'!$AR:$AR,8,'Отчет РПЗ(ПЗ)_ПЗИП'!$AG:$AG,"&gt;0")</f>
        <v>0</v>
      </c>
      <c r="AZ47" s="169">
        <f>ПП!AA35</f>
        <v>0</v>
      </c>
      <c r="BA47" s="185">
        <f>COUNTIFS('Отчет РПЗ(ПЗ)_ПЗИП'!$G:$G,Справочно!$C31,'Отчет РПЗ(ПЗ)_ПЗИП'!$AR:$AR,9,'Отчет РПЗ(ПЗ)_ПЗИП'!$AG:$AG,"&gt;0")</f>
        <v>0</v>
      </c>
      <c r="BB47" s="395">
        <f>ПП!AB35</f>
        <v>0</v>
      </c>
      <c r="BC47" s="353">
        <f>SUMIFS('Отчет РПЗ(ПЗ)_ПЗИП'!$AG:$AG,'Отчет РПЗ(ПЗ)_ПЗИП'!$G:$G,Справочно!$C31,'Отчет РПЗ(ПЗ)_ПЗИП'!$AR:$AR,9,'Отчет РПЗ(ПЗ)_ПЗИП'!$AG:$AG,"&gt;0")</f>
        <v>0</v>
      </c>
      <c r="BD47" s="174">
        <f>ПП!AC35</f>
        <v>0</v>
      </c>
      <c r="BE47" s="183">
        <f t="shared" si="9"/>
        <v>0</v>
      </c>
      <c r="BF47" s="393">
        <f t="shared" si="10"/>
        <v>0</v>
      </c>
      <c r="BG47" s="302">
        <f t="shared" si="11"/>
        <v>0</v>
      </c>
      <c r="BH47" s="167">
        <f>ПП!AE35</f>
        <v>0</v>
      </c>
      <c r="BI47" s="181">
        <f>COUNTIFS('Отчет РПЗ(ПЗ)_ПЗИП'!$G:$G,Справочно!$C31,'Отчет РПЗ(ПЗ)_ПЗИП'!$AR:$AR,10,'Отчет РПЗ(ПЗ)_ПЗИП'!$AG:$AG,"&gt;0")</f>
        <v>0</v>
      </c>
      <c r="BJ47" s="395">
        <f>ПП!AF35</f>
        <v>0</v>
      </c>
      <c r="BK47" s="354">
        <f>SUMIFS('Отчет РПЗ(ПЗ)_ПЗИП'!$AG:$AG,'Отчет РПЗ(ПЗ)_ПЗИП'!$G:$G,Справочно!$C31,'Отчет РПЗ(ПЗ)_ПЗИП'!$AR:$AR,10,'Отчет РПЗ(ПЗ)_ПЗИП'!$AG:$AG,"&gt;0")</f>
        <v>0</v>
      </c>
      <c r="BL47" s="169">
        <f>ПП!AG35</f>
        <v>0</v>
      </c>
      <c r="BM47" s="181">
        <f>COUNTIFS('Отчет РПЗ(ПЗ)_ПЗИП'!$G:$G,Справочно!$C31,'Отчет РПЗ(ПЗ)_ПЗИП'!$AR:$AR,11,'Отчет РПЗ(ПЗ)_ПЗИП'!$AG:$AG,"&gt;0")</f>
        <v>0</v>
      </c>
      <c r="BN47" s="395">
        <f>ПП!AH35</f>
        <v>0</v>
      </c>
      <c r="BO47" s="354">
        <f>SUMIFS('Отчет РПЗ(ПЗ)_ПЗИП'!$AG:$AG,'Отчет РПЗ(ПЗ)_ПЗИП'!$G:$G,Справочно!$C31,'Отчет РПЗ(ПЗ)_ПЗИП'!$AR:$AR,11,'Отчет РПЗ(ПЗ)_ПЗИП'!$AG:$AG,"&gt;0")</f>
        <v>0</v>
      </c>
      <c r="BP47" s="169">
        <f>ПП!AI35</f>
        <v>0</v>
      </c>
      <c r="BQ47" s="181">
        <f>COUNTIFS('Отчет РПЗ(ПЗ)_ПЗИП'!$G:$G,Справочно!$C31,'Отчет РПЗ(ПЗ)_ПЗИП'!$AR:$AR,12,'Отчет РПЗ(ПЗ)_ПЗИП'!$AG:$AG,"&gt;0")</f>
        <v>0</v>
      </c>
      <c r="BR47" s="395">
        <f>ПП!AJ35</f>
        <v>0</v>
      </c>
      <c r="BS47" s="355">
        <f>SUMIFS('Отчет РПЗ(ПЗ)_ПЗИП'!$AG:$AG,'Отчет РПЗ(ПЗ)_ПЗИП'!$G:$G,Справочно!$C31,'Отчет РПЗ(ПЗ)_ПЗИП'!$AR:$AR,12,'Отчет РПЗ(ПЗ)_ПЗИП'!$AG:$AG,"&gt;0")</f>
        <v>0</v>
      </c>
      <c r="BT47" s="174">
        <f>ПП!AK35</f>
        <v>0</v>
      </c>
      <c r="BU47" s="182">
        <f t="shared" si="12"/>
        <v>0</v>
      </c>
      <c r="BV47" s="393">
        <f t="shared" si="13"/>
        <v>0</v>
      </c>
      <c r="BW47" s="304">
        <f t="shared" si="14"/>
        <v>0</v>
      </c>
    </row>
    <row r="48" spans="2:75" ht="13.5" thickBot="1" x14ac:dyDescent="0.25">
      <c r="B48" s="67" t="s">
        <v>239</v>
      </c>
      <c r="C48" s="290">
        <f t="shared" ref="C48:J48" si="15">SUM(C28:C47)</f>
        <v>0</v>
      </c>
      <c r="D48" s="386" t="e">
        <f t="shared" si="15"/>
        <v>#DIV/0!</v>
      </c>
      <c r="E48" s="96">
        <f t="shared" si="15"/>
        <v>0</v>
      </c>
      <c r="F48" s="364" t="e">
        <f t="shared" si="15"/>
        <v>#DIV/0!</v>
      </c>
      <c r="G48" s="387">
        <f t="shared" si="15"/>
        <v>0</v>
      </c>
      <c r="H48" s="292" t="e">
        <f t="shared" si="15"/>
        <v>#DIV/0!</v>
      </c>
      <c r="I48" s="388">
        <f>SUM(I28:I47)</f>
        <v>0</v>
      </c>
      <c r="J48" s="364" t="e">
        <f t="shared" si="15"/>
        <v>#DIV/0!</v>
      </c>
      <c r="K48" s="64"/>
      <c r="L48" s="155">
        <f t="shared" ref="L48:Z48" si="16">SUM(L28:L47)</f>
        <v>0</v>
      </c>
      <c r="M48" s="138">
        <f t="shared" si="16"/>
        <v>0</v>
      </c>
      <c r="N48" s="396">
        <f t="shared" si="16"/>
        <v>0</v>
      </c>
      <c r="O48" s="307">
        <f>SUM(O28:O47)</f>
        <v>0</v>
      </c>
      <c r="P48" s="157">
        <f t="shared" si="16"/>
        <v>0</v>
      </c>
      <c r="Q48" s="138">
        <f t="shared" si="16"/>
        <v>0</v>
      </c>
      <c r="R48" s="396">
        <f t="shared" si="16"/>
        <v>0</v>
      </c>
      <c r="S48" s="307">
        <f>SUM(S28:S47)</f>
        <v>0</v>
      </c>
      <c r="T48" s="157">
        <f t="shared" si="16"/>
        <v>0</v>
      </c>
      <c r="U48" s="138">
        <f t="shared" si="16"/>
        <v>0</v>
      </c>
      <c r="V48" s="396">
        <f t="shared" si="16"/>
        <v>0</v>
      </c>
      <c r="W48" s="313">
        <f>SUM(W28:W47)</f>
        <v>0</v>
      </c>
      <c r="X48" s="176">
        <f t="shared" si="16"/>
        <v>0</v>
      </c>
      <c r="Y48" s="177">
        <f t="shared" si="16"/>
        <v>0</v>
      </c>
      <c r="Z48" s="393">
        <f t="shared" si="16"/>
        <v>0</v>
      </c>
      <c r="AA48" s="309">
        <f t="shared" ref="AA48:BF48" si="17">SUM(AA28:AA47)</f>
        <v>0</v>
      </c>
      <c r="AB48" s="155">
        <f t="shared" si="17"/>
        <v>0</v>
      </c>
      <c r="AC48" s="138">
        <f t="shared" si="17"/>
        <v>0</v>
      </c>
      <c r="AD48" s="396">
        <f t="shared" si="17"/>
        <v>0</v>
      </c>
      <c r="AE48" s="307">
        <f t="shared" si="17"/>
        <v>0</v>
      </c>
      <c r="AF48" s="157">
        <f t="shared" si="17"/>
        <v>0</v>
      </c>
      <c r="AG48" s="138">
        <f t="shared" si="17"/>
        <v>0</v>
      </c>
      <c r="AH48" s="396">
        <f t="shared" si="17"/>
        <v>0</v>
      </c>
      <c r="AI48" s="307">
        <f t="shared" si="17"/>
        <v>0</v>
      </c>
      <c r="AJ48" s="157">
        <f t="shared" si="17"/>
        <v>0</v>
      </c>
      <c r="AK48" s="138">
        <f t="shared" si="17"/>
        <v>0</v>
      </c>
      <c r="AL48" s="396">
        <f t="shared" si="17"/>
        <v>0</v>
      </c>
      <c r="AM48" s="313">
        <f t="shared" si="17"/>
        <v>0</v>
      </c>
      <c r="AN48" s="176">
        <f t="shared" si="17"/>
        <v>0</v>
      </c>
      <c r="AO48" s="177">
        <f t="shared" si="17"/>
        <v>0</v>
      </c>
      <c r="AP48" s="393">
        <f t="shared" si="17"/>
        <v>0</v>
      </c>
      <c r="AQ48" s="309">
        <f t="shared" si="17"/>
        <v>0</v>
      </c>
      <c r="AR48" s="155">
        <f t="shared" si="17"/>
        <v>0</v>
      </c>
      <c r="AS48" s="138">
        <f t="shared" si="17"/>
        <v>0</v>
      </c>
      <c r="AT48" s="396">
        <f t="shared" si="17"/>
        <v>0</v>
      </c>
      <c r="AU48" s="307">
        <f t="shared" si="17"/>
        <v>0</v>
      </c>
      <c r="AV48" s="157">
        <f t="shared" si="17"/>
        <v>0</v>
      </c>
      <c r="AW48" s="138">
        <f t="shared" si="17"/>
        <v>0</v>
      </c>
      <c r="AX48" s="396">
        <f t="shared" si="17"/>
        <v>0</v>
      </c>
      <c r="AY48" s="307">
        <f t="shared" si="17"/>
        <v>0</v>
      </c>
      <c r="AZ48" s="157">
        <f t="shared" si="17"/>
        <v>0</v>
      </c>
      <c r="BA48" s="138">
        <f t="shared" si="17"/>
        <v>0</v>
      </c>
      <c r="BB48" s="396">
        <f t="shared" si="17"/>
        <v>0</v>
      </c>
      <c r="BC48" s="313">
        <f t="shared" si="17"/>
        <v>0</v>
      </c>
      <c r="BD48" s="176">
        <f t="shared" si="17"/>
        <v>0</v>
      </c>
      <c r="BE48" s="177">
        <f t="shared" si="17"/>
        <v>0</v>
      </c>
      <c r="BF48" s="393">
        <f t="shared" si="17"/>
        <v>0</v>
      </c>
      <c r="BG48" s="309">
        <f t="shared" ref="BG48:BW48" si="18">SUM(BG28:BG47)</f>
        <v>0</v>
      </c>
      <c r="BH48" s="155">
        <f t="shared" si="18"/>
        <v>0</v>
      </c>
      <c r="BI48" s="138">
        <f t="shared" si="18"/>
        <v>0</v>
      </c>
      <c r="BJ48" s="396">
        <f t="shared" si="18"/>
        <v>0</v>
      </c>
      <c r="BK48" s="307">
        <f t="shared" si="18"/>
        <v>0</v>
      </c>
      <c r="BL48" s="157">
        <f t="shared" si="18"/>
        <v>0</v>
      </c>
      <c r="BM48" s="138">
        <f t="shared" si="18"/>
        <v>0</v>
      </c>
      <c r="BN48" s="396">
        <f t="shared" si="18"/>
        <v>0</v>
      </c>
      <c r="BO48" s="307">
        <f t="shared" si="18"/>
        <v>0</v>
      </c>
      <c r="BP48" s="157">
        <f t="shared" si="18"/>
        <v>0</v>
      </c>
      <c r="BQ48" s="138">
        <f t="shared" si="18"/>
        <v>0</v>
      </c>
      <c r="BR48" s="396">
        <f t="shared" si="18"/>
        <v>0</v>
      </c>
      <c r="BS48" s="313">
        <f t="shared" si="18"/>
        <v>0</v>
      </c>
      <c r="BT48" s="176">
        <f t="shared" si="18"/>
        <v>0</v>
      </c>
      <c r="BU48" s="177">
        <f t="shared" si="18"/>
        <v>0</v>
      </c>
      <c r="BV48" s="393">
        <f t="shared" si="18"/>
        <v>0</v>
      </c>
      <c r="BW48" s="309">
        <f t="shared" si="18"/>
        <v>0</v>
      </c>
    </row>
    <row r="49" spans="2:75" ht="13.5" thickBot="1" x14ac:dyDescent="0.25">
      <c r="B49" s="764"/>
      <c r="C49" s="765"/>
      <c r="D49" s="765"/>
      <c r="E49" s="765"/>
      <c r="F49" s="765"/>
      <c r="G49" s="765"/>
      <c r="H49" s="765"/>
      <c r="I49" s="765"/>
      <c r="J49" s="766"/>
      <c r="K49" s="64"/>
      <c r="L49" s="791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93"/>
      <c r="AB49" s="791"/>
      <c r="AC49" s="792"/>
      <c r="AD49" s="792"/>
      <c r="AE49" s="792"/>
      <c r="AF49" s="792"/>
      <c r="AG49" s="792"/>
      <c r="AH49" s="792"/>
      <c r="AI49" s="792"/>
      <c r="AJ49" s="792"/>
      <c r="AK49" s="792"/>
      <c r="AL49" s="792"/>
      <c r="AM49" s="792"/>
      <c r="AN49" s="792"/>
      <c r="AO49" s="792"/>
      <c r="AP49" s="792"/>
      <c r="AQ49" s="793"/>
      <c r="AR49" s="791"/>
      <c r="AS49" s="792"/>
      <c r="AT49" s="792"/>
      <c r="AU49" s="792"/>
      <c r="AV49" s="792"/>
      <c r="AW49" s="792"/>
      <c r="AX49" s="792"/>
      <c r="AY49" s="792"/>
      <c r="AZ49" s="792"/>
      <c r="BA49" s="792"/>
      <c r="BB49" s="792"/>
      <c r="BC49" s="792"/>
      <c r="BD49" s="792"/>
      <c r="BE49" s="792"/>
      <c r="BF49" s="792"/>
      <c r="BG49" s="793"/>
      <c r="BH49" s="791"/>
      <c r="BI49" s="792"/>
      <c r="BJ49" s="792"/>
      <c r="BK49" s="792"/>
      <c r="BL49" s="792"/>
      <c r="BM49" s="792"/>
      <c r="BN49" s="792"/>
      <c r="BO49" s="792"/>
      <c r="BP49" s="792"/>
      <c r="BQ49" s="792"/>
      <c r="BR49" s="792"/>
      <c r="BS49" s="792"/>
      <c r="BT49" s="792"/>
      <c r="BU49" s="792"/>
      <c r="BV49" s="792"/>
      <c r="BW49" s="793"/>
    </row>
    <row r="50" spans="2:75" ht="13.5" thickBot="1" x14ac:dyDescent="0.25">
      <c r="B50" s="74" t="s">
        <v>109</v>
      </c>
      <c r="C50" s="290">
        <f>ПП!B38</f>
        <v>0</v>
      </c>
      <c r="D50" s="386" t="e">
        <f>ПП!C38</f>
        <v>#DIV/0!</v>
      </c>
      <c r="E50" s="97">
        <f>COUNTIFS('Отчет РПЗ(ПЗ)_ПЗИП'!$G:$G,Справочно!$C33,'Отчет РПЗ(ПЗ)_ПЗИП'!AG:AG, "&gt;0")</f>
        <v>0</v>
      </c>
      <c r="F50" s="366" t="e">
        <f>E50/$E$52</f>
        <v>#DIV/0!</v>
      </c>
      <c r="G50" s="387">
        <f>ПП!D38</f>
        <v>0</v>
      </c>
      <c r="H50" s="292" t="e">
        <f>ПП!E38</f>
        <v>#DIV/0!</v>
      </c>
      <c r="I50" s="389">
        <f>SUMIF('Отчет РПЗ(ПЗ)_ПЗИП'!$G:$G,Справочно!$C33,'Отчет РПЗ(ПЗ)_ПЗИП'!$AG:$AG)</f>
        <v>0</v>
      </c>
      <c r="J50" s="366" t="e">
        <f>I50/$I$52</f>
        <v>#DIV/0!</v>
      </c>
      <c r="K50" s="64"/>
      <c r="L50" s="155">
        <f>ПП!G38</f>
        <v>0</v>
      </c>
      <c r="M50" s="138">
        <f>COUNTIFS('Отчет РПЗ(ПЗ)_ПЗИП'!$G:$G,Справочно!$C33,'Отчет РПЗ(ПЗ)_ПЗИП'!$AR:$AR,1,'Отчет РПЗ(ПЗ)_ПЗИП'!$AG:$AG,"&gt;0")</f>
        <v>0</v>
      </c>
      <c r="N50" s="396">
        <f>ПП!H38</f>
        <v>0</v>
      </c>
      <c r="O50" s="307">
        <f>SUMIFS('Отчет РПЗ(ПЗ)_ПЗИП'!$AG:$AG,'Отчет РПЗ(ПЗ)_ПЗИП'!$G:$G,Справочно!$C33,'Отчет РПЗ(ПЗ)_ПЗИП'!$AR:$AR,1,'Отчет РПЗ(ПЗ)_ПЗИП'!$AG:$AG,"&gt;0")</f>
        <v>0</v>
      </c>
      <c r="P50" s="157">
        <f>ПП!I38</f>
        <v>0</v>
      </c>
      <c r="Q50" s="138">
        <f>COUNTIFS('Отчет РПЗ(ПЗ)_ПЗИП'!$G:$G,Справочно!$C33,'Отчет РПЗ(ПЗ)_ПЗИП'!$AR:$AR,2,'Отчет РПЗ(ПЗ)_ПЗИП'!$AG:$AG,"&gt;0")</f>
        <v>0</v>
      </c>
      <c r="R50" s="396">
        <f>ПП!J38</f>
        <v>0</v>
      </c>
      <c r="S50" s="307">
        <f>SUMIFS('Отчет РПЗ(ПЗ)_ПЗИП'!$AG:$AG,'Отчет РПЗ(ПЗ)_ПЗИП'!$G:$G,Справочно!$C33,'Отчет РПЗ(ПЗ)_ПЗИП'!$AR:$AR,2,'Отчет РПЗ(ПЗ)_ПЗИП'!$AG:$AG,"&gt;0")</f>
        <v>0</v>
      </c>
      <c r="T50" s="157">
        <f>ПП!K38</f>
        <v>0</v>
      </c>
      <c r="U50" s="138">
        <f>COUNTIFS('Отчет РПЗ(ПЗ)_ПЗИП'!$G:$G,Справочно!$C33,'Отчет РПЗ(ПЗ)_ПЗИП'!$AR:$AR,3,'Отчет РПЗ(ПЗ)_ПЗИП'!$AG:$AG,"&gt;0")</f>
        <v>0</v>
      </c>
      <c r="V50" s="396">
        <f>ПП!L38</f>
        <v>0</v>
      </c>
      <c r="W50" s="313">
        <f>SUMIFS('Отчет РПЗ(ПЗ)_ПЗИП'!$AG:$AG,'Отчет РПЗ(ПЗ)_ПЗИП'!$G:$G,Справочно!$C33,'Отчет РПЗ(ПЗ)_ПЗИП'!$AR:$AR,3,'Отчет РПЗ(ПЗ)_ПЗИП'!$AG:$AG,"&gt;0")</f>
        <v>0</v>
      </c>
      <c r="X50" s="176">
        <f>SUM(L50,P50,T50)</f>
        <v>0</v>
      </c>
      <c r="Y50" s="177">
        <f>SUM(M50,Q50,U50)</f>
        <v>0</v>
      </c>
      <c r="Z50" s="393">
        <f>SUM(N50,R50,V50)</f>
        <v>0</v>
      </c>
      <c r="AA50" s="309">
        <f>SUM(O50,S50,W50)</f>
        <v>0</v>
      </c>
      <c r="AB50" s="155">
        <f>ПП!O38</f>
        <v>0</v>
      </c>
      <c r="AC50" s="138">
        <f>COUNTIFS('Отчет РПЗ(ПЗ)_ПЗИП'!$G:$G,Справочно!$C33,'Отчет РПЗ(ПЗ)_ПЗИП'!$AR:$AR,4,'Отчет РПЗ(ПЗ)_ПЗИП'!$AG:$AG,"&gt;0")</f>
        <v>0</v>
      </c>
      <c r="AD50" s="396">
        <f>ПП!P38</f>
        <v>0</v>
      </c>
      <c r="AE50" s="307">
        <f>SUMIFS('Отчет РПЗ(ПЗ)_ПЗИП'!$AG:$AG,'Отчет РПЗ(ПЗ)_ПЗИП'!$G:$G,Справочно!$C33,'Отчет РПЗ(ПЗ)_ПЗИП'!$AR:$AR,4,'Отчет РПЗ(ПЗ)_ПЗИП'!$AG:$AG,"&gt;0")</f>
        <v>0</v>
      </c>
      <c r="AF50" s="157">
        <f>ПП!Q38</f>
        <v>0</v>
      </c>
      <c r="AG50" s="138">
        <f>COUNTIFS('Отчет РПЗ(ПЗ)_ПЗИП'!$G:$G,Справочно!$C33,'Отчет РПЗ(ПЗ)_ПЗИП'!$AR:$AR,5,'Отчет РПЗ(ПЗ)_ПЗИП'!$AG:$AG,"&gt;0")</f>
        <v>0</v>
      </c>
      <c r="AH50" s="396">
        <f>ПП!R38</f>
        <v>0</v>
      </c>
      <c r="AI50" s="307">
        <f>SUMIFS('Отчет РПЗ(ПЗ)_ПЗИП'!$AG:$AG,'Отчет РПЗ(ПЗ)_ПЗИП'!$G:$G,Справочно!$C33,'Отчет РПЗ(ПЗ)_ПЗИП'!$AR:$AR,5,'Отчет РПЗ(ПЗ)_ПЗИП'!$AG:$AG,"&gt;0")</f>
        <v>0</v>
      </c>
      <c r="AJ50" s="157">
        <f>ПП!S38</f>
        <v>0</v>
      </c>
      <c r="AK50" s="138">
        <f>COUNTIFS('Отчет РПЗ(ПЗ)_ПЗИП'!$G:$G,Справочно!$C33,'Отчет РПЗ(ПЗ)_ПЗИП'!$AR:$AR,6,'Отчет РПЗ(ПЗ)_ПЗИП'!$AG:$AG,"&gt;0")</f>
        <v>0</v>
      </c>
      <c r="AL50" s="396">
        <f>ПП!T38</f>
        <v>0</v>
      </c>
      <c r="AM50" s="313">
        <f>SUMIFS('Отчет РПЗ(ПЗ)_ПЗИП'!$AG:$AG,'Отчет РПЗ(ПЗ)_ПЗИП'!$G:$G,Справочно!$C33,'Отчет РПЗ(ПЗ)_ПЗИП'!$AR:$AR,6,'Отчет РПЗ(ПЗ)_ПЗИП'!$AG:$AG,"&gt;0")</f>
        <v>0</v>
      </c>
      <c r="AN50" s="176">
        <f>SUM(AB50,AF50,AJ50)</f>
        <v>0</v>
      </c>
      <c r="AO50" s="177">
        <f>SUM(AC50,AG50,AK50)</f>
        <v>0</v>
      </c>
      <c r="AP50" s="393">
        <f>SUM(AD50,AH50,AL50)</f>
        <v>0</v>
      </c>
      <c r="AQ50" s="309">
        <f>SUM(AE50,AI50,AM50)</f>
        <v>0</v>
      </c>
      <c r="AR50" s="155">
        <f>ПП!W38</f>
        <v>0</v>
      </c>
      <c r="AS50" s="138">
        <f>COUNTIFS('Отчет РПЗ(ПЗ)_ПЗИП'!$G:$G,Справочно!$C33,'Отчет РПЗ(ПЗ)_ПЗИП'!$AR:$AR,7,'Отчет РПЗ(ПЗ)_ПЗИП'!$AG:$AG,"&gt;0")</f>
        <v>0</v>
      </c>
      <c r="AT50" s="396">
        <f>ПП!X38</f>
        <v>0</v>
      </c>
      <c r="AU50" s="307">
        <f>SUMIFS('Отчет РПЗ(ПЗ)_ПЗИП'!$AG:$AG,'Отчет РПЗ(ПЗ)_ПЗИП'!$G:$G,Справочно!$C33,'Отчет РПЗ(ПЗ)_ПЗИП'!$AR:$AR,7,'Отчет РПЗ(ПЗ)_ПЗИП'!$AG:$AG,"&gt;0")</f>
        <v>0</v>
      </c>
      <c r="AV50" s="157">
        <f>ПП!Y38</f>
        <v>0</v>
      </c>
      <c r="AW50" s="138">
        <f>COUNTIFS('Отчет РПЗ(ПЗ)_ПЗИП'!$G:$G,Справочно!$C33,'Отчет РПЗ(ПЗ)_ПЗИП'!$AR:$AR,8,'Отчет РПЗ(ПЗ)_ПЗИП'!$AG:$AG,"&gt;0")</f>
        <v>0</v>
      </c>
      <c r="AX50" s="396">
        <f>ПП!Z38</f>
        <v>0</v>
      </c>
      <c r="AY50" s="307">
        <f>SUMIFS('Отчет РПЗ(ПЗ)_ПЗИП'!$AG:$AG,'Отчет РПЗ(ПЗ)_ПЗИП'!$G:$G,Справочно!$C33,'Отчет РПЗ(ПЗ)_ПЗИП'!$AR:$AR,8,'Отчет РПЗ(ПЗ)_ПЗИП'!$AG:$AG,"&gt;0")</f>
        <v>0</v>
      </c>
      <c r="AZ50" s="157">
        <f>ПП!AA38</f>
        <v>0</v>
      </c>
      <c r="BA50" s="138">
        <f>COUNTIFS('Отчет РПЗ(ПЗ)_ПЗИП'!$G:$G,Справочно!$C33,'Отчет РПЗ(ПЗ)_ПЗИП'!$AR:$AR,9,'Отчет РПЗ(ПЗ)_ПЗИП'!$AG:$AG,"&gt;0")</f>
        <v>0</v>
      </c>
      <c r="BB50" s="396">
        <f>ПП!AB38</f>
        <v>0</v>
      </c>
      <c r="BC50" s="313">
        <f>SUMIFS('Отчет РПЗ(ПЗ)_ПЗИП'!$AG:$AG,'Отчет РПЗ(ПЗ)_ПЗИП'!$G:$G,Справочно!$C33,'Отчет РПЗ(ПЗ)_ПЗИП'!$AR:$AR,9,'Отчет РПЗ(ПЗ)_ПЗИП'!$AG:$AG,"&gt;0")</f>
        <v>0</v>
      </c>
      <c r="BD50" s="176">
        <f>SUM(AR50,AV50,AZ50)</f>
        <v>0</v>
      </c>
      <c r="BE50" s="177">
        <f>SUM(AS50,AW50,BA50)</f>
        <v>0</v>
      </c>
      <c r="BF50" s="393">
        <f>SUM(AT50,AX50,BB50)</f>
        <v>0</v>
      </c>
      <c r="BG50" s="309">
        <f>SUM(AU50,AY50,BC50)</f>
        <v>0</v>
      </c>
      <c r="BH50" s="155">
        <f>ПП!AE38</f>
        <v>0</v>
      </c>
      <c r="BI50" s="138">
        <f>COUNTIFS('Отчет РПЗ(ПЗ)_ПЗИП'!$G:$G,Справочно!$C33,'Отчет РПЗ(ПЗ)_ПЗИП'!$AR:$AR,10,'Отчет РПЗ(ПЗ)_ПЗИП'!$AG:$AG,"&gt;0")</f>
        <v>0</v>
      </c>
      <c r="BJ50" s="396">
        <f>ПП!AF38</f>
        <v>0</v>
      </c>
      <c r="BK50" s="307">
        <f>SUMIFS('Отчет РПЗ(ПЗ)_ПЗИП'!$AG:$AG,'Отчет РПЗ(ПЗ)_ПЗИП'!$G:$G,Справочно!$C33,'Отчет РПЗ(ПЗ)_ПЗИП'!$AR:$AR,10,'Отчет РПЗ(ПЗ)_ПЗИП'!$AG:$AG,"&gt;0")</f>
        <v>0</v>
      </c>
      <c r="BL50" s="157">
        <f>ПП!AG38</f>
        <v>0</v>
      </c>
      <c r="BM50" s="138">
        <f>COUNTIFS('Отчет РПЗ(ПЗ)_ПЗИП'!$G:$G,Справочно!$C33,'Отчет РПЗ(ПЗ)_ПЗИП'!$AR:$AR,11,'Отчет РПЗ(ПЗ)_ПЗИП'!$AG:$AG,"&gt;0")</f>
        <v>0</v>
      </c>
      <c r="BN50" s="396">
        <f>ПП!AH38</f>
        <v>0</v>
      </c>
      <c r="BO50" s="307">
        <f>SUMIFS('Отчет РПЗ(ПЗ)_ПЗИП'!$AG:$AG,'Отчет РПЗ(ПЗ)_ПЗИП'!$G:$G,Справочно!$C33,'Отчет РПЗ(ПЗ)_ПЗИП'!$AR:$AR,11,'Отчет РПЗ(ПЗ)_ПЗИП'!$AG:$AG,"&gt;0")</f>
        <v>0</v>
      </c>
      <c r="BP50" s="157">
        <f>ПП!AI38</f>
        <v>0</v>
      </c>
      <c r="BQ50" s="138">
        <f>COUNTIFS('Отчет РПЗ(ПЗ)_ПЗИП'!$G:$G,Справочно!$C33,'Отчет РПЗ(ПЗ)_ПЗИП'!$AR:$AR,12,'Отчет РПЗ(ПЗ)_ПЗИП'!$AG:$AG,"&gt;0")</f>
        <v>0</v>
      </c>
      <c r="BR50" s="396">
        <f>ПП!AJ38</f>
        <v>0</v>
      </c>
      <c r="BS50" s="313">
        <f>SUMIFS('Отчет РПЗ(ПЗ)_ПЗИП'!$AG:$AG,'Отчет РПЗ(ПЗ)_ПЗИП'!$G:$G,Справочно!$C33,'Отчет РПЗ(ПЗ)_ПЗИП'!$AR:$AR,12,'Отчет РПЗ(ПЗ)_ПЗИП'!$AG:$AG,"&gt;0")</f>
        <v>0</v>
      </c>
      <c r="BT50" s="176">
        <f>SUM(BH50,BL50,BP50)</f>
        <v>0</v>
      </c>
      <c r="BU50" s="177">
        <f>SUM(BI50,BM50,BQ50)</f>
        <v>0</v>
      </c>
      <c r="BV50" s="393">
        <f>SUM(BJ50,BN50,BR50)</f>
        <v>0</v>
      </c>
      <c r="BW50" s="309">
        <f>SUM(BK50,BO50,BS50)</f>
        <v>0</v>
      </c>
    </row>
    <row r="51" spans="2:75" ht="13.5" thickBot="1" x14ac:dyDescent="0.25">
      <c r="B51" s="764"/>
      <c r="C51" s="765"/>
      <c r="D51" s="765"/>
      <c r="E51" s="765"/>
      <c r="F51" s="765"/>
      <c r="G51" s="765"/>
      <c r="H51" s="765"/>
      <c r="I51" s="765"/>
      <c r="J51" s="766"/>
      <c r="K51" s="64"/>
      <c r="L51" s="791"/>
      <c r="M51" s="792"/>
      <c r="N51" s="792"/>
      <c r="O51" s="792"/>
      <c r="P51" s="792"/>
      <c r="Q51" s="792"/>
      <c r="R51" s="792"/>
      <c r="S51" s="792"/>
      <c r="T51" s="792"/>
      <c r="U51" s="792"/>
      <c r="V51" s="792"/>
      <c r="W51" s="792"/>
      <c r="X51" s="792"/>
      <c r="Y51" s="792"/>
      <c r="Z51" s="792"/>
      <c r="AA51" s="793"/>
      <c r="AB51" s="791"/>
      <c r="AC51" s="792"/>
      <c r="AD51" s="792"/>
      <c r="AE51" s="792"/>
      <c r="AF51" s="792"/>
      <c r="AG51" s="792"/>
      <c r="AH51" s="792"/>
      <c r="AI51" s="792"/>
      <c r="AJ51" s="792"/>
      <c r="AK51" s="792"/>
      <c r="AL51" s="792"/>
      <c r="AM51" s="792"/>
      <c r="AN51" s="792"/>
      <c r="AO51" s="792"/>
      <c r="AP51" s="792"/>
      <c r="AQ51" s="793"/>
      <c r="AR51" s="791"/>
      <c r="AS51" s="792"/>
      <c r="AT51" s="792"/>
      <c r="AU51" s="792"/>
      <c r="AV51" s="792"/>
      <c r="AW51" s="792"/>
      <c r="AX51" s="792"/>
      <c r="AY51" s="792"/>
      <c r="AZ51" s="792"/>
      <c r="BA51" s="792"/>
      <c r="BB51" s="792"/>
      <c r="BC51" s="792"/>
      <c r="BD51" s="792"/>
      <c r="BE51" s="792"/>
      <c r="BF51" s="792"/>
      <c r="BG51" s="793"/>
      <c r="BH51" s="791"/>
      <c r="BI51" s="792"/>
      <c r="BJ51" s="792"/>
      <c r="BK51" s="792"/>
      <c r="BL51" s="792"/>
      <c r="BM51" s="792"/>
      <c r="BN51" s="792"/>
      <c r="BO51" s="792"/>
      <c r="BP51" s="792"/>
      <c r="BQ51" s="792"/>
      <c r="BR51" s="792"/>
      <c r="BS51" s="792"/>
      <c r="BT51" s="792"/>
      <c r="BU51" s="792"/>
      <c r="BV51" s="792"/>
      <c r="BW51" s="793"/>
    </row>
    <row r="52" spans="2:75" ht="13.5" thickBot="1" x14ac:dyDescent="0.25">
      <c r="B52" s="69" t="s">
        <v>259</v>
      </c>
      <c r="C52" s="98">
        <f>C48+C50+C91</f>
        <v>0</v>
      </c>
      <c r="D52" s="390" t="e">
        <f t="shared" ref="D52:J52" si="19">D48+D50</f>
        <v>#DIV/0!</v>
      </c>
      <c r="E52" s="96">
        <f t="shared" si="19"/>
        <v>0</v>
      </c>
      <c r="F52" s="364" t="e">
        <f t="shared" si="19"/>
        <v>#DIV/0!</v>
      </c>
      <c r="G52" s="387">
        <f t="shared" si="19"/>
        <v>0</v>
      </c>
      <c r="H52" s="292" t="e">
        <f t="shared" si="19"/>
        <v>#DIV/0!</v>
      </c>
      <c r="I52" s="388">
        <f t="shared" si="19"/>
        <v>0</v>
      </c>
      <c r="J52" s="391" t="e">
        <f t="shared" si="19"/>
        <v>#DIV/0!</v>
      </c>
      <c r="L52" s="156">
        <f>SUM(L48,L50)</f>
        <v>0</v>
      </c>
      <c r="M52" s="142">
        <f>SUM(M48,M50)</f>
        <v>0</v>
      </c>
      <c r="N52" s="396">
        <f t="shared" ref="N52:Z52" si="20">SUM(N48,N50)</f>
        <v>0</v>
      </c>
      <c r="O52" s="307">
        <f>SUM(O48,O50)</f>
        <v>0</v>
      </c>
      <c r="P52" s="159">
        <f t="shared" si="20"/>
        <v>0</v>
      </c>
      <c r="Q52" s="142">
        <f>SUM(Q48,Q50)</f>
        <v>0</v>
      </c>
      <c r="R52" s="396">
        <f t="shared" si="20"/>
        <v>0</v>
      </c>
      <c r="S52" s="307">
        <f>SUM(S48,S50)</f>
        <v>0</v>
      </c>
      <c r="T52" s="159">
        <f t="shared" si="20"/>
        <v>0</v>
      </c>
      <c r="U52" s="142">
        <f>SUM(U48,U50)</f>
        <v>0</v>
      </c>
      <c r="V52" s="396">
        <f t="shared" si="20"/>
        <v>0</v>
      </c>
      <c r="W52" s="313">
        <f>SUM(W48,W50)</f>
        <v>0</v>
      </c>
      <c r="X52" s="174">
        <f t="shared" si="20"/>
        <v>0</v>
      </c>
      <c r="Y52" s="178">
        <f>SUM(Y48,Y50)</f>
        <v>0</v>
      </c>
      <c r="Z52" s="393">
        <f t="shared" si="20"/>
        <v>0</v>
      </c>
      <c r="AA52" s="309">
        <f t="shared" ref="AA52:BF52" si="21">SUM(AA48,AA50)</f>
        <v>0</v>
      </c>
      <c r="AB52" s="156">
        <f t="shared" si="21"/>
        <v>0</v>
      </c>
      <c r="AC52" s="142">
        <f t="shared" si="21"/>
        <v>0</v>
      </c>
      <c r="AD52" s="396">
        <f t="shared" si="21"/>
        <v>0</v>
      </c>
      <c r="AE52" s="307">
        <f t="shared" si="21"/>
        <v>0</v>
      </c>
      <c r="AF52" s="159">
        <f t="shared" si="21"/>
        <v>0</v>
      </c>
      <c r="AG52" s="142">
        <f t="shared" si="21"/>
        <v>0</v>
      </c>
      <c r="AH52" s="396">
        <f t="shared" si="21"/>
        <v>0</v>
      </c>
      <c r="AI52" s="307">
        <f t="shared" si="21"/>
        <v>0</v>
      </c>
      <c r="AJ52" s="159">
        <f t="shared" si="21"/>
        <v>0</v>
      </c>
      <c r="AK52" s="142">
        <f t="shared" si="21"/>
        <v>0</v>
      </c>
      <c r="AL52" s="396">
        <f t="shared" si="21"/>
        <v>0</v>
      </c>
      <c r="AM52" s="313">
        <f t="shared" si="21"/>
        <v>0</v>
      </c>
      <c r="AN52" s="174">
        <f t="shared" si="21"/>
        <v>0</v>
      </c>
      <c r="AO52" s="178">
        <f t="shared" si="21"/>
        <v>0</v>
      </c>
      <c r="AP52" s="393">
        <f t="shared" si="21"/>
        <v>0</v>
      </c>
      <c r="AQ52" s="309">
        <f t="shared" si="21"/>
        <v>0</v>
      </c>
      <c r="AR52" s="156">
        <f t="shared" si="21"/>
        <v>0</v>
      </c>
      <c r="AS52" s="142">
        <f t="shared" si="21"/>
        <v>0</v>
      </c>
      <c r="AT52" s="396">
        <f t="shared" si="21"/>
        <v>0</v>
      </c>
      <c r="AU52" s="307">
        <f t="shared" si="21"/>
        <v>0</v>
      </c>
      <c r="AV52" s="159">
        <f t="shared" si="21"/>
        <v>0</v>
      </c>
      <c r="AW52" s="142">
        <f t="shared" si="21"/>
        <v>0</v>
      </c>
      <c r="AX52" s="396">
        <f t="shared" si="21"/>
        <v>0</v>
      </c>
      <c r="AY52" s="307">
        <f t="shared" si="21"/>
        <v>0</v>
      </c>
      <c r="AZ52" s="159">
        <f t="shared" si="21"/>
        <v>0</v>
      </c>
      <c r="BA52" s="142">
        <f t="shared" si="21"/>
        <v>0</v>
      </c>
      <c r="BB52" s="396">
        <f t="shared" si="21"/>
        <v>0</v>
      </c>
      <c r="BC52" s="313">
        <f t="shared" si="21"/>
        <v>0</v>
      </c>
      <c r="BD52" s="174">
        <f t="shared" si="21"/>
        <v>0</v>
      </c>
      <c r="BE52" s="178">
        <f t="shared" si="21"/>
        <v>0</v>
      </c>
      <c r="BF52" s="393">
        <f t="shared" si="21"/>
        <v>0</v>
      </c>
      <c r="BG52" s="309">
        <f t="shared" ref="BG52:BW52" si="22">SUM(BG48,BG50)</f>
        <v>0</v>
      </c>
      <c r="BH52" s="156">
        <f t="shared" si="22"/>
        <v>0</v>
      </c>
      <c r="BI52" s="142">
        <f t="shared" si="22"/>
        <v>0</v>
      </c>
      <c r="BJ52" s="396">
        <f t="shared" si="22"/>
        <v>0</v>
      </c>
      <c r="BK52" s="307">
        <f t="shared" si="22"/>
        <v>0</v>
      </c>
      <c r="BL52" s="159">
        <f t="shared" si="22"/>
        <v>0</v>
      </c>
      <c r="BM52" s="142">
        <f t="shared" si="22"/>
        <v>0</v>
      </c>
      <c r="BN52" s="396">
        <f t="shared" si="22"/>
        <v>0</v>
      </c>
      <c r="BO52" s="307">
        <f t="shared" si="22"/>
        <v>0</v>
      </c>
      <c r="BP52" s="159">
        <f t="shared" si="22"/>
        <v>0</v>
      </c>
      <c r="BQ52" s="142">
        <f t="shared" si="22"/>
        <v>0</v>
      </c>
      <c r="BR52" s="396">
        <f t="shared" si="22"/>
        <v>0</v>
      </c>
      <c r="BS52" s="313">
        <f t="shared" si="22"/>
        <v>0</v>
      </c>
      <c r="BT52" s="174">
        <f t="shared" si="22"/>
        <v>0</v>
      </c>
      <c r="BU52" s="178">
        <f t="shared" si="22"/>
        <v>0</v>
      </c>
      <c r="BV52" s="393">
        <f t="shared" si="22"/>
        <v>0</v>
      </c>
      <c r="BW52" s="309">
        <f t="shared" si="22"/>
        <v>0</v>
      </c>
    </row>
    <row r="53" spans="2:75" ht="22.5" customHeight="1" thickBot="1" x14ac:dyDescent="0.3">
      <c r="B53" s="801" t="s">
        <v>244</v>
      </c>
      <c r="C53" s="801"/>
      <c r="D53" s="801"/>
      <c r="E53" s="801"/>
      <c r="F53" s="801"/>
      <c r="G53" s="801"/>
      <c r="H53" s="801"/>
      <c r="I53" s="803"/>
      <c r="J53" s="803"/>
      <c r="L53" s="800" t="s">
        <v>244</v>
      </c>
      <c r="M53" s="801"/>
      <c r="N53" s="801"/>
      <c r="O53" s="801"/>
      <c r="P53" s="801"/>
      <c r="Q53" s="801"/>
      <c r="R53" s="801"/>
      <c r="S53" s="801"/>
      <c r="T53" s="801"/>
      <c r="U53" s="801"/>
      <c r="V53" s="801"/>
      <c r="W53" s="801"/>
      <c r="X53" s="801"/>
      <c r="Y53" s="801"/>
      <c r="Z53" s="801"/>
      <c r="AA53" s="802"/>
      <c r="AB53" s="800" t="s">
        <v>244</v>
      </c>
      <c r="AC53" s="801"/>
      <c r="AD53" s="801"/>
      <c r="AE53" s="801"/>
      <c r="AF53" s="801"/>
      <c r="AG53" s="801"/>
      <c r="AH53" s="801"/>
      <c r="AI53" s="801"/>
      <c r="AJ53" s="801"/>
      <c r="AK53" s="801"/>
      <c r="AL53" s="801"/>
      <c r="AM53" s="801"/>
      <c r="AN53" s="801"/>
      <c r="AO53" s="801"/>
      <c r="AP53" s="801"/>
      <c r="AQ53" s="802"/>
      <c r="AR53" s="800" t="s">
        <v>244</v>
      </c>
      <c r="AS53" s="801"/>
      <c r="AT53" s="801"/>
      <c r="AU53" s="801"/>
      <c r="AV53" s="801"/>
      <c r="AW53" s="801"/>
      <c r="AX53" s="801"/>
      <c r="AY53" s="801"/>
      <c r="AZ53" s="801"/>
      <c r="BA53" s="801"/>
      <c r="BB53" s="801"/>
      <c r="BC53" s="801"/>
      <c r="BD53" s="801"/>
      <c r="BE53" s="801"/>
      <c r="BF53" s="801"/>
      <c r="BG53" s="802"/>
      <c r="BH53" s="800" t="s">
        <v>244</v>
      </c>
      <c r="BI53" s="801"/>
      <c r="BJ53" s="801"/>
      <c r="BK53" s="801"/>
      <c r="BL53" s="801"/>
      <c r="BM53" s="801"/>
      <c r="BN53" s="801"/>
      <c r="BO53" s="801"/>
      <c r="BP53" s="801"/>
      <c r="BQ53" s="801"/>
      <c r="BR53" s="801"/>
      <c r="BS53" s="801"/>
      <c r="BT53" s="801"/>
      <c r="BU53" s="801"/>
      <c r="BV53" s="801"/>
      <c r="BW53" s="802"/>
    </row>
    <row r="54" spans="2:75" ht="54.75" customHeight="1" thickBot="1" x14ac:dyDescent="0.25">
      <c r="B54" s="134" t="s">
        <v>210</v>
      </c>
      <c r="C54" s="275" t="s">
        <v>289</v>
      </c>
      <c r="D54" s="65" t="s">
        <v>240</v>
      </c>
      <c r="E54" s="276" t="s">
        <v>288</v>
      </c>
      <c r="F54" s="275" t="s">
        <v>692</v>
      </c>
      <c r="G54" s="65" t="s">
        <v>693</v>
      </c>
      <c r="H54" s="273" t="s">
        <v>694</v>
      </c>
      <c r="I54" s="738" t="s">
        <v>261</v>
      </c>
      <c r="J54" s="739"/>
      <c r="L54" s="171" t="s">
        <v>288</v>
      </c>
      <c r="M54" s="172" t="s">
        <v>225</v>
      </c>
      <c r="N54" s="741" t="s">
        <v>261</v>
      </c>
      <c r="O54" s="741"/>
      <c r="P54" s="172" t="s">
        <v>288</v>
      </c>
      <c r="Q54" s="172" t="s">
        <v>225</v>
      </c>
      <c r="R54" s="741" t="s">
        <v>261</v>
      </c>
      <c r="S54" s="741"/>
      <c r="T54" s="172" t="s">
        <v>288</v>
      </c>
      <c r="U54" s="172" t="s">
        <v>225</v>
      </c>
      <c r="V54" s="741" t="s">
        <v>261</v>
      </c>
      <c r="W54" s="653"/>
      <c r="X54" s="100" t="s">
        <v>288</v>
      </c>
      <c r="Y54" s="100" t="s">
        <v>225</v>
      </c>
      <c r="Z54" s="747" t="s">
        <v>261</v>
      </c>
      <c r="AA54" s="747"/>
      <c r="AB54" s="171" t="s">
        <v>288</v>
      </c>
      <c r="AC54" s="172" t="s">
        <v>225</v>
      </c>
      <c r="AD54" s="741" t="s">
        <v>261</v>
      </c>
      <c r="AE54" s="741"/>
      <c r="AF54" s="172" t="s">
        <v>288</v>
      </c>
      <c r="AG54" s="172" t="s">
        <v>225</v>
      </c>
      <c r="AH54" s="741" t="s">
        <v>261</v>
      </c>
      <c r="AI54" s="741"/>
      <c r="AJ54" s="172" t="s">
        <v>288</v>
      </c>
      <c r="AK54" s="172" t="s">
        <v>225</v>
      </c>
      <c r="AL54" s="741" t="s">
        <v>261</v>
      </c>
      <c r="AM54" s="653"/>
      <c r="AN54" s="100" t="s">
        <v>288</v>
      </c>
      <c r="AO54" s="100" t="s">
        <v>225</v>
      </c>
      <c r="AP54" s="747" t="s">
        <v>261</v>
      </c>
      <c r="AQ54" s="747"/>
      <c r="AR54" s="171" t="s">
        <v>288</v>
      </c>
      <c r="AS54" s="172" t="s">
        <v>225</v>
      </c>
      <c r="AT54" s="741" t="s">
        <v>261</v>
      </c>
      <c r="AU54" s="741"/>
      <c r="AV54" s="172" t="s">
        <v>288</v>
      </c>
      <c r="AW54" s="172" t="s">
        <v>225</v>
      </c>
      <c r="AX54" s="741" t="s">
        <v>261</v>
      </c>
      <c r="AY54" s="741"/>
      <c r="AZ54" s="172" t="s">
        <v>288</v>
      </c>
      <c r="BA54" s="172" t="s">
        <v>225</v>
      </c>
      <c r="BB54" s="741" t="s">
        <v>261</v>
      </c>
      <c r="BC54" s="653"/>
      <c r="BD54" s="100" t="s">
        <v>288</v>
      </c>
      <c r="BE54" s="100" t="s">
        <v>225</v>
      </c>
      <c r="BF54" s="747" t="s">
        <v>261</v>
      </c>
      <c r="BG54" s="747"/>
      <c r="BH54" s="171" t="s">
        <v>288</v>
      </c>
      <c r="BI54" s="172" t="s">
        <v>225</v>
      </c>
      <c r="BJ54" s="741" t="s">
        <v>261</v>
      </c>
      <c r="BK54" s="741"/>
      <c r="BL54" s="172" t="s">
        <v>288</v>
      </c>
      <c r="BM54" s="172" t="s">
        <v>225</v>
      </c>
      <c r="BN54" s="741" t="s">
        <v>261</v>
      </c>
      <c r="BO54" s="741"/>
      <c r="BP54" s="172" t="s">
        <v>288</v>
      </c>
      <c r="BQ54" s="172" t="s">
        <v>225</v>
      </c>
      <c r="BR54" s="741" t="s">
        <v>261</v>
      </c>
      <c r="BS54" s="653"/>
      <c r="BT54" s="100" t="s">
        <v>288</v>
      </c>
      <c r="BU54" s="100" t="s">
        <v>225</v>
      </c>
      <c r="BV54" s="747" t="s">
        <v>261</v>
      </c>
      <c r="BW54" s="747"/>
    </row>
    <row r="55" spans="2:75" ht="15" customHeight="1" thickBot="1" x14ac:dyDescent="0.25">
      <c r="B55" s="135"/>
      <c r="C55" s="740" t="s">
        <v>40</v>
      </c>
      <c r="D55" s="740"/>
      <c r="E55" s="277"/>
      <c r="F55" s="738" t="s">
        <v>247</v>
      </c>
      <c r="G55" s="739"/>
      <c r="H55" s="278"/>
      <c r="I55" s="274" t="s">
        <v>222</v>
      </c>
      <c r="J55" s="276" t="s">
        <v>116</v>
      </c>
      <c r="L55" s="139" t="s">
        <v>40</v>
      </c>
      <c r="M55" s="140" t="s">
        <v>247</v>
      </c>
      <c r="N55" s="140" t="s">
        <v>222</v>
      </c>
      <c r="O55" s="140" t="s">
        <v>116</v>
      </c>
      <c r="P55" s="140" t="s">
        <v>40</v>
      </c>
      <c r="Q55" s="140" t="s">
        <v>247</v>
      </c>
      <c r="R55" s="140" t="s">
        <v>222</v>
      </c>
      <c r="S55" s="140" t="s">
        <v>116</v>
      </c>
      <c r="T55" s="140" t="s">
        <v>40</v>
      </c>
      <c r="U55" s="140" t="s">
        <v>247</v>
      </c>
      <c r="V55" s="140" t="s">
        <v>222</v>
      </c>
      <c r="W55" s="141" t="s">
        <v>116</v>
      </c>
      <c r="X55" s="100" t="s">
        <v>40</v>
      </c>
      <c r="Y55" s="100" t="s">
        <v>247</v>
      </c>
      <c r="Z55" s="100" t="s">
        <v>222</v>
      </c>
      <c r="AA55" s="100" t="s">
        <v>116</v>
      </c>
      <c r="AB55" s="139" t="s">
        <v>40</v>
      </c>
      <c r="AC55" s="140" t="s">
        <v>247</v>
      </c>
      <c r="AD55" s="140" t="s">
        <v>222</v>
      </c>
      <c r="AE55" s="140" t="s">
        <v>116</v>
      </c>
      <c r="AF55" s="140" t="s">
        <v>40</v>
      </c>
      <c r="AG55" s="140" t="s">
        <v>247</v>
      </c>
      <c r="AH55" s="140" t="s">
        <v>222</v>
      </c>
      <c r="AI55" s="140" t="s">
        <v>116</v>
      </c>
      <c r="AJ55" s="140" t="s">
        <v>40</v>
      </c>
      <c r="AK55" s="140" t="s">
        <v>247</v>
      </c>
      <c r="AL55" s="140" t="s">
        <v>222</v>
      </c>
      <c r="AM55" s="141" t="s">
        <v>116</v>
      </c>
      <c r="AN55" s="100" t="s">
        <v>40</v>
      </c>
      <c r="AO55" s="100" t="s">
        <v>247</v>
      </c>
      <c r="AP55" s="100" t="s">
        <v>222</v>
      </c>
      <c r="AQ55" s="100" t="s">
        <v>116</v>
      </c>
      <c r="AR55" s="139" t="s">
        <v>40</v>
      </c>
      <c r="AS55" s="140" t="s">
        <v>247</v>
      </c>
      <c r="AT55" s="140" t="s">
        <v>222</v>
      </c>
      <c r="AU55" s="140" t="s">
        <v>116</v>
      </c>
      <c r="AV55" s="140" t="s">
        <v>40</v>
      </c>
      <c r="AW55" s="140" t="s">
        <v>247</v>
      </c>
      <c r="AX55" s="140" t="s">
        <v>222</v>
      </c>
      <c r="AY55" s="140" t="s">
        <v>116</v>
      </c>
      <c r="AZ55" s="140" t="s">
        <v>40</v>
      </c>
      <c r="BA55" s="140" t="s">
        <v>247</v>
      </c>
      <c r="BB55" s="140" t="s">
        <v>222</v>
      </c>
      <c r="BC55" s="141" t="s">
        <v>116</v>
      </c>
      <c r="BD55" s="100" t="s">
        <v>40</v>
      </c>
      <c r="BE55" s="100" t="s">
        <v>247</v>
      </c>
      <c r="BF55" s="100" t="s">
        <v>222</v>
      </c>
      <c r="BG55" s="100" t="s">
        <v>116</v>
      </c>
      <c r="BH55" s="139" t="s">
        <v>40</v>
      </c>
      <c r="BI55" s="140" t="s">
        <v>247</v>
      </c>
      <c r="BJ55" s="140" t="s">
        <v>222</v>
      </c>
      <c r="BK55" s="140" t="s">
        <v>116</v>
      </c>
      <c r="BL55" s="140" t="s">
        <v>40</v>
      </c>
      <c r="BM55" s="140" t="s">
        <v>247</v>
      </c>
      <c r="BN55" s="140" t="s">
        <v>222</v>
      </c>
      <c r="BO55" s="140" t="s">
        <v>116</v>
      </c>
      <c r="BP55" s="140" t="s">
        <v>40</v>
      </c>
      <c r="BQ55" s="140" t="s">
        <v>247</v>
      </c>
      <c r="BR55" s="140" t="s">
        <v>222</v>
      </c>
      <c r="BS55" s="141" t="s">
        <v>116</v>
      </c>
      <c r="BT55" s="100" t="s">
        <v>40</v>
      </c>
      <c r="BU55" s="100" t="s">
        <v>247</v>
      </c>
      <c r="BV55" s="100" t="s">
        <v>222</v>
      </c>
      <c r="BW55" s="100" t="s">
        <v>116</v>
      </c>
    </row>
    <row r="56" spans="2:75" ht="15" customHeight="1" thickBot="1" x14ac:dyDescent="0.25">
      <c r="B56" s="58" t="str">
        <f>Справочно!E21</f>
        <v>ГК "Ростех"</v>
      </c>
      <c r="C56" s="95">
        <f>ПП!B44</f>
        <v>0</v>
      </c>
      <c r="D56" s="381" t="e">
        <f>ПП!C44</f>
        <v>#DIV/0!</v>
      </c>
      <c r="E56" s="406">
        <f>ПП!D44</f>
        <v>0</v>
      </c>
      <c r="F56" s="272">
        <f>COUNTIFS('Отчет РПЗ(ПЗ)_ПЗИП'!$AG:$AG,"&gt;0",'Отчет РПЗ(ПЗ)_ПЗИП'!$D:$D,Справочно!$E21)</f>
        <v>0</v>
      </c>
      <c r="G56" s="407" t="e">
        <f>F56/$E$52</f>
        <v>#DIV/0!</v>
      </c>
      <c r="H56" s="408">
        <f>SUMIF('Отчет РПЗ(ПЗ)_ПЗИП'!$D:$D,Справочно!$E21,'Отчет РПЗ(ПЗ)_ПЗИП'!$AG:$AG)</f>
        <v>0</v>
      </c>
      <c r="I56" s="428">
        <f>(IF($D$3=1,Z56,0)+IF($D$3=2,Z56+AP56,0)+IF($D$3=3,Z56+AP56+BF56,0)+IF($D$3=4,Z56+AP56+BF56+BV56,0))</f>
        <v>0</v>
      </c>
      <c r="J56" s="478" t="e">
        <f>I56/(X56+AN56+BD56+BT56)</f>
        <v>#DIV/0!</v>
      </c>
      <c r="L56" s="397">
        <f>SUMIFS('Отчет РПЗ(ПЗ)_ПЗИП'!$W:$W,'Отчет РПЗ(ПЗ)_ПЗИП'!$D:$D,Справочно!$E21,'Отчет РПЗ(ПЗ)_ПЗИП'!$N:$N,"&gt;=01.01.2018",'Отчет РПЗ(ПЗ)_ПЗИП'!$N:$N,"&lt;=31.01.2018",'Отчет РПЗ(ПЗ)_ПЗИП'!$AG:$AG,"&gt;0")</f>
        <v>0</v>
      </c>
      <c r="M56" s="297">
        <f>SUMIFS('Отчет РПЗ(ПЗ)_ПЗИП'!$AG:$AG,'Отчет РПЗ(ПЗ)_ПЗИП'!$D:$D,Справочно!$E21,'Отчет РПЗ(ПЗ)_ПЗИП'!$AR:$AR,1)</f>
        <v>0</v>
      </c>
      <c r="N56" s="305" t="str">
        <f>IF(M56=0,"НД",L56-M56)</f>
        <v>НД</v>
      </c>
      <c r="O56" s="231" t="str">
        <f>IF(M56=0, "НД", IF((N56="НД"),"НД",N56/L56))</f>
        <v>НД</v>
      </c>
      <c r="P56" s="392">
        <f>SUMIFS('Отчет РПЗ(ПЗ)_ПЗИП'!$W:$W,'Отчет РПЗ(ПЗ)_ПЗИП'!$D:$D,Справочно!$E21,'Отчет РПЗ(ПЗ)_ПЗИП'!$N:$N,"&gt;=01.02.2018",'Отчет РПЗ(ПЗ)_ПЗИП'!$N:$N,"&lt;=28.02.2018",'Отчет РПЗ(ПЗ)_ПЗИП'!$AG:$AG,"&gt;0")</f>
        <v>0</v>
      </c>
      <c r="Q56" s="297">
        <f>SUMIFS('Отчет РПЗ(ПЗ)_ПЗИП'!$AG:$AG,'Отчет РПЗ(ПЗ)_ПЗИП'!$D:$D,Справочно!$E21,'Отчет РПЗ(ПЗ)_ПЗИП'!$AR:$AR,2)</f>
        <v>0</v>
      </c>
      <c r="R56" s="305" t="str">
        <f>IF(Q56=0,"НД",P56-Q56)</f>
        <v>НД</v>
      </c>
      <c r="S56" s="231" t="str">
        <f>IF(Q56=0, "НД", IF((R56="НД"),"НД",R56/P56))</f>
        <v>НД</v>
      </c>
      <c r="T56" s="392">
        <f>SUMIFS('Отчет РПЗ(ПЗ)_ПЗИП'!$W:$W,'Отчет РПЗ(ПЗ)_ПЗИП'!$D:$D,Справочно!$E21,'Отчет РПЗ(ПЗ)_ПЗИП'!$N:$N,"&gt;=01.03.2018",'Отчет РПЗ(ПЗ)_ПЗИП'!$N:$N,"&lt;=31.03.2018",'Отчет РПЗ(ПЗ)_ПЗИП'!$AG:$AG,"&gt;0")</f>
        <v>0</v>
      </c>
      <c r="U56" s="297">
        <f>SUMIFS('Отчет РПЗ(ПЗ)_ПЗИП'!$AG:$AG,'Отчет РПЗ(ПЗ)_ПЗИП'!$D:$D,Справочно!$E21,'Отчет РПЗ(ПЗ)_ПЗИП'!$AR:$AR,3)</f>
        <v>0</v>
      </c>
      <c r="V56" s="305" t="str">
        <f>IF(U56=0,"НД",T56-U56)</f>
        <v>НД</v>
      </c>
      <c r="W56" s="231" t="str">
        <f t="shared" ref="W56:W81" si="23">IF(U56=0, "НД", IF((V56="НД"),"НД",V56/T56))</f>
        <v>НД</v>
      </c>
      <c r="X56" s="393">
        <f>SUM(L56,P56,T56)</f>
        <v>0</v>
      </c>
      <c r="Y56" s="298">
        <f>SUM(M56,Q56,U56)</f>
        <v>0</v>
      </c>
      <c r="Z56" s="298">
        <f t="shared" ref="Z56:Z81" si="24">IF(Y56=0,0,X56-Y56)</f>
        <v>0</v>
      </c>
      <c r="AA56" s="233">
        <f t="shared" ref="AA56:AA78" si="25">IF(Y56=0, 0, IF((Z56="НД"),"НД",Z56/X56))</f>
        <v>0</v>
      </c>
      <c r="AB56" s="397">
        <f>SUMIFS('Отчет РПЗ(ПЗ)_ПЗИП'!$W:$W,'Отчет РПЗ(ПЗ)_ПЗИП'!$D:$D,Справочно!$E21,'Отчет РПЗ(ПЗ)_ПЗИП'!$N:$N,"&gt;=01.04.2018",'Отчет РПЗ(ПЗ)_ПЗИП'!$N:$N,"&lt;=30.04.2018",'Отчет РПЗ(ПЗ)_ПЗИП'!$AG:$AG,"&gt;0")</f>
        <v>0</v>
      </c>
      <c r="AC56" s="299">
        <f>SUMIFS('Отчет РПЗ(ПЗ)_ПЗИП'!$AG:$AG,'Отчет РПЗ(ПЗ)_ПЗИП'!$D:$D,Справочно!$E21,'Отчет РПЗ(ПЗ)_ПЗИП'!$AR:$AR,4)</f>
        <v>0</v>
      </c>
      <c r="AD56" s="299" t="str">
        <f>IF(AC56=0,"НД",AB56-AC56)</f>
        <v>НД</v>
      </c>
      <c r="AE56" s="232" t="str">
        <f t="shared" ref="AE56:AE81" si="26">IF(AC56=0, "НД", IF((AD56="НД"),"НД",AD56/AB56))</f>
        <v>НД</v>
      </c>
      <c r="AF56" s="398">
        <f>SUMIFS('Отчет РПЗ(ПЗ)_ПЗИП'!$W:$W,'Отчет РПЗ(ПЗ)_ПЗИП'!$D:$D,Справочно!$E21,'Отчет РПЗ(ПЗ)_ПЗИП'!$N:$N,"&gt;=01.05.2018",'Отчет РПЗ(ПЗ)_ПЗИП'!$N:$N,"&lt;=31.05.2018",'Отчет РПЗ(ПЗ)_ПЗИП'!$AG:$AG,"&gt;0")</f>
        <v>0</v>
      </c>
      <c r="AG56" s="299">
        <f>SUMIFS('Отчет РПЗ(ПЗ)_ПЗИП'!$AG:$AG,'Отчет РПЗ(ПЗ)_ПЗИП'!$D:$D,Справочно!$E21,'Отчет РПЗ(ПЗ)_ПЗИП'!$AR:$AR,5)</f>
        <v>0</v>
      </c>
      <c r="AH56" s="299" t="str">
        <f>IF(AG56=0,"НД",AF56-AG56)</f>
        <v>НД</v>
      </c>
      <c r="AI56" s="232" t="str">
        <f t="shared" ref="AI56:AI81" si="27">IF(AG56=0, "НД", IF((AH56="НД"),"НД",AH56/AF56))</f>
        <v>НД</v>
      </c>
      <c r="AJ56" s="398">
        <f>SUMIFS('Отчет РПЗ(ПЗ)_ПЗИП'!$W:$W,'Отчет РПЗ(ПЗ)_ПЗИП'!$D:$D,Справочно!$E21,'Отчет РПЗ(ПЗ)_ПЗИП'!$N:$N,"&gt;=01.06.2018",'Отчет РПЗ(ПЗ)_ПЗИП'!$N:$N,"&lt;=30.06.2018",'Отчет РПЗ(ПЗ)_ПЗИП'!$AG:$AG,"&gt;0")</f>
        <v>0</v>
      </c>
      <c r="AK56" s="299">
        <f>SUMIFS('Отчет РПЗ(ПЗ)_ПЗИП'!$AG:$AG,'Отчет РПЗ(ПЗ)_ПЗИП'!$D:$D,Справочно!$E21,'Отчет РПЗ(ПЗ)_ПЗИП'!$AR:$AR,6)</f>
        <v>0</v>
      </c>
      <c r="AL56" s="299" t="str">
        <f>IF(AK56=0,"НД",AJ56-AK56)</f>
        <v>НД</v>
      </c>
      <c r="AM56" s="232" t="str">
        <f t="shared" ref="AM56:AM81" si="28">IF(AK56=0, "НД", IF((AL56="НД"),"НД",AL56/AJ56))</f>
        <v>НД</v>
      </c>
      <c r="AN56" s="393">
        <f>SUM(AB56,AF56,AJ56)</f>
        <v>0</v>
      </c>
      <c r="AO56" s="300">
        <f>SUM(AC56,AG56,AK56)</f>
        <v>0</v>
      </c>
      <c r="AP56" s="300">
        <f t="shared" ref="AP56:AP81" si="29">IF(AO56=0,0,AN56-AO56)</f>
        <v>0</v>
      </c>
      <c r="AQ56" s="234">
        <f t="shared" ref="AQ56:AQ81" si="30">IF(AO56=0, 0, IF((AP56="НД"),"НД",AP56/AN56))</f>
        <v>0</v>
      </c>
      <c r="AR56" s="397">
        <f>SUMIFS('Отчет РПЗ(ПЗ)_ПЗИП'!$W:$W,'Отчет РПЗ(ПЗ)_ПЗИП'!$D:$D,Справочно!$E21,'Отчет РПЗ(ПЗ)_ПЗИП'!$N:$N,"&gt;=01.07.2018",'Отчет РПЗ(ПЗ)_ПЗИП'!$N:$N,"&lt;=31.07.2018",'Отчет РПЗ(ПЗ)_ПЗИП'!$AG:$AG,"&gt;0")</f>
        <v>0</v>
      </c>
      <c r="AS56" s="301">
        <f>SUMIFS('Отчет РПЗ(ПЗ)_ПЗИП'!$AG:$AG,'Отчет РПЗ(ПЗ)_ПЗИП'!$D:$D,Справочно!$E21,'Отчет РПЗ(ПЗ)_ПЗИП'!$AR:$AR,7)</f>
        <v>0</v>
      </c>
      <c r="AT56" s="301" t="str">
        <f>IF(AS56=0,"НД",AR56-AS56)</f>
        <v>НД</v>
      </c>
      <c r="AU56" s="235" t="str">
        <f t="shared" ref="AU56:AU81" si="31">IF(AS56=0, "НД", IF((AT56="НД"),"НД",AT56/AR56))</f>
        <v>НД</v>
      </c>
      <c r="AV56" s="392">
        <f>SUMIFS('Отчет РПЗ(ПЗ)_ПЗИП'!$W:$W,'Отчет РПЗ(ПЗ)_ПЗИП'!$D:$D,Справочно!$E21,'Отчет РПЗ(ПЗ)_ПЗИП'!$N:$N,"&gt;=01.08.2018",'Отчет РПЗ(ПЗ)_ПЗИП'!$N:$N,"&lt;=31.08.2018",'Отчет РПЗ(ПЗ)_ПЗИП'!$AG:$AG,"&gt;0")</f>
        <v>0</v>
      </c>
      <c r="AW56" s="301">
        <f>SUMIFS('Отчет РПЗ(ПЗ)_ПЗИП'!$AG:$AG,'Отчет РПЗ(ПЗ)_ПЗИП'!$D:$D,Справочно!$E21,'Отчет РПЗ(ПЗ)_ПЗИП'!$AR:$AR,8)</f>
        <v>0</v>
      </c>
      <c r="AX56" s="301" t="str">
        <f>IF(AW56=0,"НД",AV56-AW56)</f>
        <v>НД</v>
      </c>
      <c r="AY56" s="237" t="str">
        <f t="shared" ref="AY56:AY81" si="32">IF(AW56=0, "НД", IF((AX56="НД"),"НД",AX56/AV56))</f>
        <v>НД</v>
      </c>
      <c r="AZ56" s="392">
        <f>SUMIFS('Отчет РПЗ(ПЗ)_ПЗИП'!$W:$W,'Отчет РПЗ(ПЗ)_ПЗИП'!$D:$D,Справочно!$E21,'Отчет РПЗ(ПЗ)_ПЗИП'!$N:$N,"&gt;=01.09.2018",'Отчет РПЗ(ПЗ)_ПЗИП'!$N:$N,"&lt;=30.09.2018",'Отчет РПЗ(ПЗ)_ПЗИП'!$AG:$AG,"&gt;0")</f>
        <v>0</v>
      </c>
      <c r="BA56" s="301">
        <f>SUMIFS('Отчет РПЗ(ПЗ)_ПЗИП'!$AG:$AG,'Отчет РПЗ(ПЗ)_ПЗИП'!$D:$D,Справочно!$E21,'Отчет РПЗ(ПЗ)_ПЗИП'!$AR:$AR,9)</f>
        <v>0</v>
      </c>
      <c r="BB56" s="301" t="str">
        <f>IF(BA56=0,"НД",AZ56-BA56)</f>
        <v>НД</v>
      </c>
      <c r="BC56" s="237" t="str">
        <f t="shared" ref="BC56:BC81" si="33">IF(BA56=0, "НД", IF((BB56="НД"),"НД",BB56/AZ56))</f>
        <v>НД</v>
      </c>
      <c r="BD56" s="393">
        <f>SUM(AR56,AV56,AZ56)</f>
        <v>0</v>
      </c>
      <c r="BE56" s="302">
        <f>SUM(AS56,AW56,BA56)</f>
        <v>0</v>
      </c>
      <c r="BF56" s="302">
        <f t="shared" ref="BF56:BF81" si="34">IF(BE56=0,0,BD56-BE56)</f>
        <v>0</v>
      </c>
      <c r="BG56" s="238">
        <f t="shared" ref="BG56:BG80" si="35">IF(BE56=0, 0, IF((BF56="НД"),"НД",BF56/BD56))</f>
        <v>0</v>
      </c>
      <c r="BH56" s="383">
        <f>SUMIFS('Отчет РПЗ(ПЗ)_ПЗИП'!$W:$W,'Отчет РПЗ(ПЗ)_ПЗИП'!$D:$D,Справочно!$E21,'Отчет РПЗ(ПЗ)_ПЗИП'!$N:$N,"&gt;=01.10.2018",'Отчет РПЗ(ПЗ)_ПЗИП'!$N:$N,"&lt;=31.10.2018",'Отчет РПЗ(ПЗ)_ПЗИП'!$AG:$AG,"&gt;0")</f>
        <v>0</v>
      </c>
      <c r="BI56" s="303">
        <f>SUMIFS('Отчет РПЗ(ПЗ)_ПЗИП'!$AG:$AG,'Отчет РПЗ(ПЗ)_ПЗИП'!$D:$D,Справочно!$E21,'Отчет РПЗ(ПЗ)_ПЗИП'!$AR:$AR,10)</f>
        <v>0</v>
      </c>
      <c r="BJ56" s="303" t="str">
        <f>IF(BI56=0,"НД",BH56-BI56)</f>
        <v>НД</v>
      </c>
      <c r="BK56" s="239" t="str">
        <f t="shared" ref="BK56:BK81" si="36">IF(BI56=0, "НД", IF((BJ56="НД"),"НД",BJ56/BH56))</f>
        <v>НД</v>
      </c>
      <c r="BL56" s="398">
        <f>SUMIFS('Отчет РПЗ(ПЗ)_ПЗИП'!$W:$W,'Отчет РПЗ(ПЗ)_ПЗИП'!$D:$D,Справочно!$E21,'Отчет РПЗ(ПЗ)_ПЗИП'!$N:$N,"&gt;=01.11.2018",'Отчет РПЗ(ПЗ)_ПЗИП'!$N:$N,"&lt;=30.11.2018",'Отчет РПЗ(ПЗ)_ПЗИП'!$AG:$AG,"&gt;0")</f>
        <v>0</v>
      </c>
      <c r="BM56" s="303">
        <f>SUMIFS('Отчет РПЗ(ПЗ)_ПЗИП'!$AG:$AG,'Отчет РПЗ(ПЗ)_ПЗИП'!$D:$D,Справочно!$E21,'Отчет РПЗ(ПЗ)_ПЗИП'!$AR:$AR,11)</f>
        <v>0</v>
      </c>
      <c r="BN56" s="303" t="str">
        <f>IF(BM56=0,"НД",BL56-BM56)</f>
        <v>НД</v>
      </c>
      <c r="BO56" s="239" t="str">
        <f t="shared" ref="BO56:BO81" si="37">IF(BM56=0, "НД", IF((BN56="НД"),"НД",BN56/BL56))</f>
        <v>НД</v>
      </c>
      <c r="BP56" s="398">
        <f>SUMIFS('Отчет РПЗ(ПЗ)_ПЗИП'!$W:$W,'Отчет РПЗ(ПЗ)_ПЗИП'!$D:$D,Справочно!$E21,'Отчет РПЗ(ПЗ)_ПЗИП'!$N:$N,"&gt;=01.12.2018",'Отчет РПЗ(ПЗ)_ПЗИП'!$N:$N,"&lt;=31.12.2018",'Отчет РПЗ(ПЗ)_ПЗИП'!$AG:$AG,"&gt;0")</f>
        <v>0</v>
      </c>
      <c r="BQ56" s="303">
        <f>SUMIFS('Отчет РПЗ(ПЗ)_ПЗИП'!$AG:$AG,'Отчет РПЗ(ПЗ)_ПЗИП'!$D:$D,Справочно!$E21,'Отчет РПЗ(ПЗ)_ПЗИП'!$AR:$AR,12)</f>
        <v>0</v>
      </c>
      <c r="BR56" s="303" t="str">
        <f>IF(BQ56=0,"НД",BP56-BQ56)</f>
        <v>НД</v>
      </c>
      <c r="BS56" s="241" t="str">
        <f t="shared" ref="BS56:BS81" si="38">IF(BQ56=0, "НД", IF((BR56="НД"),"НД",BR56/BP56))</f>
        <v>НД</v>
      </c>
      <c r="BT56" s="393">
        <f>SUM(BH56,BL56,BP56)</f>
        <v>0</v>
      </c>
      <c r="BU56" s="304">
        <f>SUM(BI56,BM56,BQ56)</f>
        <v>0</v>
      </c>
      <c r="BV56" s="304">
        <f t="shared" ref="BV56:BV81" si="39">IF(BU56=0,0,BT56-BU56)</f>
        <v>0</v>
      </c>
      <c r="BW56" s="243">
        <f t="shared" ref="BW56:BW81" si="40">IF(BU56=0, 0, IF((BV56="НД"),"НД",BV56/BT56))</f>
        <v>0</v>
      </c>
    </row>
    <row r="57" spans="2:75" ht="15" customHeight="1" thickBot="1" x14ac:dyDescent="0.25">
      <c r="B57" s="58" t="str">
        <f>Справочно!E22</f>
        <v>ООО "РТ-Развитие бизнеса"</v>
      </c>
      <c r="C57" s="95">
        <f>ПП!B45</f>
        <v>0</v>
      </c>
      <c r="D57" s="381" t="e">
        <f>ПП!C45</f>
        <v>#DIV/0!</v>
      </c>
      <c r="E57" s="406">
        <f>ПП!D45</f>
        <v>0</v>
      </c>
      <c r="F57" s="272">
        <f>COUNTIFS('Отчет РПЗ(ПЗ)_ПЗИП'!$AG:$AG,"&gt;0",'Отчет РПЗ(ПЗ)_ПЗИП'!$D:$D,Справочно!$E22)</f>
        <v>0</v>
      </c>
      <c r="G57" s="407" t="e">
        <f t="shared" ref="G57:G81" si="41">F57/$E$52</f>
        <v>#DIV/0!</v>
      </c>
      <c r="H57" s="408">
        <f>SUMIF('Отчет РПЗ(ПЗ)_ПЗИП'!$D:$D,Справочно!$E22,'Отчет РПЗ(ПЗ)_ПЗИП'!$AG:$AG)</f>
        <v>0</v>
      </c>
      <c r="I57" s="428">
        <f>(IF($D$3=1,Z57,0)+IF($D$3=2,Z57+AP57,0)+IF($D$3=3,Z57+AP57+BF57,0)+IF($D$3=4,Z57+AP57+BF57+BV57,0))</f>
        <v>0</v>
      </c>
      <c r="J57" s="478" t="e">
        <f t="shared" ref="J57:J79" si="42">I57/(X57+AN57+BD57+BT57)</f>
        <v>#DIV/0!</v>
      </c>
      <c r="L57" s="399">
        <f>SUMIFS('Отчет РПЗ(ПЗ)_ПЗИП'!$W:$W,'Отчет РПЗ(ПЗ)_ПЗИП'!$D:$D,Справочно!$E22,'Отчет РПЗ(ПЗ)_ПЗИП'!$N:$N,"&gt;=01.01.2018",'Отчет РПЗ(ПЗ)_ПЗИП'!$N:$N,"&lt;=31.01.2018",'Отчет РПЗ(ПЗ)_ПЗИП'!$AG:$AG,"&gt;0")</f>
        <v>0</v>
      </c>
      <c r="M57" s="297">
        <f>SUMIFS('Отчет РПЗ(ПЗ)_ПЗИП'!$AG:$AG,'Отчет РПЗ(ПЗ)_ПЗИП'!$D:$D,Справочно!$E22,'Отчет РПЗ(ПЗ)_ПЗИП'!$AR:$AR,1)</f>
        <v>0</v>
      </c>
      <c r="N57" s="305" t="str">
        <f t="shared" ref="N57:N81" si="43">IF(M57=0,"НД",L57-M57)</f>
        <v>НД</v>
      </c>
      <c r="O57" s="231" t="str">
        <f t="shared" ref="O57:O81" si="44">IF(M57=0, "НД", IF((N57="НД"),"НД",N57/L57))</f>
        <v>НД</v>
      </c>
      <c r="P57" s="394">
        <f>SUMIFS('Отчет РПЗ(ПЗ)_ПЗИП'!$W:$W,'Отчет РПЗ(ПЗ)_ПЗИП'!$D:$D,Справочно!$E22,'Отчет РПЗ(ПЗ)_ПЗИП'!$N:$N,"&gt;=01.02.2018",'Отчет РПЗ(ПЗ)_ПЗИП'!$N:$N,"&lt;=28.02.2018",'Отчет РПЗ(ПЗ)_ПЗИП'!$AG:$AG,"&gt;0")</f>
        <v>0</v>
      </c>
      <c r="Q57" s="297">
        <f>SUMIFS('Отчет РПЗ(ПЗ)_ПЗИП'!$AG:$AG,'Отчет РПЗ(ПЗ)_ПЗИП'!$D:$D,Справочно!$E22,'Отчет РПЗ(ПЗ)_ПЗИП'!$AR:$AR,2)</f>
        <v>0</v>
      </c>
      <c r="R57" s="305" t="str">
        <f t="shared" ref="R57:R81" si="45">IF(Q57=0,"НД",P57-Q57)</f>
        <v>НД</v>
      </c>
      <c r="S57" s="231" t="str">
        <f t="shared" ref="S57:S81" si="46">IF(Q57=0, "НД", IF((R57="НД"),"НД",R57/P57))</f>
        <v>НД</v>
      </c>
      <c r="T57" s="394">
        <f>SUMIFS('Отчет РПЗ(ПЗ)_ПЗИП'!$W:$W,'Отчет РПЗ(ПЗ)_ПЗИП'!$D:$D,Справочно!$E22,'Отчет РПЗ(ПЗ)_ПЗИП'!$N:$N,"&gt;=01.03.2018",'Отчет РПЗ(ПЗ)_ПЗИП'!$N:$N,"&lt;=31.03.2018",'Отчет РПЗ(ПЗ)_ПЗИП'!$AG:$AG,"&gt;0")</f>
        <v>0</v>
      </c>
      <c r="U57" s="297">
        <f>SUMIFS('Отчет РПЗ(ПЗ)_ПЗИП'!$AG:$AG,'Отчет РПЗ(ПЗ)_ПЗИП'!$D:$D,Справочно!$E22,'Отчет РПЗ(ПЗ)_ПЗИП'!$AR:$AR,3)</f>
        <v>0</v>
      </c>
      <c r="V57" s="305" t="str">
        <f t="shared" ref="V57:V81" si="47">IF(U57=0,"НД",T57-U57)</f>
        <v>НД</v>
      </c>
      <c r="W57" s="231" t="str">
        <f t="shared" si="23"/>
        <v>НД</v>
      </c>
      <c r="X57" s="393">
        <f t="shared" ref="X57:X80" si="48">SUM(L57,P57,T57)</f>
        <v>0</v>
      </c>
      <c r="Y57" s="298">
        <f t="shared" ref="Y57:Y80" si="49">SUM(M57,Q57,U57)</f>
        <v>0</v>
      </c>
      <c r="Z57" s="298">
        <f t="shared" si="24"/>
        <v>0</v>
      </c>
      <c r="AA57" s="233">
        <f t="shared" si="25"/>
        <v>0</v>
      </c>
      <c r="AB57" s="399">
        <f>SUMIFS('Отчет РПЗ(ПЗ)_ПЗИП'!$W:$W,'Отчет РПЗ(ПЗ)_ПЗИП'!$D:$D,Справочно!$E22,'Отчет РПЗ(ПЗ)_ПЗИП'!$N:$N,"&gt;=01.04.2018",'Отчет РПЗ(ПЗ)_ПЗИП'!$N:$N,"&lt;=30.04.2018",'Отчет РПЗ(ПЗ)_ПЗИП'!$AG:$AG,"&gt;0")</f>
        <v>0</v>
      </c>
      <c r="AC57" s="299">
        <f>SUMIFS('Отчет РПЗ(ПЗ)_ПЗИП'!$AG:$AG,'Отчет РПЗ(ПЗ)_ПЗИП'!$D:$D,Справочно!$E22,'Отчет РПЗ(ПЗ)_ПЗИП'!$AR:$AR,4)</f>
        <v>0</v>
      </c>
      <c r="AD57" s="299" t="str">
        <f t="shared" ref="AD57:AD81" si="50">IF(AC57=0,"НД",AB57-AC57)</f>
        <v>НД</v>
      </c>
      <c r="AE57" s="232" t="str">
        <f t="shared" si="26"/>
        <v>НД</v>
      </c>
      <c r="AF57" s="398">
        <f>SUMIFS('Отчет РПЗ(ПЗ)_ПЗИП'!$W:$W,'Отчет РПЗ(ПЗ)_ПЗИП'!$D:$D,Справочно!$E22,'Отчет РПЗ(ПЗ)_ПЗИП'!$N:$N,"&gt;=01.05.2018",'Отчет РПЗ(ПЗ)_ПЗИП'!$N:$N,"&lt;=31.05.2018",'Отчет РПЗ(ПЗ)_ПЗИП'!$AG:$AG,"&gt;0")</f>
        <v>0</v>
      </c>
      <c r="AG57" s="299">
        <f>SUMIFS('Отчет РПЗ(ПЗ)_ПЗИП'!$AG:$AG,'Отчет РПЗ(ПЗ)_ПЗИП'!$D:$D,Справочно!$E22,'Отчет РПЗ(ПЗ)_ПЗИП'!$AR:$AR,5)</f>
        <v>0</v>
      </c>
      <c r="AH57" s="299" t="str">
        <f t="shared" ref="AH57:AH80" si="51">IF(AG57=0,"НД",AF57-AG57)</f>
        <v>НД</v>
      </c>
      <c r="AI57" s="232" t="str">
        <f t="shared" si="27"/>
        <v>НД</v>
      </c>
      <c r="AJ57" s="398">
        <f>SUMIFS('Отчет РПЗ(ПЗ)_ПЗИП'!$W:$W,'Отчет РПЗ(ПЗ)_ПЗИП'!$D:$D,Справочно!$E22,'Отчет РПЗ(ПЗ)_ПЗИП'!$N:$N,"&gt;=01.06.2018",'Отчет РПЗ(ПЗ)_ПЗИП'!$N:$N,"&lt;=30.06.2018",'Отчет РПЗ(ПЗ)_ПЗИП'!$AG:$AG,"&gt;0")</f>
        <v>0</v>
      </c>
      <c r="AK57" s="299">
        <f>SUMIFS('Отчет РПЗ(ПЗ)_ПЗИП'!$AG:$AG,'Отчет РПЗ(ПЗ)_ПЗИП'!$D:$D,Справочно!$E22,'Отчет РПЗ(ПЗ)_ПЗИП'!$AR:$AR,6)</f>
        <v>0</v>
      </c>
      <c r="AL57" s="299" t="str">
        <f t="shared" ref="AL57:AL80" si="52">IF(AK57=0,"НД",AJ57-AK57)</f>
        <v>НД</v>
      </c>
      <c r="AM57" s="232" t="str">
        <f t="shared" si="28"/>
        <v>НД</v>
      </c>
      <c r="AN57" s="393">
        <f t="shared" ref="AN57:AN80" si="53">SUM(AB57,AF57,AJ57)</f>
        <v>0</v>
      </c>
      <c r="AO57" s="300">
        <f t="shared" ref="AO57:AO80" si="54">SUM(AC57,AG57,AK57)</f>
        <v>0</v>
      </c>
      <c r="AP57" s="300">
        <f t="shared" si="29"/>
        <v>0</v>
      </c>
      <c r="AQ57" s="234">
        <f t="shared" si="30"/>
        <v>0</v>
      </c>
      <c r="AR57" s="399">
        <f>SUMIFS('Отчет РПЗ(ПЗ)_ПЗИП'!$W:$W,'Отчет РПЗ(ПЗ)_ПЗИП'!$D:$D,Справочно!$E22,'Отчет РПЗ(ПЗ)_ПЗИП'!$N:$N,"&gt;=01.07.2018",'Отчет РПЗ(ПЗ)_ПЗИП'!$N:$N,"&lt;=31.07.2018",'Отчет РПЗ(ПЗ)_ПЗИП'!$AG:$AG,"&gt;0")</f>
        <v>0</v>
      </c>
      <c r="AS57" s="301">
        <f>SUMIFS('Отчет РПЗ(ПЗ)_ПЗИП'!$AG:$AG,'Отчет РПЗ(ПЗ)_ПЗИП'!$D:$D,Справочно!$E22,'Отчет РПЗ(ПЗ)_ПЗИП'!$AR:$AR,7)</f>
        <v>0</v>
      </c>
      <c r="AT57" s="341" t="str">
        <f t="shared" ref="AT57:AT80" si="55">IF(AS57=0,"НД",AR57-AS57)</f>
        <v>НД</v>
      </c>
      <c r="AU57" s="236" t="str">
        <f t="shared" si="31"/>
        <v>НД</v>
      </c>
      <c r="AV57" s="394">
        <f>SUMIFS('Отчет РПЗ(ПЗ)_ПЗИП'!$W:$W,'Отчет РПЗ(ПЗ)_ПЗИП'!$D:$D,Справочно!$E22,'Отчет РПЗ(ПЗ)_ПЗИП'!$N:$N,"&gt;=01.08.2018",'Отчет РПЗ(ПЗ)_ПЗИП'!$N:$N,"&lt;=31.08.2018",'Отчет РПЗ(ПЗ)_ПЗИП'!$AG:$AG,"&gt;0")</f>
        <v>0</v>
      </c>
      <c r="AW57" s="301">
        <f>SUMIFS('Отчет РПЗ(ПЗ)_ПЗИП'!$AG:$AG,'Отчет РПЗ(ПЗ)_ПЗИП'!$D:$D,Справочно!$E22,'Отчет РПЗ(ПЗ)_ПЗИП'!$AR:$AR,8)</f>
        <v>0</v>
      </c>
      <c r="AX57" s="341" t="str">
        <f t="shared" ref="AX57:AX80" si="56">IF(AW57=0,"НД",AV57-AW57)</f>
        <v>НД</v>
      </c>
      <c r="AY57" s="236" t="str">
        <f t="shared" si="32"/>
        <v>НД</v>
      </c>
      <c r="AZ57" s="394">
        <f>SUMIFS('Отчет РПЗ(ПЗ)_ПЗИП'!$W:$W,'Отчет РПЗ(ПЗ)_ПЗИП'!$D:$D,Справочно!$E22,'Отчет РПЗ(ПЗ)_ПЗИП'!$N:$N,"&gt;=01.09.2018",'Отчет РПЗ(ПЗ)_ПЗИП'!$N:$N,"&lt;=30.09.2018",'Отчет РПЗ(ПЗ)_ПЗИП'!$AG:$AG,"&gt;0")</f>
        <v>0</v>
      </c>
      <c r="BA57" s="301">
        <f>SUMIFS('Отчет РПЗ(ПЗ)_ПЗИП'!$AG:$AG,'Отчет РПЗ(ПЗ)_ПЗИП'!$D:$D,Справочно!$E22,'Отчет РПЗ(ПЗ)_ПЗИП'!$AR:$AR,9)</f>
        <v>0</v>
      </c>
      <c r="BB57" s="341" t="str">
        <f t="shared" ref="BB57:BB80" si="57">IF(BA57=0,"НД",AZ57-BA57)</f>
        <v>НД</v>
      </c>
      <c r="BC57" s="236" t="str">
        <f t="shared" si="33"/>
        <v>НД</v>
      </c>
      <c r="BD57" s="393">
        <f t="shared" ref="BD57:BD80" si="58">SUM(AR57,AV57,AZ57)</f>
        <v>0</v>
      </c>
      <c r="BE57" s="302">
        <f t="shared" ref="BE57:BE80" si="59">SUM(AS57,AW57,BA57)</f>
        <v>0</v>
      </c>
      <c r="BF57" s="302">
        <f t="shared" si="34"/>
        <v>0</v>
      </c>
      <c r="BG57" s="238">
        <f t="shared" si="35"/>
        <v>0</v>
      </c>
      <c r="BH57" s="383">
        <f>SUMIFS('Отчет РПЗ(ПЗ)_ПЗИП'!$W:$W,'Отчет РПЗ(ПЗ)_ПЗИП'!$D:$D,Справочно!$E22,'Отчет РПЗ(ПЗ)_ПЗИП'!$N:$N,"&gt;=01.10.2018",'Отчет РПЗ(ПЗ)_ПЗИП'!$N:$N,"&lt;=31.10.2018",'Отчет РПЗ(ПЗ)_ПЗИП'!$AG:$AG,"&gt;0")</f>
        <v>0</v>
      </c>
      <c r="BI57" s="303">
        <f>SUMIFS('Отчет РПЗ(ПЗ)_ПЗИП'!$AG:$AG,'Отчет РПЗ(ПЗ)_ПЗИП'!$D:$D,Справочно!$E22,'Отчет РПЗ(ПЗ)_ПЗИП'!$AR:$AR,10)</f>
        <v>0</v>
      </c>
      <c r="BJ57" s="343" t="str">
        <f t="shared" ref="BJ57:BJ80" si="60">IF(BI57=0,"НД",BH57-BI57)</f>
        <v>НД</v>
      </c>
      <c r="BK57" s="240" t="str">
        <f t="shared" si="36"/>
        <v>НД</v>
      </c>
      <c r="BL57" s="398">
        <f>SUMIFS('Отчет РПЗ(ПЗ)_ПЗИП'!$W:$W,'Отчет РПЗ(ПЗ)_ПЗИП'!$D:$D,Справочно!$E22,'Отчет РПЗ(ПЗ)_ПЗИП'!$N:$N,"&gt;=01.11.2018",'Отчет РПЗ(ПЗ)_ПЗИП'!$N:$N,"&lt;=30.11.2018",'Отчет РПЗ(ПЗ)_ПЗИП'!$AG:$AG,"&gt;0")</f>
        <v>0</v>
      </c>
      <c r="BM57" s="303">
        <f>SUMIFS('Отчет РПЗ(ПЗ)_ПЗИП'!$AG:$AG,'Отчет РПЗ(ПЗ)_ПЗИП'!$D:$D,Справочно!$E22,'Отчет РПЗ(ПЗ)_ПЗИП'!$AR:$AR,11)</f>
        <v>0</v>
      </c>
      <c r="BN57" s="343" t="str">
        <f t="shared" ref="BN57:BN80" si="61">IF(BM57=0,"НД",BL57-BM57)</f>
        <v>НД</v>
      </c>
      <c r="BO57" s="240" t="str">
        <f t="shared" si="37"/>
        <v>НД</v>
      </c>
      <c r="BP57" s="398">
        <f>SUMIFS('Отчет РПЗ(ПЗ)_ПЗИП'!$W:$W,'Отчет РПЗ(ПЗ)_ПЗИП'!$D:$D,Справочно!$E22,'Отчет РПЗ(ПЗ)_ПЗИП'!$N:$N,"&gt;=01.12.2018",'Отчет РПЗ(ПЗ)_ПЗИП'!$N:$N,"&lt;=31.12.2018",'Отчет РПЗ(ПЗ)_ПЗИП'!$AG:$AG,"&gt;0")</f>
        <v>0</v>
      </c>
      <c r="BQ57" s="303">
        <f>SUMIFS('Отчет РПЗ(ПЗ)_ПЗИП'!$AG:$AG,'Отчет РПЗ(ПЗ)_ПЗИП'!$D:$D,Справочно!$E22,'Отчет РПЗ(ПЗ)_ПЗИП'!$AR:$AR,12)</f>
        <v>0</v>
      </c>
      <c r="BR57" s="343" t="str">
        <f t="shared" ref="BR57:BR80" si="62">IF(BQ57=0,"НД",BP57-BQ57)</f>
        <v>НД</v>
      </c>
      <c r="BS57" s="242" t="str">
        <f t="shared" si="38"/>
        <v>НД</v>
      </c>
      <c r="BT57" s="393">
        <f t="shared" ref="BT57:BT80" si="63">SUM(BH57,BL57,BP57)</f>
        <v>0</v>
      </c>
      <c r="BU57" s="304">
        <f t="shared" ref="BU57:BU80" si="64">SUM(BI57,BM57,BQ57)</f>
        <v>0</v>
      </c>
      <c r="BV57" s="304">
        <f t="shared" si="39"/>
        <v>0</v>
      </c>
      <c r="BW57" s="243">
        <f t="shared" si="40"/>
        <v>0</v>
      </c>
    </row>
    <row r="58" spans="2:75" ht="15" customHeight="1" thickBot="1" x14ac:dyDescent="0.25">
      <c r="B58" s="58" t="str">
        <f>Справочно!E23</f>
        <v>АО "НПО "Сплав"</v>
      </c>
      <c r="C58" s="95">
        <f>ПП!B46</f>
        <v>0</v>
      </c>
      <c r="D58" s="381" t="e">
        <f>ПП!C46</f>
        <v>#DIV/0!</v>
      </c>
      <c r="E58" s="406">
        <f>ПП!D46</f>
        <v>0</v>
      </c>
      <c r="F58" s="272">
        <f>COUNTIFS('Отчет РПЗ(ПЗ)_ПЗИП'!$AG:$AG,"&gt;0",'Отчет РПЗ(ПЗ)_ПЗИП'!$D:$D,Справочно!$E23)</f>
        <v>0</v>
      </c>
      <c r="G58" s="407" t="e">
        <f t="shared" si="41"/>
        <v>#DIV/0!</v>
      </c>
      <c r="H58" s="408">
        <f>SUMIF('Отчет РПЗ(ПЗ)_ПЗИП'!$D:$D,Справочно!$E23,'Отчет РПЗ(ПЗ)_ПЗИП'!$AG:$AG)</f>
        <v>0</v>
      </c>
      <c r="I58" s="428">
        <f t="shared" ref="I58:I79" si="65">(IF($D$3=1,Z58,0)+IF($D$3=2,Z58+AP58,0)+IF($D$3=3,Z58+AP58+BF58,0)+IF($D$3=4,Z58+AP58+BF58+BV58,0))</f>
        <v>0</v>
      </c>
      <c r="J58" s="478" t="e">
        <f t="shared" si="42"/>
        <v>#DIV/0!</v>
      </c>
      <c r="L58" s="399">
        <f>SUMIFS('Отчет РПЗ(ПЗ)_ПЗИП'!$W:$W,'Отчет РПЗ(ПЗ)_ПЗИП'!$D:$D,Справочно!$E23,'Отчет РПЗ(ПЗ)_ПЗИП'!$N:$N,"&gt;=01.01.2018",'Отчет РПЗ(ПЗ)_ПЗИП'!$N:$N,"&lt;=31.01.2018",'Отчет РПЗ(ПЗ)_ПЗИП'!$AG:$AG,"&gt;0")</f>
        <v>0</v>
      </c>
      <c r="M58" s="297">
        <f>SUMIFS('Отчет РПЗ(ПЗ)_ПЗИП'!$AG:$AG,'Отчет РПЗ(ПЗ)_ПЗИП'!$D:$D,Справочно!$E23,'Отчет РПЗ(ПЗ)_ПЗИП'!$AR:$AR,1)</f>
        <v>0</v>
      </c>
      <c r="N58" s="305" t="str">
        <f t="shared" si="43"/>
        <v>НД</v>
      </c>
      <c r="O58" s="231" t="str">
        <f t="shared" si="44"/>
        <v>НД</v>
      </c>
      <c r="P58" s="394">
        <f>SUMIFS('Отчет РПЗ(ПЗ)_ПЗИП'!$W:$W,'Отчет РПЗ(ПЗ)_ПЗИП'!$D:$D,Справочно!$E23,'Отчет РПЗ(ПЗ)_ПЗИП'!$N:$N,"&gt;=01.02.2018",'Отчет РПЗ(ПЗ)_ПЗИП'!$N:$N,"&lt;=28.02.2018",'Отчет РПЗ(ПЗ)_ПЗИП'!$AG:$AG,"&gt;0")</f>
        <v>0</v>
      </c>
      <c r="Q58" s="297">
        <f>SUMIFS('Отчет РПЗ(ПЗ)_ПЗИП'!$AG:$AG,'Отчет РПЗ(ПЗ)_ПЗИП'!$D:$D,Справочно!$E23,'Отчет РПЗ(ПЗ)_ПЗИП'!$AR:$AR,2)</f>
        <v>0</v>
      </c>
      <c r="R58" s="305" t="str">
        <f t="shared" si="45"/>
        <v>НД</v>
      </c>
      <c r="S58" s="231" t="str">
        <f t="shared" si="46"/>
        <v>НД</v>
      </c>
      <c r="T58" s="394">
        <f>SUMIFS('Отчет РПЗ(ПЗ)_ПЗИП'!$W:$W,'Отчет РПЗ(ПЗ)_ПЗИП'!$D:$D,Справочно!$E23,'Отчет РПЗ(ПЗ)_ПЗИП'!$N:$N,"&gt;=01.03.2018",'Отчет РПЗ(ПЗ)_ПЗИП'!$N:$N,"&lt;=31.03.2018",'Отчет РПЗ(ПЗ)_ПЗИП'!$AG:$AG,"&gt;0")</f>
        <v>0</v>
      </c>
      <c r="U58" s="297">
        <f>SUMIFS('Отчет РПЗ(ПЗ)_ПЗИП'!$AG:$AG,'Отчет РПЗ(ПЗ)_ПЗИП'!$D:$D,Справочно!$E23,'Отчет РПЗ(ПЗ)_ПЗИП'!$AR:$AR,3)</f>
        <v>0</v>
      </c>
      <c r="V58" s="305" t="str">
        <f t="shared" si="47"/>
        <v>НД</v>
      </c>
      <c r="W58" s="231" t="str">
        <f t="shared" si="23"/>
        <v>НД</v>
      </c>
      <c r="X58" s="393">
        <f t="shared" si="48"/>
        <v>0</v>
      </c>
      <c r="Y58" s="298">
        <f t="shared" si="49"/>
        <v>0</v>
      </c>
      <c r="Z58" s="298">
        <f t="shared" si="24"/>
        <v>0</v>
      </c>
      <c r="AA58" s="233">
        <f t="shared" si="25"/>
        <v>0</v>
      </c>
      <c r="AB58" s="399">
        <f>SUMIFS('Отчет РПЗ(ПЗ)_ПЗИП'!$W:$W,'Отчет РПЗ(ПЗ)_ПЗИП'!$D:$D,Справочно!$E23,'Отчет РПЗ(ПЗ)_ПЗИП'!$N:$N,"&gt;=01.04.2018",'Отчет РПЗ(ПЗ)_ПЗИП'!$N:$N,"&lt;=30.04.2018",'Отчет РПЗ(ПЗ)_ПЗИП'!$AG:$AG,"&gt;0")</f>
        <v>0</v>
      </c>
      <c r="AC58" s="299">
        <f>SUMIFS('Отчет РПЗ(ПЗ)_ПЗИП'!$AG:$AG,'Отчет РПЗ(ПЗ)_ПЗИП'!$D:$D,Справочно!$E23,'Отчет РПЗ(ПЗ)_ПЗИП'!$AR:$AR,4)</f>
        <v>0</v>
      </c>
      <c r="AD58" s="299" t="str">
        <f t="shared" si="50"/>
        <v>НД</v>
      </c>
      <c r="AE58" s="232" t="str">
        <f t="shared" si="26"/>
        <v>НД</v>
      </c>
      <c r="AF58" s="398">
        <f>SUMIFS('Отчет РПЗ(ПЗ)_ПЗИП'!$W:$W,'Отчет РПЗ(ПЗ)_ПЗИП'!$D:$D,Справочно!$E23,'Отчет РПЗ(ПЗ)_ПЗИП'!$N:$N,"&gt;=01.05.2018",'Отчет РПЗ(ПЗ)_ПЗИП'!$N:$N,"&lt;=31.05.2018",'Отчет РПЗ(ПЗ)_ПЗИП'!$AG:$AG,"&gt;0")</f>
        <v>0</v>
      </c>
      <c r="AG58" s="299">
        <f>SUMIFS('Отчет РПЗ(ПЗ)_ПЗИП'!$AG:$AG,'Отчет РПЗ(ПЗ)_ПЗИП'!$D:$D,Справочно!$E23,'Отчет РПЗ(ПЗ)_ПЗИП'!$AR:$AR,5)</f>
        <v>0</v>
      </c>
      <c r="AH58" s="299" t="str">
        <f t="shared" si="51"/>
        <v>НД</v>
      </c>
      <c r="AI58" s="232" t="str">
        <f t="shared" si="27"/>
        <v>НД</v>
      </c>
      <c r="AJ58" s="398">
        <f>SUMIFS('Отчет РПЗ(ПЗ)_ПЗИП'!$W:$W,'Отчет РПЗ(ПЗ)_ПЗИП'!$D:$D,Справочно!$E23,'Отчет РПЗ(ПЗ)_ПЗИП'!$N:$N,"&gt;=01.06.2018",'Отчет РПЗ(ПЗ)_ПЗИП'!$N:$N,"&lt;=30.06.2018",'Отчет РПЗ(ПЗ)_ПЗИП'!$AG:$AG,"&gt;0")</f>
        <v>0</v>
      </c>
      <c r="AK58" s="299">
        <f>SUMIFS('Отчет РПЗ(ПЗ)_ПЗИП'!$AG:$AG,'Отчет РПЗ(ПЗ)_ПЗИП'!$D:$D,Справочно!$E23,'Отчет РПЗ(ПЗ)_ПЗИП'!$AR:$AR,6)</f>
        <v>0</v>
      </c>
      <c r="AL58" s="299" t="str">
        <f t="shared" si="52"/>
        <v>НД</v>
      </c>
      <c r="AM58" s="232" t="str">
        <f t="shared" si="28"/>
        <v>НД</v>
      </c>
      <c r="AN58" s="393">
        <f t="shared" si="53"/>
        <v>0</v>
      </c>
      <c r="AO58" s="300">
        <f t="shared" si="54"/>
        <v>0</v>
      </c>
      <c r="AP58" s="300">
        <f t="shared" si="29"/>
        <v>0</v>
      </c>
      <c r="AQ58" s="234">
        <f t="shared" si="30"/>
        <v>0</v>
      </c>
      <c r="AR58" s="399">
        <f>SUMIFS('Отчет РПЗ(ПЗ)_ПЗИП'!$W:$W,'Отчет РПЗ(ПЗ)_ПЗИП'!$D:$D,Справочно!$E23,'Отчет РПЗ(ПЗ)_ПЗИП'!$N:$N,"&gt;=01.07.2018",'Отчет РПЗ(ПЗ)_ПЗИП'!$N:$N,"&lt;=31.07.2018",'Отчет РПЗ(ПЗ)_ПЗИП'!$AG:$AG,"&gt;0")</f>
        <v>0</v>
      </c>
      <c r="AS58" s="301">
        <f>SUMIFS('Отчет РПЗ(ПЗ)_ПЗИП'!$AG:$AG,'Отчет РПЗ(ПЗ)_ПЗИП'!$D:$D,Справочно!$E23,'Отчет РПЗ(ПЗ)_ПЗИП'!$AR:$AR,7)</f>
        <v>0</v>
      </c>
      <c r="AT58" s="341" t="str">
        <f t="shared" si="55"/>
        <v>НД</v>
      </c>
      <c r="AU58" s="236" t="str">
        <f t="shared" si="31"/>
        <v>НД</v>
      </c>
      <c r="AV58" s="394">
        <f>SUMIFS('Отчет РПЗ(ПЗ)_ПЗИП'!$W:$W,'Отчет РПЗ(ПЗ)_ПЗИП'!$D:$D,Справочно!$E23,'Отчет РПЗ(ПЗ)_ПЗИП'!$N:$N,"&gt;=01.08.2018",'Отчет РПЗ(ПЗ)_ПЗИП'!$N:$N,"&lt;=31.08.2018",'Отчет РПЗ(ПЗ)_ПЗИП'!$AG:$AG,"&gt;0")</f>
        <v>0</v>
      </c>
      <c r="AW58" s="301">
        <f>SUMIFS('Отчет РПЗ(ПЗ)_ПЗИП'!$AG:$AG,'Отчет РПЗ(ПЗ)_ПЗИП'!$D:$D,Справочно!$E23,'Отчет РПЗ(ПЗ)_ПЗИП'!$AR:$AR,8)</f>
        <v>0</v>
      </c>
      <c r="AX58" s="341" t="str">
        <f t="shared" si="56"/>
        <v>НД</v>
      </c>
      <c r="AY58" s="236" t="str">
        <f t="shared" si="32"/>
        <v>НД</v>
      </c>
      <c r="AZ58" s="394">
        <f>SUMIFS('Отчет РПЗ(ПЗ)_ПЗИП'!$W:$W,'Отчет РПЗ(ПЗ)_ПЗИП'!$D:$D,Справочно!$E23,'Отчет РПЗ(ПЗ)_ПЗИП'!$N:$N,"&gt;=01.09.2018",'Отчет РПЗ(ПЗ)_ПЗИП'!$N:$N,"&lt;=30.09.2018",'Отчет РПЗ(ПЗ)_ПЗИП'!$AG:$AG,"&gt;0")</f>
        <v>0</v>
      </c>
      <c r="BA58" s="301">
        <f>SUMIFS('Отчет РПЗ(ПЗ)_ПЗИП'!$AG:$AG,'Отчет РПЗ(ПЗ)_ПЗИП'!$D:$D,Справочно!$E23,'Отчет РПЗ(ПЗ)_ПЗИП'!$AR:$AR,9)</f>
        <v>0</v>
      </c>
      <c r="BB58" s="341" t="str">
        <f t="shared" si="57"/>
        <v>НД</v>
      </c>
      <c r="BC58" s="236" t="str">
        <f t="shared" si="33"/>
        <v>НД</v>
      </c>
      <c r="BD58" s="393">
        <f t="shared" si="58"/>
        <v>0</v>
      </c>
      <c r="BE58" s="302">
        <f t="shared" si="59"/>
        <v>0</v>
      </c>
      <c r="BF58" s="302">
        <f t="shared" si="34"/>
        <v>0</v>
      </c>
      <c r="BG58" s="238">
        <f t="shared" si="35"/>
        <v>0</v>
      </c>
      <c r="BH58" s="383">
        <f>SUMIFS('Отчет РПЗ(ПЗ)_ПЗИП'!$W:$W,'Отчет РПЗ(ПЗ)_ПЗИП'!$D:$D,Справочно!$E23,'Отчет РПЗ(ПЗ)_ПЗИП'!$N:$N,"&gt;=01.10.2018",'Отчет РПЗ(ПЗ)_ПЗИП'!$N:$N,"&lt;=31.10.2018",'Отчет РПЗ(ПЗ)_ПЗИП'!$AG:$AG,"&gt;0")</f>
        <v>0</v>
      </c>
      <c r="BI58" s="303">
        <f>SUMIFS('Отчет РПЗ(ПЗ)_ПЗИП'!$AG:$AG,'Отчет РПЗ(ПЗ)_ПЗИП'!$D:$D,Справочно!$E23,'Отчет РПЗ(ПЗ)_ПЗИП'!$AR:$AR,10)</f>
        <v>0</v>
      </c>
      <c r="BJ58" s="343" t="str">
        <f t="shared" si="60"/>
        <v>НД</v>
      </c>
      <c r="BK58" s="240" t="str">
        <f t="shared" si="36"/>
        <v>НД</v>
      </c>
      <c r="BL58" s="398">
        <f>SUMIFS('Отчет РПЗ(ПЗ)_ПЗИП'!$W:$W,'Отчет РПЗ(ПЗ)_ПЗИП'!$D:$D,Справочно!$E23,'Отчет РПЗ(ПЗ)_ПЗИП'!$N:$N,"&gt;=01.11.2018",'Отчет РПЗ(ПЗ)_ПЗИП'!$N:$N,"&lt;=30.11.2018",'Отчет РПЗ(ПЗ)_ПЗИП'!$AG:$AG,"&gt;0")</f>
        <v>0</v>
      </c>
      <c r="BM58" s="303">
        <f>SUMIFS('Отчет РПЗ(ПЗ)_ПЗИП'!$AG:$AG,'Отчет РПЗ(ПЗ)_ПЗИП'!$D:$D,Справочно!$E23,'Отчет РПЗ(ПЗ)_ПЗИП'!$AR:$AR,11)</f>
        <v>0</v>
      </c>
      <c r="BN58" s="343" t="str">
        <f t="shared" si="61"/>
        <v>НД</v>
      </c>
      <c r="BO58" s="240" t="str">
        <f t="shared" si="37"/>
        <v>НД</v>
      </c>
      <c r="BP58" s="398">
        <f>SUMIFS('Отчет РПЗ(ПЗ)_ПЗИП'!$W:$W,'Отчет РПЗ(ПЗ)_ПЗИП'!$D:$D,Справочно!$E23,'Отчет РПЗ(ПЗ)_ПЗИП'!$N:$N,"&gt;=01.12.2018",'Отчет РПЗ(ПЗ)_ПЗИП'!$N:$N,"&lt;=31.12.2018",'Отчет РПЗ(ПЗ)_ПЗИП'!$AG:$AG,"&gt;0")</f>
        <v>0</v>
      </c>
      <c r="BQ58" s="303">
        <f>SUMIFS('Отчет РПЗ(ПЗ)_ПЗИП'!$AG:$AG,'Отчет РПЗ(ПЗ)_ПЗИП'!$D:$D,Справочно!$E23,'Отчет РПЗ(ПЗ)_ПЗИП'!$AR:$AR,12)</f>
        <v>0</v>
      </c>
      <c r="BR58" s="343" t="str">
        <f t="shared" si="62"/>
        <v>НД</v>
      </c>
      <c r="BS58" s="242" t="str">
        <f t="shared" si="38"/>
        <v>НД</v>
      </c>
      <c r="BT58" s="393">
        <f t="shared" si="63"/>
        <v>0</v>
      </c>
      <c r="BU58" s="304">
        <f t="shared" si="64"/>
        <v>0</v>
      </c>
      <c r="BV58" s="304">
        <f t="shared" si="39"/>
        <v>0</v>
      </c>
      <c r="BW58" s="243">
        <f t="shared" si="40"/>
        <v>0</v>
      </c>
    </row>
    <row r="59" spans="2:75" ht="15" customHeight="1" thickBot="1" x14ac:dyDescent="0.25">
      <c r="B59" s="58" t="str">
        <f>Справочно!E24</f>
        <v>ОАО "РТ-Логистика"</v>
      </c>
      <c r="C59" s="95">
        <f>ПП!B47</f>
        <v>0</v>
      </c>
      <c r="D59" s="381" t="e">
        <f>ПП!C47</f>
        <v>#DIV/0!</v>
      </c>
      <c r="E59" s="406">
        <f>ПП!D47</f>
        <v>0</v>
      </c>
      <c r="F59" s="272">
        <f>COUNTIFS('Отчет РПЗ(ПЗ)_ПЗИП'!$AG:$AG,"&gt;0",'Отчет РПЗ(ПЗ)_ПЗИП'!$D:$D,Справочно!$E24)</f>
        <v>0</v>
      </c>
      <c r="G59" s="407" t="e">
        <f t="shared" si="41"/>
        <v>#DIV/0!</v>
      </c>
      <c r="H59" s="408">
        <f>SUMIF('Отчет РПЗ(ПЗ)_ПЗИП'!$D:$D,Справочно!$E24,'Отчет РПЗ(ПЗ)_ПЗИП'!$AG:$AG)</f>
        <v>0</v>
      </c>
      <c r="I59" s="428">
        <f t="shared" si="65"/>
        <v>0</v>
      </c>
      <c r="J59" s="478" t="e">
        <f t="shared" si="42"/>
        <v>#DIV/0!</v>
      </c>
      <c r="L59" s="399">
        <f>SUMIFS('Отчет РПЗ(ПЗ)_ПЗИП'!$W:$W,'Отчет РПЗ(ПЗ)_ПЗИП'!$D:$D,Справочно!$E24,'Отчет РПЗ(ПЗ)_ПЗИП'!$N:$N,"&gt;=01.01.2018",'Отчет РПЗ(ПЗ)_ПЗИП'!$N:$N,"&lt;=31.01.2018",'Отчет РПЗ(ПЗ)_ПЗИП'!$AG:$AG,"&gt;0")</f>
        <v>0</v>
      </c>
      <c r="M59" s="297">
        <f>SUMIFS('Отчет РПЗ(ПЗ)_ПЗИП'!$AG:$AG,'Отчет РПЗ(ПЗ)_ПЗИП'!$D:$D,Справочно!$E24,'Отчет РПЗ(ПЗ)_ПЗИП'!$AR:$AR,1)</f>
        <v>0</v>
      </c>
      <c r="N59" s="305" t="str">
        <f t="shared" si="43"/>
        <v>НД</v>
      </c>
      <c r="O59" s="231" t="str">
        <f t="shared" si="44"/>
        <v>НД</v>
      </c>
      <c r="P59" s="394">
        <f>SUMIFS('Отчет РПЗ(ПЗ)_ПЗИП'!$W:$W,'Отчет РПЗ(ПЗ)_ПЗИП'!$D:$D,Справочно!$E24,'Отчет РПЗ(ПЗ)_ПЗИП'!$N:$N,"&gt;=01.02.2018",'Отчет РПЗ(ПЗ)_ПЗИП'!$N:$N,"&lt;=28.02.2018",'Отчет РПЗ(ПЗ)_ПЗИП'!$AG:$AG,"&gt;0")</f>
        <v>0</v>
      </c>
      <c r="Q59" s="297">
        <f>SUMIFS('Отчет РПЗ(ПЗ)_ПЗИП'!$AG:$AG,'Отчет РПЗ(ПЗ)_ПЗИП'!$D:$D,Справочно!$E24,'Отчет РПЗ(ПЗ)_ПЗИП'!$AR:$AR,2)</f>
        <v>0</v>
      </c>
      <c r="R59" s="305" t="str">
        <f t="shared" si="45"/>
        <v>НД</v>
      </c>
      <c r="S59" s="231" t="str">
        <f t="shared" si="46"/>
        <v>НД</v>
      </c>
      <c r="T59" s="394">
        <f>SUMIFS('Отчет РПЗ(ПЗ)_ПЗИП'!$W:$W,'Отчет РПЗ(ПЗ)_ПЗИП'!$D:$D,Справочно!$E24,'Отчет РПЗ(ПЗ)_ПЗИП'!$N:$N,"&gt;=01.03.2018",'Отчет РПЗ(ПЗ)_ПЗИП'!$N:$N,"&lt;=31.03.2018",'Отчет РПЗ(ПЗ)_ПЗИП'!$AG:$AG,"&gt;0")</f>
        <v>0</v>
      </c>
      <c r="U59" s="297">
        <f>SUMIFS('Отчет РПЗ(ПЗ)_ПЗИП'!$AG:$AG,'Отчет РПЗ(ПЗ)_ПЗИП'!$D:$D,Справочно!$E24,'Отчет РПЗ(ПЗ)_ПЗИП'!$AR:$AR,3)</f>
        <v>0</v>
      </c>
      <c r="V59" s="305" t="str">
        <f t="shared" si="47"/>
        <v>НД</v>
      </c>
      <c r="W59" s="231" t="str">
        <f t="shared" si="23"/>
        <v>НД</v>
      </c>
      <c r="X59" s="393">
        <f t="shared" si="48"/>
        <v>0</v>
      </c>
      <c r="Y59" s="298">
        <f t="shared" si="49"/>
        <v>0</v>
      </c>
      <c r="Z59" s="298">
        <f t="shared" si="24"/>
        <v>0</v>
      </c>
      <c r="AA59" s="233">
        <f t="shared" si="25"/>
        <v>0</v>
      </c>
      <c r="AB59" s="399">
        <f>SUMIFS('Отчет РПЗ(ПЗ)_ПЗИП'!$W:$W,'Отчет РПЗ(ПЗ)_ПЗИП'!$D:$D,Справочно!$E24,'Отчет РПЗ(ПЗ)_ПЗИП'!$N:$N,"&gt;=01.04.2018",'Отчет РПЗ(ПЗ)_ПЗИП'!$N:$N,"&lt;=30.04.2018",'Отчет РПЗ(ПЗ)_ПЗИП'!$AG:$AG,"&gt;0")</f>
        <v>0</v>
      </c>
      <c r="AC59" s="299">
        <f>SUMIFS('Отчет РПЗ(ПЗ)_ПЗИП'!$AG:$AG,'Отчет РПЗ(ПЗ)_ПЗИП'!$D:$D,Справочно!$E24,'Отчет РПЗ(ПЗ)_ПЗИП'!$AR:$AR,4)</f>
        <v>0</v>
      </c>
      <c r="AD59" s="299" t="str">
        <f t="shared" si="50"/>
        <v>НД</v>
      </c>
      <c r="AE59" s="232" t="str">
        <f t="shared" si="26"/>
        <v>НД</v>
      </c>
      <c r="AF59" s="398">
        <f>SUMIFS('Отчет РПЗ(ПЗ)_ПЗИП'!$W:$W,'Отчет РПЗ(ПЗ)_ПЗИП'!$D:$D,Справочно!$E24,'Отчет РПЗ(ПЗ)_ПЗИП'!$N:$N,"&gt;=01.05.2018",'Отчет РПЗ(ПЗ)_ПЗИП'!$N:$N,"&lt;=31.05.2018",'Отчет РПЗ(ПЗ)_ПЗИП'!$AG:$AG,"&gt;0")</f>
        <v>0</v>
      </c>
      <c r="AG59" s="299">
        <f>SUMIFS('Отчет РПЗ(ПЗ)_ПЗИП'!$AG:$AG,'Отчет РПЗ(ПЗ)_ПЗИП'!$D:$D,Справочно!$E24,'Отчет РПЗ(ПЗ)_ПЗИП'!$AR:$AR,5)</f>
        <v>0</v>
      </c>
      <c r="AH59" s="299" t="str">
        <f t="shared" si="51"/>
        <v>НД</v>
      </c>
      <c r="AI59" s="232" t="str">
        <f t="shared" si="27"/>
        <v>НД</v>
      </c>
      <c r="AJ59" s="398">
        <f>SUMIFS('Отчет РПЗ(ПЗ)_ПЗИП'!$W:$W,'Отчет РПЗ(ПЗ)_ПЗИП'!$D:$D,Справочно!$E24,'Отчет РПЗ(ПЗ)_ПЗИП'!$N:$N,"&gt;=01.06.2018",'Отчет РПЗ(ПЗ)_ПЗИП'!$N:$N,"&lt;=30.06.2018",'Отчет РПЗ(ПЗ)_ПЗИП'!$AG:$AG,"&gt;0")</f>
        <v>0</v>
      </c>
      <c r="AK59" s="299">
        <f>SUMIFS('Отчет РПЗ(ПЗ)_ПЗИП'!$AG:$AG,'Отчет РПЗ(ПЗ)_ПЗИП'!$D:$D,Справочно!$E24,'Отчет РПЗ(ПЗ)_ПЗИП'!$AR:$AR,6)</f>
        <v>0</v>
      </c>
      <c r="AL59" s="299" t="str">
        <f t="shared" si="52"/>
        <v>НД</v>
      </c>
      <c r="AM59" s="232" t="str">
        <f t="shared" si="28"/>
        <v>НД</v>
      </c>
      <c r="AN59" s="393">
        <f t="shared" si="53"/>
        <v>0</v>
      </c>
      <c r="AO59" s="300">
        <f t="shared" si="54"/>
        <v>0</v>
      </c>
      <c r="AP59" s="300">
        <f t="shared" si="29"/>
        <v>0</v>
      </c>
      <c r="AQ59" s="234">
        <f t="shared" si="30"/>
        <v>0</v>
      </c>
      <c r="AR59" s="399">
        <f>SUMIFS('Отчет РПЗ(ПЗ)_ПЗИП'!$W:$W,'Отчет РПЗ(ПЗ)_ПЗИП'!$D:$D,Справочно!$E24,'Отчет РПЗ(ПЗ)_ПЗИП'!$N:$N,"&gt;=01.07.2018",'Отчет РПЗ(ПЗ)_ПЗИП'!$N:$N,"&lt;=31.07.2018",'Отчет РПЗ(ПЗ)_ПЗИП'!$AG:$AG,"&gt;0")</f>
        <v>0</v>
      </c>
      <c r="AS59" s="301">
        <f>SUMIFS('Отчет РПЗ(ПЗ)_ПЗИП'!$AG:$AG,'Отчет РПЗ(ПЗ)_ПЗИП'!$D:$D,Справочно!$E24,'Отчет РПЗ(ПЗ)_ПЗИП'!$AR:$AR,7)</f>
        <v>0</v>
      </c>
      <c r="AT59" s="341" t="str">
        <f t="shared" si="55"/>
        <v>НД</v>
      </c>
      <c r="AU59" s="236" t="str">
        <f t="shared" si="31"/>
        <v>НД</v>
      </c>
      <c r="AV59" s="394">
        <f>SUMIFS('Отчет РПЗ(ПЗ)_ПЗИП'!$W:$W,'Отчет РПЗ(ПЗ)_ПЗИП'!$D:$D,Справочно!$E24,'Отчет РПЗ(ПЗ)_ПЗИП'!$N:$N,"&gt;=01.08.2018",'Отчет РПЗ(ПЗ)_ПЗИП'!$N:$N,"&lt;=31.08.2018",'Отчет РПЗ(ПЗ)_ПЗИП'!$AG:$AG,"&gt;0")</f>
        <v>0</v>
      </c>
      <c r="AW59" s="301">
        <f>SUMIFS('Отчет РПЗ(ПЗ)_ПЗИП'!$AG:$AG,'Отчет РПЗ(ПЗ)_ПЗИП'!$D:$D,Справочно!$E24,'Отчет РПЗ(ПЗ)_ПЗИП'!$AR:$AR,8)</f>
        <v>0</v>
      </c>
      <c r="AX59" s="341" t="str">
        <f t="shared" si="56"/>
        <v>НД</v>
      </c>
      <c r="AY59" s="236" t="str">
        <f t="shared" si="32"/>
        <v>НД</v>
      </c>
      <c r="AZ59" s="394">
        <f>SUMIFS('Отчет РПЗ(ПЗ)_ПЗИП'!$W:$W,'Отчет РПЗ(ПЗ)_ПЗИП'!$D:$D,Справочно!$E24,'Отчет РПЗ(ПЗ)_ПЗИП'!$N:$N,"&gt;=01.09.2018",'Отчет РПЗ(ПЗ)_ПЗИП'!$N:$N,"&lt;=30.09.2018",'Отчет РПЗ(ПЗ)_ПЗИП'!$AG:$AG,"&gt;0")</f>
        <v>0</v>
      </c>
      <c r="BA59" s="301">
        <f>SUMIFS('Отчет РПЗ(ПЗ)_ПЗИП'!$AG:$AG,'Отчет РПЗ(ПЗ)_ПЗИП'!$D:$D,Справочно!$E24,'Отчет РПЗ(ПЗ)_ПЗИП'!$AR:$AR,9)</f>
        <v>0</v>
      </c>
      <c r="BB59" s="341" t="str">
        <f t="shared" si="57"/>
        <v>НД</v>
      </c>
      <c r="BC59" s="236" t="str">
        <f t="shared" si="33"/>
        <v>НД</v>
      </c>
      <c r="BD59" s="393">
        <f t="shared" si="58"/>
        <v>0</v>
      </c>
      <c r="BE59" s="302">
        <f t="shared" si="59"/>
        <v>0</v>
      </c>
      <c r="BF59" s="302">
        <f t="shared" si="34"/>
        <v>0</v>
      </c>
      <c r="BG59" s="238">
        <f t="shared" si="35"/>
        <v>0</v>
      </c>
      <c r="BH59" s="383">
        <f>SUMIFS('Отчет РПЗ(ПЗ)_ПЗИП'!$W:$W,'Отчет РПЗ(ПЗ)_ПЗИП'!$D:$D,Справочно!$E24,'Отчет РПЗ(ПЗ)_ПЗИП'!$N:$N,"&gt;=01.10.2018",'Отчет РПЗ(ПЗ)_ПЗИП'!$N:$N,"&lt;=31.10.2018",'Отчет РПЗ(ПЗ)_ПЗИП'!$AG:$AG,"&gt;0")</f>
        <v>0</v>
      </c>
      <c r="BI59" s="303">
        <f>SUMIFS('Отчет РПЗ(ПЗ)_ПЗИП'!$AG:$AG,'Отчет РПЗ(ПЗ)_ПЗИП'!$D:$D,Справочно!$E24,'Отчет РПЗ(ПЗ)_ПЗИП'!$AR:$AR,10)</f>
        <v>0</v>
      </c>
      <c r="BJ59" s="343" t="str">
        <f t="shared" si="60"/>
        <v>НД</v>
      </c>
      <c r="BK59" s="240" t="str">
        <f t="shared" si="36"/>
        <v>НД</v>
      </c>
      <c r="BL59" s="398">
        <f>SUMIFS('Отчет РПЗ(ПЗ)_ПЗИП'!$W:$W,'Отчет РПЗ(ПЗ)_ПЗИП'!$D:$D,Справочно!$E24,'Отчет РПЗ(ПЗ)_ПЗИП'!$N:$N,"&gt;=01.11.2018",'Отчет РПЗ(ПЗ)_ПЗИП'!$N:$N,"&lt;=30.11.2018",'Отчет РПЗ(ПЗ)_ПЗИП'!$AG:$AG,"&gt;0")</f>
        <v>0</v>
      </c>
      <c r="BM59" s="303">
        <f>SUMIFS('Отчет РПЗ(ПЗ)_ПЗИП'!$AG:$AG,'Отчет РПЗ(ПЗ)_ПЗИП'!$D:$D,Справочно!$E24,'Отчет РПЗ(ПЗ)_ПЗИП'!$AR:$AR,11)</f>
        <v>0</v>
      </c>
      <c r="BN59" s="343" t="str">
        <f t="shared" si="61"/>
        <v>НД</v>
      </c>
      <c r="BO59" s="240" t="str">
        <f t="shared" si="37"/>
        <v>НД</v>
      </c>
      <c r="BP59" s="398">
        <f>SUMIFS('Отчет РПЗ(ПЗ)_ПЗИП'!$W:$W,'Отчет РПЗ(ПЗ)_ПЗИП'!$D:$D,Справочно!$E24,'Отчет РПЗ(ПЗ)_ПЗИП'!$N:$N,"&gt;=01.12.2018",'Отчет РПЗ(ПЗ)_ПЗИП'!$N:$N,"&lt;=31.12.2018",'Отчет РПЗ(ПЗ)_ПЗИП'!$AG:$AG,"&gt;0")</f>
        <v>0</v>
      </c>
      <c r="BQ59" s="303">
        <f>SUMIFS('Отчет РПЗ(ПЗ)_ПЗИП'!$AG:$AG,'Отчет РПЗ(ПЗ)_ПЗИП'!$D:$D,Справочно!$E24,'Отчет РПЗ(ПЗ)_ПЗИП'!$AR:$AR,12)</f>
        <v>0</v>
      </c>
      <c r="BR59" s="343" t="str">
        <f t="shared" si="62"/>
        <v>НД</v>
      </c>
      <c r="BS59" s="242" t="str">
        <f t="shared" si="38"/>
        <v>НД</v>
      </c>
      <c r="BT59" s="393">
        <f t="shared" si="63"/>
        <v>0</v>
      </c>
      <c r="BU59" s="304">
        <f t="shared" si="64"/>
        <v>0</v>
      </c>
      <c r="BV59" s="304">
        <f t="shared" si="39"/>
        <v>0</v>
      </c>
      <c r="BW59" s="243">
        <f t="shared" si="40"/>
        <v>0</v>
      </c>
    </row>
    <row r="60" spans="2:75" ht="15" customHeight="1" thickBot="1" x14ac:dyDescent="0.25">
      <c r="B60" s="58" t="str">
        <f>Справочно!E25</f>
        <v>ОАО "РТ-Медицина"</v>
      </c>
      <c r="C60" s="95">
        <f>ПП!B48</f>
        <v>0</v>
      </c>
      <c r="D60" s="381" t="e">
        <f>ПП!C48</f>
        <v>#DIV/0!</v>
      </c>
      <c r="E60" s="406">
        <f>ПП!D48</f>
        <v>0</v>
      </c>
      <c r="F60" s="272">
        <f>COUNTIFS('Отчет РПЗ(ПЗ)_ПЗИП'!$AG:$AG,"&gt;0",'Отчет РПЗ(ПЗ)_ПЗИП'!$D:$D,Справочно!$E25)</f>
        <v>0</v>
      </c>
      <c r="G60" s="407" t="e">
        <f t="shared" si="41"/>
        <v>#DIV/0!</v>
      </c>
      <c r="H60" s="408">
        <f>SUMIF('Отчет РПЗ(ПЗ)_ПЗИП'!$D:$D,Справочно!$E25,'Отчет РПЗ(ПЗ)_ПЗИП'!$AG:$AG)</f>
        <v>0</v>
      </c>
      <c r="I60" s="428">
        <f t="shared" si="65"/>
        <v>0</v>
      </c>
      <c r="J60" s="478" t="e">
        <f t="shared" si="42"/>
        <v>#DIV/0!</v>
      </c>
      <c r="L60" s="399">
        <f>SUMIFS('Отчет РПЗ(ПЗ)_ПЗИП'!$W:$W,'Отчет РПЗ(ПЗ)_ПЗИП'!$D:$D,Справочно!$E25,'Отчет РПЗ(ПЗ)_ПЗИП'!$N:$N,"&gt;=01.01.2018",'Отчет РПЗ(ПЗ)_ПЗИП'!$N:$N,"&lt;=31.01.2018",'Отчет РПЗ(ПЗ)_ПЗИП'!$AG:$AG,"&gt;0")</f>
        <v>0</v>
      </c>
      <c r="M60" s="297">
        <f>SUMIFS('Отчет РПЗ(ПЗ)_ПЗИП'!$AG:$AG,'Отчет РПЗ(ПЗ)_ПЗИП'!$D:$D,Справочно!$E25,'Отчет РПЗ(ПЗ)_ПЗИП'!$AR:$AR,1)</f>
        <v>0</v>
      </c>
      <c r="N60" s="305" t="str">
        <f t="shared" si="43"/>
        <v>НД</v>
      </c>
      <c r="O60" s="231" t="str">
        <f t="shared" si="44"/>
        <v>НД</v>
      </c>
      <c r="P60" s="394">
        <f>SUMIFS('Отчет РПЗ(ПЗ)_ПЗИП'!$W:$W,'Отчет РПЗ(ПЗ)_ПЗИП'!$D:$D,Справочно!$E25,'Отчет РПЗ(ПЗ)_ПЗИП'!$N:$N,"&gt;=01.02.2018",'Отчет РПЗ(ПЗ)_ПЗИП'!$N:$N,"&lt;=28.02.2018",'Отчет РПЗ(ПЗ)_ПЗИП'!$AG:$AG,"&gt;0")</f>
        <v>0</v>
      </c>
      <c r="Q60" s="297">
        <f>SUMIFS('Отчет РПЗ(ПЗ)_ПЗИП'!$AG:$AG,'Отчет РПЗ(ПЗ)_ПЗИП'!$D:$D,Справочно!$E25,'Отчет РПЗ(ПЗ)_ПЗИП'!$AR:$AR,2)</f>
        <v>0</v>
      </c>
      <c r="R60" s="305" t="str">
        <f t="shared" si="45"/>
        <v>НД</v>
      </c>
      <c r="S60" s="231" t="str">
        <f t="shared" si="46"/>
        <v>НД</v>
      </c>
      <c r="T60" s="394">
        <f>SUMIFS('Отчет РПЗ(ПЗ)_ПЗИП'!$W:$W,'Отчет РПЗ(ПЗ)_ПЗИП'!$D:$D,Справочно!$E25,'Отчет РПЗ(ПЗ)_ПЗИП'!$N:$N,"&gt;=01.03.2018",'Отчет РПЗ(ПЗ)_ПЗИП'!$N:$N,"&lt;=31.03.2018",'Отчет РПЗ(ПЗ)_ПЗИП'!$AG:$AG,"&gt;0")</f>
        <v>0</v>
      </c>
      <c r="U60" s="297">
        <f>SUMIFS('Отчет РПЗ(ПЗ)_ПЗИП'!$AG:$AG,'Отчет РПЗ(ПЗ)_ПЗИП'!$D:$D,Справочно!$E25,'Отчет РПЗ(ПЗ)_ПЗИП'!$AR:$AR,3)</f>
        <v>0</v>
      </c>
      <c r="V60" s="305" t="str">
        <f t="shared" si="47"/>
        <v>НД</v>
      </c>
      <c r="W60" s="231" t="str">
        <f t="shared" si="23"/>
        <v>НД</v>
      </c>
      <c r="X60" s="393">
        <f t="shared" si="48"/>
        <v>0</v>
      </c>
      <c r="Y60" s="298">
        <f t="shared" si="49"/>
        <v>0</v>
      </c>
      <c r="Z60" s="298">
        <f t="shared" si="24"/>
        <v>0</v>
      </c>
      <c r="AA60" s="233">
        <f t="shared" si="25"/>
        <v>0</v>
      </c>
      <c r="AB60" s="399">
        <f>SUMIFS('Отчет РПЗ(ПЗ)_ПЗИП'!$W:$W,'Отчет РПЗ(ПЗ)_ПЗИП'!$D:$D,Справочно!$E25,'Отчет РПЗ(ПЗ)_ПЗИП'!$N:$N,"&gt;=01.04.2018",'Отчет РПЗ(ПЗ)_ПЗИП'!$N:$N,"&lt;=30.04.2018",'Отчет РПЗ(ПЗ)_ПЗИП'!$AG:$AG,"&gt;0")</f>
        <v>0</v>
      </c>
      <c r="AC60" s="299">
        <f>SUMIFS('Отчет РПЗ(ПЗ)_ПЗИП'!$AG:$AG,'Отчет РПЗ(ПЗ)_ПЗИП'!$D:$D,Справочно!$E25,'Отчет РПЗ(ПЗ)_ПЗИП'!$AR:$AR,4)</f>
        <v>0</v>
      </c>
      <c r="AD60" s="299" t="str">
        <f t="shared" si="50"/>
        <v>НД</v>
      </c>
      <c r="AE60" s="232" t="str">
        <f t="shared" si="26"/>
        <v>НД</v>
      </c>
      <c r="AF60" s="398">
        <f>SUMIFS('Отчет РПЗ(ПЗ)_ПЗИП'!$W:$W,'Отчет РПЗ(ПЗ)_ПЗИП'!$D:$D,Справочно!$E25,'Отчет РПЗ(ПЗ)_ПЗИП'!$N:$N,"&gt;=01.05.2018",'Отчет РПЗ(ПЗ)_ПЗИП'!$N:$N,"&lt;=31.05.2018",'Отчет РПЗ(ПЗ)_ПЗИП'!$AG:$AG,"&gt;0")</f>
        <v>0</v>
      </c>
      <c r="AG60" s="299">
        <f>SUMIFS('Отчет РПЗ(ПЗ)_ПЗИП'!$AG:$AG,'Отчет РПЗ(ПЗ)_ПЗИП'!$D:$D,Справочно!$E25,'Отчет РПЗ(ПЗ)_ПЗИП'!$AR:$AR,5)</f>
        <v>0</v>
      </c>
      <c r="AH60" s="299" t="str">
        <f t="shared" si="51"/>
        <v>НД</v>
      </c>
      <c r="AI60" s="232" t="str">
        <f t="shared" si="27"/>
        <v>НД</v>
      </c>
      <c r="AJ60" s="398">
        <f>SUMIFS('Отчет РПЗ(ПЗ)_ПЗИП'!$W:$W,'Отчет РПЗ(ПЗ)_ПЗИП'!$D:$D,Справочно!$E25,'Отчет РПЗ(ПЗ)_ПЗИП'!$N:$N,"&gt;=01.06.2018",'Отчет РПЗ(ПЗ)_ПЗИП'!$N:$N,"&lt;=30.06.2018",'Отчет РПЗ(ПЗ)_ПЗИП'!$AG:$AG,"&gt;0")</f>
        <v>0</v>
      </c>
      <c r="AK60" s="299">
        <f>SUMIFS('Отчет РПЗ(ПЗ)_ПЗИП'!$AG:$AG,'Отчет РПЗ(ПЗ)_ПЗИП'!$D:$D,Справочно!$E25,'Отчет РПЗ(ПЗ)_ПЗИП'!$AR:$AR,6)</f>
        <v>0</v>
      </c>
      <c r="AL60" s="299" t="str">
        <f t="shared" si="52"/>
        <v>НД</v>
      </c>
      <c r="AM60" s="232" t="str">
        <f t="shared" si="28"/>
        <v>НД</v>
      </c>
      <c r="AN60" s="393">
        <f t="shared" si="53"/>
        <v>0</v>
      </c>
      <c r="AO60" s="300">
        <f t="shared" si="54"/>
        <v>0</v>
      </c>
      <c r="AP60" s="300">
        <f t="shared" si="29"/>
        <v>0</v>
      </c>
      <c r="AQ60" s="234">
        <f t="shared" si="30"/>
        <v>0</v>
      </c>
      <c r="AR60" s="399">
        <f>SUMIFS('Отчет РПЗ(ПЗ)_ПЗИП'!$W:$W,'Отчет РПЗ(ПЗ)_ПЗИП'!$D:$D,Справочно!$E25,'Отчет РПЗ(ПЗ)_ПЗИП'!$N:$N,"&gt;=01.07.2018",'Отчет РПЗ(ПЗ)_ПЗИП'!$N:$N,"&lt;=31.07.2018",'Отчет РПЗ(ПЗ)_ПЗИП'!$AG:$AG,"&gt;0")</f>
        <v>0</v>
      </c>
      <c r="AS60" s="301">
        <f>SUMIFS('Отчет РПЗ(ПЗ)_ПЗИП'!$AG:$AG,'Отчет РПЗ(ПЗ)_ПЗИП'!$D:$D,Справочно!$E25,'Отчет РПЗ(ПЗ)_ПЗИП'!$AR:$AR,7)</f>
        <v>0</v>
      </c>
      <c r="AT60" s="341" t="str">
        <f t="shared" si="55"/>
        <v>НД</v>
      </c>
      <c r="AU60" s="236" t="str">
        <f t="shared" si="31"/>
        <v>НД</v>
      </c>
      <c r="AV60" s="394">
        <f>SUMIFS('Отчет РПЗ(ПЗ)_ПЗИП'!$W:$W,'Отчет РПЗ(ПЗ)_ПЗИП'!$D:$D,Справочно!$E25,'Отчет РПЗ(ПЗ)_ПЗИП'!$N:$N,"&gt;=01.08.2018",'Отчет РПЗ(ПЗ)_ПЗИП'!$N:$N,"&lt;=31.08.2018",'Отчет РПЗ(ПЗ)_ПЗИП'!$AG:$AG,"&gt;0")</f>
        <v>0</v>
      </c>
      <c r="AW60" s="301">
        <f>SUMIFS('Отчет РПЗ(ПЗ)_ПЗИП'!$AG:$AG,'Отчет РПЗ(ПЗ)_ПЗИП'!$D:$D,Справочно!$E25,'Отчет РПЗ(ПЗ)_ПЗИП'!$AR:$AR,8)</f>
        <v>0</v>
      </c>
      <c r="AX60" s="341" t="str">
        <f t="shared" si="56"/>
        <v>НД</v>
      </c>
      <c r="AY60" s="236" t="str">
        <f t="shared" si="32"/>
        <v>НД</v>
      </c>
      <c r="AZ60" s="394">
        <f>SUMIFS('Отчет РПЗ(ПЗ)_ПЗИП'!$W:$W,'Отчет РПЗ(ПЗ)_ПЗИП'!$D:$D,Справочно!$E25,'Отчет РПЗ(ПЗ)_ПЗИП'!$N:$N,"&gt;=01.09.2018",'Отчет РПЗ(ПЗ)_ПЗИП'!$N:$N,"&lt;=30.09.2018",'Отчет РПЗ(ПЗ)_ПЗИП'!$AG:$AG,"&gt;0")</f>
        <v>0</v>
      </c>
      <c r="BA60" s="301">
        <f>SUMIFS('Отчет РПЗ(ПЗ)_ПЗИП'!$AG:$AG,'Отчет РПЗ(ПЗ)_ПЗИП'!$D:$D,Справочно!$E25,'Отчет РПЗ(ПЗ)_ПЗИП'!$AR:$AR,9)</f>
        <v>0</v>
      </c>
      <c r="BB60" s="341" t="str">
        <f t="shared" si="57"/>
        <v>НД</v>
      </c>
      <c r="BC60" s="236" t="str">
        <f t="shared" si="33"/>
        <v>НД</v>
      </c>
      <c r="BD60" s="393">
        <f t="shared" si="58"/>
        <v>0</v>
      </c>
      <c r="BE60" s="302">
        <f t="shared" si="59"/>
        <v>0</v>
      </c>
      <c r="BF60" s="302">
        <f t="shared" si="34"/>
        <v>0</v>
      </c>
      <c r="BG60" s="238">
        <f t="shared" si="35"/>
        <v>0</v>
      </c>
      <c r="BH60" s="383">
        <f>SUMIFS('Отчет РПЗ(ПЗ)_ПЗИП'!$W:$W,'Отчет РПЗ(ПЗ)_ПЗИП'!$D:$D,Справочно!$E25,'Отчет РПЗ(ПЗ)_ПЗИП'!$N:$N,"&gt;=01.10.2018",'Отчет РПЗ(ПЗ)_ПЗИП'!$N:$N,"&lt;=31.10.2018",'Отчет РПЗ(ПЗ)_ПЗИП'!$AG:$AG,"&gt;0")</f>
        <v>0</v>
      </c>
      <c r="BI60" s="303">
        <f>SUMIFS('Отчет РПЗ(ПЗ)_ПЗИП'!$AG:$AG,'Отчет РПЗ(ПЗ)_ПЗИП'!$D:$D,Справочно!$E25,'Отчет РПЗ(ПЗ)_ПЗИП'!$AR:$AR,10)</f>
        <v>0</v>
      </c>
      <c r="BJ60" s="343" t="str">
        <f t="shared" si="60"/>
        <v>НД</v>
      </c>
      <c r="BK60" s="240" t="str">
        <f t="shared" si="36"/>
        <v>НД</v>
      </c>
      <c r="BL60" s="398">
        <f>SUMIFS('Отчет РПЗ(ПЗ)_ПЗИП'!$W:$W,'Отчет РПЗ(ПЗ)_ПЗИП'!$D:$D,Справочно!$E25,'Отчет РПЗ(ПЗ)_ПЗИП'!$N:$N,"&gt;=01.11.2018",'Отчет РПЗ(ПЗ)_ПЗИП'!$N:$N,"&lt;=30.11.2018",'Отчет РПЗ(ПЗ)_ПЗИП'!$AG:$AG,"&gt;0")</f>
        <v>0</v>
      </c>
      <c r="BM60" s="303">
        <f>SUMIFS('Отчет РПЗ(ПЗ)_ПЗИП'!$AG:$AG,'Отчет РПЗ(ПЗ)_ПЗИП'!$D:$D,Справочно!$E25,'Отчет РПЗ(ПЗ)_ПЗИП'!$AR:$AR,11)</f>
        <v>0</v>
      </c>
      <c r="BN60" s="343" t="str">
        <f t="shared" si="61"/>
        <v>НД</v>
      </c>
      <c r="BO60" s="240" t="str">
        <f t="shared" si="37"/>
        <v>НД</v>
      </c>
      <c r="BP60" s="398">
        <f>SUMIFS('Отчет РПЗ(ПЗ)_ПЗИП'!$W:$W,'Отчет РПЗ(ПЗ)_ПЗИП'!$D:$D,Справочно!$E25,'Отчет РПЗ(ПЗ)_ПЗИП'!$N:$N,"&gt;=01.12.2018",'Отчет РПЗ(ПЗ)_ПЗИП'!$N:$N,"&lt;=31.12.2018",'Отчет РПЗ(ПЗ)_ПЗИП'!$AG:$AG,"&gt;0")</f>
        <v>0</v>
      </c>
      <c r="BQ60" s="303">
        <f>SUMIFS('Отчет РПЗ(ПЗ)_ПЗИП'!$AG:$AG,'Отчет РПЗ(ПЗ)_ПЗИП'!$D:$D,Справочно!$E25,'Отчет РПЗ(ПЗ)_ПЗИП'!$AR:$AR,12)</f>
        <v>0</v>
      </c>
      <c r="BR60" s="343" t="str">
        <f t="shared" si="62"/>
        <v>НД</v>
      </c>
      <c r="BS60" s="242" t="str">
        <f t="shared" si="38"/>
        <v>НД</v>
      </c>
      <c r="BT60" s="393">
        <f t="shared" si="63"/>
        <v>0</v>
      </c>
      <c r="BU60" s="304">
        <f t="shared" si="64"/>
        <v>0</v>
      </c>
      <c r="BV60" s="304">
        <f t="shared" si="39"/>
        <v>0</v>
      </c>
      <c r="BW60" s="243">
        <f t="shared" si="40"/>
        <v>0</v>
      </c>
    </row>
    <row r="61" spans="2:75" ht="15" customHeight="1" thickBot="1" x14ac:dyDescent="0.25">
      <c r="B61" s="58" t="str">
        <f>Справочно!E26</f>
        <v>АО "Концерн "Автоматика"</v>
      </c>
      <c r="C61" s="95">
        <f>ПП!B49</f>
        <v>0</v>
      </c>
      <c r="D61" s="381" t="e">
        <f>ПП!C49</f>
        <v>#DIV/0!</v>
      </c>
      <c r="E61" s="406">
        <f>ПП!D49</f>
        <v>0</v>
      </c>
      <c r="F61" s="272">
        <f>COUNTIFS('Отчет РПЗ(ПЗ)_ПЗИП'!$AG:$AG,"&gt;0",'Отчет РПЗ(ПЗ)_ПЗИП'!$D:$D,Справочно!$E26)</f>
        <v>0</v>
      </c>
      <c r="G61" s="407" t="e">
        <f t="shared" si="41"/>
        <v>#DIV/0!</v>
      </c>
      <c r="H61" s="408">
        <f>SUMIF('Отчет РПЗ(ПЗ)_ПЗИП'!$D:$D,Справочно!$E26,'Отчет РПЗ(ПЗ)_ПЗИП'!$AG:$AG)</f>
        <v>0</v>
      </c>
      <c r="I61" s="428">
        <f t="shared" si="65"/>
        <v>0</v>
      </c>
      <c r="J61" s="478" t="e">
        <f t="shared" si="42"/>
        <v>#DIV/0!</v>
      </c>
      <c r="L61" s="399">
        <f>SUMIFS('Отчет РПЗ(ПЗ)_ПЗИП'!$W:$W,'Отчет РПЗ(ПЗ)_ПЗИП'!$D:$D,Справочно!$E26,'Отчет РПЗ(ПЗ)_ПЗИП'!$N:$N,"&gt;=01.01.2018",'Отчет РПЗ(ПЗ)_ПЗИП'!$N:$N,"&lt;=31.01.2018",'Отчет РПЗ(ПЗ)_ПЗИП'!$AG:$AG,"&gt;0")</f>
        <v>0</v>
      </c>
      <c r="M61" s="297">
        <f>SUMIFS('Отчет РПЗ(ПЗ)_ПЗИП'!$AG:$AG,'Отчет РПЗ(ПЗ)_ПЗИП'!$D:$D,Справочно!$E26,'Отчет РПЗ(ПЗ)_ПЗИП'!$AR:$AR,1)</f>
        <v>0</v>
      </c>
      <c r="N61" s="305" t="str">
        <f t="shared" si="43"/>
        <v>НД</v>
      </c>
      <c r="O61" s="231" t="str">
        <f t="shared" si="44"/>
        <v>НД</v>
      </c>
      <c r="P61" s="394">
        <f>SUMIFS('Отчет РПЗ(ПЗ)_ПЗИП'!$W:$W,'Отчет РПЗ(ПЗ)_ПЗИП'!$D:$D,Справочно!$E26,'Отчет РПЗ(ПЗ)_ПЗИП'!$N:$N,"&gt;=01.02.2018",'Отчет РПЗ(ПЗ)_ПЗИП'!$N:$N,"&lt;=28.02.2018",'Отчет РПЗ(ПЗ)_ПЗИП'!$AG:$AG,"&gt;0")</f>
        <v>0</v>
      </c>
      <c r="Q61" s="297">
        <f>SUMIFS('Отчет РПЗ(ПЗ)_ПЗИП'!$AG:$AG,'Отчет РПЗ(ПЗ)_ПЗИП'!$D:$D,Справочно!$E26,'Отчет РПЗ(ПЗ)_ПЗИП'!$AR:$AR,2)</f>
        <v>0</v>
      </c>
      <c r="R61" s="305" t="str">
        <f t="shared" si="45"/>
        <v>НД</v>
      </c>
      <c r="S61" s="231" t="str">
        <f t="shared" si="46"/>
        <v>НД</v>
      </c>
      <c r="T61" s="394">
        <f>SUMIFS('Отчет РПЗ(ПЗ)_ПЗИП'!$W:$W,'Отчет РПЗ(ПЗ)_ПЗИП'!$D:$D,Справочно!$E26,'Отчет РПЗ(ПЗ)_ПЗИП'!$N:$N,"&gt;=01.03.2018",'Отчет РПЗ(ПЗ)_ПЗИП'!$N:$N,"&lt;=31.03.2018",'Отчет РПЗ(ПЗ)_ПЗИП'!$AG:$AG,"&gt;0")</f>
        <v>0</v>
      </c>
      <c r="U61" s="297">
        <f>SUMIFS('Отчет РПЗ(ПЗ)_ПЗИП'!$AG:$AG,'Отчет РПЗ(ПЗ)_ПЗИП'!$D:$D,Справочно!$E26,'Отчет РПЗ(ПЗ)_ПЗИП'!$AR:$AR,3)</f>
        <v>0</v>
      </c>
      <c r="V61" s="305" t="str">
        <f t="shared" si="47"/>
        <v>НД</v>
      </c>
      <c r="W61" s="231" t="str">
        <f t="shared" si="23"/>
        <v>НД</v>
      </c>
      <c r="X61" s="393">
        <f t="shared" si="48"/>
        <v>0</v>
      </c>
      <c r="Y61" s="298">
        <f t="shared" si="49"/>
        <v>0</v>
      </c>
      <c r="Z61" s="298">
        <f t="shared" si="24"/>
        <v>0</v>
      </c>
      <c r="AA61" s="233">
        <f t="shared" si="25"/>
        <v>0</v>
      </c>
      <c r="AB61" s="399">
        <f>SUMIFS('Отчет РПЗ(ПЗ)_ПЗИП'!$W:$W,'Отчет РПЗ(ПЗ)_ПЗИП'!$D:$D,Справочно!$E26,'Отчет РПЗ(ПЗ)_ПЗИП'!$N:$N,"&gt;=01.04.2018",'Отчет РПЗ(ПЗ)_ПЗИП'!$N:$N,"&lt;=30.04.2018",'Отчет РПЗ(ПЗ)_ПЗИП'!$AG:$AG,"&gt;0")</f>
        <v>0</v>
      </c>
      <c r="AC61" s="299">
        <f>SUMIFS('Отчет РПЗ(ПЗ)_ПЗИП'!$AG:$AG,'Отчет РПЗ(ПЗ)_ПЗИП'!$D:$D,Справочно!$E26,'Отчет РПЗ(ПЗ)_ПЗИП'!$AR:$AR,4)</f>
        <v>0</v>
      </c>
      <c r="AD61" s="299" t="str">
        <f t="shared" si="50"/>
        <v>НД</v>
      </c>
      <c r="AE61" s="232" t="str">
        <f t="shared" si="26"/>
        <v>НД</v>
      </c>
      <c r="AF61" s="398">
        <f>SUMIFS('Отчет РПЗ(ПЗ)_ПЗИП'!$W:$W,'Отчет РПЗ(ПЗ)_ПЗИП'!$D:$D,Справочно!$E26,'Отчет РПЗ(ПЗ)_ПЗИП'!$N:$N,"&gt;=01.05.2018",'Отчет РПЗ(ПЗ)_ПЗИП'!$N:$N,"&lt;=31.05.2018",'Отчет РПЗ(ПЗ)_ПЗИП'!$AG:$AG,"&gt;0")</f>
        <v>0</v>
      </c>
      <c r="AG61" s="299">
        <f>SUMIFS('Отчет РПЗ(ПЗ)_ПЗИП'!$AG:$AG,'Отчет РПЗ(ПЗ)_ПЗИП'!$D:$D,Справочно!$E26,'Отчет РПЗ(ПЗ)_ПЗИП'!$AR:$AR,5)</f>
        <v>0</v>
      </c>
      <c r="AH61" s="299" t="str">
        <f t="shared" si="51"/>
        <v>НД</v>
      </c>
      <c r="AI61" s="232" t="str">
        <f t="shared" si="27"/>
        <v>НД</v>
      </c>
      <c r="AJ61" s="398">
        <f>SUMIFS('Отчет РПЗ(ПЗ)_ПЗИП'!$W:$W,'Отчет РПЗ(ПЗ)_ПЗИП'!$D:$D,Справочно!$E26,'Отчет РПЗ(ПЗ)_ПЗИП'!$N:$N,"&gt;=01.06.2018",'Отчет РПЗ(ПЗ)_ПЗИП'!$N:$N,"&lt;=30.06.2018",'Отчет РПЗ(ПЗ)_ПЗИП'!$AG:$AG,"&gt;0")</f>
        <v>0</v>
      </c>
      <c r="AK61" s="299">
        <f>SUMIFS('Отчет РПЗ(ПЗ)_ПЗИП'!$AG:$AG,'Отчет РПЗ(ПЗ)_ПЗИП'!$D:$D,Справочно!$E26,'Отчет РПЗ(ПЗ)_ПЗИП'!$AR:$AR,6)</f>
        <v>0</v>
      </c>
      <c r="AL61" s="299" t="str">
        <f t="shared" si="52"/>
        <v>НД</v>
      </c>
      <c r="AM61" s="232" t="str">
        <f t="shared" si="28"/>
        <v>НД</v>
      </c>
      <c r="AN61" s="393">
        <f t="shared" si="53"/>
        <v>0</v>
      </c>
      <c r="AO61" s="300">
        <f t="shared" si="54"/>
        <v>0</v>
      </c>
      <c r="AP61" s="300">
        <f t="shared" si="29"/>
        <v>0</v>
      </c>
      <c r="AQ61" s="234">
        <f t="shared" si="30"/>
        <v>0</v>
      </c>
      <c r="AR61" s="399">
        <f>SUMIFS('Отчет РПЗ(ПЗ)_ПЗИП'!$W:$W,'Отчет РПЗ(ПЗ)_ПЗИП'!$D:$D,Справочно!$E26,'Отчет РПЗ(ПЗ)_ПЗИП'!$N:$N,"&gt;=01.07.2018",'Отчет РПЗ(ПЗ)_ПЗИП'!$N:$N,"&lt;=31.07.2018",'Отчет РПЗ(ПЗ)_ПЗИП'!$AG:$AG,"&gt;0")</f>
        <v>0</v>
      </c>
      <c r="AS61" s="301">
        <f>SUMIFS('Отчет РПЗ(ПЗ)_ПЗИП'!$AG:$AG,'Отчет РПЗ(ПЗ)_ПЗИП'!$D:$D,Справочно!$E26,'Отчет РПЗ(ПЗ)_ПЗИП'!$AR:$AR,7)</f>
        <v>0</v>
      </c>
      <c r="AT61" s="341" t="str">
        <f t="shared" si="55"/>
        <v>НД</v>
      </c>
      <c r="AU61" s="236" t="str">
        <f t="shared" si="31"/>
        <v>НД</v>
      </c>
      <c r="AV61" s="394">
        <f>SUMIFS('Отчет РПЗ(ПЗ)_ПЗИП'!$W:$W,'Отчет РПЗ(ПЗ)_ПЗИП'!$D:$D,Справочно!$E26,'Отчет РПЗ(ПЗ)_ПЗИП'!$N:$N,"&gt;=01.08.2018",'Отчет РПЗ(ПЗ)_ПЗИП'!$N:$N,"&lt;=31.08.2018",'Отчет РПЗ(ПЗ)_ПЗИП'!$AG:$AG,"&gt;0")</f>
        <v>0</v>
      </c>
      <c r="AW61" s="301">
        <f>SUMIFS('Отчет РПЗ(ПЗ)_ПЗИП'!$AG:$AG,'Отчет РПЗ(ПЗ)_ПЗИП'!$D:$D,Справочно!$E26,'Отчет РПЗ(ПЗ)_ПЗИП'!$AR:$AR,8)</f>
        <v>0</v>
      </c>
      <c r="AX61" s="341" t="str">
        <f t="shared" si="56"/>
        <v>НД</v>
      </c>
      <c r="AY61" s="236" t="str">
        <f t="shared" si="32"/>
        <v>НД</v>
      </c>
      <c r="AZ61" s="394">
        <f>SUMIFS('Отчет РПЗ(ПЗ)_ПЗИП'!$W:$W,'Отчет РПЗ(ПЗ)_ПЗИП'!$D:$D,Справочно!$E26,'Отчет РПЗ(ПЗ)_ПЗИП'!$N:$N,"&gt;=01.09.2018",'Отчет РПЗ(ПЗ)_ПЗИП'!$N:$N,"&lt;=30.09.2018",'Отчет РПЗ(ПЗ)_ПЗИП'!$AG:$AG,"&gt;0")</f>
        <v>0</v>
      </c>
      <c r="BA61" s="301">
        <f>SUMIFS('Отчет РПЗ(ПЗ)_ПЗИП'!$AG:$AG,'Отчет РПЗ(ПЗ)_ПЗИП'!$D:$D,Справочно!$E26,'Отчет РПЗ(ПЗ)_ПЗИП'!$AR:$AR,9)</f>
        <v>0</v>
      </c>
      <c r="BB61" s="341" t="str">
        <f t="shared" si="57"/>
        <v>НД</v>
      </c>
      <c r="BC61" s="236" t="str">
        <f t="shared" si="33"/>
        <v>НД</v>
      </c>
      <c r="BD61" s="393">
        <f t="shared" si="58"/>
        <v>0</v>
      </c>
      <c r="BE61" s="302">
        <f t="shared" si="59"/>
        <v>0</v>
      </c>
      <c r="BF61" s="302">
        <f t="shared" si="34"/>
        <v>0</v>
      </c>
      <c r="BG61" s="238">
        <f t="shared" si="35"/>
        <v>0</v>
      </c>
      <c r="BH61" s="383">
        <f>SUMIFS('Отчет РПЗ(ПЗ)_ПЗИП'!$W:$W,'Отчет РПЗ(ПЗ)_ПЗИП'!$D:$D,Справочно!$E26,'Отчет РПЗ(ПЗ)_ПЗИП'!$N:$N,"&gt;=01.10.2018",'Отчет РПЗ(ПЗ)_ПЗИП'!$N:$N,"&lt;=31.10.2018",'Отчет РПЗ(ПЗ)_ПЗИП'!$AG:$AG,"&gt;0")</f>
        <v>0</v>
      </c>
      <c r="BI61" s="303">
        <f>SUMIFS('Отчет РПЗ(ПЗ)_ПЗИП'!$AG:$AG,'Отчет РПЗ(ПЗ)_ПЗИП'!$D:$D,Справочно!$E26,'Отчет РПЗ(ПЗ)_ПЗИП'!$AR:$AR,10)</f>
        <v>0</v>
      </c>
      <c r="BJ61" s="343" t="str">
        <f t="shared" si="60"/>
        <v>НД</v>
      </c>
      <c r="BK61" s="240" t="str">
        <f t="shared" si="36"/>
        <v>НД</v>
      </c>
      <c r="BL61" s="398">
        <f>SUMIFS('Отчет РПЗ(ПЗ)_ПЗИП'!$W:$W,'Отчет РПЗ(ПЗ)_ПЗИП'!$D:$D,Справочно!$E26,'Отчет РПЗ(ПЗ)_ПЗИП'!$N:$N,"&gt;=01.11.2018",'Отчет РПЗ(ПЗ)_ПЗИП'!$N:$N,"&lt;=30.11.2018",'Отчет РПЗ(ПЗ)_ПЗИП'!$AG:$AG,"&gt;0")</f>
        <v>0</v>
      </c>
      <c r="BM61" s="303">
        <f>SUMIFS('Отчет РПЗ(ПЗ)_ПЗИП'!$AG:$AG,'Отчет РПЗ(ПЗ)_ПЗИП'!$D:$D,Справочно!$E26,'Отчет РПЗ(ПЗ)_ПЗИП'!$AR:$AR,11)</f>
        <v>0</v>
      </c>
      <c r="BN61" s="343" t="str">
        <f t="shared" si="61"/>
        <v>НД</v>
      </c>
      <c r="BO61" s="240" t="str">
        <f t="shared" si="37"/>
        <v>НД</v>
      </c>
      <c r="BP61" s="398">
        <f>SUMIFS('Отчет РПЗ(ПЗ)_ПЗИП'!$W:$W,'Отчет РПЗ(ПЗ)_ПЗИП'!$D:$D,Справочно!$E26,'Отчет РПЗ(ПЗ)_ПЗИП'!$N:$N,"&gt;=01.12.2018",'Отчет РПЗ(ПЗ)_ПЗИП'!$N:$N,"&lt;=31.12.2018",'Отчет РПЗ(ПЗ)_ПЗИП'!$AG:$AG,"&gt;0")</f>
        <v>0</v>
      </c>
      <c r="BQ61" s="303">
        <f>SUMIFS('Отчет РПЗ(ПЗ)_ПЗИП'!$AG:$AG,'Отчет РПЗ(ПЗ)_ПЗИП'!$D:$D,Справочно!$E26,'Отчет РПЗ(ПЗ)_ПЗИП'!$AR:$AR,12)</f>
        <v>0</v>
      </c>
      <c r="BR61" s="343" t="str">
        <f t="shared" si="62"/>
        <v>НД</v>
      </c>
      <c r="BS61" s="242" t="str">
        <f t="shared" si="38"/>
        <v>НД</v>
      </c>
      <c r="BT61" s="393">
        <f t="shared" si="63"/>
        <v>0</v>
      </c>
      <c r="BU61" s="304">
        <f t="shared" si="64"/>
        <v>0</v>
      </c>
      <c r="BV61" s="304">
        <f t="shared" si="39"/>
        <v>0</v>
      </c>
      <c r="BW61" s="243">
        <f t="shared" si="40"/>
        <v>0</v>
      </c>
    </row>
    <row r="62" spans="2:75" ht="15" customHeight="1" thickBot="1" x14ac:dyDescent="0.25">
      <c r="B62" s="58" t="str">
        <f>Справочно!E27</f>
        <v>АО "Станкопром"</v>
      </c>
      <c r="C62" s="95">
        <f>ПП!B50</f>
        <v>0</v>
      </c>
      <c r="D62" s="381" t="e">
        <f>ПП!C50</f>
        <v>#DIV/0!</v>
      </c>
      <c r="E62" s="406">
        <f>ПП!D50</f>
        <v>0</v>
      </c>
      <c r="F62" s="272">
        <f>COUNTIFS('Отчет РПЗ(ПЗ)_ПЗИП'!$AG:$AG,"&gt;0",'Отчет РПЗ(ПЗ)_ПЗИП'!$D:$D,Справочно!$E27)</f>
        <v>0</v>
      </c>
      <c r="G62" s="407" t="e">
        <f t="shared" si="41"/>
        <v>#DIV/0!</v>
      </c>
      <c r="H62" s="408">
        <f>SUMIF('Отчет РПЗ(ПЗ)_ПЗИП'!$D:$D,Справочно!$E27,'Отчет РПЗ(ПЗ)_ПЗИП'!$AG:$AG)</f>
        <v>0</v>
      </c>
      <c r="I62" s="428">
        <f t="shared" si="65"/>
        <v>0</v>
      </c>
      <c r="J62" s="478" t="e">
        <f t="shared" si="42"/>
        <v>#DIV/0!</v>
      </c>
      <c r="L62" s="399">
        <f>SUMIFS('Отчет РПЗ(ПЗ)_ПЗИП'!$W:$W,'Отчет РПЗ(ПЗ)_ПЗИП'!$D:$D,Справочно!$E27,'Отчет РПЗ(ПЗ)_ПЗИП'!$N:$N,"&gt;=01.01.2018",'Отчет РПЗ(ПЗ)_ПЗИП'!$N:$N,"&lt;=31.01.2018",'Отчет РПЗ(ПЗ)_ПЗИП'!$AG:$AG,"&gt;0")</f>
        <v>0</v>
      </c>
      <c r="M62" s="297">
        <f>SUMIFS('Отчет РПЗ(ПЗ)_ПЗИП'!$AG:$AG,'Отчет РПЗ(ПЗ)_ПЗИП'!$D:$D,Справочно!$E27,'Отчет РПЗ(ПЗ)_ПЗИП'!$AR:$AR,1)</f>
        <v>0</v>
      </c>
      <c r="N62" s="305" t="str">
        <f t="shared" si="43"/>
        <v>НД</v>
      </c>
      <c r="O62" s="231" t="str">
        <f t="shared" si="44"/>
        <v>НД</v>
      </c>
      <c r="P62" s="394">
        <f>SUMIFS('Отчет РПЗ(ПЗ)_ПЗИП'!$W:$W,'Отчет РПЗ(ПЗ)_ПЗИП'!$D:$D,Справочно!$E27,'Отчет РПЗ(ПЗ)_ПЗИП'!$N:$N,"&gt;=01.02.2018",'Отчет РПЗ(ПЗ)_ПЗИП'!$N:$N,"&lt;=28.02.2018",'Отчет РПЗ(ПЗ)_ПЗИП'!$AG:$AG,"&gt;0")</f>
        <v>0</v>
      </c>
      <c r="Q62" s="297">
        <f>SUMIFS('Отчет РПЗ(ПЗ)_ПЗИП'!$AG:$AG,'Отчет РПЗ(ПЗ)_ПЗИП'!$D:$D,Справочно!$E27,'Отчет РПЗ(ПЗ)_ПЗИП'!$AR:$AR,2)</f>
        <v>0</v>
      </c>
      <c r="R62" s="305" t="str">
        <f t="shared" si="45"/>
        <v>НД</v>
      </c>
      <c r="S62" s="231" t="str">
        <f t="shared" si="46"/>
        <v>НД</v>
      </c>
      <c r="T62" s="394">
        <f>SUMIFS('Отчет РПЗ(ПЗ)_ПЗИП'!$W:$W,'Отчет РПЗ(ПЗ)_ПЗИП'!$D:$D,Справочно!$E27,'Отчет РПЗ(ПЗ)_ПЗИП'!$N:$N,"&gt;=01.03.2018",'Отчет РПЗ(ПЗ)_ПЗИП'!$N:$N,"&lt;=31.03.2018",'Отчет РПЗ(ПЗ)_ПЗИП'!$AG:$AG,"&gt;0")</f>
        <v>0</v>
      </c>
      <c r="U62" s="297">
        <f>SUMIFS('Отчет РПЗ(ПЗ)_ПЗИП'!$AG:$AG,'Отчет РПЗ(ПЗ)_ПЗИП'!$D:$D,Справочно!$E27,'Отчет РПЗ(ПЗ)_ПЗИП'!$AR:$AR,3)</f>
        <v>0</v>
      </c>
      <c r="V62" s="305" t="str">
        <f t="shared" si="47"/>
        <v>НД</v>
      </c>
      <c r="W62" s="231" t="str">
        <f t="shared" si="23"/>
        <v>НД</v>
      </c>
      <c r="X62" s="393">
        <f t="shared" si="48"/>
        <v>0</v>
      </c>
      <c r="Y62" s="298">
        <f t="shared" si="49"/>
        <v>0</v>
      </c>
      <c r="Z62" s="298">
        <f t="shared" si="24"/>
        <v>0</v>
      </c>
      <c r="AA62" s="233">
        <f t="shared" si="25"/>
        <v>0</v>
      </c>
      <c r="AB62" s="399">
        <f>SUMIFS('Отчет РПЗ(ПЗ)_ПЗИП'!$W:$W,'Отчет РПЗ(ПЗ)_ПЗИП'!$D:$D,Справочно!$E27,'Отчет РПЗ(ПЗ)_ПЗИП'!$N:$N,"&gt;=01.04.2018",'Отчет РПЗ(ПЗ)_ПЗИП'!$N:$N,"&lt;=30.04.2018",'Отчет РПЗ(ПЗ)_ПЗИП'!$AG:$AG,"&gt;0")</f>
        <v>0</v>
      </c>
      <c r="AC62" s="299">
        <f>SUMIFS('Отчет РПЗ(ПЗ)_ПЗИП'!$AG:$AG,'Отчет РПЗ(ПЗ)_ПЗИП'!$D:$D,Справочно!$E27,'Отчет РПЗ(ПЗ)_ПЗИП'!$AR:$AR,4)</f>
        <v>0</v>
      </c>
      <c r="AD62" s="299" t="str">
        <f t="shared" si="50"/>
        <v>НД</v>
      </c>
      <c r="AE62" s="232" t="str">
        <f t="shared" si="26"/>
        <v>НД</v>
      </c>
      <c r="AF62" s="398">
        <f>SUMIFS('Отчет РПЗ(ПЗ)_ПЗИП'!$W:$W,'Отчет РПЗ(ПЗ)_ПЗИП'!$D:$D,Справочно!$E27,'Отчет РПЗ(ПЗ)_ПЗИП'!$N:$N,"&gt;=01.05.2018",'Отчет РПЗ(ПЗ)_ПЗИП'!$N:$N,"&lt;=31.05.2018",'Отчет РПЗ(ПЗ)_ПЗИП'!$AG:$AG,"&gt;0")</f>
        <v>0</v>
      </c>
      <c r="AG62" s="299">
        <f>SUMIFS('Отчет РПЗ(ПЗ)_ПЗИП'!$AG:$AG,'Отчет РПЗ(ПЗ)_ПЗИП'!$D:$D,Справочно!$E27,'Отчет РПЗ(ПЗ)_ПЗИП'!$AR:$AR,5)</f>
        <v>0</v>
      </c>
      <c r="AH62" s="299" t="str">
        <f t="shared" si="51"/>
        <v>НД</v>
      </c>
      <c r="AI62" s="232" t="str">
        <f t="shared" si="27"/>
        <v>НД</v>
      </c>
      <c r="AJ62" s="398">
        <f>SUMIFS('Отчет РПЗ(ПЗ)_ПЗИП'!$W:$W,'Отчет РПЗ(ПЗ)_ПЗИП'!$D:$D,Справочно!$E27,'Отчет РПЗ(ПЗ)_ПЗИП'!$N:$N,"&gt;=01.06.2018",'Отчет РПЗ(ПЗ)_ПЗИП'!$N:$N,"&lt;=30.06.2018",'Отчет РПЗ(ПЗ)_ПЗИП'!$AG:$AG,"&gt;0")</f>
        <v>0</v>
      </c>
      <c r="AK62" s="299">
        <f>SUMIFS('Отчет РПЗ(ПЗ)_ПЗИП'!$AG:$AG,'Отчет РПЗ(ПЗ)_ПЗИП'!$D:$D,Справочно!$E27,'Отчет РПЗ(ПЗ)_ПЗИП'!$AR:$AR,6)</f>
        <v>0</v>
      </c>
      <c r="AL62" s="299" t="str">
        <f t="shared" si="52"/>
        <v>НД</v>
      </c>
      <c r="AM62" s="232" t="str">
        <f t="shared" si="28"/>
        <v>НД</v>
      </c>
      <c r="AN62" s="393">
        <f t="shared" si="53"/>
        <v>0</v>
      </c>
      <c r="AO62" s="300">
        <f t="shared" si="54"/>
        <v>0</v>
      </c>
      <c r="AP62" s="300">
        <f t="shared" si="29"/>
        <v>0</v>
      </c>
      <c r="AQ62" s="234">
        <f t="shared" si="30"/>
        <v>0</v>
      </c>
      <c r="AR62" s="399">
        <f>SUMIFS('Отчет РПЗ(ПЗ)_ПЗИП'!$W:$W,'Отчет РПЗ(ПЗ)_ПЗИП'!$D:$D,Справочно!$E27,'Отчет РПЗ(ПЗ)_ПЗИП'!$N:$N,"&gt;=01.07.2018",'Отчет РПЗ(ПЗ)_ПЗИП'!$N:$N,"&lt;=31.07.2018",'Отчет РПЗ(ПЗ)_ПЗИП'!$AG:$AG,"&gt;0")</f>
        <v>0</v>
      </c>
      <c r="AS62" s="301">
        <f>SUMIFS('Отчет РПЗ(ПЗ)_ПЗИП'!$AG:$AG,'Отчет РПЗ(ПЗ)_ПЗИП'!$D:$D,Справочно!$E27,'Отчет РПЗ(ПЗ)_ПЗИП'!$AR:$AR,7)</f>
        <v>0</v>
      </c>
      <c r="AT62" s="341" t="str">
        <f t="shared" si="55"/>
        <v>НД</v>
      </c>
      <c r="AU62" s="236" t="str">
        <f t="shared" si="31"/>
        <v>НД</v>
      </c>
      <c r="AV62" s="394">
        <f>SUMIFS('Отчет РПЗ(ПЗ)_ПЗИП'!$W:$W,'Отчет РПЗ(ПЗ)_ПЗИП'!$D:$D,Справочно!$E27,'Отчет РПЗ(ПЗ)_ПЗИП'!$N:$N,"&gt;=01.08.2018",'Отчет РПЗ(ПЗ)_ПЗИП'!$N:$N,"&lt;=31.08.2018",'Отчет РПЗ(ПЗ)_ПЗИП'!$AG:$AG,"&gt;0")</f>
        <v>0</v>
      </c>
      <c r="AW62" s="301">
        <f>SUMIFS('Отчет РПЗ(ПЗ)_ПЗИП'!$AG:$AG,'Отчет РПЗ(ПЗ)_ПЗИП'!$D:$D,Справочно!$E27,'Отчет РПЗ(ПЗ)_ПЗИП'!$AR:$AR,8)</f>
        <v>0</v>
      </c>
      <c r="AX62" s="341" t="str">
        <f t="shared" si="56"/>
        <v>НД</v>
      </c>
      <c r="AY62" s="236" t="str">
        <f t="shared" si="32"/>
        <v>НД</v>
      </c>
      <c r="AZ62" s="394">
        <f>SUMIFS('Отчет РПЗ(ПЗ)_ПЗИП'!$W:$W,'Отчет РПЗ(ПЗ)_ПЗИП'!$D:$D,Справочно!$E27,'Отчет РПЗ(ПЗ)_ПЗИП'!$N:$N,"&gt;=01.09.2018",'Отчет РПЗ(ПЗ)_ПЗИП'!$N:$N,"&lt;=30.09.2018",'Отчет РПЗ(ПЗ)_ПЗИП'!$AG:$AG,"&gt;0")</f>
        <v>0</v>
      </c>
      <c r="BA62" s="301">
        <f>SUMIFS('Отчет РПЗ(ПЗ)_ПЗИП'!$AG:$AG,'Отчет РПЗ(ПЗ)_ПЗИП'!$D:$D,Справочно!$E27,'Отчет РПЗ(ПЗ)_ПЗИП'!$AR:$AR,9)</f>
        <v>0</v>
      </c>
      <c r="BB62" s="341" t="str">
        <f t="shared" si="57"/>
        <v>НД</v>
      </c>
      <c r="BC62" s="236" t="str">
        <f t="shared" si="33"/>
        <v>НД</v>
      </c>
      <c r="BD62" s="393">
        <f t="shared" si="58"/>
        <v>0</v>
      </c>
      <c r="BE62" s="302">
        <f t="shared" si="59"/>
        <v>0</v>
      </c>
      <c r="BF62" s="302">
        <f t="shared" si="34"/>
        <v>0</v>
      </c>
      <c r="BG62" s="238">
        <f t="shared" si="35"/>
        <v>0</v>
      </c>
      <c r="BH62" s="383">
        <f>SUMIFS('Отчет РПЗ(ПЗ)_ПЗИП'!$W:$W,'Отчет РПЗ(ПЗ)_ПЗИП'!$D:$D,Справочно!$E27,'Отчет РПЗ(ПЗ)_ПЗИП'!$N:$N,"&gt;=01.10.2018",'Отчет РПЗ(ПЗ)_ПЗИП'!$N:$N,"&lt;=31.10.2018",'Отчет РПЗ(ПЗ)_ПЗИП'!$AG:$AG,"&gt;0")</f>
        <v>0</v>
      </c>
      <c r="BI62" s="303">
        <f>SUMIFS('Отчет РПЗ(ПЗ)_ПЗИП'!$AG:$AG,'Отчет РПЗ(ПЗ)_ПЗИП'!$D:$D,Справочно!$E27,'Отчет РПЗ(ПЗ)_ПЗИП'!$AR:$AR,10)</f>
        <v>0</v>
      </c>
      <c r="BJ62" s="343" t="str">
        <f t="shared" si="60"/>
        <v>НД</v>
      </c>
      <c r="BK62" s="240" t="str">
        <f t="shared" si="36"/>
        <v>НД</v>
      </c>
      <c r="BL62" s="398">
        <f>SUMIFS('Отчет РПЗ(ПЗ)_ПЗИП'!$W:$W,'Отчет РПЗ(ПЗ)_ПЗИП'!$D:$D,Справочно!$E27,'Отчет РПЗ(ПЗ)_ПЗИП'!$N:$N,"&gt;=01.11.2018",'Отчет РПЗ(ПЗ)_ПЗИП'!$N:$N,"&lt;=30.11.2018",'Отчет РПЗ(ПЗ)_ПЗИП'!$AG:$AG,"&gt;0")</f>
        <v>0</v>
      </c>
      <c r="BM62" s="303">
        <f>SUMIFS('Отчет РПЗ(ПЗ)_ПЗИП'!$AG:$AG,'Отчет РПЗ(ПЗ)_ПЗИП'!$D:$D,Справочно!$E27,'Отчет РПЗ(ПЗ)_ПЗИП'!$AR:$AR,11)</f>
        <v>0</v>
      </c>
      <c r="BN62" s="343" t="str">
        <f t="shared" si="61"/>
        <v>НД</v>
      </c>
      <c r="BO62" s="240" t="str">
        <f t="shared" si="37"/>
        <v>НД</v>
      </c>
      <c r="BP62" s="398">
        <f>SUMIFS('Отчет РПЗ(ПЗ)_ПЗИП'!$W:$W,'Отчет РПЗ(ПЗ)_ПЗИП'!$D:$D,Справочно!$E27,'Отчет РПЗ(ПЗ)_ПЗИП'!$N:$N,"&gt;=01.12.2018",'Отчет РПЗ(ПЗ)_ПЗИП'!$N:$N,"&lt;=31.12.2018",'Отчет РПЗ(ПЗ)_ПЗИП'!$AG:$AG,"&gt;0")</f>
        <v>0</v>
      </c>
      <c r="BQ62" s="303">
        <f>SUMIFS('Отчет РПЗ(ПЗ)_ПЗИП'!$AG:$AG,'Отчет РПЗ(ПЗ)_ПЗИП'!$D:$D,Справочно!$E27,'Отчет РПЗ(ПЗ)_ПЗИП'!$AR:$AR,12)</f>
        <v>0</v>
      </c>
      <c r="BR62" s="343" t="str">
        <f t="shared" si="62"/>
        <v>НД</v>
      </c>
      <c r="BS62" s="242" t="str">
        <f t="shared" si="38"/>
        <v>НД</v>
      </c>
      <c r="BT62" s="393">
        <f t="shared" si="63"/>
        <v>0</v>
      </c>
      <c r="BU62" s="304">
        <f t="shared" si="64"/>
        <v>0</v>
      </c>
      <c r="BV62" s="304">
        <f t="shared" si="39"/>
        <v>0</v>
      </c>
      <c r="BW62" s="243">
        <f t="shared" si="40"/>
        <v>0</v>
      </c>
    </row>
    <row r="63" spans="2:75" ht="15" customHeight="1" thickBot="1" x14ac:dyDescent="0.25">
      <c r="B63" s="58" t="str">
        <f>Справочно!E28</f>
        <v>АО "СИБЕР"</v>
      </c>
      <c r="C63" s="95">
        <f>ПП!B51</f>
        <v>0</v>
      </c>
      <c r="D63" s="381" t="e">
        <f>ПП!C51</f>
        <v>#DIV/0!</v>
      </c>
      <c r="E63" s="406">
        <f>ПП!D51</f>
        <v>0</v>
      </c>
      <c r="F63" s="272">
        <f>COUNTIFS('Отчет РПЗ(ПЗ)_ПЗИП'!$AG:$AG,"&gt;0",'Отчет РПЗ(ПЗ)_ПЗИП'!$D:$D,Справочно!$E28)</f>
        <v>0</v>
      </c>
      <c r="G63" s="407" t="e">
        <f t="shared" si="41"/>
        <v>#DIV/0!</v>
      </c>
      <c r="H63" s="408">
        <f>SUMIF('Отчет РПЗ(ПЗ)_ПЗИП'!$D:$D,Справочно!$E28,'Отчет РПЗ(ПЗ)_ПЗИП'!$AG:$AG)</f>
        <v>0</v>
      </c>
      <c r="I63" s="428">
        <f t="shared" si="65"/>
        <v>0</v>
      </c>
      <c r="J63" s="478" t="e">
        <f t="shared" si="42"/>
        <v>#DIV/0!</v>
      </c>
      <c r="L63" s="399">
        <f>SUMIFS('Отчет РПЗ(ПЗ)_ПЗИП'!$W:$W,'Отчет РПЗ(ПЗ)_ПЗИП'!$D:$D,Справочно!$E28,'Отчет РПЗ(ПЗ)_ПЗИП'!$N:$N,"&gt;=01.01.2018",'Отчет РПЗ(ПЗ)_ПЗИП'!$N:$N,"&lt;=31.01.2018",'Отчет РПЗ(ПЗ)_ПЗИП'!$AG:$AG,"&gt;0")</f>
        <v>0</v>
      </c>
      <c r="M63" s="297">
        <f>SUMIFS('Отчет РПЗ(ПЗ)_ПЗИП'!$AG:$AG,'Отчет РПЗ(ПЗ)_ПЗИП'!$D:$D,Справочно!$E28,'Отчет РПЗ(ПЗ)_ПЗИП'!$AR:$AR,1)</f>
        <v>0</v>
      </c>
      <c r="N63" s="305" t="str">
        <f t="shared" si="43"/>
        <v>НД</v>
      </c>
      <c r="O63" s="231" t="str">
        <f t="shared" si="44"/>
        <v>НД</v>
      </c>
      <c r="P63" s="394">
        <f>SUMIFS('Отчет РПЗ(ПЗ)_ПЗИП'!$W:$W,'Отчет РПЗ(ПЗ)_ПЗИП'!$D:$D,Справочно!$E28,'Отчет РПЗ(ПЗ)_ПЗИП'!$N:$N,"&gt;=01.02.2018",'Отчет РПЗ(ПЗ)_ПЗИП'!$N:$N,"&lt;=28.02.2018",'Отчет РПЗ(ПЗ)_ПЗИП'!$AG:$AG,"&gt;0")</f>
        <v>0</v>
      </c>
      <c r="Q63" s="297">
        <f>SUMIFS('Отчет РПЗ(ПЗ)_ПЗИП'!$AG:$AG,'Отчет РПЗ(ПЗ)_ПЗИП'!$D:$D,Справочно!$E28,'Отчет РПЗ(ПЗ)_ПЗИП'!$AR:$AR,2)</f>
        <v>0</v>
      </c>
      <c r="R63" s="305" t="str">
        <f t="shared" si="45"/>
        <v>НД</v>
      </c>
      <c r="S63" s="231" t="str">
        <f t="shared" si="46"/>
        <v>НД</v>
      </c>
      <c r="T63" s="394">
        <f>SUMIFS('Отчет РПЗ(ПЗ)_ПЗИП'!$W:$W,'Отчет РПЗ(ПЗ)_ПЗИП'!$D:$D,Справочно!$E28,'Отчет РПЗ(ПЗ)_ПЗИП'!$N:$N,"&gt;=01.03.2018",'Отчет РПЗ(ПЗ)_ПЗИП'!$N:$N,"&lt;=31.03.2018",'Отчет РПЗ(ПЗ)_ПЗИП'!$AG:$AG,"&gt;0")</f>
        <v>0</v>
      </c>
      <c r="U63" s="297">
        <f>SUMIFS('Отчет РПЗ(ПЗ)_ПЗИП'!$AG:$AG,'Отчет РПЗ(ПЗ)_ПЗИП'!$D:$D,Справочно!$E28,'Отчет РПЗ(ПЗ)_ПЗИП'!$AR:$AR,3)</f>
        <v>0</v>
      </c>
      <c r="V63" s="305" t="str">
        <f t="shared" si="47"/>
        <v>НД</v>
      </c>
      <c r="W63" s="231" t="str">
        <f t="shared" si="23"/>
        <v>НД</v>
      </c>
      <c r="X63" s="393">
        <f t="shared" si="48"/>
        <v>0</v>
      </c>
      <c r="Y63" s="298">
        <f t="shared" si="49"/>
        <v>0</v>
      </c>
      <c r="Z63" s="298">
        <f t="shared" si="24"/>
        <v>0</v>
      </c>
      <c r="AA63" s="233">
        <f t="shared" si="25"/>
        <v>0</v>
      </c>
      <c r="AB63" s="399">
        <f>SUMIFS('Отчет РПЗ(ПЗ)_ПЗИП'!$W:$W,'Отчет РПЗ(ПЗ)_ПЗИП'!$D:$D,Справочно!$E28,'Отчет РПЗ(ПЗ)_ПЗИП'!$N:$N,"&gt;=01.04.2018",'Отчет РПЗ(ПЗ)_ПЗИП'!$N:$N,"&lt;=30.04.2018",'Отчет РПЗ(ПЗ)_ПЗИП'!$AG:$AG,"&gt;0")</f>
        <v>0</v>
      </c>
      <c r="AC63" s="299">
        <f>SUMIFS('Отчет РПЗ(ПЗ)_ПЗИП'!$AG:$AG,'Отчет РПЗ(ПЗ)_ПЗИП'!$D:$D,Справочно!$E28,'Отчет РПЗ(ПЗ)_ПЗИП'!$AR:$AR,4)</f>
        <v>0</v>
      </c>
      <c r="AD63" s="299" t="str">
        <f t="shared" si="50"/>
        <v>НД</v>
      </c>
      <c r="AE63" s="232" t="str">
        <f t="shared" si="26"/>
        <v>НД</v>
      </c>
      <c r="AF63" s="398">
        <f>SUMIFS('Отчет РПЗ(ПЗ)_ПЗИП'!$W:$W,'Отчет РПЗ(ПЗ)_ПЗИП'!$D:$D,Справочно!$E28,'Отчет РПЗ(ПЗ)_ПЗИП'!$N:$N,"&gt;=01.05.2018",'Отчет РПЗ(ПЗ)_ПЗИП'!$N:$N,"&lt;=31.05.2018",'Отчет РПЗ(ПЗ)_ПЗИП'!$AG:$AG,"&gt;0")</f>
        <v>0</v>
      </c>
      <c r="AG63" s="299">
        <f>SUMIFS('Отчет РПЗ(ПЗ)_ПЗИП'!$AG:$AG,'Отчет РПЗ(ПЗ)_ПЗИП'!$D:$D,Справочно!$E28,'Отчет РПЗ(ПЗ)_ПЗИП'!$AR:$AR,5)</f>
        <v>0</v>
      </c>
      <c r="AH63" s="299" t="str">
        <f t="shared" si="51"/>
        <v>НД</v>
      </c>
      <c r="AI63" s="232" t="str">
        <f t="shared" si="27"/>
        <v>НД</v>
      </c>
      <c r="AJ63" s="398">
        <f>SUMIFS('Отчет РПЗ(ПЗ)_ПЗИП'!$W:$W,'Отчет РПЗ(ПЗ)_ПЗИП'!$D:$D,Справочно!$E28,'Отчет РПЗ(ПЗ)_ПЗИП'!$N:$N,"&gt;=01.06.2018",'Отчет РПЗ(ПЗ)_ПЗИП'!$N:$N,"&lt;=30.06.2018",'Отчет РПЗ(ПЗ)_ПЗИП'!$AG:$AG,"&gt;0")</f>
        <v>0</v>
      </c>
      <c r="AK63" s="299">
        <f>SUMIFS('Отчет РПЗ(ПЗ)_ПЗИП'!$AG:$AG,'Отчет РПЗ(ПЗ)_ПЗИП'!$D:$D,Справочно!$E28,'Отчет РПЗ(ПЗ)_ПЗИП'!$AR:$AR,6)</f>
        <v>0</v>
      </c>
      <c r="AL63" s="299" t="str">
        <f t="shared" si="52"/>
        <v>НД</v>
      </c>
      <c r="AM63" s="232" t="str">
        <f t="shared" si="28"/>
        <v>НД</v>
      </c>
      <c r="AN63" s="393">
        <f t="shared" si="53"/>
        <v>0</v>
      </c>
      <c r="AO63" s="300">
        <f t="shared" si="54"/>
        <v>0</v>
      </c>
      <c r="AP63" s="300">
        <f t="shared" si="29"/>
        <v>0</v>
      </c>
      <c r="AQ63" s="234">
        <f t="shared" si="30"/>
        <v>0</v>
      </c>
      <c r="AR63" s="399">
        <f>SUMIFS('Отчет РПЗ(ПЗ)_ПЗИП'!$W:$W,'Отчет РПЗ(ПЗ)_ПЗИП'!$D:$D,Справочно!$E28,'Отчет РПЗ(ПЗ)_ПЗИП'!$N:$N,"&gt;=01.07.2018",'Отчет РПЗ(ПЗ)_ПЗИП'!$N:$N,"&lt;=31.07.2018",'Отчет РПЗ(ПЗ)_ПЗИП'!$AG:$AG,"&gt;0")</f>
        <v>0</v>
      </c>
      <c r="AS63" s="301">
        <f>SUMIFS('Отчет РПЗ(ПЗ)_ПЗИП'!$AG:$AG,'Отчет РПЗ(ПЗ)_ПЗИП'!$D:$D,Справочно!$E28,'Отчет РПЗ(ПЗ)_ПЗИП'!$AR:$AR,7)</f>
        <v>0</v>
      </c>
      <c r="AT63" s="341" t="str">
        <f t="shared" si="55"/>
        <v>НД</v>
      </c>
      <c r="AU63" s="236" t="str">
        <f t="shared" si="31"/>
        <v>НД</v>
      </c>
      <c r="AV63" s="394">
        <f>SUMIFS('Отчет РПЗ(ПЗ)_ПЗИП'!$W:$W,'Отчет РПЗ(ПЗ)_ПЗИП'!$D:$D,Справочно!$E28,'Отчет РПЗ(ПЗ)_ПЗИП'!$N:$N,"&gt;=01.08.2018",'Отчет РПЗ(ПЗ)_ПЗИП'!$N:$N,"&lt;=31.08.2018",'Отчет РПЗ(ПЗ)_ПЗИП'!$AG:$AG,"&gt;0")</f>
        <v>0</v>
      </c>
      <c r="AW63" s="301">
        <f>SUMIFS('Отчет РПЗ(ПЗ)_ПЗИП'!$AG:$AG,'Отчет РПЗ(ПЗ)_ПЗИП'!$D:$D,Справочно!$E28,'Отчет РПЗ(ПЗ)_ПЗИП'!$AR:$AR,8)</f>
        <v>0</v>
      </c>
      <c r="AX63" s="341" t="str">
        <f t="shared" si="56"/>
        <v>НД</v>
      </c>
      <c r="AY63" s="236" t="str">
        <f t="shared" si="32"/>
        <v>НД</v>
      </c>
      <c r="AZ63" s="394">
        <f>SUMIFS('Отчет РПЗ(ПЗ)_ПЗИП'!$W:$W,'Отчет РПЗ(ПЗ)_ПЗИП'!$D:$D,Справочно!$E28,'Отчет РПЗ(ПЗ)_ПЗИП'!$N:$N,"&gt;=01.09.2018",'Отчет РПЗ(ПЗ)_ПЗИП'!$N:$N,"&lt;=30.09.2018",'Отчет РПЗ(ПЗ)_ПЗИП'!$AG:$AG,"&gt;0")</f>
        <v>0</v>
      </c>
      <c r="BA63" s="301">
        <f>SUMIFS('Отчет РПЗ(ПЗ)_ПЗИП'!$AG:$AG,'Отчет РПЗ(ПЗ)_ПЗИП'!$D:$D,Справочно!$E28,'Отчет РПЗ(ПЗ)_ПЗИП'!$AR:$AR,9)</f>
        <v>0</v>
      </c>
      <c r="BB63" s="341" t="str">
        <f t="shared" si="57"/>
        <v>НД</v>
      </c>
      <c r="BC63" s="236" t="str">
        <f t="shared" si="33"/>
        <v>НД</v>
      </c>
      <c r="BD63" s="393">
        <f t="shared" si="58"/>
        <v>0</v>
      </c>
      <c r="BE63" s="302">
        <f t="shared" si="59"/>
        <v>0</v>
      </c>
      <c r="BF63" s="302">
        <f t="shared" si="34"/>
        <v>0</v>
      </c>
      <c r="BG63" s="238">
        <f t="shared" si="35"/>
        <v>0</v>
      </c>
      <c r="BH63" s="383">
        <f>SUMIFS('Отчет РПЗ(ПЗ)_ПЗИП'!$W:$W,'Отчет РПЗ(ПЗ)_ПЗИП'!$D:$D,Справочно!$E28,'Отчет РПЗ(ПЗ)_ПЗИП'!$N:$N,"&gt;=01.10.2018",'Отчет РПЗ(ПЗ)_ПЗИП'!$N:$N,"&lt;=31.10.2018",'Отчет РПЗ(ПЗ)_ПЗИП'!$AG:$AG,"&gt;0")</f>
        <v>0</v>
      </c>
      <c r="BI63" s="303">
        <f>SUMIFS('Отчет РПЗ(ПЗ)_ПЗИП'!$AG:$AG,'Отчет РПЗ(ПЗ)_ПЗИП'!$D:$D,Справочно!$E28,'Отчет РПЗ(ПЗ)_ПЗИП'!$AR:$AR,10)</f>
        <v>0</v>
      </c>
      <c r="BJ63" s="343" t="str">
        <f t="shared" si="60"/>
        <v>НД</v>
      </c>
      <c r="BK63" s="240" t="str">
        <f t="shared" si="36"/>
        <v>НД</v>
      </c>
      <c r="BL63" s="398">
        <f>SUMIFS('Отчет РПЗ(ПЗ)_ПЗИП'!$W:$W,'Отчет РПЗ(ПЗ)_ПЗИП'!$D:$D,Справочно!$E28,'Отчет РПЗ(ПЗ)_ПЗИП'!$N:$N,"&gt;=01.11.2018",'Отчет РПЗ(ПЗ)_ПЗИП'!$N:$N,"&lt;=30.11.2018",'Отчет РПЗ(ПЗ)_ПЗИП'!$AG:$AG,"&gt;0")</f>
        <v>0</v>
      </c>
      <c r="BM63" s="303">
        <f>SUMIFS('Отчет РПЗ(ПЗ)_ПЗИП'!$AG:$AG,'Отчет РПЗ(ПЗ)_ПЗИП'!$D:$D,Справочно!$E28,'Отчет РПЗ(ПЗ)_ПЗИП'!$AR:$AR,11)</f>
        <v>0</v>
      </c>
      <c r="BN63" s="343" t="str">
        <f t="shared" si="61"/>
        <v>НД</v>
      </c>
      <c r="BO63" s="240" t="str">
        <f t="shared" si="37"/>
        <v>НД</v>
      </c>
      <c r="BP63" s="398">
        <f>SUMIFS('Отчет РПЗ(ПЗ)_ПЗИП'!$W:$W,'Отчет РПЗ(ПЗ)_ПЗИП'!$D:$D,Справочно!$E28,'Отчет РПЗ(ПЗ)_ПЗИП'!$N:$N,"&gt;=01.12.2018",'Отчет РПЗ(ПЗ)_ПЗИП'!$N:$N,"&lt;=31.12.2018",'Отчет РПЗ(ПЗ)_ПЗИП'!$AG:$AG,"&gt;0")</f>
        <v>0</v>
      </c>
      <c r="BQ63" s="303">
        <f>SUMIFS('Отчет РПЗ(ПЗ)_ПЗИП'!$AG:$AG,'Отчет РПЗ(ПЗ)_ПЗИП'!$D:$D,Справочно!$E28,'Отчет РПЗ(ПЗ)_ПЗИП'!$AR:$AR,12)</f>
        <v>0</v>
      </c>
      <c r="BR63" s="343" t="str">
        <f t="shared" si="62"/>
        <v>НД</v>
      </c>
      <c r="BS63" s="242" t="str">
        <f t="shared" si="38"/>
        <v>НД</v>
      </c>
      <c r="BT63" s="393">
        <f t="shared" si="63"/>
        <v>0</v>
      </c>
      <c r="BU63" s="304">
        <f t="shared" si="64"/>
        <v>0</v>
      </c>
      <c r="BV63" s="304">
        <f t="shared" si="39"/>
        <v>0</v>
      </c>
      <c r="BW63" s="243">
        <f t="shared" si="40"/>
        <v>0</v>
      </c>
    </row>
    <row r="64" spans="2:75" ht="13.5" thickBot="1" x14ac:dyDescent="0.25">
      <c r="B64" s="58" t="str">
        <f>Справочно!E29</f>
        <v>АО "Объединенная двигателестроительная корпорация"</v>
      </c>
      <c r="C64" s="95">
        <f>ПП!B52</f>
        <v>0</v>
      </c>
      <c r="D64" s="381" t="e">
        <f>ПП!C52</f>
        <v>#DIV/0!</v>
      </c>
      <c r="E64" s="406">
        <f>ПП!D52</f>
        <v>0</v>
      </c>
      <c r="F64" s="272">
        <f>COUNTIFS('Отчет РПЗ(ПЗ)_ПЗИП'!$AG:$AG,"&gt;0",'Отчет РПЗ(ПЗ)_ПЗИП'!$D:$D,Справочно!$E29)</f>
        <v>0</v>
      </c>
      <c r="G64" s="407" t="e">
        <f t="shared" si="41"/>
        <v>#DIV/0!</v>
      </c>
      <c r="H64" s="408">
        <f>SUMIF('Отчет РПЗ(ПЗ)_ПЗИП'!$D:$D,Справочно!$E29,'Отчет РПЗ(ПЗ)_ПЗИП'!$AG:$AG)</f>
        <v>0</v>
      </c>
      <c r="I64" s="428">
        <f t="shared" si="65"/>
        <v>0</v>
      </c>
      <c r="J64" s="478" t="e">
        <f t="shared" si="42"/>
        <v>#DIV/0!</v>
      </c>
      <c r="L64" s="399">
        <f>SUMIFS('Отчет РПЗ(ПЗ)_ПЗИП'!$W:$W,'Отчет РПЗ(ПЗ)_ПЗИП'!$D:$D,Справочно!$E29,'Отчет РПЗ(ПЗ)_ПЗИП'!$N:$N,"&gt;=01.01.2018",'Отчет РПЗ(ПЗ)_ПЗИП'!$N:$N,"&lt;=31.01.2018",'Отчет РПЗ(ПЗ)_ПЗИП'!$AG:$AG,"&gt;0")</f>
        <v>0</v>
      </c>
      <c r="M64" s="297">
        <f>SUMIFS('Отчет РПЗ(ПЗ)_ПЗИП'!$AG:$AG,'Отчет РПЗ(ПЗ)_ПЗИП'!$D:$D,Справочно!$E29,'Отчет РПЗ(ПЗ)_ПЗИП'!$AR:$AR,1)</f>
        <v>0</v>
      </c>
      <c r="N64" s="305" t="str">
        <f t="shared" si="43"/>
        <v>НД</v>
      </c>
      <c r="O64" s="231" t="str">
        <f t="shared" si="44"/>
        <v>НД</v>
      </c>
      <c r="P64" s="394">
        <f>SUMIFS('Отчет РПЗ(ПЗ)_ПЗИП'!$W:$W,'Отчет РПЗ(ПЗ)_ПЗИП'!$D:$D,Справочно!$E29,'Отчет РПЗ(ПЗ)_ПЗИП'!$N:$N,"&gt;=01.02.2018",'Отчет РПЗ(ПЗ)_ПЗИП'!$N:$N,"&lt;=28.02.2018",'Отчет РПЗ(ПЗ)_ПЗИП'!$AG:$AG,"&gt;0")</f>
        <v>0</v>
      </c>
      <c r="Q64" s="297">
        <f>SUMIFS('Отчет РПЗ(ПЗ)_ПЗИП'!$AG:$AG,'Отчет РПЗ(ПЗ)_ПЗИП'!$D:$D,Справочно!$E29,'Отчет РПЗ(ПЗ)_ПЗИП'!$AR:$AR,2)</f>
        <v>0</v>
      </c>
      <c r="R64" s="305" t="str">
        <f t="shared" si="45"/>
        <v>НД</v>
      </c>
      <c r="S64" s="231" t="str">
        <f t="shared" si="46"/>
        <v>НД</v>
      </c>
      <c r="T64" s="394">
        <f>SUMIFS('Отчет РПЗ(ПЗ)_ПЗИП'!$W:$W,'Отчет РПЗ(ПЗ)_ПЗИП'!$D:$D,Справочно!$E29,'Отчет РПЗ(ПЗ)_ПЗИП'!$N:$N,"&gt;=01.03.2018",'Отчет РПЗ(ПЗ)_ПЗИП'!$N:$N,"&lt;=31.03.2018",'Отчет РПЗ(ПЗ)_ПЗИП'!$AG:$AG,"&gt;0")</f>
        <v>0</v>
      </c>
      <c r="U64" s="297">
        <f>SUMIFS('Отчет РПЗ(ПЗ)_ПЗИП'!$AG:$AG,'Отчет РПЗ(ПЗ)_ПЗИП'!$D:$D,Справочно!$E29,'Отчет РПЗ(ПЗ)_ПЗИП'!$AR:$AR,3)</f>
        <v>0</v>
      </c>
      <c r="V64" s="305" t="str">
        <f t="shared" si="47"/>
        <v>НД</v>
      </c>
      <c r="W64" s="231" t="str">
        <f t="shared" si="23"/>
        <v>НД</v>
      </c>
      <c r="X64" s="393">
        <f t="shared" si="48"/>
        <v>0</v>
      </c>
      <c r="Y64" s="298">
        <f t="shared" si="49"/>
        <v>0</v>
      </c>
      <c r="Z64" s="298">
        <f t="shared" si="24"/>
        <v>0</v>
      </c>
      <c r="AA64" s="233">
        <f t="shared" si="25"/>
        <v>0</v>
      </c>
      <c r="AB64" s="399">
        <f>SUMIFS('Отчет РПЗ(ПЗ)_ПЗИП'!$W:$W,'Отчет РПЗ(ПЗ)_ПЗИП'!$D:$D,Справочно!$E29,'Отчет РПЗ(ПЗ)_ПЗИП'!$N:$N,"&gt;=01.04.2018",'Отчет РПЗ(ПЗ)_ПЗИП'!$N:$N,"&lt;=30.04.2018",'Отчет РПЗ(ПЗ)_ПЗИП'!$AG:$AG,"&gt;0")</f>
        <v>0</v>
      </c>
      <c r="AC64" s="299">
        <f>SUMIFS('Отчет РПЗ(ПЗ)_ПЗИП'!$AG:$AG,'Отчет РПЗ(ПЗ)_ПЗИП'!$D:$D,Справочно!$E29,'Отчет РПЗ(ПЗ)_ПЗИП'!$AR:$AR,4)</f>
        <v>0</v>
      </c>
      <c r="AD64" s="299" t="str">
        <f t="shared" si="50"/>
        <v>НД</v>
      </c>
      <c r="AE64" s="232" t="str">
        <f t="shared" si="26"/>
        <v>НД</v>
      </c>
      <c r="AF64" s="398">
        <f>SUMIFS('Отчет РПЗ(ПЗ)_ПЗИП'!$W:$W,'Отчет РПЗ(ПЗ)_ПЗИП'!$D:$D,Справочно!$E29,'Отчет РПЗ(ПЗ)_ПЗИП'!$N:$N,"&gt;=01.05.2018",'Отчет РПЗ(ПЗ)_ПЗИП'!$N:$N,"&lt;=31.05.2018",'Отчет РПЗ(ПЗ)_ПЗИП'!$AG:$AG,"&gt;0")</f>
        <v>0</v>
      </c>
      <c r="AG64" s="299">
        <f>SUMIFS('Отчет РПЗ(ПЗ)_ПЗИП'!$AG:$AG,'Отчет РПЗ(ПЗ)_ПЗИП'!$D:$D,Справочно!$E29,'Отчет РПЗ(ПЗ)_ПЗИП'!$AR:$AR,5)</f>
        <v>0</v>
      </c>
      <c r="AH64" s="299" t="str">
        <f t="shared" si="51"/>
        <v>НД</v>
      </c>
      <c r="AI64" s="232" t="str">
        <f t="shared" si="27"/>
        <v>НД</v>
      </c>
      <c r="AJ64" s="398">
        <f>SUMIFS('Отчет РПЗ(ПЗ)_ПЗИП'!$W:$W,'Отчет РПЗ(ПЗ)_ПЗИП'!$D:$D,Справочно!$E29,'Отчет РПЗ(ПЗ)_ПЗИП'!$N:$N,"&gt;=01.06.2018",'Отчет РПЗ(ПЗ)_ПЗИП'!$N:$N,"&lt;=30.06.2018",'Отчет РПЗ(ПЗ)_ПЗИП'!$AG:$AG,"&gt;0")</f>
        <v>0</v>
      </c>
      <c r="AK64" s="299">
        <f>SUMIFS('Отчет РПЗ(ПЗ)_ПЗИП'!$AG:$AG,'Отчет РПЗ(ПЗ)_ПЗИП'!$D:$D,Справочно!$E29,'Отчет РПЗ(ПЗ)_ПЗИП'!$AR:$AR,6)</f>
        <v>0</v>
      </c>
      <c r="AL64" s="299" t="str">
        <f t="shared" si="52"/>
        <v>НД</v>
      </c>
      <c r="AM64" s="232" t="str">
        <f t="shared" si="28"/>
        <v>НД</v>
      </c>
      <c r="AN64" s="393">
        <f t="shared" si="53"/>
        <v>0</v>
      </c>
      <c r="AO64" s="300">
        <f t="shared" si="54"/>
        <v>0</v>
      </c>
      <c r="AP64" s="300">
        <f t="shared" si="29"/>
        <v>0</v>
      </c>
      <c r="AQ64" s="234">
        <f t="shared" si="30"/>
        <v>0</v>
      </c>
      <c r="AR64" s="399">
        <f>SUMIFS('Отчет РПЗ(ПЗ)_ПЗИП'!$W:$W,'Отчет РПЗ(ПЗ)_ПЗИП'!$D:$D,Справочно!$E29,'Отчет РПЗ(ПЗ)_ПЗИП'!$N:$N,"&gt;=01.07.2018",'Отчет РПЗ(ПЗ)_ПЗИП'!$N:$N,"&lt;=31.07.2018",'Отчет РПЗ(ПЗ)_ПЗИП'!$AG:$AG,"&gt;0")</f>
        <v>0</v>
      </c>
      <c r="AS64" s="301">
        <f>SUMIFS('Отчет РПЗ(ПЗ)_ПЗИП'!$AG:$AG,'Отчет РПЗ(ПЗ)_ПЗИП'!$D:$D,Справочно!$E29,'Отчет РПЗ(ПЗ)_ПЗИП'!$AR:$AR,7)</f>
        <v>0</v>
      </c>
      <c r="AT64" s="341" t="str">
        <f t="shared" si="55"/>
        <v>НД</v>
      </c>
      <c r="AU64" s="236" t="str">
        <f t="shared" si="31"/>
        <v>НД</v>
      </c>
      <c r="AV64" s="394">
        <f>SUMIFS('Отчет РПЗ(ПЗ)_ПЗИП'!$W:$W,'Отчет РПЗ(ПЗ)_ПЗИП'!$D:$D,Справочно!$E29,'Отчет РПЗ(ПЗ)_ПЗИП'!$N:$N,"&gt;=01.08.2018",'Отчет РПЗ(ПЗ)_ПЗИП'!$N:$N,"&lt;=31.08.2018",'Отчет РПЗ(ПЗ)_ПЗИП'!$AG:$AG,"&gt;0")</f>
        <v>0</v>
      </c>
      <c r="AW64" s="301">
        <f>SUMIFS('Отчет РПЗ(ПЗ)_ПЗИП'!$AG:$AG,'Отчет РПЗ(ПЗ)_ПЗИП'!$D:$D,Справочно!$E29,'Отчет РПЗ(ПЗ)_ПЗИП'!$AR:$AR,8)</f>
        <v>0</v>
      </c>
      <c r="AX64" s="341" t="str">
        <f t="shared" si="56"/>
        <v>НД</v>
      </c>
      <c r="AY64" s="236" t="str">
        <f t="shared" si="32"/>
        <v>НД</v>
      </c>
      <c r="AZ64" s="394">
        <f>SUMIFS('Отчет РПЗ(ПЗ)_ПЗИП'!$W:$W,'Отчет РПЗ(ПЗ)_ПЗИП'!$D:$D,Справочно!$E29,'Отчет РПЗ(ПЗ)_ПЗИП'!$N:$N,"&gt;=01.09.2018",'Отчет РПЗ(ПЗ)_ПЗИП'!$N:$N,"&lt;=30.09.2018",'Отчет РПЗ(ПЗ)_ПЗИП'!$AG:$AG,"&gt;0")</f>
        <v>0</v>
      </c>
      <c r="BA64" s="301">
        <f>SUMIFS('Отчет РПЗ(ПЗ)_ПЗИП'!$AG:$AG,'Отчет РПЗ(ПЗ)_ПЗИП'!$D:$D,Справочно!$E29,'Отчет РПЗ(ПЗ)_ПЗИП'!$AR:$AR,9)</f>
        <v>0</v>
      </c>
      <c r="BB64" s="341" t="str">
        <f t="shared" si="57"/>
        <v>НД</v>
      </c>
      <c r="BC64" s="236" t="str">
        <f t="shared" si="33"/>
        <v>НД</v>
      </c>
      <c r="BD64" s="393">
        <f t="shared" si="58"/>
        <v>0</v>
      </c>
      <c r="BE64" s="302">
        <f t="shared" si="59"/>
        <v>0</v>
      </c>
      <c r="BF64" s="302">
        <f t="shared" si="34"/>
        <v>0</v>
      </c>
      <c r="BG64" s="238">
        <f t="shared" si="35"/>
        <v>0</v>
      </c>
      <c r="BH64" s="383">
        <f>SUMIFS('Отчет РПЗ(ПЗ)_ПЗИП'!$W:$W,'Отчет РПЗ(ПЗ)_ПЗИП'!$D:$D,Справочно!$E29,'Отчет РПЗ(ПЗ)_ПЗИП'!$N:$N,"&gt;=01.10.2018",'Отчет РПЗ(ПЗ)_ПЗИП'!$N:$N,"&lt;=31.10.2018",'Отчет РПЗ(ПЗ)_ПЗИП'!$AG:$AG,"&gt;0")</f>
        <v>0</v>
      </c>
      <c r="BI64" s="303">
        <f>SUMIFS('Отчет РПЗ(ПЗ)_ПЗИП'!$AG:$AG,'Отчет РПЗ(ПЗ)_ПЗИП'!$D:$D,Справочно!$E29,'Отчет РПЗ(ПЗ)_ПЗИП'!$AR:$AR,10)</f>
        <v>0</v>
      </c>
      <c r="BJ64" s="343" t="str">
        <f t="shared" si="60"/>
        <v>НД</v>
      </c>
      <c r="BK64" s="240" t="str">
        <f t="shared" si="36"/>
        <v>НД</v>
      </c>
      <c r="BL64" s="398">
        <f>SUMIFS('Отчет РПЗ(ПЗ)_ПЗИП'!$W:$W,'Отчет РПЗ(ПЗ)_ПЗИП'!$D:$D,Справочно!$E29,'Отчет РПЗ(ПЗ)_ПЗИП'!$N:$N,"&gt;=01.11.2018",'Отчет РПЗ(ПЗ)_ПЗИП'!$N:$N,"&lt;=30.11.2018",'Отчет РПЗ(ПЗ)_ПЗИП'!$AG:$AG,"&gt;0")</f>
        <v>0</v>
      </c>
      <c r="BM64" s="303">
        <f>SUMIFS('Отчет РПЗ(ПЗ)_ПЗИП'!$AG:$AG,'Отчет РПЗ(ПЗ)_ПЗИП'!$D:$D,Справочно!$E29,'Отчет РПЗ(ПЗ)_ПЗИП'!$AR:$AR,11)</f>
        <v>0</v>
      </c>
      <c r="BN64" s="343" t="str">
        <f t="shared" si="61"/>
        <v>НД</v>
      </c>
      <c r="BO64" s="240" t="str">
        <f t="shared" si="37"/>
        <v>НД</v>
      </c>
      <c r="BP64" s="398">
        <f>SUMIFS('Отчет РПЗ(ПЗ)_ПЗИП'!$W:$W,'Отчет РПЗ(ПЗ)_ПЗИП'!$D:$D,Справочно!$E29,'Отчет РПЗ(ПЗ)_ПЗИП'!$N:$N,"&gt;=01.12.2018",'Отчет РПЗ(ПЗ)_ПЗИП'!$N:$N,"&lt;=31.12.2018",'Отчет РПЗ(ПЗ)_ПЗИП'!$AG:$AG,"&gt;0")</f>
        <v>0</v>
      </c>
      <c r="BQ64" s="303">
        <f>SUMIFS('Отчет РПЗ(ПЗ)_ПЗИП'!$AG:$AG,'Отчет РПЗ(ПЗ)_ПЗИП'!$D:$D,Справочно!$E29,'Отчет РПЗ(ПЗ)_ПЗИП'!$AR:$AR,12)</f>
        <v>0</v>
      </c>
      <c r="BR64" s="343" t="str">
        <f t="shared" si="62"/>
        <v>НД</v>
      </c>
      <c r="BS64" s="242" t="str">
        <f t="shared" si="38"/>
        <v>НД</v>
      </c>
      <c r="BT64" s="393">
        <f t="shared" si="63"/>
        <v>0</v>
      </c>
      <c r="BU64" s="304">
        <f t="shared" si="64"/>
        <v>0</v>
      </c>
      <c r="BV64" s="304">
        <f t="shared" si="39"/>
        <v>0</v>
      </c>
      <c r="BW64" s="243">
        <f t="shared" si="40"/>
        <v>0</v>
      </c>
    </row>
    <row r="65" spans="2:75" ht="15" customHeight="1" thickBot="1" x14ac:dyDescent="0.25">
      <c r="B65" s="58" t="str">
        <f>Справочно!E30</f>
        <v>ООО "РТ-Информ"</v>
      </c>
      <c r="C65" s="95">
        <f>ПП!B53</f>
        <v>0</v>
      </c>
      <c r="D65" s="381" t="e">
        <f>ПП!C53</f>
        <v>#DIV/0!</v>
      </c>
      <c r="E65" s="406">
        <f>ПП!D53</f>
        <v>0</v>
      </c>
      <c r="F65" s="272">
        <f>COUNTIFS('Отчет РПЗ(ПЗ)_ПЗИП'!$AG:$AG,"&gt;0",'Отчет РПЗ(ПЗ)_ПЗИП'!$D:$D,Справочно!$E30)</f>
        <v>0</v>
      </c>
      <c r="G65" s="407" t="e">
        <f t="shared" si="41"/>
        <v>#DIV/0!</v>
      </c>
      <c r="H65" s="408">
        <f>SUMIF('Отчет РПЗ(ПЗ)_ПЗИП'!$D:$D,Справочно!$E30,'Отчет РПЗ(ПЗ)_ПЗИП'!$AG:$AG)</f>
        <v>0</v>
      </c>
      <c r="I65" s="428">
        <f t="shared" si="65"/>
        <v>0</v>
      </c>
      <c r="J65" s="478" t="e">
        <f t="shared" si="42"/>
        <v>#DIV/0!</v>
      </c>
      <c r="L65" s="399">
        <f>SUMIFS('Отчет РПЗ(ПЗ)_ПЗИП'!$W:$W,'Отчет РПЗ(ПЗ)_ПЗИП'!$D:$D,Справочно!$E30,'Отчет РПЗ(ПЗ)_ПЗИП'!$N:$N,"&gt;=01.01.2018",'Отчет РПЗ(ПЗ)_ПЗИП'!$N:$N,"&lt;=31.01.2018",'Отчет РПЗ(ПЗ)_ПЗИП'!$AG:$AG,"&gt;0")</f>
        <v>0</v>
      </c>
      <c r="M65" s="297">
        <f>SUMIFS('Отчет РПЗ(ПЗ)_ПЗИП'!$AG:$AG,'Отчет РПЗ(ПЗ)_ПЗИП'!$D:$D,Справочно!$E30,'Отчет РПЗ(ПЗ)_ПЗИП'!$AR:$AR,1)</f>
        <v>0</v>
      </c>
      <c r="N65" s="305" t="str">
        <f t="shared" si="43"/>
        <v>НД</v>
      </c>
      <c r="O65" s="231" t="str">
        <f t="shared" si="44"/>
        <v>НД</v>
      </c>
      <c r="P65" s="394">
        <f>SUMIFS('Отчет РПЗ(ПЗ)_ПЗИП'!$W:$W,'Отчет РПЗ(ПЗ)_ПЗИП'!$D:$D,Справочно!$E30,'Отчет РПЗ(ПЗ)_ПЗИП'!$N:$N,"&gt;=01.02.2018",'Отчет РПЗ(ПЗ)_ПЗИП'!$N:$N,"&lt;=28.02.2018",'Отчет РПЗ(ПЗ)_ПЗИП'!$AG:$AG,"&gt;0")</f>
        <v>0</v>
      </c>
      <c r="Q65" s="297">
        <f>SUMIFS('Отчет РПЗ(ПЗ)_ПЗИП'!$AG:$AG,'Отчет РПЗ(ПЗ)_ПЗИП'!$D:$D,Справочно!$E30,'Отчет РПЗ(ПЗ)_ПЗИП'!$AR:$AR,2)</f>
        <v>0</v>
      </c>
      <c r="R65" s="305" t="str">
        <f t="shared" si="45"/>
        <v>НД</v>
      </c>
      <c r="S65" s="231" t="str">
        <f t="shared" si="46"/>
        <v>НД</v>
      </c>
      <c r="T65" s="394">
        <f>SUMIFS('Отчет РПЗ(ПЗ)_ПЗИП'!$W:$W,'Отчет РПЗ(ПЗ)_ПЗИП'!$D:$D,Справочно!$E30,'Отчет РПЗ(ПЗ)_ПЗИП'!$N:$N,"&gt;=01.03.2018",'Отчет РПЗ(ПЗ)_ПЗИП'!$N:$N,"&lt;=31.03.2018",'Отчет РПЗ(ПЗ)_ПЗИП'!$AG:$AG,"&gt;0")</f>
        <v>0</v>
      </c>
      <c r="U65" s="297">
        <f>SUMIFS('Отчет РПЗ(ПЗ)_ПЗИП'!$AG:$AG,'Отчет РПЗ(ПЗ)_ПЗИП'!$D:$D,Справочно!$E30,'Отчет РПЗ(ПЗ)_ПЗИП'!$AR:$AR,3)</f>
        <v>0</v>
      </c>
      <c r="V65" s="305" t="str">
        <f t="shared" si="47"/>
        <v>НД</v>
      </c>
      <c r="W65" s="231" t="str">
        <f t="shared" si="23"/>
        <v>НД</v>
      </c>
      <c r="X65" s="393">
        <f t="shared" si="48"/>
        <v>0</v>
      </c>
      <c r="Y65" s="298">
        <f t="shared" si="49"/>
        <v>0</v>
      </c>
      <c r="Z65" s="298">
        <f t="shared" si="24"/>
        <v>0</v>
      </c>
      <c r="AA65" s="233">
        <f t="shared" si="25"/>
        <v>0</v>
      </c>
      <c r="AB65" s="399">
        <f>SUMIFS('Отчет РПЗ(ПЗ)_ПЗИП'!$W:$W,'Отчет РПЗ(ПЗ)_ПЗИП'!$D:$D,Справочно!$E30,'Отчет РПЗ(ПЗ)_ПЗИП'!$N:$N,"&gt;=01.04.2018",'Отчет РПЗ(ПЗ)_ПЗИП'!$N:$N,"&lt;=30.04.2018",'Отчет РПЗ(ПЗ)_ПЗИП'!$AG:$AG,"&gt;0")</f>
        <v>0</v>
      </c>
      <c r="AC65" s="299">
        <f>SUMIFS('Отчет РПЗ(ПЗ)_ПЗИП'!$AG:$AG,'Отчет РПЗ(ПЗ)_ПЗИП'!$D:$D,Справочно!$E30,'Отчет РПЗ(ПЗ)_ПЗИП'!$AR:$AR,4)</f>
        <v>0</v>
      </c>
      <c r="AD65" s="299" t="str">
        <f t="shared" si="50"/>
        <v>НД</v>
      </c>
      <c r="AE65" s="232" t="str">
        <f t="shared" si="26"/>
        <v>НД</v>
      </c>
      <c r="AF65" s="398">
        <f>SUMIFS('Отчет РПЗ(ПЗ)_ПЗИП'!$W:$W,'Отчет РПЗ(ПЗ)_ПЗИП'!$D:$D,Справочно!$E30,'Отчет РПЗ(ПЗ)_ПЗИП'!$N:$N,"&gt;=01.05.2018",'Отчет РПЗ(ПЗ)_ПЗИП'!$N:$N,"&lt;=31.05.2018",'Отчет РПЗ(ПЗ)_ПЗИП'!$AG:$AG,"&gt;0")</f>
        <v>0</v>
      </c>
      <c r="AG65" s="299">
        <f>SUMIFS('Отчет РПЗ(ПЗ)_ПЗИП'!$AG:$AG,'Отчет РПЗ(ПЗ)_ПЗИП'!$D:$D,Справочно!$E30,'Отчет РПЗ(ПЗ)_ПЗИП'!$AR:$AR,5)</f>
        <v>0</v>
      </c>
      <c r="AH65" s="299" t="str">
        <f t="shared" si="51"/>
        <v>НД</v>
      </c>
      <c r="AI65" s="232" t="str">
        <f t="shared" si="27"/>
        <v>НД</v>
      </c>
      <c r="AJ65" s="398">
        <f>SUMIFS('Отчет РПЗ(ПЗ)_ПЗИП'!$W:$W,'Отчет РПЗ(ПЗ)_ПЗИП'!$D:$D,Справочно!$E30,'Отчет РПЗ(ПЗ)_ПЗИП'!$N:$N,"&gt;=01.06.2018",'Отчет РПЗ(ПЗ)_ПЗИП'!$N:$N,"&lt;=30.06.2018",'Отчет РПЗ(ПЗ)_ПЗИП'!$AG:$AG,"&gt;0")</f>
        <v>0</v>
      </c>
      <c r="AK65" s="299">
        <f>SUMIFS('Отчет РПЗ(ПЗ)_ПЗИП'!$AG:$AG,'Отчет РПЗ(ПЗ)_ПЗИП'!$D:$D,Справочно!$E30,'Отчет РПЗ(ПЗ)_ПЗИП'!$AR:$AR,6)</f>
        <v>0</v>
      </c>
      <c r="AL65" s="299" t="str">
        <f t="shared" si="52"/>
        <v>НД</v>
      </c>
      <c r="AM65" s="232" t="str">
        <f t="shared" si="28"/>
        <v>НД</v>
      </c>
      <c r="AN65" s="393">
        <f t="shared" si="53"/>
        <v>0</v>
      </c>
      <c r="AO65" s="300">
        <f t="shared" si="54"/>
        <v>0</v>
      </c>
      <c r="AP65" s="300">
        <f t="shared" si="29"/>
        <v>0</v>
      </c>
      <c r="AQ65" s="234">
        <f t="shared" si="30"/>
        <v>0</v>
      </c>
      <c r="AR65" s="399">
        <f>SUMIFS('Отчет РПЗ(ПЗ)_ПЗИП'!$W:$W,'Отчет РПЗ(ПЗ)_ПЗИП'!$D:$D,Справочно!$E30,'Отчет РПЗ(ПЗ)_ПЗИП'!$N:$N,"&gt;=01.07.2018",'Отчет РПЗ(ПЗ)_ПЗИП'!$N:$N,"&lt;=31.07.2018",'Отчет РПЗ(ПЗ)_ПЗИП'!$AG:$AG,"&gt;0")</f>
        <v>0</v>
      </c>
      <c r="AS65" s="301">
        <f>SUMIFS('Отчет РПЗ(ПЗ)_ПЗИП'!$AG:$AG,'Отчет РПЗ(ПЗ)_ПЗИП'!$D:$D,Справочно!$E30,'Отчет РПЗ(ПЗ)_ПЗИП'!$AR:$AR,7)</f>
        <v>0</v>
      </c>
      <c r="AT65" s="341" t="str">
        <f t="shared" si="55"/>
        <v>НД</v>
      </c>
      <c r="AU65" s="236" t="str">
        <f t="shared" si="31"/>
        <v>НД</v>
      </c>
      <c r="AV65" s="394">
        <f>SUMIFS('Отчет РПЗ(ПЗ)_ПЗИП'!$W:$W,'Отчет РПЗ(ПЗ)_ПЗИП'!$D:$D,Справочно!$E30,'Отчет РПЗ(ПЗ)_ПЗИП'!$N:$N,"&gt;=01.08.2018",'Отчет РПЗ(ПЗ)_ПЗИП'!$N:$N,"&lt;=31.08.2018",'Отчет РПЗ(ПЗ)_ПЗИП'!$AG:$AG,"&gt;0")</f>
        <v>0</v>
      </c>
      <c r="AW65" s="301">
        <f>SUMIFS('Отчет РПЗ(ПЗ)_ПЗИП'!$AG:$AG,'Отчет РПЗ(ПЗ)_ПЗИП'!$D:$D,Справочно!$E30,'Отчет РПЗ(ПЗ)_ПЗИП'!$AR:$AR,8)</f>
        <v>0</v>
      </c>
      <c r="AX65" s="341" t="str">
        <f t="shared" si="56"/>
        <v>НД</v>
      </c>
      <c r="AY65" s="236" t="str">
        <f t="shared" si="32"/>
        <v>НД</v>
      </c>
      <c r="AZ65" s="394">
        <f>SUMIFS('Отчет РПЗ(ПЗ)_ПЗИП'!$W:$W,'Отчет РПЗ(ПЗ)_ПЗИП'!$D:$D,Справочно!$E30,'Отчет РПЗ(ПЗ)_ПЗИП'!$N:$N,"&gt;=01.09.2018",'Отчет РПЗ(ПЗ)_ПЗИП'!$N:$N,"&lt;=30.09.2018",'Отчет РПЗ(ПЗ)_ПЗИП'!$AG:$AG,"&gt;0")</f>
        <v>0</v>
      </c>
      <c r="BA65" s="301">
        <f>SUMIFS('Отчет РПЗ(ПЗ)_ПЗИП'!$AG:$AG,'Отчет РПЗ(ПЗ)_ПЗИП'!$D:$D,Справочно!$E30,'Отчет РПЗ(ПЗ)_ПЗИП'!$AR:$AR,9)</f>
        <v>0</v>
      </c>
      <c r="BB65" s="341" t="str">
        <f t="shared" si="57"/>
        <v>НД</v>
      </c>
      <c r="BC65" s="236" t="str">
        <f t="shared" si="33"/>
        <v>НД</v>
      </c>
      <c r="BD65" s="393">
        <f t="shared" si="58"/>
        <v>0</v>
      </c>
      <c r="BE65" s="302">
        <f t="shared" si="59"/>
        <v>0</v>
      </c>
      <c r="BF65" s="302">
        <f t="shared" si="34"/>
        <v>0</v>
      </c>
      <c r="BG65" s="238">
        <f t="shared" si="35"/>
        <v>0</v>
      </c>
      <c r="BH65" s="383">
        <f>SUMIFS('Отчет РПЗ(ПЗ)_ПЗИП'!$W:$W,'Отчет РПЗ(ПЗ)_ПЗИП'!$D:$D,Справочно!$E30,'Отчет РПЗ(ПЗ)_ПЗИП'!$N:$N,"&gt;=01.10.2018",'Отчет РПЗ(ПЗ)_ПЗИП'!$N:$N,"&lt;=31.10.2018",'Отчет РПЗ(ПЗ)_ПЗИП'!$AG:$AG,"&gt;0")</f>
        <v>0</v>
      </c>
      <c r="BI65" s="303">
        <f>SUMIFS('Отчет РПЗ(ПЗ)_ПЗИП'!$AG:$AG,'Отчет РПЗ(ПЗ)_ПЗИП'!$D:$D,Справочно!$E30,'Отчет РПЗ(ПЗ)_ПЗИП'!$AR:$AR,10)</f>
        <v>0</v>
      </c>
      <c r="BJ65" s="343" t="str">
        <f t="shared" si="60"/>
        <v>НД</v>
      </c>
      <c r="BK65" s="240" t="str">
        <f t="shared" si="36"/>
        <v>НД</v>
      </c>
      <c r="BL65" s="398">
        <f>SUMIFS('Отчет РПЗ(ПЗ)_ПЗИП'!$W:$W,'Отчет РПЗ(ПЗ)_ПЗИП'!$D:$D,Справочно!$E30,'Отчет РПЗ(ПЗ)_ПЗИП'!$N:$N,"&gt;=01.11.2018",'Отчет РПЗ(ПЗ)_ПЗИП'!$N:$N,"&lt;=30.11.2018",'Отчет РПЗ(ПЗ)_ПЗИП'!$AG:$AG,"&gt;0")</f>
        <v>0</v>
      </c>
      <c r="BM65" s="303">
        <f>SUMIFS('Отчет РПЗ(ПЗ)_ПЗИП'!$AG:$AG,'Отчет РПЗ(ПЗ)_ПЗИП'!$D:$D,Справочно!$E30,'Отчет РПЗ(ПЗ)_ПЗИП'!$AR:$AR,11)</f>
        <v>0</v>
      </c>
      <c r="BN65" s="343" t="str">
        <f t="shared" si="61"/>
        <v>НД</v>
      </c>
      <c r="BO65" s="240" t="str">
        <f t="shared" si="37"/>
        <v>НД</v>
      </c>
      <c r="BP65" s="398">
        <f>SUMIFS('Отчет РПЗ(ПЗ)_ПЗИП'!$W:$W,'Отчет РПЗ(ПЗ)_ПЗИП'!$D:$D,Справочно!$E30,'Отчет РПЗ(ПЗ)_ПЗИП'!$N:$N,"&gt;=01.12.2018",'Отчет РПЗ(ПЗ)_ПЗИП'!$N:$N,"&lt;=31.12.2018",'Отчет РПЗ(ПЗ)_ПЗИП'!$AG:$AG,"&gt;0")</f>
        <v>0</v>
      </c>
      <c r="BQ65" s="303">
        <f>SUMIFS('Отчет РПЗ(ПЗ)_ПЗИП'!$AG:$AG,'Отчет РПЗ(ПЗ)_ПЗИП'!$D:$D,Справочно!$E30,'Отчет РПЗ(ПЗ)_ПЗИП'!$AR:$AR,12)</f>
        <v>0</v>
      </c>
      <c r="BR65" s="343" t="str">
        <f t="shared" si="62"/>
        <v>НД</v>
      </c>
      <c r="BS65" s="242" t="str">
        <f t="shared" si="38"/>
        <v>НД</v>
      </c>
      <c r="BT65" s="393">
        <f t="shared" si="63"/>
        <v>0</v>
      </c>
      <c r="BU65" s="304">
        <f t="shared" si="64"/>
        <v>0</v>
      </c>
      <c r="BV65" s="304">
        <f t="shared" si="39"/>
        <v>0</v>
      </c>
      <c r="BW65" s="243">
        <f t="shared" si="40"/>
        <v>0</v>
      </c>
    </row>
    <row r="66" spans="2:75" ht="15" customHeight="1" thickBot="1" x14ac:dyDescent="0.25">
      <c r="B66" s="58" t="str">
        <f>Справочно!E31</f>
        <v>ООО "РТ-Комплектимпекс"</v>
      </c>
      <c r="C66" s="95">
        <f>ПП!B54</f>
        <v>0</v>
      </c>
      <c r="D66" s="381" t="e">
        <f>ПП!C54</f>
        <v>#DIV/0!</v>
      </c>
      <c r="E66" s="406">
        <f>ПП!D54</f>
        <v>0</v>
      </c>
      <c r="F66" s="272">
        <f>COUNTIFS('Отчет РПЗ(ПЗ)_ПЗИП'!$AG:$AG,"&gt;0",'Отчет РПЗ(ПЗ)_ПЗИП'!$D:$D,Справочно!$E31)</f>
        <v>0</v>
      </c>
      <c r="G66" s="407" t="e">
        <f t="shared" si="41"/>
        <v>#DIV/0!</v>
      </c>
      <c r="H66" s="408">
        <f>SUMIF('Отчет РПЗ(ПЗ)_ПЗИП'!$D:$D,Справочно!$E31,'Отчет РПЗ(ПЗ)_ПЗИП'!$AG:$AG)</f>
        <v>0</v>
      </c>
      <c r="I66" s="428">
        <f t="shared" si="65"/>
        <v>0</v>
      </c>
      <c r="J66" s="478" t="e">
        <f t="shared" si="42"/>
        <v>#DIV/0!</v>
      </c>
      <c r="L66" s="399">
        <f>SUMIFS('Отчет РПЗ(ПЗ)_ПЗИП'!$W:$W,'Отчет РПЗ(ПЗ)_ПЗИП'!$D:$D,Справочно!$E31,'Отчет РПЗ(ПЗ)_ПЗИП'!$N:$N,"&gt;=01.01.2018",'Отчет РПЗ(ПЗ)_ПЗИП'!$N:$N,"&lt;=31.01.2018",'Отчет РПЗ(ПЗ)_ПЗИП'!$AG:$AG,"&gt;0")</f>
        <v>0</v>
      </c>
      <c r="M66" s="297">
        <f>SUMIFS('Отчет РПЗ(ПЗ)_ПЗИП'!$AG:$AG,'Отчет РПЗ(ПЗ)_ПЗИП'!$D:$D,Справочно!$E31,'Отчет РПЗ(ПЗ)_ПЗИП'!$AR:$AR,1)</f>
        <v>0</v>
      </c>
      <c r="N66" s="305" t="str">
        <f t="shared" si="43"/>
        <v>НД</v>
      </c>
      <c r="O66" s="231" t="str">
        <f t="shared" si="44"/>
        <v>НД</v>
      </c>
      <c r="P66" s="394">
        <f>SUMIFS('Отчет РПЗ(ПЗ)_ПЗИП'!$W:$W,'Отчет РПЗ(ПЗ)_ПЗИП'!$D:$D,Справочно!$E31,'Отчет РПЗ(ПЗ)_ПЗИП'!$N:$N,"&gt;=01.02.2018",'Отчет РПЗ(ПЗ)_ПЗИП'!$N:$N,"&lt;=28.02.2018",'Отчет РПЗ(ПЗ)_ПЗИП'!$AG:$AG,"&gt;0")</f>
        <v>0</v>
      </c>
      <c r="Q66" s="297">
        <f>SUMIFS('Отчет РПЗ(ПЗ)_ПЗИП'!$AG:$AG,'Отчет РПЗ(ПЗ)_ПЗИП'!$D:$D,Справочно!$E31,'Отчет РПЗ(ПЗ)_ПЗИП'!$AR:$AR,2)</f>
        <v>0</v>
      </c>
      <c r="R66" s="305" t="str">
        <f t="shared" si="45"/>
        <v>НД</v>
      </c>
      <c r="S66" s="231" t="str">
        <f t="shared" si="46"/>
        <v>НД</v>
      </c>
      <c r="T66" s="394">
        <f>SUMIFS('Отчет РПЗ(ПЗ)_ПЗИП'!$W:$W,'Отчет РПЗ(ПЗ)_ПЗИП'!$D:$D,Справочно!$E31,'Отчет РПЗ(ПЗ)_ПЗИП'!$N:$N,"&gt;=01.03.2018",'Отчет РПЗ(ПЗ)_ПЗИП'!$N:$N,"&lt;=31.03.2018",'Отчет РПЗ(ПЗ)_ПЗИП'!$AG:$AG,"&gt;0")</f>
        <v>0</v>
      </c>
      <c r="U66" s="297">
        <f>SUMIFS('Отчет РПЗ(ПЗ)_ПЗИП'!$AG:$AG,'Отчет РПЗ(ПЗ)_ПЗИП'!$D:$D,Справочно!$E31,'Отчет РПЗ(ПЗ)_ПЗИП'!$AR:$AR,3)</f>
        <v>0</v>
      </c>
      <c r="V66" s="305" t="str">
        <f t="shared" si="47"/>
        <v>НД</v>
      </c>
      <c r="W66" s="231" t="str">
        <f t="shared" si="23"/>
        <v>НД</v>
      </c>
      <c r="X66" s="393">
        <f t="shared" si="48"/>
        <v>0</v>
      </c>
      <c r="Y66" s="298">
        <f t="shared" si="49"/>
        <v>0</v>
      </c>
      <c r="Z66" s="298">
        <f t="shared" si="24"/>
        <v>0</v>
      </c>
      <c r="AA66" s="233">
        <f t="shared" si="25"/>
        <v>0</v>
      </c>
      <c r="AB66" s="399">
        <f>SUMIFS('Отчет РПЗ(ПЗ)_ПЗИП'!$W:$W,'Отчет РПЗ(ПЗ)_ПЗИП'!$D:$D,Справочно!$E31,'Отчет РПЗ(ПЗ)_ПЗИП'!$N:$N,"&gt;=01.04.2018",'Отчет РПЗ(ПЗ)_ПЗИП'!$N:$N,"&lt;=30.04.2018",'Отчет РПЗ(ПЗ)_ПЗИП'!$AG:$AG,"&gt;0")</f>
        <v>0</v>
      </c>
      <c r="AC66" s="299">
        <f>SUMIFS('Отчет РПЗ(ПЗ)_ПЗИП'!$AG:$AG,'Отчет РПЗ(ПЗ)_ПЗИП'!$D:$D,Справочно!$E31,'Отчет РПЗ(ПЗ)_ПЗИП'!$AR:$AR,4)</f>
        <v>0</v>
      </c>
      <c r="AD66" s="299" t="str">
        <f t="shared" si="50"/>
        <v>НД</v>
      </c>
      <c r="AE66" s="232" t="str">
        <f t="shared" si="26"/>
        <v>НД</v>
      </c>
      <c r="AF66" s="398">
        <f>SUMIFS('Отчет РПЗ(ПЗ)_ПЗИП'!$W:$W,'Отчет РПЗ(ПЗ)_ПЗИП'!$D:$D,Справочно!$E31,'Отчет РПЗ(ПЗ)_ПЗИП'!$N:$N,"&gt;=01.05.2018",'Отчет РПЗ(ПЗ)_ПЗИП'!$N:$N,"&lt;=31.05.2018",'Отчет РПЗ(ПЗ)_ПЗИП'!$AG:$AG,"&gt;0")</f>
        <v>0</v>
      </c>
      <c r="AG66" s="299">
        <f>SUMIFS('Отчет РПЗ(ПЗ)_ПЗИП'!$AG:$AG,'Отчет РПЗ(ПЗ)_ПЗИП'!$D:$D,Справочно!$E31,'Отчет РПЗ(ПЗ)_ПЗИП'!$AR:$AR,5)</f>
        <v>0</v>
      </c>
      <c r="AH66" s="299" t="str">
        <f t="shared" si="51"/>
        <v>НД</v>
      </c>
      <c r="AI66" s="232" t="str">
        <f t="shared" si="27"/>
        <v>НД</v>
      </c>
      <c r="AJ66" s="398">
        <f>SUMIFS('Отчет РПЗ(ПЗ)_ПЗИП'!$W:$W,'Отчет РПЗ(ПЗ)_ПЗИП'!$D:$D,Справочно!$E31,'Отчет РПЗ(ПЗ)_ПЗИП'!$N:$N,"&gt;=01.06.2018",'Отчет РПЗ(ПЗ)_ПЗИП'!$N:$N,"&lt;=30.06.2018",'Отчет РПЗ(ПЗ)_ПЗИП'!$AG:$AG,"&gt;0")</f>
        <v>0</v>
      </c>
      <c r="AK66" s="299">
        <f>SUMIFS('Отчет РПЗ(ПЗ)_ПЗИП'!$AG:$AG,'Отчет РПЗ(ПЗ)_ПЗИП'!$D:$D,Справочно!$E31,'Отчет РПЗ(ПЗ)_ПЗИП'!$AR:$AR,6)</f>
        <v>0</v>
      </c>
      <c r="AL66" s="299" t="str">
        <f t="shared" si="52"/>
        <v>НД</v>
      </c>
      <c r="AM66" s="232" t="str">
        <f t="shared" si="28"/>
        <v>НД</v>
      </c>
      <c r="AN66" s="393">
        <f t="shared" si="53"/>
        <v>0</v>
      </c>
      <c r="AO66" s="300">
        <f t="shared" si="54"/>
        <v>0</v>
      </c>
      <c r="AP66" s="300">
        <f t="shared" si="29"/>
        <v>0</v>
      </c>
      <c r="AQ66" s="234">
        <f t="shared" si="30"/>
        <v>0</v>
      </c>
      <c r="AR66" s="399">
        <f>SUMIFS('Отчет РПЗ(ПЗ)_ПЗИП'!$W:$W,'Отчет РПЗ(ПЗ)_ПЗИП'!$D:$D,Справочно!$E31,'Отчет РПЗ(ПЗ)_ПЗИП'!$N:$N,"&gt;=01.07.2018",'Отчет РПЗ(ПЗ)_ПЗИП'!$N:$N,"&lt;=31.07.2018",'Отчет РПЗ(ПЗ)_ПЗИП'!$AG:$AG,"&gt;0")</f>
        <v>0</v>
      </c>
      <c r="AS66" s="301">
        <f>SUMIFS('Отчет РПЗ(ПЗ)_ПЗИП'!$AG:$AG,'Отчет РПЗ(ПЗ)_ПЗИП'!$D:$D,Справочно!$E31,'Отчет РПЗ(ПЗ)_ПЗИП'!$AR:$AR,7)</f>
        <v>0</v>
      </c>
      <c r="AT66" s="341" t="str">
        <f t="shared" si="55"/>
        <v>НД</v>
      </c>
      <c r="AU66" s="236" t="str">
        <f t="shared" si="31"/>
        <v>НД</v>
      </c>
      <c r="AV66" s="394">
        <f>SUMIFS('Отчет РПЗ(ПЗ)_ПЗИП'!$W:$W,'Отчет РПЗ(ПЗ)_ПЗИП'!$D:$D,Справочно!$E31,'Отчет РПЗ(ПЗ)_ПЗИП'!$N:$N,"&gt;=01.08.2018",'Отчет РПЗ(ПЗ)_ПЗИП'!$N:$N,"&lt;=31.08.2018",'Отчет РПЗ(ПЗ)_ПЗИП'!$AG:$AG,"&gt;0")</f>
        <v>0</v>
      </c>
      <c r="AW66" s="301">
        <f>SUMIFS('Отчет РПЗ(ПЗ)_ПЗИП'!$AG:$AG,'Отчет РПЗ(ПЗ)_ПЗИП'!$D:$D,Справочно!$E31,'Отчет РПЗ(ПЗ)_ПЗИП'!$AR:$AR,8)</f>
        <v>0</v>
      </c>
      <c r="AX66" s="341" t="str">
        <f t="shared" si="56"/>
        <v>НД</v>
      </c>
      <c r="AY66" s="236" t="str">
        <f t="shared" si="32"/>
        <v>НД</v>
      </c>
      <c r="AZ66" s="394">
        <f>SUMIFS('Отчет РПЗ(ПЗ)_ПЗИП'!$W:$W,'Отчет РПЗ(ПЗ)_ПЗИП'!$D:$D,Справочно!$E31,'Отчет РПЗ(ПЗ)_ПЗИП'!$N:$N,"&gt;=01.09.2018",'Отчет РПЗ(ПЗ)_ПЗИП'!$N:$N,"&lt;=30.09.2018",'Отчет РПЗ(ПЗ)_ПЗИП'!$AG:$AG,"&gt;0")</f>
        <v>0</v>
      </c>
      <c r="BA66" s="301">
        <f>SUMIFS('Отчет РПЗ(ПЗ)_ПЗИП'!$AG:$AG,'Отчет РПЗ(ПЗ)_ПЗИП'!$D:$D,Справочно!$E31,'Отчет РПЗ(ПЗ)_ПЗИП'!$AR:$AR,9)</f>
        <v>0</v>
      </c>
      <c r="BB66" s="341" t="str">
        <f t="shared" si="57"/>
        <v>НД</v>
      </c>
      <c r="BC66" s="236" t="str">
        <f t="shared" si="33"/>
        <v>НД</v>
      </c>
      <c r="BD66" s="393">
        <f t="shared" si="58"/>
        <v>0</v>
      </c>
      <c r="BE66" s="302">
        <f t="shared" si="59"/>
        <v>0</v>
      </c>
      <c r="BF66" s="302">
        <f t="shared" si="34"/>
        <v>0</v>
      </c>
      <c r="BG66" s="238">
        <f t="shared" si="35"/>
        <v>0</v>
      </c>
      <c r="BH66" s="383">
        <f>SUMIFS('Отчет РПЗ(ПЗ)_ПЗИП'!$W:$W,'Отчет РПЗ(ПЗ)_ПЗИП'!$D:$D,Справочно!$E31,'Отчет РПЗ(ПЗ)_ПЗИП'!$N:$N,"&gt;=01.10.2018",'Отчет РПЗ(ПЗ)_ПЗИП'!$N:$N,"&lt;=31.10.2018",'Отчет РПЗ(ПЗ)_ПЗИП'!$AG:$AG,"&gt;0")</f>
        <v>0</v>
      </c>
      <c r="BI66" s="303">
        <f>SUMIFS('Отчет РПЗ(ПЗ)_ПЗИП'!$AG:$AG,'Отчет РПЗ(ПЗ)_ПЗИП'!$D:$D,Справочно!$E31,'Отчет РПЗ(ПЗ)_ПЗИП'!$AR:$AR,10)</f>
        <v>0</v>
      </c>
      <c r="BJ66" s="343" t="str">
        <f t="shared" si="60"/>
        <v>НД</v>
      </c>
      <c r="BK66" s="240" t="str">
        <f t="shared" si="36"/>
        <v>НД</v>
      </c>
      <c r="BL66" s="398">
        <f>SUMIFS('Отчет РПЗ(ПЗ)_ПЗИП'!$W:$W,'Отчет РПЗ(ПЗ)_ПЗИП'!$D:$D,Справочно!$E31,'Отчет РПЗ(ПЗ)_ПЗИП'!$N:$N,"&gt;=01.11.2018",'Отчет РПЗ(ПЗ)_ПЗИП'!$N:$N,"&lt;=30.11.2018",'Отчет РПЗ(ПЗ)_ПЗИП'!$AG:$AG,"&gt;0")</f>
        <v>0</v>
      </c>
      <c r="BM66" s="303">
        <f>SUMIFS('Отчет РПЗ(ПЗ)_ПЗИП'!$AG:$AG,'Отчет РПЗ(ПЗ)_ПЗИП'!$D:$D,Справочно!$E31,'Отчет РПЗ(ПЗ)_ПЗИП'!$AR:$AR,11)</f>
        <v>0</v>
      </c>
      <c r="BN66" s="343" t="str">
        <f t="shared" si="61"/>
        <v>НД</v>
      </c>
      <c r="BO66" s="240" t="str">
        <f t="shared" si="37"/>
        <v>НД</v>
      </c>
      <c r="BP66" s="398">
        <f>SUMIFS('Отчет РПЗ(ПЗ)_ПЗИП'!$W:$W,'Отчет РПЗ(ПЗ)_ПЗИП'!$D:$D,Справочно!$E31,'Отчет РПЗ(ПЗ)_ПЗИП'!$N:$N,"&gt;=01.12.2018",'Отчет РПЗ(ПЗ)_ПЗИП'!$N:$N,"&lt;=31.12.2018",'Отчет РПЗ(ПЗ)_ПЗИП'!$AG:$AG,"&gt;0")</f>
        <v>0</v>
      </c>
      <c r="BQ66" s="303">
        <f>SUMIFS('Отчет РПЗ(ПЗ)_ПЗИП'!$AG:$AG,'Отчет РПЗ(ПЗ)_ПЗИП'!$D:$D,Справочно!$E31,'Отчет РПЗ(ПЗ)_ПЗИП'!$AR:$AR,12)</f>
        <v>0</v>
      </c>
      <c r="BR66" s="343" t="str">
        <f t="shared" si="62"/>
        <v>НД</v>
      </c>
      <c r="BS66" s="242" t="str">
        <f t="shared" si="38"/>
        <v>НД</v>
      </c>
      <c r="BT66" s="393">
        <f t="shared" si="63"/>
        <v>0</v>
      </c>
      <c r="BU66" s="304">
        <f t="shared" si="64"/>
        <v>0</v>
      </c>
      <c r="BV66" s="304">
        <f t="shared" si="39"/>
        <v>0</v>
      </c>
      <c r="BW66" s="243">
        <f t="shared" si="40"/>
        <v>0</v>
      </c>
    </row>
    <row r="67" spans="2:75" ht="13.5" thickBot="1" x14ac:dyDescent="0.25">
      <c r="B67" s="58" t="str">
        <f>Справочно!E32</f>
        <v>ООО "РТ-Экспо"</v>
      </c>
      <c r="C67" s="95">
        <f>ПП!B55</f>
        <v>0</v>
      </c>
      <c r="D67" s="381" t="e">
        <f>ПП!C55</f>
        <v>#DIV/0!</v>
      </c>
      <c r="E67" s="406">
        <f>ПП!D55</f>
        <v>0</v>
      </c>
      <c r="F67" s="272">
        <f>COUNTIFS('Отчет РПЗ(ПЗ)_ПЗИП'!$AG:$AG,"&gt;0",'Отчет РПЗ(ПЗ)_ПЗИП'!$D:$D,Справочно!$E32)</f>
        <v>0</v>
      </c>
      <c r="G67" s="407" t="e">
        <f t="shared" si="41"/>
        <v>#DIV/0!</v>
      </c>
      <c r="H67" s="408">
        <f>SUMIF('Отчет РПЗ(ПЗ)_ПЗИП'!$D:$D,Справочно!$E32,'Отчет РПЗ(ПЗ)_ПЗИП'!$AG:$AG)</f>
        <v>0</v>
      </c>
      <c r="I67" s="428">
        <f t="shared" si="65"/>
        <v>0</v>
      </c>
      <c r="J67" s="478" t="e">
        <f t="shared" si="42"/>
        <v>#DIV/0!</v>
      </c>
      <c r="L67" s="399">
        <f>SUMIFS('Отчет РПЗ(ПЗ)_ПЗИП'!$W:$W,'Отчет РПЗ(ПЗ)_ПЗИП'!$D:$D,Справочно!$E32,'Отчет РПЗ(ПЗ)_ПЗИП'!$N:$N,"&gt;=01.01.2018",'Отчет РПЗ(ПЗ)_ПЗИП'!$N:$N,"&lt;=31.01.2018",'Отчет РПЗ(ПЗ)_ПЗИП'!$AG:$AG,"&gt;0")</f>
        <v>0</v>
      </c>
      <c r="M67" s="297">
        <f>SUMIFS('Отчет РПЗ(ПЗ)_ПЗИП'!$AG:$AG,'Отчет РПЗ(ПЗ)_ПЗИП'!$D:$D,Справочно!$E32,'Отчет РПЗ(ПЗ)_ПЗИП'!$AR:$AR,1)</f>
        <v>0</v>
      </c>
      <c r="N67" s="305" t="str">
        <f t="shared" si="43"/>
        <v>НД</v>
      </c>
      <c r="O67" s="231" t="str">
        <f t="shared" si="44"/>
        <v>НД</v>
      </c>
      <c r="P67" s="394">
        <f>SUMIFS('Отчет РПЗ(ПЗ)_ПЗИП'!$W:$W,'Отчет РПЗ(ПЗ)_ПЗИП'!$D:$D,Справочно!$E32,'Отчет РПЗ(ПЗ)_ПЗИП'!$N:$N,"&gt;=01.02.2018",'Отчет РПЗ(ПЗ)_ПЗИП'!$N:$N,"&lt;=28.02.2018",'Отчет РПЗ(ПЗ)_ПЗИП'!$AG:$AG,"&gt;0")</f>
        <v>0</v>
      </c>
      <c r="Q67" s="297">
        <f>SUMIFS('Отчет РПЗ(ПЗ)_ПЗИП'!$AG:$AG,'Отчет РПЗ(ПЗ)_ПЗИП'!$D:$D,Справочно!$E32,'Отчет РПЗ(ПЗ)_ПЗИП'!$AR:$AR,2)</f>
        <v>0</v>
      </c>
      <c r="R67" s="305" t="str">
        <f t="shared" si="45"/>
        <v>НД</v>
      </c>
      <c r="S67" s="231" t="str">
        <f t="shared" si="46"/>
        <v>НД</v>
      </c>
      <c r="T67" s="394">
        <f>SUMIFS('Отчет РПЗ(ПЗ)_ПЗИП'!$W:$W,'Отчет РПЗ(ПЗ)_ПЗИП'!$D:$D,Справочно!$E32,'Отчет РПЗ(ПЗ)_ПЗИП'!$N:$N,"&gt;=01.03.2018",'Отчет РПЗ(ПЗ)_ПЗИП'!$N:$N,"&lt;=31.03.2018",'Отчет РПЗ(ПЗ)_ПЗИП'!$AG:$AG,"&gt;0")</f>
        <v>0</v>
      </c>
      <c r="U67" s="297">
        <f>SUMIFS('Отчет РПЗ(ПЗ)_ПЗИП'!$AG:$AG,'Отчет РПЗ(ПЗ)_ПЗИП'!$D:$D,Справочно!$E32,'Отчет РПЗ(ПЗ)_ПЗИП'!$AR:$AR,3)</f>
        <v>0</v>
      </c>
      <c r="V67" s="305" t="str">
        <f t="shared" si="47"/>
        <v>НД</v>
      </c>
      <c r="W67" s="231" t="str">
        <f t="shared" si="23"/>
        <v>НД</v>
      </c>
      <c r="X67" s="393">
        <f t="shared" si="48"/>
        <v>0</v>
      </c>
      <c r="Y67" s="298">
        <f t="shared" si="49"/>
        <v>0</v>
      </c>
      <c r="Z67" s="298">
        <f t="shared" si="24"/>
        <v>0</v>
      </c>
      <c r="AA67" s="233">
        <f t="shared" si="25"/>
        <v>0</v>
      </c>
      <c r="AB67" s="399">
        <f>SUMIFS('Отчет РПЗ(ПЗ)_ПЗИП'!$W:$W,'Отчет РПЗ(ПЗ)_ПЗИП'!$D:$D,Справочно!$E32,'Отчет РПЗ(ПЗ)_ПЗИП'!$N:$N,"&gt;=01.04.2018",'Отчет РПЗ(ПЗ)_ПЗИП'!$N:$N,"&lt;=30.04.2018",'Отчет РПЗ(ПЗ)_ПЗИП'!$AG:$AG,"&gt;0")</f>
        <v>0</v>
      </c>
      <c r="AC67" s="299">
        <f>SUMIFS('Отчет РПЗ(ПЗ)_ПЗИП'!$AG:$AG,'Отчет РПЗ(ПЗ)_ПЗИП'!$D:$D,Справочно!$E32,'Отчет РПЗ(ПЗ)_ПЗИП'!$AR:$AR,4)</f>
        <v>0</v>
      </c>
      <c r="AD67" s="299" t="str">
        <f t="shared" si="50"/>
        <v>НД</v>
      </c>
      <c r="AE67" s="232" t="str">
        <f t="shared" si="26"/>
        <v>НД</v>
      </c>
      <c r="AF67" s="398">
        <f>SUMIFS('Отчет РПЗ(ПЗ)_ПЗИП'!$W:$W,'Отчет РПЗ(ПЗ)_ПЗИП'!$D:$D,Справочно!$E32,'Отчет РПЗ(ПЗ)_ПЗИП'!$N:$N,"&gt;=01.05.2018",'Отчет РПЗ(ПЗ)_ПЗИП'!$N:$N,"&lt;=31.05.2018",'Отчет РПЗ(ПЗ)_ПЗИП'!$AG:$AG,"&gt;0")</f>
        <v>0</v>
      </c>
      <c r="AG67" s="299">
        <f>SUMIFS('Отчет РПЗ(ПЗ)_ПЗИП'!$AG:$AG,'Отчет РПЗ(ПЗ)_ПЗИП'!$D:$D,Справочно!$E32,'Отчет РПЗ(ПЗ)_ПЗИП'!$AR:$AR,5)</f>
        <v>0</v>
      </c>
      <c r="AH67" s="299" t="str">
        <f t="shared" si="51"/>
        <v>НД</v>
      </c>
      <c r="AI67" s="232" t="str">
        <f t="shared" si="27"/>
        <v>НД</v>
      </c>
      <c r="AJ67" s="398">
        <f>SUMIFS('Отчет РПЗ(ПЗ)_ПЗИП'!$W:$W,'Отчет РПЗ(ПЗ)_ПЗИП'!$D:$D,Справочно!$E32,'Отчет РПЗ(ПЗ)_ПЗИП'!$N:$N,"&gt;=01.06.2018",'Отчет РПЗ(ПЗ)_ПЗИП'!$N:$N,"&lt;=30.06.2018",'Отчет РПЗ(ПЗ)_ПЗИП'!$AG:$AG,"&gt;0")</f>
        <v>0</v>
      </c>
      <c r="AK67" s="299">
        <f>SUMIFS('Отчет РПЗ(ПЗ)_ПЗИП'!$AG:$AG,'Отчет РПЗ(ПЗ)_ПЗИП'!$D:$D,Справочно!$E32,'Отчет РПЗ(ПЗ)_ПЗИП'!$AR:$AR,6)</f>
        <v>0</v>
      </c>
      <c r="AL67" s="299" t="str">
        <f t="shared" si="52"/>
        <v>НД</v>
      </c>
      <c r="AM67" s="232" t="str">
        <f t="shared" si="28"/>
        <v>НД</v>
      </c>
      <c r="AN67" s="393">
        <f t="shared" si="53"/>
        <v>0</v>
      </c>
      <c r="AO67" s="300">
        <f t="shared" si="54"/>
        <v>0</v>
      </c>
      <c r="AP67" s="300">
        <f t="shared" si="29"/>
        <v>0</v>
      </c>
      <c r="AQ67" s="234">
        <f t="shared" si="30"/>
        <v>0</v>
      </c>
      <c r="AR67" s="399">
        <f>SUMIFS('Отчет РПЗ(ПЗ)_ПЗИП'!$W:$W,'Отчет РПЗ(ПЗ)_ПЗИП'!$D:$D,Справочно!$E32,'Отчет РПЗ(ПЗ)_ПЗИП'!$N:$N,"&gt;=01.07.2018",'Отчет РПЗ(ПЗ)_ПЗИП'!$N:$N,"&lt;=31.07.2018",'Отчет РПЗ(ПЗ)_ПЗИП'!$AG:$AG,"&gt;0")</f>
        <v>0</v>
      </c>
      <c r="AS67" s="301">
        <f>SUMIFS('Отчет РПЗ(ПЗ)_ПЗИП'!$AG:$AG,'Отчет РПЗ(ПЗ)_ПЗИП'!$D:$D,Справочно!$E32,'Отчет РПЗ(ПЗ)_ПЗИП'!$AR:$AR,7)</f>
        <v>0</v>
      </c>
      <c r="AT67" s="341" t="str">
        <f t="shared" si="55"/>
        <v>НД</v>
      </c>
      <c r="AU67" s="236" t="str">
        <f t="shared" si="31"/>
        <v>НД</v>
      </c>
      <c r="AV67" s="394">
        <f>SUMIFS('Отчет РПЗ(ПЗ)_ПЗИП'!$W:$W,'Отчет РПЗ(ПЗ)_ПЗИП'!$D:$D,Справочно!$E32,'Отчет РПЗ(ПЗ)_ПЗИП'!$N:$N,"&gt;=01.08.2018",'Отчет РПЗ(ПЗ)_ПЗИП'!$N:$N,"&lt;=31.08.2018",'Отчет РПЗ(ПЗ)_ПЗИП'!$AG:$AG,"&gt;0")</f>
        <v>0</v>
      </c>
      <c r="AW67" s="301">
        <f>SUMIFS('Отчет РПЗ(ПЗ)_ПЗИП'!$AG:$AG,'Отчет РПЗ(ПЗ)_ПЗИП'!$D:$D,Справочно!$E32,'Отчет РПЗ(ПЗ)_ПЗИП'!$AR:$AR,8)</f>
        <v>0</v>
      </c>
      <c r="AX67" s="341" t="str">
        <f t="shared" si="56"/>
        <v>НД</v>
      </c>
      <c r="AY67" s="236" t="str">
        <f t="shared" si="32"/>
        <v>НД</v>
      </c>
      <c r="AZ67" s="394">
        <f>SUMIFS('Отчет РПЗ(ПЗ)_ПЗИП'!$W:$W,'Отчет РПЗ(ПЗ)_ПЗИП'!$D:$D,Справочно!$E32,'Отчет РПЗ(ПЗ)_ПЗИП'!$N:$N,"&gt;=01.09.2018",'Отчет РПЗ(ПЗ)_ПЗИП'!$N:$N,"&lt;=30.09.2018",'Отчет РПЗ(ПЗ)_ПЗИП'!$AG:$AG,"&gt;0")</f>
        <v>0</v>
      </c>
      <c r="BA67" s="301">
        <f>SUMIFS('Отчет РПЗ(ПЗ)_ПЗИП'!$AG:$AG,'Отчет РПЗ(ПЗ)_ПЗИП'!$D:$D,Справочно!$E32,'Отчет РПЗ(ПЗ)_ПЗИП'!$AR:$AR,9)</f>
        <v>0</v>
      </c>
      <c r="BB67" s="341" t="str">
        <f t="shared" si="57"/>
        <v>НД</v>
      </c>
      <c r="BC67" s="236" t="str">
        <f t="shared" si="33"/>
        <v>НД</v>
      </c>
      <c r="BD67" s="393">
        <f t="shared" si="58"/>
        <v>0</v>
      </c>
      <c r="BE67" s="302">
        <f t="shared" si="59"/>
        <v>0</v>
      </c>
      <c r="BF67" s="302">
        <f t="shared" si="34"/>
        <v>0</v>
      </c>
      <c r="BG67" s="238">
        <f t="shared" si="35"/>
        <v>0</v>
      </c>
      <c r="BH67" s="383">
        <f>SUMIFS('Отчет РПЗ(ПЗ)_ПЗИП'!$W:$W,'Отчет РПЗ(ПЗ)_ПЗИП'!$D:$D,Справочно!$E32,'Отчет РПЗ(ПЗ)_ПЗИП'!$N:$N,"&gt;=01.10.2018",'Отчет РПЗ(ПЗ)_ПЗИП'!$N:$N,"&lt;=31.10.2018",'Отчет РПЗ(ПЗ)_ПЗИП'!$AG:$AG,"&gt;0")</f>
        <v>0</v>
      </c>
      <c r="BI67" s="303">
        <f>SUMIFS('Отчет РПЗ(ПЗ)_ПЗИП'!$AG:$AG,'Отчет РПЗ(ПЗ)_ПЗИП'!$D:$D,Справочно!$E32,'Отчет РПЗ(ПЗ)_ПЗИП'!$AR:$AR,10)</f>
        <v>0</v>
      </c>
      <c r="BJ67" s="343" t="str">
        <f t="shared" si="60"/>
        <v>НД</v>
      </c>
      <c r="BK67" s="240" t="str">
        <f t="shared" si="36"/>
        <v>НД</v>
      </c>
      <c r="BL67" s="398">
        <f>SUMIFS('Отчет РПЗ(ПЗ)_ПЗИП'!$W:$W,'Отчет РПЗ(ПЗ)_ПЗИП'!$D:$D,Справочно!$E32,'Отчет РПЗ(ПЗ)_ПЗИП'!$N:$N,"&gt;=01.11.2018",'Отчет РПЗ(ПЗ)_ПЗИП'!$N:$N,"&lt;=30.11.2018",'Отчет РПЗ(ПЗ)_ПЗИП'!$AG:$AG,"&gt;0")</f>
        <v>0</v>
      </c>
      <c r="BM67" s="303">
        <f>SUMIFS('Отчет РПЗ(ПЗ)_ПЗИП'!$AG:$AG,'Отчет РПЗ(ПЗ)_ПЗИП'!$D:$D,Справочно!$E32,'Отчет РПЗ(ПЗ)_ПЗИП'!$AR:$AR,11)</f>
        <v>0</v>
      </c>
      <c r="BN67" s="343" t="str">
        <f t="shared" si="61"/>
        <v>НД</v>
      </c>
      <c r="BO67" s="240" t="str">
        <f t="shared" si="37"/>
        <v>НД</v>
      </c>
      <c r="BP67" s="398">
        <f>SUMIFS('Отчет РПЗ(ПЗ)_ПЗИП'!$W:$W,'Отчет РПЗ(ПЗ)_ПЗИП'!$D:$D,Справочно!$E32,'Отчет РПЗ(ПЗ)_ПЗИП'!$N:$N,"&gt;=01.12.2018",'Отчет РПЗ(ПЗ)_ПЗИП'!$N:$N,"&lt;=31.12.2018",'Отчет РПЗ(ПЗ)_ПЗИП'!$AG:$AG,"&gt;0")</f>
        <v>0</v>
      </c>
      <c r="BQ67" s="303">
        <f>SUMIFS('Отчет РПЗ(ПЗ)_ПЗИП'!$AG:$AG,'Отчет РПЗ(ПЗ)_ПЗИП'!$D:$D,Справочно!$E32,'Отчет РПЗ(ПЗ)_ПЗИП'!$AR:$AR,12)</f>
        <v>0</v>
      </c>
      <c r="BR67" s="343" t="str">
        <f t="shared" si="62"/>
        <v>НД</v>
      </c>
      <c r="BS67" s="242" t="str">
        <f t="shared" si="38"/>
        <v>НД</v>
      </c>
      <c r="BT67" s="393">
        <f t="shared" si="63"/>
        <v>0</v>
      </c>
      <c r="BU67" s="304">
        <f t="shared" si="64"/>
        <v>0</v>
      </c>
      <c r="BV67" s="304">
        <f t="shared" si="39"/>
        <v>0</v>
      </c>
      <c r="BW67" s="243">
        <f t="shared" si="40"/>
        <v>0</v>
      </c>
    </row>
    <row r="68" spans="2:75" ht="13.5" thickBot="1" x14ac:dyDescent="0.25">
      <c r="B68" s="58" t="str">
        <f>Справочно!E33</f>
        <v>ООО "РТ-Страхование"</v>
      </c>
      <c r="C68" s="95">
        <f>ПП!B56</f>
        <v>0</v>
      </c>
      <c r="D68" s="381" t="e">
        <f>ПП!C56</f>
        <v>#DIV/0!</v>
      </c>
      <c r="E68" s="406">
        <f>ПП!D56</f>
        <v>0</v>
      </c>
      <c r="F68" s="272">
        <f>COUNTIFS('Отчет РПЗ(ПЗ)_ПЗИП'!$AG:$AG,"&gt;0",'Отчет РПЗ(ПЗ)_ПЗИП'!$D:$D,Справочно!$E33)</f>
        <v>0</v>
      </c>
      <c r="G68" s="407" t="e">
        <f t="shared" si="41"/>
        <v>#DIV/0!</v>
      </c>
      <c r="H68" s="408">
        <f>SUMIF('Отчет РПЗ(ПЗ)_ПЗИП'!$D:$D,Справочно!$E33,'Отчет РПЗ(ПЗ)_ПЗИП'!$AG:$AG)</f>
        <v>0</v>
      </c>
      <c r="I68" s="428">
        <f t="shared" si="65"/>
        <v>0</v>
      </c>
      <c r="J68" s="478" t="e">
        <f t="shared" si="42"/>
        <v>#DIV/0!</v>
      </c>
      <c r="L68" s="399">
        <f>SUMIFS('Отчет РПЗ(ПЗ)_ПЗИП'!$W:$W,'Отчет РПЗ(ПЗ)_ПЗИП'!$D:$D,Справочно!$E33,'Отчет РПЗ(ПЗ)_ПЗИП'!$N:$N,"&gt;=01.01.2018",'Отчет РПЗ(ПЗ)_ПЗИП'!$N:$N,"&lt;=31.01.2018",'Отчет РПЗ(ПЗ)_ПЗИП'!$AG:$AG,"&gt;0")</f>
        <v>0</v>
      </c>
      <c r="M68" s="297">
        <f>SUMIFS('Отчет РПЗ(ПЗ)_ПЗИП'!$AG:$AG,'Отчет РПЗ(ПЗ)_ПЗИП'!$D:$D,Справочно!$E33,'Отчет РПЗ(ПЗ)_ПЗИП'!$AR:$AR,1)</f>
        <v>0</v>
      </c>
      <c r="N68" s="305" t="str">
        <f t="shared" si="43"/>
        <v>НД</v>
      </c>
      <c r="O68" s="231" t="str">
        <f t="shared" si="44"/>
        <v>НД</v>
      </c>
      <c r="P68" s="394">
        <f>SUMIFS('Отчет РПЗ(ПЗ)_ПЗИП'!$W:$W,'Отчет РПЗ(ПЗ)_ПЗИП'!$D:$D,Справочно!$E33,'Отчет РПЗ(ПЗ)_ПЗИП'!$N:$N,"&gt;=01.02.2018",'Отчет РПЗ(ПЗ)_ПЗИП'!$N:$N,"&lt;=28.02.2018",'Отчет РПЗ(ПЗ)_ПЗИП'!$AG:$AG,"&gt;0")</f>
        <v>0</v>
      </c>
      <c r="Q68" s="297">
        <f>SUMIFS('Отчет РПЗ(ПЗ)_ПЗИП'!$AG:$AG,'Отчет РПЗ(ПЗ)_ПЗИП'!$D:$D,Справочно!$E33,'Отчет РПЗ(ПЗ)_ПЗИП'!$AR:$AR,2)</f>
        <v>0</v>
      </c>
      <c r="R68" s="305" t="str">
        <f t="shared" si="45"/>
        <v>НД</v>
      </c>
      <c r="S68" s="231" t="str">
        <f t="shared" si="46"/>
        <v>НД</v>
      </c>
      <c r="T68" s="394">
        <f>SUMIFS('Отчет РПЗ(ПЗ)_ПЗИП'!$W:$W,'Отчет РПЗ(ПЗ)_ПЗИП'!$D:$D,Справочно!$E33,'Отчет РПЗ(ПЗ)_ПЗИП'!$N:$N,"&gt;=01.03.2018",'Отчет РПЗ(ПЗ)_ПЗИП'!$N:$N,"&lt;=31.03.2018",'Отчет РПЗ(ПЗ)_ПЗИП'!$AG:$AG,"&gt;0")</f>
        <v>0</v>
      </c>
      <c r="U68" s="297">
        <f>SUMIFS('Отчет РПЗ(ПЗ)_ПЗИП'!$AG:$AG,'Отчет РПЗ(ПЗ)_ПЗИП'!$D:$D,Справочно!$E33,'Отчет РПЗ(ПЗ)_ПЗИП'!$AR:$AR,3)</f>
        <v>0</v>
      </c>
      <c r="V68" s="305" t="str">
        <f t="shared" si="47"/>
        <v>НД</v>
      </c>
      <c r="W68" s="231" t="str">
        <f t="shared" si="23"/>
        <v>НД</v>
      </c>
      <c r="X68" s="393">
        <f t="shared" si="48"/>
        <v>0</v>
      </c>
      <c r="Y68" s="298">
        <f t="shared" si="49"/>
        <v>0</v>
      </c>
      <c r="Z68" s="298">
        <f t="shared" si="24"/>
        <v>0</v>
      </c>
      <c r="AA68" s="233">
        <f t="shared" si="25"/>
        <v>0</v>
      </c>
      <c r="AB68" s="399">
        <f>SUMIFS('Отчет РПЗ(ПЗ)_ПЗИП'!$W:$W,'Отчет РПЗ(ПЗ)_ПЗИП'!$D:$D,Справочно!$E33,'Отчет РПЗ(ПЗ)_ПЗИП'!$N:$N,"&gt;=01.04.2018",'Отчет РПЗ(ПЗ)_ПЗИП'!$N:$N,"&lt;=30.04.2018",'Отчет РПЗ(ПЗ)_ПЗИП'!$AG:$AG,"&gt;0")</f>
        <v>0</v>
      </c>
      <c r="AC68" s="299">
        <f>SUMIFS('Отчет РПЗ(ПЗ)_ПЗИП'!$AG:$AG,'Отчет РПЗ(ПЗ)_ПЗИП'!$D:$D,Справочно!$E33,'Отчет РПЗ(ПЗ)_ПЗИП'!$AR:$AR,4)</f>
        <v>0</v>
      </c>
      <c r="AD68" s="299" t="str">
        <f t="shared" si="50"/>
        <v>НД</v>
      </c>
      <c r="AE68" s="232" t="str">
        <f t="shared" si="26"/>
        <v>НД</v>
      </c>
      <c r="AF68" s="398">
        <f>SUMIFS('Отчет РПЗ(ПЗ)_ПЗИП'!$W:$W,'Отчет РПЗ(ПЗ)_ПЗИП'!$D:$D,Справочно!$E33,'Отчет РПЗ(ПЗ)_ПЗИП'!$N:$N,"&gt;=01.05.2018",'Отчет РПЗ(ПЗ)_ПЗИП'!$N:$N,"&lt;=31.05.2018",'Отчет РПЗ(ПЗ)_ПЗИП'!$AG:$AG,"&gt;0")</f>
        <v>0</v>
      </c>
      <c r="AG68" s="299">
        <f>SUMIFS('Отчет РПЗ(ПЗ)_ПЗИП'!$AG:$AG,'Отчет РПЗ(ПЗ)_ПЗИП'!$D:$D,Справочно!$E33,'Отчет РПЗ(ПЗ)_ПЗИП'!$AR:$AR,5)</f>
        <v>0</v>
      </c>
      <c r="AH68" s="299" t="str">
        <f t="shared" si="51"/>
        <v>НД</v>
      </c>
      <c r="AI68" s="232" t="str">
        <f t="shared" si="27"/>
        <v>НД</v>
      </c>
      <c r="AJ68" s="398">
        <f>SUMIFS('Отчет РПЗ(ПЗ)_ПЗИП'!$W:$W,'Отчет РПЗ(ПЗ)_ПЗИП'!$D:$D,Справочно!$E33,'Отчет РПЗ(ПЗ)_ПЗИП'!$N:$N,"&gt;=01.06.2018",'Отчет РПЗ(ПЗ)_ПЗИП'!$N:$N,"&lt;=30.06.2018",'Отчет РПЗ(ПЗ)_ПЗИП'!$AG:$AG,"&gt;0")</f>
        <v>0</v>
      </c>
      <c r="AK68" s="299">
        <f>SUMIFS('Отчет РПЗ(ПЗ)_ПЗИП'!$AG:$AG,'Отчет РПЗ(ПЗ)_ПЗИП'!$D:$D,Справочно!$E33,'Отчет РПЗ(ПЗ)_ПЗИП'!$AR:$AR,6)</f>
        <v>0</v>
      </c>
      <c r="AL68" s="299" t="str">
        <f t="shared" si="52"/>
        <v>НД</v>
      </c>
      <c r="AM68" s="232" t="str">
        <f t="shared" si="28"/>
        <v>НД</v>
      </c>
      <c r="AN68" s="393">
        <f t="shared" si="53"/>
        <v>0</v>
      </c>
      <c r="AO68" s="300">
        <f t="shared" si="54"/>
        <v>0</v>
      </c>
      <c r="AP68" s="300">
        <f t="shared" si="29"/>
        <v>0</v>
      </c>
      <c r="AQ68" s="234">
        <f t="shared" si="30"/>
        <v>0</v>
      </c>
      <c r="AR68" s="399">
        <f>SUMIFS('Отчет РПЗ(ПЗ)_ПЗИП'!$W:$W,'Отчет РПЗ(ПЗ)_ПЗИП'!$D:$D,Справочно!$E33,'Отчет РПЗ(ПЗ)_ПЗИП'!$N:$N,"&gt;=01.07.2018",'Отчет РПЗ(ПЗ)_ПЗИП'!$N:$N,"&lt;=31.07.2018",'Отчет РПЗ(ПЗ)_ПЗИП'!$AG:$AG,"&gt;0")</f>
        <v>0</v>
      </c>
      <c r="AS68" s="301">
        <f>SUMIFS('Отчет РПЗ(ПЗ)_ПЗИП'!$AG:$AG,'Отчет РПЗ(ПЗ)_ПЗИП'!$D:$D,Справочно!$E33,'Отчет РПЗ(ПЗ)_ПЗИП'!$AR:$AR,7)</f>
        <v>0</v>
      </c>
      <c r="AT68" s="341" t="str">
        <f t="shared" si="55"/>
        <v>НД</v>
      </c>
      <c r="AU68" s="236" t="str">
        <f t="shared" si="31"/>
        <v>НД</v>
      </c>
      <c r="AV68" s="394">
        <f>SUMIFS('Отчет РПЗ(ПЗ)_ПЗИП'!$W:$W,'Отчет РПЗ(ПЗ)_ПЗИП'!$D:$D,Справочно!$E33,'Отчет РПЗ(ПЗ)_ПЗИП'!$N:$N,"&gt;=01.08.2018",'Отчет РПЗ(ПЗ)_ПЗИП'!$N:$N,"&lt;=31.08.2018",'Отчет РПЗ(ПЗ)_ПЗИП'!$AG:$AG,"&gt;0")</f>
        <v>0</v>
      </c>
      <c r="AW68" s="301">
        <f>SUMIFS('Отчет РПЗ(ПЗ)_ПЗИП'!$AG:$AG,'Отчет РПЗ(ПЗ)_ПЗИП'!$D:$D,Справочно!$E33,'Отчет РПЗ(ПЗ)_ПЗИП'!$AR:$AR,8)</f>
        <v>0</v>
      </c>
      <c r="AX68" s="341" t="str">
        <f t="shared" si="56"/>
        <v>НД</v>
      </c>
      <c r="AY68" s="236" t="str">
        <f t="shared" si="32"/>
        <v>НД</v>
      </c>
      <c r="AZ68" s="394">
        <f>SUMIFS('Отчет РПЗ(ПЗ)_ПЗИП'!$W:$W,'Отчет РПЗ(ПЗ)_ПЗИП'!$D:$D,Справочно!$E33,'Отчет РПЗ(ПЗ)_ПЗИП'!$N:$N,"&gt;=01.09.2018",'Отчет РПЗ(ПЗ)_ПЗИП'!$N:$N,"&lt;=30.09.2018",'Отчет РПЗ(ПЗ)_ПЗИП'!$AG:$AG,"&gt;0")</f>
        <v>0</v>
      </c>
      <c r="BA68" s="301">
        <f>SUMIFS('Отчет РПЗ(ПЗ)_ПЗИП'!$AG:$AG,'Отчет РПЗ(ПЗ)_ПЗИП'!$D:$D,Справочно!$E33,'Отчет РПЗ(ПЗ)_ПЗИП'!$AR:$AR,9)</f>
        <v>0</v>
      </c>
      <c r="BB68" s="341" t="str">
        <f t="shared" si="57"/>
        <v>НД</v>
      </c>
      <c r="BC68" s="236" t="str">
        <f t="shared" si="33"/>
        <v>НД</v>
      </c>
      <c r="BD68" s="393">
        <f t="shared" si="58"/>
        <v>0</v>
      </c>
      <c r="BE68" s="302">
        <f t="shared" si="59"/>
        <v>0</v>
      </c>
      <c r="BF68" s="302">
        <f t="shared" si="34"/>
        <v>0</v>
      </c>
      <c r="BG68" s="238">
        <f t="shared" si="35"/>
        <v>0</v>
      </c>
      <c r="BH68" s="383">
        <f>SUMIFS('Отчет РПЗ(ПЗ)_ПЗИП'!$W:$W,'Отчет РПЗ(ПЗ)_ПЗИП'!$D:$D,Справочно!$E33,'Отчет РПЗ(ПЗ)_ПЗИП'!$N:$N,"&gt;=01.10.2018",'Отчет РПЗ(ПЗ)_ПЗИП'!$N:$N,"&lt;=31.10.2018",'Отчет РПЗ(ПЗ)_ПЗИП'!$AG:$AG,"&gt;0")</f>
        <v>0</v>
      </c>
      <c r="BI68" s="303">
        <f>SUMIFS('Отчет РПЗ(ПЗ)_ПЗИП'!$AG:$AG,'Отчет РПЗ(ПЗ)_ПЗИП'!$D:$D,Справочно!$E33,'Отчет РПЗ(ПЗ)_ПЗИП'!$AR:$AR,10)</f>
        <v>0</v>
      </c>
      <c r="BJ68" s="343" t="str">
        <f t="shared" si="60"/>
        <v>НД</v>
      </c>
      <c r="BK68" s="240" t="str">
        <f t="shared" si="36"/>
        <v>НД</v>
      </c>
      <c r="BL68" s="398">
        <f>SUMIFS('Отчет РПЗ(ПЗ)_ПЗИП'!$W:$W,'Отчет РПЗ(ПЗ)_ПЗИП'!$D:$D,Справочно!$E33,'Отчет РПЗ(ПЗ)_ПЗИП'!$N:$N,"&gt;=01.11.2018",'Отчет РПЗ(ПЗ)_ПЗИП'!$N:$N,"&lt;=30.11.2018",'Отчет РПЗ(ПЗ)_ПЗИП'!$AG:$AG,"&gt;0")</f>
        <v>0</v>
      </c>
      <c r="BM68" s="303">
        <f>SUMIFS('Отчет РПЗ(ПЗ)_ПЗИП'!$AG:$AG,'Отчет РПЗ(ПЗ)_ПЗИП'!$D:$D,Справочно!$E33,'Отчет РПЗ(ПЗ)_ПЗИП'!$AR:$AR,11)</f>
        <v>0</v>
      </c>
      <c r="BN68" s="343" t="str">
        <f t="shared" si="61"/>
        <v>НД</v>
      </c>
      <c r="BO68" s="240" t="str">
        <f t="shared" si="37"/>
        <v>НД</v>
      </c>
      <c r="BP68" s="398">
        <f>SUMIFS('Отчет РПЗ(ПЗ)_ПЗИП'!$W:$W,'Отчет РПЗ(ПЗ)_ПЗИП'!$D:$D,Справочно!$E33,'Отчет РПЗ(ПЗ)_ПЗИП'!$N:$N,"&gt;=01.12.2018",'Отчет РПЗ(ПЗ)_ПЗИП'!$N:$N,"&lt;=31.12.2018",'Отчет РПЗ(ПЗ)_ПЗИП'!$AG:$AG,"&gt;0")</f>
        <v>0</v>
      </c>
      <c r="BQ68" s="303">
        <f>SUMIFS('Отчет РПЗ(ПЗ)_ПЗИП'!$AG:$AG,'Отчет РПЗ(ПЗ)_ПЗИП'!$D:$D,Справочно!$E33,'Отчет РПЗ(ПЗ)_ПЗИП'!$AR:$AR,12)</f>
        <v>0</v>
      </c>
      <c r="BR68" s="343" t="str">
        <f t="shared" si="62"/>
        <v>НД</v>
      </c>
      <c r="BS68" s="242" t="str">
        <f t="shared" si="38"/>
        <v>НД</v>
      </c>
      <c r="BT68" s="393">
        <f t="shared" si="63"/>
        <v>0</v>
      </c>
      <c r="BU68" s="304">
        <f t="shared" si="64"/>
        <v>0</v>
      </c>
      <c r="BV68" s="304">
        <f t="shared" si="39"/>
        <v>0</v>
      </c>
      <c r="BW68" s="243">
        <f t="shared" si="40"/>
        <v>0</v>
      </c>
    </row>
    <row r="69" spans="2:75" ht="13.5" thickBot="1" x14ac:dyDescent="0.25">
      <c r="B69" s="58" t="str">
        <f>Справочно!E34</f>
        <v>АО "Концерн Радиоэлектронные технологии"</v>
      </c>
      <c r="C69" s="95">
        <f>ПП!B57</f>
        <v>0</v>
      </c>
      <c r="D69" s="381" t="e">
        <f>ПП!C57</f>
        <v>#DIV/0!</v>
      </c>
      <c r="E69" s="406">
        <f>ПП!D57</f>
        <v>0</v>
      </c>
      <c r="F69" s="272">
        <f>COUNTIFS('Отчет РПЗ(ПЗ)_ПЗИП'!$AG:$AG,"&gt;0",'Отчет РПЗ(ПЗ)_ПЗИП'!$D:$D,Справочно!$E34)</f>
        <v>0</v>
      </c>
      <c r="G69" s="407" t="e">
        <f t="shared" si="41"/>
        <v>#DIV/0!</v>
      </c>
      <c r="H69" s="408">
        <f>SUMIF('Отчет РПЗ(ПЗ)_ПЗИП'!$D:$D,Справочно!$E34,'Отчет РПЗ(ПЗ)_ПЗИП'!$AG:$AG)</f>
        <v>0</v>
      </c>
      <c r="I69" s="428">
        <f t="shared" si="65"/>
        <v>0</v>
      </c>
      <c r="J69" s="478" t="e">
        <f t="shared" si="42"/>
        <v>#DIV/0!</v>
      </c>
      <c r="L69" s="399">
        <f>SUMIFS('Отчет РПЗ(ПЗ)_ПЗИП'!$W:$W,'Отчет РПЗ(ПЗ)_ПЗИП'!$D:$D,Справочно!$E34,'Отчет РПЗ(ПЗ)_ПЗИП'!$N:$N,"&gt;=01.01.2018",'Отчет РПЗ(ПЗ)_ПЗИП'!$N:$N,"&lt;=31.01.2018",'Отчет РПЗ(ПЗ)_ПЗИП'!$AG:$AG,"&gt;0")</f>
        <v>0</v>
      </c>
      <c r="M69" s="297">
        <f>SUMIFS('Отчет РПЗ(ПЗ)_ПЗИП'!$AG:$AG,'Отчет РПЗ(ПЗ)_ПЗИП'!$D:$D,Справочно!$E34,'Отчет РПЗ(ПЗ)_ПЗИП'!$AR:$AR,1)</f>
        <v>0</v>
      </c>
      <c r="N69" s="305" t="str">
        <f t="shared" si="43"/>
        <v>НД</v>
      </c>
      <c r="O69" s="231" t="str">
        <f t="shared" si="44"/>
        <v>НД</v>
      </c>
      <c r="P69" s="394">
        <f>SUMIFS('Отчет РПЗ(ПЗ)_ПЗИП'!$W:$W,'Отчет РПЗ(ПЗ)_ПЗИП'!$D:$D,Справочно!$E34,'Отчет РПЗ(ПЗ)_ПЗИП'!$N:$N,"&gt;=01.02.2018",'Отчет РПЗ(ПЗ)_ПЗИП'!$N:$N,"&lt;=28.02.2018",'Отчет РПЗ(ПЗ)_ПЗИП'!$AG:$AG,"&gt;0")</f>
        <v>0</v>
      </c>
      <c r="Q69" s="297">
        <f>SUMIFS('Отчет РПЗ(ПЗ)_ПЗИП'!$AG:$AG,'Отчет РПЗ(ПЗ)_ПЗИП'!$D:$D,Справочно!$E34,'Отчет РПЗ(ПЗ)_ПЗИП'!$AR:$AR,2)</f>
        <v>0</v>
      </c>
      <c r="R69" s="305" t="str">
        <f t="shared" si="45"/>
        <v>НД</v>
      </c>
      <c r="S69" s="231" t="str">
        <f t="shared" si="46"/>
        <v>НД</v>
      </c>
      <c r="T69" s="394">
        <f>SUMIFS('Отчет РПЗ(ПЗ)_ПЗИП'!$W:$W,'Отчет РПЗ(ПЗ)_ПЗИП'!$D:$D,Справочно!$E34,'Отчет РПЗ(ПЗ)_ПЗИП'!$N:$N,"&gt;=01.03.2018",'Отчет РПЗ(ПЗ)_ПЗИП'!$N:$N,"&lt;=31.03.2018",'Отчет РПЗ(ПЗ)_ПЗИП'!$AG:$AG,"&gt;0")</f>
        <v>0</v>
      </c>
      <c r="U69" s="297">
        <f>SUMIFS('Отчет РПЗ(ПЗ)_ПЗИП'!$AG:$AG,'Отчет РПЗ(ПЗ)_ПЗИП'!$D:$D,Справочно!$E34,'Отчет РПЗ(ПЗ)_ПЗИП'!$AR:$AR,3)</f>
        <v>0</v>
      </c>
      <c r="V69" s="305" t="str">
        <f t="shared" si="47"/>
        <v>НД</v>
      </c>
      <c r="W69" s="231" t="str">
        <f t="shared" si="23"/>
        <v>НД</v>
      </c>
      <c r="X69" s="393">
        <f t="shared" si="48"/>
        <v>0</v>
      </c>
      <c r="Y69" s="298">
        <f t="shared" si="49"/>
        <v>0</v>
      </c>
      <c r="Z69" s="298">
        <f t="shared" si="24"/>
        <v>0</v>
      </c>
      <c r="AA69" s="233">
        <f t="shared" si="25"/>
        <v>0</v>
      </c>
      <c r="AB69" s="399">
        <f>SUMIFS('Отчет РПЗ(ПЗ)_ПЗИП'!$W:$W,'Отчет РПЗ(ПЗ)_ПЗИП'!$D:$D,Справочно!$E34,'Отчет РПЗ(ПЗ)_ПЗИП'!$N:$N,"&gt;=01.04.2018",'Отчет РПЗ(ПЗ)_ПЗИП'!$N:$N,"&lt;=30.04.2018",'Отчет РПЗ(ПЗ)_ПЗИП'!$AG:$AG,"&gt;0")</f>
        <v>0</v>
      </c>
      <c r="AC69" s="299">
        <f>SUMIFS('Отчет РПЗ(ПЗ)_ПЗИП'!$AG:$AG,'Отчет РПЗ(ПЗ)_ПЗИП'!$D:$D,Справочно!$E34,'Отчет РПЗ(ПЗ)_ПЗИП'!$AR:$AR,4)</f>
        <v>0</v>
      </c>
      <c r="AD69" s="299" t="str">
        <f t="shared" si="50"/>
        <v>НД</v>
      </c>
      <c r="AE69" s="232" t="str">
        <f t="shared" si="26"/>
        <v>НД</v>
      </c>
      <c r="AF69" s="398">
        <f>SUMIFS('Отчет РПЗ(ПЗ)_ПЗИП'!$W:$W,'Отчет РПЗ(ПЗ)_ПЗИП'!$D:$D,Справочно!$E34,'Отчет РПЗ(ПЗ)_ПЗИП'!$N:$N,"&gt;=01.05.2018",'Отчет РПЗ(ПЗ)_ПЗИП'!$N:$N,"&lt;=31.05.2018",'Отчет РПЗ(ПЗ)_ПЗИП'!$AG:$AG,"&gt;0")</f>
        <v>0</v>
      </c>
      <c r="AG69" s="299">
        <f>SUMIFS('Отчет РПЗ(ПЗ)_ПЗИП'!$AG:$AG,'Отчет РПЗ(ПЗ)_ПЗИП'!$D:$D,Справочно!$E34,'Отчет РПЗ(ПЗ)_ПЗИП'!$AR:$AR,5)</f>
        <v>0</v>
      </c>
      <c r="AH69" s="299" t="str">
        <f t="shared" si="51"/>
        <v>НД</v>
      </c>
      <c r="AI69" s="232" t="str">
        <f t="shared" si="27"/>
        <v>НД</v>
      </c>
      <c r="AJ69" s="398">
        <f>SUMIFS('Отчет РПЗ(ПЗ)_ПЗИП'!$W:$W,'Отчет РПЗ(ПЗ)_ПЗИП'!$D:$D,Справочно!$E34,'Отчет РПЗ(ПЗ)_ПЗИП'!$N:$N,"&gt;=01.06.2018",'Отчет РПЗ(ПЗ)_ПЗИП'!$N:$N,"&lt;=30.06.2018",'Отчет РПЗ(ПЗ)_ПЗИП'!$AG:$AG,"&gt;0")</f>
        <v>0</v>
      </c>
      <c r="AK69" s="299">
        <f>SUMIFS('Отчет РПЗ(ПЗ)_ПЗИП'!$AG:$AG,'Отчет РПЗ(ПЗ)_ПЗИП'!$D:$D,Справочно!$E34,'Отчет РПЗ(ПЗ)_ПЗИП'!$AR:$AR,6)</f>
        <v>0</v>
      </c>
      <c r="AL69" s="299" t="str">
        <f t="shared" si="52"/>
        <v>НД</v>
      </c>
      <c r="AM69" s="232" t="str">
        <f t="shared" si="28"/>
        <v>НД</v>
      </c>
      <c r="AN69" s="393">
        <f t="shared" si="53"/>
        <v>0</v>
      </c>
      <c r="AO69" s="300">
        <f t="shared" si="54"/>
        <v>0</v>
      </c>
      <c r="AP69" s="300">
        <f t="shared" si="29"/>
        <v>0</v>
      </c>
      <c r="AQ69" s="234">
        <f t="shared" si="30"/>
        <v>0</v>
      </c>
      <c r="AR69" s="399">
        <f>SUMIFS('Отчет РПЗ(ПЗ)_ПЗИП'!$W:$W,'Отчет РПЗ(ПЗ)_ПЗИП'!$D:$D,Справочно!$E34,'Отчет РПЗ(ПЗ)_ПЗИП'!$N:$N,"&gt;=01.07.2018",'Отчет РПЗ(ПЗ)_ПЗИП'!$N:$N,"&lt;=31.07.2018",'Отчет РПЗ(ПЗ)_ПЗИП'!$AG:$AG,"&gt;0")</f>
        <v>0</v>
      </c>
      <c r="AS69" s="301">
        <f>SUMIFS('Отчет РПЗ(ПЗ)_ПЗИП'!$AG:$AG,'Отчет РПЗ(ПЗ)_ПЗИП'!$D:$D,Справочно!$E34,'Отчет РПЗ(ПЗ)_ПЗИП'!$AR:$AR,7)</f>
        <v>0</v>
      </c>
      <c r="AT69" s="341" t="str">
        <f t="shared" si="55"/>
        <v>НД</v>
      </c>
      <c r="AU69" s="236" t="str">
        <f t="shared" si="31"/>
        <v>НД</v>
      </c>
      <c r="AV69" s="394">
        <f>SUMIFS('Отчет РПЗ(ПЗ)_ПЗИП'!$W:$W,'Отчет РПЗ(ПЗ)_ПЗИП'!$D:$D,Справочно!$E34,'Отчет РПЗ(ПЗ)_ПЗИП'!$N:$N,"&gt;=01.08.2018",'Отчет РПЗ(ПЗ)_ПЗИП'!$N:$N,"&lt;=31.08.2018",'Отчет РПЗ(ПЗ)_ПЗИП'!$AG:$AG,"&gt;0")</f>
        <v>0</v>
      </c>
      <c r="AW69" s="301">
        <f>SUMIFS('Отчет РПЗ(ПЗ)_ПЗИП'!$AG:$AG,'Отчет РПЗ(ПЗ)_ПЗИП'!$D:$D,Справочно!$E34,'Отчет РПЗ(ПЗ)_ПЗИП'!$AR:$AR,8)</f>
        <v>0</v>
      </c>
      <c r="AX69" s="341" t="str">
        <f t="shared" si="56"/>
        <v>НД</v>
      </c>
      <c r="AY69" s="236" t="str">
        <f t="shared" si="32"/>
        <v>НД</v>
      </c>
      <c r="AZ69" s="394">
        <f>SUMIFS('Отчет РПЗ(ПЗ)_ПЗИП'!$W:$W,'Отчет РПЗ(ПЗ)_ПЗИП'!$D:$D,Справочно!$E34,'Отчет РПЗ(ПЗ)_ПЗИП'!$N:$N,"&gt;=01.09.2018",'Отчет РПЗ(ПЗ)_ПЗИП'!$N:$N,"&lt;=30.09.2018",'Отчет РПЗ(ПЗ)_ПЗИП'!$AG:$AG,"&gt;0")</f>
        <v>0</v>
      </c>
      <c r="BA69" s="301">
        <f>SUMIFS('Отчет РПЗ(ПЗ)_ПЗИП'!$AG:$AG,'Отчет РПЗ(ПЗ)_ПЗИП'!$D:$D,Справочно!$E34,'Отчет РПЗ(ПЗ)_ПЗИП'!$AR:$AR,9)</f>
        <v>0</v>
      </c>
      <c r="BB69" s="341" t="str">
        <f t="shared" si="57"/>
        <v>НД</v>
      </c>
      <c r="BC69" s="236" t="str">
        <f t="shared" si="33"/>
        <v>НД</v>
      </c>
      <c r="BD69" s="393">
        <f t="shared" si="58"/>
        <v>0</v>
      </c>
      <c r="BE69" s="302">
        <f t="shared" si="59"/>
        <v>0</v>
      </c>
      <c r="BF69" s="302">
        <f t="shared" si="34"/>
        <v>0</v>
      </c>
      <c r="BG69" s="238">
        <f t="shared" si="35"/>
        <v>0</v>
      </c>
      <c r="BH69" s="383">
        <f>SUMIFS('Отчет РПЗ(ПЗ)_ПЗИП'!$W:$W,'Отчет РПЗ(ПЗ)_ПЗИП'!$D:$D,Справочно!$E34,'Отчет РПЗ(ПЗ)_ПЗИП'!$N:$N,"&gt;=01.10.2018",'Отчет РПЗ(ПЗ)_ПЗИП'!$N:$N,"&lt;=31.10.2018",'Отчет РПЗ(ПЗ)_ПЗИП'!$AG:$AG,"&gt;0")</f>
        <v>0</v>
      </c>
      <c r="BI69" s="303">
        <f>SUMIFS('Отчет РПЗ(ПЗ)_ПЗИП'!$AG:$AG,'Отчет РПЗ(ПЗ)_ПЗИП'!$D:$D,Справочно!$E34,'Отчет РПЗ(ПЗ)_ПЗИП'!$AR:$AR,10)</f>
        <v>0</v>
      </c>
      <c r="BJ69" s="343" t="str">
        <f t="shared" si="60"/>
        <v>НД</v>
      </c>
      <c r="BK69" s="240" t="str">
        <f t="shared" si="36"/>
        <v>НД</v>
      </c>
      <c r="BL69" s="398">
        <f>SUMIFS('Отчет РПЗ(ПЗ)_ПЗИП'!$W:$W,'Отчет РПЗ(ПЗ)_ПЗИП'!$D:$D,Справочно!$E34,'Отчет РПЗ(ПЗ)_ПЗИП'!$N:$N,"&gt;=01.11.2018",'Отчет РПЗ(ПЗ)_ПЗИП'!$N:$N,"&lt;=30.11.2018",'Отчет РПЗ(ПЗ)_ПЗИП'!$AG:$AG,"&gt;0")</f>
        <v>0</v>
      </c>
      <c r="BM69" s="303">
        <f>SUMIFS('Отчет РПЗ(ПЗ)_ПЗИП'!$AG:$AG,'Отчет РПЗ(ПЗ)_ПЗИП'!$D:$D,Справочно!$E34,'Отчет РПЗ(ПЗ)_ПЗИП'!$AR:$AR,11)</f>
        <v>0</v>
      </c>
      <c r="BN69" s="343" t="str">
        <f t="shared" si="61"/>
        <v>НД</v>
      </c>
      <c r="BO69" s="240" t="str">
        <f t="shared" si="37"/>
        <v>НД</v>
      </c>
      <c r="BP69" s="398">
        <f>SUMIFS('Отчет РПЗ(ПЗ)_ПЗИП'!$W:$W,'Отчет РПЗ(ПЗ)_ПЗИП'!$D:$D,Справочно!$E34,'Отчет РПЗ(ПЗ)_ПЗИП'!$N:$N,"&gt;=01.12.2018",'Отчет РПЗ(ПЗ)_ПЗИП'!$N:$N,"&lt;=31.12.2018",'Отчет РПЗ(ПЗ)_ПЗИП'!$AG:$AG,"&gt;0")</f>
        <v>0</v>
      </c>
      <c r="BQ69" s="303">
        <f>SUMIFS('Отчет РПЗ(ПЗ)_ПЗИП'!$AG:$AG,'Отчет РПЗ(ПЗ)_ПЗИП'!$D:$D,Справочно!$E34,'Отчет РПЗ(ПЗ)_ПЗИП'!$AR:$AR,12)</f>
        <v>0</v>
      </c>
      <c r="BR69" s="343" t="str">
        <f t="shared" si="62"/>
        <v>НД</v>
      </c>
      <c r="BS69" s="242" t="str">
        <f t="shared" si="38"/>
        <v>НД</v>
      </c>
      <c r="BT69" s="393">
        <f t="shared" si="63"/>
        <v>0</v>
      </c>
      <c r="BU69" s="304">
        <f t="shared" si="64"/>
        <v>0</v>
      </c>
      <c r="BV69" s="304">
        <f t="shared" si="39"/>
        <v>0</v>
      </c>
      <c r="BW69" s="243">
        <f t="shared" si="40"/>
        <v>0</v>
      </c>
    </row>
    <row r="70" spans="2:75" ht="13.5" thickBot="1" x14ac:dyDescent="0.25">
      <c r="B70" s="58" t="str">
        <f>Справочно!E35</f>
        <v>АО "НПК "Технологии машиностроения"</v>
      </c>
      <c r="C70" s="95">
        <f>ПП!B58</f>
        <v>0</v>
      </c>
      <c r="D70" s="381" t="e">
        <f>ПП!C58</f>
        <v>#DIV/0!</v>
      </c>
      <c r="E70" s="406">
        <f>ПП!D58</f>
        <v>0</v>
      </c>
      <c r="F70" s="272">
        <f>COUNTIFS('Отчет РПЗ(ПЗ)_ПЗИП'!$AG:$AG,"&gt;0",'Отчет РПЗ(ПЗ)_ПЗИП'!$D:$D,Справочно!$E35)</f>
        <v>0</v>
      </c>
      <c r="G70" s="407" t="e">
        <f t="shared" si="41"/>
        <v>#DIV/0!</v>
      </c>
      <c r="H70" s="408">
        <f>SUMIF('Отчет РПЗ(ПЗ)_ПЗИП'!$D:$D,Справочно!$E35,'Отчет РПЗ(ПЗ)_ПЗИП'!$AG:$AG)</f>
        <v>0</v>
      </c>
      <c r="I70" s="428">
        <f t="shared" si="65"/>
        <v>0</v>
      </c>
      <c r="J70" s="478" t="e">
        <f t="shared" si="42"/>
        <v>#DIV/0!</v>
      </c>
      <c r="L70" s="399">
        <f>SUMIFS('Отчет РПЗ(ПЗ)_ПЗИП'!$W:$W,'Отчет РПЗ(ПЗ)_ПЗИП'!$D:$D,Справочно!$E35,'Отчет РПЗ(ПЗ)_ПЗИП'!$N:$N,"&gt;=01.01.2018",'Отчет РПЗ(ПЗ)_ПЗИП'!$N:$N,"&lt;=31.01.2018",'Отчет РПЗ(ПЗ)_ПЗИП'!$AG:$AG,"&gt;0")</f>
        <v>0</v>
      </c>
      <c r="M70" s="297">
        <f>SUMIFS('Отчет РПЗ(ПЗ)_ПЗИП'!$AG:$AG,'Отчет РПЗ(ПЗ)_ПЗИП'!$D:$D,Справочно!$E35,'Отчет РПЗ(ПЗ)_ПЗИП'!$AR:$AR,1)</f>
        <v>0</v>
      </c>
      <c r="N70" s="305" t="str">
        <f t="shared" si="43"/>
        <v>НД</v>
      </c>
      <c r="O70" s="231" t="str">
        <f t="shared" si="44"/>
        <v>НД</v>
      </c>
      <c r="P70" s="394">
        <f>SUMIFS('Отчет РПЗ(ПЗ)_ПЗИП'!$W:$W,'Отчет РПЗ(ПЗ)_ПЗИП'!$D:$D,Справочно!$E35,'Отчет РПЗ(ПЗ)_ПЗИП'!$N:$N,"&gt;=01.02.2018",'Отчет РПЗ(ПЗ)_ПЗИП'!$N:$N,"&lt;=28.02.2018",'Отчет РПЗ(ПЗ)_ПЗИП'!$AG:$AG,"&gt;0")</f>
        <v>0</v>
      </c>
      <c r="Q70" s="297">
        <f>SUMIFS('Отчет РПЗ(ПЗ)_ПЗИП'!$AG:$AG,'Отчет РПЗ(ПЗ)_ПЗИП'!$D:$D,Справочно!$E35,'Отчет РПЗ(ПЗ)_ПЗИП'!$AR:$AR,2)</f>
        <v>0</v>
      </c>
      <c r="R70" s="305" t="str">
        <f t="shared" si="45"/>
        <v>НД</v>
      </c>
      <c r="S70" s="231" t="str">
        <f t="shared" si="46"/>
        <v>НД</v>
      </c>
      <c r="T70" s="394">
        <f>SUMIFS('Отчет РПЗ(ПЗ)_ПЗИП'!$W:$W,'Отчет РПЗ(ПЗ)_ПЗИП'!$D:$D,Справочно!$E35,'Отчет РПЗ(ПЗ)_ПЗИП'!$N:$N,"&gt;=01.03.2018",'Отчет РПЗ(ПЗ)_ПЗИП'!$N:$N,"&lt;=31.03.2018",'Отчет РПЗ(ПЗ)_ПЗИП'!$AG:$AG,"&gt;0")</f>
        <v>0</v>
      </c>
      <c r="U70" s="297">
        <f>SUMIFS('Отчет РПЗ(ПЗ)_ПЗИП'!$AG:$AG,'Отчет РПЗ(ПЗ)_ПЗИП'!$D:$D,Справочно!$E35,'Отчет РПЗ(ПЗ)_ПЗИП'!$AR:$AR,3)</f>
        <v>0</v>
      </c>
      <c r="V70" s="305" t="str">
        <f t="shared" si="47"/>
        <v>НД</v>
      </c>
      <c r="W70" s="231" t="str">
        <f t="shared" si="23"/>
        <v>НД</v>
      </c>
      <c r="X70" s="393">
        <f t="shared" si="48"/>
        <v>0</v>
      </c>
      <c r="Y70" s="298">
        <f t="shared" si="49"/>
        <v>0</v>
      </c>
      <c r="Z70" s="298">
        <f t="shared" si="24"/>
        <v>0</v>
      </c>
      <c r="AA70" s="233">
        <f t="shared" si="25"/>
        <v>0</v>
      </c>
      <c r="AB70" s="399">
        <f>SUMIFS('Отчет РПЗ(ПЗ)_ПЗИП'!$W:$W,'Отчет РПЗ(ПЗ)_ПЗИП'!$D:$D,Справочно!$E35,'Отчет РПЗ(ПЗ)_ПЗИП'!$N:$N,"&gt;=01.04.2018",'Отчет РПЗ(ПЗ)_ПЗИП'!$N:$N,"&lt;=30.04.2018",'Отчет РПЗ(ПЗ)_ПЗИП'!$AG:$AG,"&gt;0")</f>
        <v>0</v>
      </c>
      <c r="AC70" s="299">
        <f>SUMIFS('Отчет РПЗ(ПЗ)_ПЗИП'!$AG:$AG,'Отчет РПЗ(ПЗ)_ПЗИП'!$D:$D,Справочно!$E35,'Отчет РПЗ(ПЗ)_ПЗИП'!$AR:$AR,4)</f>
        <v>0</v>
      </c>
      <c r="AD70" s="299" t="str">
        <f t="shared" si="50"/>
        <v>НД</v>
      </c>
      <c r="AE70" s="232" t="str">
        <f t="shared" si="26"/>
        <v>НД</v>
      </c>
      <c r="AF70" s="398">
        <f>SUMIFS('Отчет РПЗ(ПЗ)_ПЗИП'!$W:$W,'Отчет РПЗ(ПЗ)_ПЗИП'!$D:$D,Справочно!$E35,'Отчет РПЗ(ПЗ)_ПЗИП'!$N:$N,"&gt;=01.05.2018",'Отчет РПЗ(ПЗ)_ПЗИП'!$N:$N,"&lt;=31.05.2018",'Отчет РПЗ(ПЗ)_ПЗИП'!$AG:$AG,"&gt;0")</f>
        <v>0</v>
      </c>
      <c r="AG70" s="299">
        <f>SUMIFS('Отчет РПЗ(ПЗ)_ПЗИП'!$AG:$AG,'Отчет РПЗ(ПЗ)_ПЗИП'!$D:$D,Справочно!$E35,'Отчет РПЗ(ПЗ)_ПЗИП'!$AR:$AR,5)</f>
        <v>0</v>
      </c>
      <c r="AH70" s="299" t="str">
        <f t="shared" si="51"/>
        <v>НД</v>
      </c>
      <c r="AI70" s="232" t="str">
        <f t="shared" si="27"/>
        <v>НД</v>
      </c>
      <c r="AJ70" s="398">
        <f>SUMIFS('Отчет РПЗ(ПЗ)_ПЗИП'!$W:$W,'Отчет РПЗ(ПЗ)_ПЗИП'!$D:$D,Справочно!$E35,'Отчет РПЗ(ПЗ)_ПЗИП'!$N:$N,"&gt;=01.06.2018",'Отчет РПЗ(ПЗ)_ПЗИП'!$N:$N,"&lt;=30.06.2018",'Отчет РПЗ(ПЗ)_ПЗИП'!$AG:$AG,"&gt;0")</f>
        <v>0</v>
      </c>
      <c r="AK70" s="299">
        <f>SUMIFS('Отчет РПЗ(ПЗ)_ПЗИП'!$AG:$AG,'Отчет РПЗ(ПЗ)_ПЗИП'!$D:$D,Справочно!$E35,'Отчет РПЗ(ПЗ)_ПЗИП'!$AR:$AR,6)</f>
        <v>0</v>
      </c>
      <c r="AL70" s="299" t="str">
        <f t="shared" si="52"/>
        <v>НД</v>
      </c>
      <c r="AM70" s="232" t="str">
        <f t="shared" si="28"/>
        <v>НД</v>
      </c>
      <c r="AN70" s="393">
        <f t="shared" si="53"/>
        <v>0</v>
      </c>
      <c r="AO70" s="300">
        <f t="shared" si="54"/>
        <v>0</v>
      </c>
      <c r="AP70" s="300">
        <f t="shared" si="29"/>
        <v>0</v>
      </c>
      <c r="AQ70" s="234">
        <f t="shared" si="30"/>
        <v>0</v>
      </c>
      <c r="AR70" s="399">
        <f>SUMIFS('Отчет РПЗ(ПЗ)_ПЗИП'!$W:$W,'Отчет РПЗ(ПЗ)_ПЗИП'!$D:$D,Справочно!$E35,'Отчет РПЗ(ПЗ)_ПЗИП'!$N:$N,"&gt;=01.07.2018",'Отчет РПЗ(ПЗ)_ПЗИП'!$N:$N,"&lt;=31.07.2018",'Отчет РПЗ(ПЗ)_ПЗИП'!$AG:$AG,"&gt;0")</f>
        <v>0</v>
      </c>
      <c r="AS70" s="301">
        <f>SUMIFS('Отчет РПЗ(ПЗ)_ПЗИП'!$AG:$AG,'Отчет РПЗ(ПЗ)_ПЗИП'!$D:$D,Справочно!$E35,'Отчет РПЗ(ПЗ)_ПЗИП'!$AR:$AR,7)</f>
        <v>0</v>
      </c>
      <c r="AT70" s="341" t="str">
        <f t="shared" si="55"/>
        <v>НД</v>
      </c>
      <c r="AU70" s="236" t="str">
        <f t="shared" si="31"/>
        <v>НД</v>
      </c>
      <c r="AV70" s="394">
        <f>SUMIFS('Отчет РПЗ(ПЗ)_ПЗИП'!$W:$W,'Отчет РПЗ(ПЗ)_ПЗИП'!$D:$D,Справочно!$E35,'Отчет РПЗ(ПЗ)_ПЗИП'!$N:$N,"&gt;=01.08.2018",'Отчет РПЗ(ПЗ)_ПЗИП'!$N:$N,"&lt;=31.08.2018",'Отчет РПЗ(ПЗ)_ПЗИП'!$AG:$AG,"&gt;0")</f>
        <v>0</v>
      </c>
      <c r="AW70" s="301">
        <f>SUMIFS('Отчет РПЗ(ПЗ)_ПЗИП'!$AG:$AG,'Отчет РПЗ(ПЗ)_ПЗИП'!$D:$D,Справочно!$E35,'Отчет РПЗ(ПЗ)_ПЗИП'!$AR:$AR,8)</f>
        <v>0</v>
      </c>
      <c r="AX70" s="341" t="str">
        <f t="shared" si="56"/>
        <v>НД</v>
      </c>
      <c r="AY70" s="236" t="str">
        <f t="shared" si="32"/>
        <v>НД</v>
      </c>
      <c r="AZ70" s="394">
        <f>SUMIFS('Отчет РПЗ(ПЗ)_ПЗИП'!$W:$W,'Отчет РПЗ(ПЗ)_ПЗИП'!$D:$D,Справочно!$E35,'Отчет РПЗ(ПЗ)_ПЗИП'!$N:$N,"&gt;=01.09.2018",'Отчет РПЗ(ПЗ)_ПЗИП'!$N:$N,"&lt;=30.09.2018",'Отчет РПЗ(ПЗ)_ПЗИП'!$AG:$AG,"&gt;0")</f>
        <v>0</v>
      </c>
      <c r="BA70" s="301">
        <f>SUMIFS('Отчет РПЗ(ПЗ)_ПЗИП'!$AG:$AG,'Отчет РПЗ(ПЗ)_ПЗИП'!$D:$D,Справочно!$E35,'Отчет РПЗ(ПЗ)_ПЗИП'!$AR:$AR,9)</f>
        <v>0</v>
      </c>
      <c r="BB70" s="341" t="str">
        <f t="shared" si="57"/>
        <v>НД</v>
      </c>
      <c r="BC70" s="236" t="str">
        <f t="shared" si="33"/>
        <v>НД</v>
      </c>
      <c r="BD70" s="393">
        <f t="shared" si="58"/>
        <v>0</v>
      </c>
      <c r="BE70" s="302">
        <f t="shared" si="59"/>
        <v>0</v>
      </c>
      <c r="BF70" s="302">
        <f t="shared" si="34"/>
        <v>0</v>
      </c>
      <c r="BG70" s="238">
        <f t="shared" si="35"/>
        <v>0</v>
      </c>
      <c r="BH70" s="383">
        <f>SUMIFS('Отчет РПЗ(ПЗ)_ПЗИП'!$W:$W,'Отчет РПЗ(ПЗ)_ПЗИП'!$D:$D,Справочно!$E35,'Отчет РПЗ(ПЗ)_ПЗИП'!$N:$N,"&gt;=01.10.2018",'Отчет РПЗ(ПЗ)_ПЗИП'!$N:$N,"&lt;=31.10.2018",'Отчет РПЗ(ПЗ)_ПЗИП'!$AG:$AG,"&gt;0")</f>
        <v>0</v>
      </c>
      <c r="BI70" s="303">
        <f>SUMIFS('Отчет РПЗ(ПЗ)_ПЗИП'!$AG:$AG,'Отчет РПЗ(ПЗ)_ПЗИП'!$D:$D,Справочно!$E35,'Отчет РПЗ(ПЗ)_ПЗИП'!$AR:$AR,10)</f>
        <v>0</v>
      </c>
      <c r="BJ70" s="343" t="str">
        <f t="shared" si="60"/>
        <v>НД</v>
      </c>
      <c r="BK70" s="240" t="str">
        <f t="shared" si="36"/>
        <v>НД</v>
      </c>
      <c r="BL70" s="398">
        <f>SUMIFS('Отчет РПЗ(ПЗ)_ПЗИП'!$W:$W,'Отчет РПЗ(ПЗ)_ПЗИП'!$D:$D,Справочно!$E35,'Отчет РПЗ(ПЗ)_ПЗИП'!$N:$N,"&gt;=01.11.2018",'Отчет РПЗ(ПЗ)_ПЗИП'!$N:$N,"&lt;=30.11.2018",'Отчет РПЗ(ПЗ)_ПЗИП'!$AG:$AG,"&gt;0")</f>
        <v>0</v>
      </c>
      <c r="BM70" s="303">
        <f>SUMIFS('Отчет РПЗ(ПЗ)_ПЗИП'!$AG:$AG,'Отчет РПЗ(ПЗ)_ПЗИП'!$D:$D,Справочно!$E35,'Отчет РПЗ(ПЗ)_ПЗИП'!$AR:$AR,11)</f>
        <v>0</v>
      </c>
      <c r="BN70" s="343" t="str">
        <f t="shared" si="61"/>
        <v>НД</v>
      </c>
      <c r="BO70" s="240" t="str">
        <f t="shared" si="37"/>
        <v>НД</v>
      </c>
      <c r="BP70" s="398">
        <f>SUMIFS('Отчет РПЗ(ПЗ)_ПЗИП'!$W:$W,'Отчет РПЗ(ПЗ)_ПЗИП'!$D:$D,Справочно!$E35,'Отчет РПЗ(ПЗ)_ПЗИП'!$N:$N,"&gt;=01.12.2018",'Отчет РПЗ(ПЗ)_ПЗИП'!$N:$N,"&lt;=31.12.2018",'Отчет РПЗ(ПЗ)_ПЗИП'!$AG:$AG,"&gt;0")</f>
        <v>0</v>
      </c>
      <c r="BQ70" s="303">
        <f>SUMIFS('Отчет РПЗ(ПЗ)_ПЗИП'!$AG:$AG,'Отчет РПЗ(ПЗ)_ПЗИП'!$D:$D,Справочно!$E35,'Отчет РПЗ(ПЗ)_ПЗИП'!$AR:$AR,12)</f>
        <v>0</v>
      </c>
      <c r="BR70" s="343" t="str">
        <f t="shared" si="62"/>
        <v>НД</v>
      </c>
      <c r="BS70" s="242" t="str">
        <f t="shared" si="38"/>
        <v>НД</v>
      </c>
      <c r="BT70" s="393">
        <f t="shared" si="63"/>
        <v>0</v>
      </c>
      <c r="BU70" s="304">
        <f t="shared" si="64"/>
        <v>0</v>
      </c>
      <c r="BV70" s="304">
        <f t="shared" si="39"/>
        <v>0</v>
      </c>
      <c r="BW70" s="243">
        <f t="shared" si="40"/>
        <v>0</v>
      </c>
    </row>
    <row r="71" spans="2:75" ht="12.75" customHeight="1" thickBot="1" x14ac:dyDescent="0.25">
      <c r="B71" s="58" t="str">
        <f>Справочно!E36</f>
        <v>АО "НПО "Высокоточные комплексы"</v>
      </c>
      <c r="C71" s="95">
        <f>ПП!B59</f>
        <v>0</v>
      </c>
      <c r="D71" s="381" t="e">
        <f>ПП!C59</f>
        <v>#DIV/0!</v>
      </c>
      <c r="E71" s="406">
        <f>ПП!D59</f>
        <v>0</v>
      </c>
      <c r="F71" s="272">
        <f>COUNTIFS('Отчет РПЗ(ПЗ)_ПЗИП'!$AG:$AG,"&gt;0",'Отчет РПЗ(ПЗ)_ПЗИП'!$D:$D,Справочно!$E36)</f>
        <v>0</v>
      </c>
      <c r="G71" s="407" t="e">
        <f t="shared" si="41"/>
        <v>#DIV/0!</v>
      </c>
      <c r="H71" s="408">
        <f>SUMIF('Отчет РПЗ(ПЗ)_ПЗИП'!$D:$D,Справочно!$E36,'Отчет РПЗ(ПЗ)_ПЗИП'!$AG:$AG)</f>
        <v>0</v>
      </c>
      <c r="I71" s="428">
        <f t="shared" si="65"/>
        <v>0</v>
      </c>
      <c r="J71" s="478" t="e">
        <f t="shared" si="42"/>
        <v>#DIV/0!</v>
      </c>
      <c r="L71" s="399">
        <f>SUMIFS('Отчет РПЗ(ПЗ)_ПЗИП'!$W:$W,'Отчет РПЗ(ПЗ)_ПЗИП'!$D:$D,Справочно!$E36,'Отчет РПЗ(ПЗ)_ПЗИП'!$N:$N,"&gt;=01.01.2018",'Отчет РПЗ(ПЗ)_ПЗИП'!$N:$N,"&lt;=31.01.2018",'Отчет РПЗ(ПЗ)_ПЗИП'!$AG:$AG,"&gt;0")</f>
        <v>0</v>
      </c>
      <c r="M71" s="297">
        <f>SUMIFS('Отчет РПЗ(ПЗ)_ПЗИП'!$AG:$AG,'Отчет РПЗ(ПЗ)_ПЗИП'!$D:$D,Справочно!$E36,'Отчет РПЗ(ПЗ)_ПЗИП'!$AR:$AR,1)</f>
        <v>0</v>
      </c>
      <c r="N71" s="305" t="str">
        <f t="shared" si="43"/>
        <v>НД</v>
      </c>
      <c r="O71" s="231" t="str">
        <f t="shared" si="44"/>
        <v>НД</v>
      </c>
      <c r="P71" s="394">
        <f>SUMIFS('Отчет РПЗ(ПЗ)_ПЗИП'!$W:$W,'Отчет РПЗ(ПЗ)_ПЗИП'!$D:$D,Справочно!$E36,'Отчет РПЗ(ПЗ)_ПЗИП'!$N:$N,"&gt;=01.02.2018",'Отчет РПЗ(ПЗ)_ПЗИП'!$N:$N,"&lt;=28.02.2018",'Отчет РПЗ(ПЗ)_ПЗИП'!$AG:$AG,"&gt;0")</f>
        <v>0</v>
      </c>
      <c r="Q71" s="297">
        <f>SUMIFS('Отчет РПЗ(ПЗ)_ПЗИП'!$AG:$AG,'Отчет РПЗ(ПЗ)_ПЗИП'!$D:$D,Справочно!$E36,'Отчет РПЗ(ПЗ)_ПЗИП'!$AR:$AR,2)</f>
        <v>0</v>
      </c>
      <c r="R71" s="305" t="str">
        <f t="shared" si="45"/>
        <v>НД</v>
      </c>
      <c r="S71" s="231" t="str">
        <f t="shared" si="46"/>
        <v>НД</v>
      </c>
      <c r="T71" s="394">
        <f>SUMIFS('Отчет РПЗ(ПЗ)_ПЗИП'!$W:$W,'Отчет РПЗ(ПЗ)_ПЗИП'!$D:$D,Справочно!$E36,'Отчет РПЗ(ПЗ)_ПЗИП'!$N:$N,"&gt;=01.03.2018",'Отчет РПЗ(ПЗ)_ПЗИП'!$N:$N,"&lt;=31.03.2018",'Отчет РПЗ(ПЗ)_ПЗИП'!$AG:$AG,"&gt;0")</f>
        <v>0</v>
      </c>
      <c r="U71" s="297">
        <f>SUMIFS('Отчет РПЗ(ПЗ)_ПЗИП'!$AG:$AG,'Отчет РПЗ(ПЗ)_ПЗИП'!$D:$D,Справочно!$E36,'Отчет РПЗ(ПЗ)_ПЗИП'!$AR:$AR,3)</f>
        <v>0</v>
      </c>
      <c r="V71" s="305" t="str">
        <f t="shared" si="47"/>
        <v>НД</v>
      </c>
      <c r="W71" s="231" t="str">
        <f t="shared" si="23"/>
        <v>НД</v>
      </c>
      <c r="X71" s="393">
        <f t="shared" si="48"/>
        <v>0</v>
      </c>
      <c r="Y71" s="298">
        <f t="shared" si="49"/>
        <v>0</v>
      </c>
      <c r="Z71" s="298">
        <f t="shared" si="24"/>
        <v>0</v>
      </c>
      <c r="AA71" s="233">
        <f t="shared" si="25"/>
        <v>0</v>
      </c>
      <c r="AB71" s="399">
        <f>SUMIFS('Отчет РПЗ(ПЗ)_ПЗИП'!$W:$W,'Отчет РПЗ(ПЗ)_ПЗИП'!$D:$D,Справочно!$E36,'Отчет РПЗ(ПЗ)_ПЗИП'!$N:$N,"&gt;=01.04.2018",'Отчет РПЗ(ПЗ)_ПЗИП'!$N:$N,"&lt;=30.04.2018",'Отчет РПЗ(ПЗ)_ПЗИП'!$AG:$AG,"&gt;0")</f>
        <v>0</v>
      </c>
      <c r="AC71" s="299">
        <f>SUMIFS('Отчет РПЗ(ПЗ)_ПЗИП'!$AG:$AG,'Отчет РПЗ(ПЗ)_ПЗИП'!$D:$D,Справочно!$E36,'Отчет РПЗ(ПЗ)_ПЗИП'!$AR:$AR,4)</f>
        <v>0</v>
      </c>
      <c r="AD71" s="299" t="str">
        <f t="shared" si="50"/>
        <v>НД</v>
      </c>
      <c r="AE71" s="232" t="str">
        <f t="shared" si="26"/>
        <v>НД</v>
      </c>
      <c r="AF71" s="398">
        <f>SUMIFS('Отчет РПЗ(ПЗ)_ПЗИП'!$W:$W,'Отчет РПЗ(ПЗ)_ПЗИП'!$D:$D,Справочно!$E36,'Отчет РПЗ(ПЗ)_ПЗИП'!$N:$N,"&gt;=01.05.2018",'Отчет РПЗ(ПЗ)_ПЗИП'!$N:$N,"&lt;=31.05.2018",'Отчет РПЗ(ПЗ)_ПЗИП'!$AG:$AG,"&gt;0")</f>
        <v>0</v>
      </c>
      <c r="AG71" s="299">
        <f>SUMIFS('Отчет РПЗ(ПЗ)_ПЗИП'!$AG:$AG,'Отчет РПЗ(ПЗ)_ПЗИП'!$D:$D,Справочно!$E36,'Отчет РПЗ(ПЗ)_ПЗИП'!$AR:$AR,5)</f>
        <v>0</v>
      </c>
      <c r="AH71" s="299" t="str">
        <f t="shared" si="51"/>
        <v>НД</v>
      </c>
      <c r="AI71" s="232" t="str">
        <f t="shared" si="27"/>
        <v>НД</v>
      </c>
      <c r="AJ71" s="398">
        <f>SUMIFS('Отчет РПЗ(ПЗ)_ПЗИП'!$W:$W,'Отчет РПЗ(ПЗ)_ПЗИП'!$D:$D,Справочно!$E36,'Отчет РПЗ(ПЗ)_ПЗИП'!$N:$N,"&gt;=01.06.2018",'Отчет РПЗ(ПЗ)_ПЗИП'!$N:$N,"&lt;=30.06.2018",'Отчет РПЗ(ПЗ)_ПЗИП'!$AG:$AG,"&gt;0")</f>
        <v>0</v>
      </c>
      <c r="AK71" s="299">
        <f>SUMIFS('Отчет РПЗ(ПЗ)_ПЗИП'!$AG:$AG,'Отчет РПЗ(ПЗ)_ПЗИП'!$D:$D,Справочно!$E36,'Отчет РПЗ(ПЗ)_ПЗИП'!$AR:$AR,6)</f>
        <v>0</v>
      </c>
      <c r="AL71" s="299" t="str">
        <f t="shared" si="52"/>
        <v>НД</v>
      </c>
      <c r="AM71" s="232" t="str">
        <f t="shared" si="28"/>
        <v>НД</v>
      </c>
      <c r="AN71" s="393">
        <f t="shared" si="53"/>
        <v>0</v>
      </c>
      <c r="AO71" s="300">
        <f t="shared" si="54"/>
        <v>0</v>
      </c>
      <c r="AP71" s="300">
        <f t="shared" si="29"/>
        <v>0</v>
      </c>
      <c r="AQ71" s="234">
        <f t="shared" si="30"/>
        <v>0</v>
      </c>
      <c r="AR71" s="399">
        <f>SUMIFS('Отчет РПЗ(ПЗ)_ПЗИП'!$W:$W,'Отчет РПЗ(ПЗ)_ПЗИП'!$D:$D,Справочно!$E36,'Отчет РПЗ(ПЗ)_ПЗИП'!$N:$N,"&gt;=01.07.2018",'Отчет РПЗ(ПЗ)_ПЗИП'!$N:$N,"&lt;=31.07.2018",'Отчет РПЗ(ПЗ)_ПЗИП'!$AG:$AG,"&gt;0")</f>
        <v>0</v>
      </c>
      <c r="AS71" s="301">
        <f>SUMIFS('Отчет РПЗ(ПЗ)_ПЗИП'!$AG:$AG,'Отчет РПЗ(ПЗ)_ПЗИП'!$D:$D,Справочно!$E36,'Отчет РПЗ(ПЗ)_ПЗИП'!$AR:$AR,7)</f>
        <v>0</v>
      </c>
      <c r="AT71" s="341" t="str">
        <f t="shared" si="55"/>
        <v>НД</v>
      </c>
      <c r="AU71" s="236" t="str">
        <f t="shared" si="31"/>
        <v>НД</v>
      </c>
      <c r="AV71" s="394">
        <f>SUMIFS('Отчет РПЗ(ПЗ)_ПЗИП'!$W:$W,'Отчет РПЗ(ПЗ)_ПЗИП'!$D:$D,Справочно!$E36,'Отчет РПЗ(ПЗ)_ПЗИП'!$N:$N,"&gt;=01.08.2018",'Отчет РПЗ(ПЗ)_ПЗИП'!$N:$N,"&lt;=31.08.2018",'Отчет РПЗ(ПЗ)_ПЗИП'!$AG:$AG,"&gt;0")</f>
        <v>0</v>
      </c>
      <c r="AW71" s="301">
        <f>SUMIFS('Отчет РПЗ(ПЗ)_ПЗИП'!$AG:$AG,'Отчет РПЗ(ПЗ)_ПЗИП'!$D:$D,Справочно!$E36,'Отчет РПЗ(ПЗ)_ПЗИП'!$AR:$AR,8)</f>
        <v>0</v>
      </c>
      <c r="AX71" s="341" t="str">
        <f t="shared" si="56"/>
        <v>НД</v>
      </c>
      <c r="AY71" s="236" t="str">
        <f t="shared" si="32"/>
        <v>НД</v>
      </c>
      <c r="AZ71" s="394">
        <f>SUMIFS('Отчет РПЗ(ПЗ)_ПЗИП'!$W:$W,'Отчет РПЗ(ПЗ)_ПЗИП'!$D:$D,Справочно!$E36,'Отчет РПЗ(ПЗ)_ПЗИП'!$N:$N,"&gt;=01.09.2018",'Отчет РПЗ(ПЗ)_ПЗИП'!$N:$N,"&lt;=30.09.2018",'Отчет РПЗ(ПЗ)_ПЗИП'!$AG:$AG,"&gt;0")</f>
        <v>0</v>
      </c>
      <c r="BA71" s="301">
        <f>SUMIFS('Отчет РПЗ(ПЗ)_ПЗИП'!$AG:$AG,'Отчет РПЗ(ПЗ)_ПЗИП'!$D:$D,Справочно!$E36,'Отчет РПЗ(ПЗ)_ПЗИП'!$AR:$AR,9)</f>
        <v>0</v>
      </c>
      <c r="BB71" s="341" t="str">
        <f t="shared" si="57"/>
        <v>НД</v>
      </c>
      <c r="BC71" s="236" t="str">
        <f t="shared" si="33"/>
        <v>НД</v>
      </c>
      <c r="BD71" s="393">
        <f t="shared" si="58"/>
        <v>0</v>
      </c>
      <c r="BE71" s="302">
        <f t="shared" si="59"/>
        <v>0</v>
      </c>
      <c r="BF71" s="302">
        <f t="shared" si="34"/>
        <v>0</v>
      </c>
      <c r="BG71" s="238">
        <f t="shared" si="35"/>
        <v>0</v>
      </c>
      <c r="BH71" s="383">
        <f>SUMIFS('Отчет РПЗ(ПЗ)_ПЗИП'!$W:$W,'Отчет РПЗ(ПЗ)_ПЗИП'!$D:$D,Справочно!$E36,'Отчет РПЗ(ПЗ)_ПЗИП'!$N:$N,"&gt;=01.10.2018",'Отчет РПЗ(ПЗ)_ПЗИП'!$N:$N,"&lt;=31.10.2018",'Отчет РПЗ(ПЗ)_ПЗИП'!$AG:$AG,"&gt;0")</f>
        <v>0</v>
      </c>
      <c r="BI71" s="303">
        <f>SUMIFS('Отчет РПЗ(ПЗ)_ПЗИП'!$AG:$AG,'Отчет РПЗ(ПЗ)_ПЗИП'!$D:$D,Справочно!$E36,'Отчет РПЗ(ПЗ)_ПЗИП'!$AR:$AR,10)</f>
        <v>0</v>
      </c>
      <c r="BJ71" s="343" t="str">
        <f t="shared" si="60"/>
        <v>НД</v>
      </c>
      <c r="BK71" s="240" t="str">
        <f t="shared" si="36"/>
        <v>НД</v>
      </c>
      <c r="BL71" s="398">
        <f>SUMIFS('Отчет РПЗ(ПЗ)_ПЗИП'!$W:$W,'Отчет РПЗ(ПЗ)_ПЗИП'!$D:$D,Справочно!$E36,'Отчет РПЗ(ПЗ)_ПЗИП'!$N:$N,"&gt;=01.11.2018",'Отчет РПЗ(ПЗ)_ПЗИП'!$N:$N,"&lt;=30.11.2018",'Отчет РПЗ(ПЗ)_ПЗИП'!$AG:$AG,"&gt;0")</f>
        <v>0</v>
      </c>
      <c r="BM71" s="303">
        <f>SUMIFS('Отчет РПЗ(ПЗ)_ПЗИП'!$AG:$AG,'Отчет РПЗ(ПЗ)_ПЗИП'!$D:$D,Справочно!$E36,'Отчет РПЗ(ПЗ)_ПЗИП'!$AR:$AR,11)</f>
        <v>0</v>
      </c>
      <c r="BN71" s="343" t="str">
        <f t="shared" si="61"/>
        <v>НД</v>
      </c>
      <c r="BO71" s="240" t="str">
        <f t="shared" si="37"/>
        <v>НД</v>
      </c>
      <c r="BP71" s="398">
        <f>SUMIFS('Отчет РПЗ(ПЗ)_ПЗИП'!$W:$W,'Отчет РПЗ(ПЗ)_ПЗИП'!$D:$D,Справочно!$E36,'Отчет РПЗ(ПЗ)_ПЗИП'!$N:$N,"&gt;=01.12.2018",'Отчет РПЗ(ПЗ)_ПЗИП'!$N:$N,"&lt;=31.12.2018",'Отчет РПЗ(ПЗ)_ПЗИП'!$AG:$AG,"&gt;0")</f>
        <v>0</v>
      </c>
      <c r="BQ71" s="303">
        <f>SUMIFS('Отчет РПЗ(ПЗ)_ПЗИП'!$AG:$AG,'Отчет РПЗ(ПЗ)_ПЗИП'!$D:$D,Справочно!$E36,'Отчет РПЗ(ПЗ)_ПЗИП'!$AR:$AR,12)</f>
        <v>0</v>
      </c>
      <c r="BR71" s="343" t="str">
        <f t="shared" si="62"/>
        <v>НД</v>
      </c>
      <c r="BS71" s="242" t="str">
        <f t="shared" si="38"/>
        <v>НД</v>
      </c>
      <c r="BT71" s="393">
        <f t="shared" si="63"/>
        <v>0</v>
      </c>
      <c r="BU71" s="304">
        <f t="shared" si="64"/>
        <v>0</v>
      </c>
      <c r="BV71" s="304">
        <f t="shared" si="39"/>
        <v>0</v>
      </c>
      <c r="BW71" s="243">
        <f t="shared" si="40"/>
        <v>0</v>
      </c>
    </row>
    <row r="72" spans="2:75" ht="13.5" thickBot="1" x14ac:dyDescent="0.25">
      <c r="B72" s="58" t="str">
        <f>Справочно!E37</f>
        <v>АО "Объединенная приборостроительная компания"</v>
      </c>
      <c r="C72" s="95">
        <f>ПП!B60</f>
        <v>0</v>
      </c>
      <c r="D72" s="381" t="e">
        <f>ПП!C60</f>
        <v>#DIV/0!</v>
      </c>
      <c r="E72" s="406">
        <f>ПП!D60</f>
        <v>0</v>
      </c>
      <c r="F72" s="272">
        <f>COUNTIFS('Отчет РПЗ(ПЗ)_ПЗИП'!$AG:$AG,"&gt;0",'Отчет РПЗ(ПЗ)_ПЗИП'!$D:$D,Справочно!$E37)</f>
        <v>0</v>
      </c>
      <c r="G72" s="407" t="e">
        <f t="shared" si="41"/>
        <v>#DIV/0!</v>
      </c>
      <c r="H72" s="408">
        <f>SUMIF('Отчет РПЗ(ПЗ)_ПЗИП'!$D:$D,Справочно!$E37,'Отчет РПЗ(ПЗ)_ПЗИП'!$AG:$AG)</f>
        <v>0</v>
      </c>
      <c r="I72" s="428">
        <f t="shared" si="65"/>
        <v>0</v>
      </c>
      <c r="J72" s="478" t="e">
        <f t="shared" si="42"/>
        <v>#DIV/0!</v>
      </c>
      <c r="L72" s="399">
        <f>SUMIFS('Отчет РПЗ(ПЗ)_ПЗИП'!$W:$W,'Отчет РПЗ(ПЗ)_ПЗИП'!$D:$D,Справочно!$E37,'Отчет РПЗ(ПЗ)_ПЗИП'!$N:$N,"&gt;=01.01.2018",'Отчет РПЗ(ПЗ)_ПЗИП'!$N:$N,"&lt;=31.01.2018",'Отчет РПЗ(ПЗ)_ПЗИП'!$AG:$AG,"&gt;0")</f>
        <v>0</v>
      </c>
      <c r="M72" s="297">
        <f>SUMIFS('Отчет РПЗ(ПЗ)_ПЗИП'!$AG:$AG,'Отчет РПЗ(ПЗ)_ПЗИП'!$D:$D,Справочно!$E37,'Отчет РПЗ(ПЗ)_ПЗИП'!$AR:$AR,1)</f>
        <v>0</v>
      </c>
      <c r="N72" s="305" t="str">
        <f t="shared" si="43"/>
        <v>НД</v>
      </c>
      <c r="O72" s="231" t="str">
        <f t="shared" si="44"/>
        <v>НД</v>
      </c>
      <c r="P72" s="394">
        <f>SUMIFS('Отчет РПЗ(ПЗ)_ПЗИП'!$W:$W,'Отчет РПЗ(ПЗ)_ПЗИП'!$D:$D,Справочно!$E37,'Отчет РПЗ(ПЗ)_ПЗИП'!$N:$N,"&gt;=01.02.2018",'Отчет РПЗ(ПЗ)_ПЗИП'!$N:$N,"&lt;=28.02.2018",'Отчет РПЗ(ПЗ)_ПЗИП'!$AG:$AG,"&gt;0")</f>
        <v>0</v>
      </c>
      <c r="Q72" s="297">
        <f>SUMIFS('Отчет РПЗ(ПЗ)_ПЗИП'!$AG:$AG,'Отчет РПЗ(ПЗ)_ПЗИП'!$D:$D,Справочно!$E37,'Отчет РПЗ(ПЗ)_ПЗИП'!$AR:$AR,2)</f>
        <v>0</v>
      </c>
      <c r="R72" s="305" t="str">
        <f t="shared" si="45"/>
        <v>НД</v>
      </c>
      <c r="S72" s="231" t="str">
        <f t="shared" si="46"/>
        <v>НД</v>
      </c>
      <c r="T72" s="394">
        <f>SUMIFS('Отчет РПЗ(ПЗ)_ПЗИП'!$W:$W,'Отчет РПЗ(ПЗ)_ПЗИП'!$D:$D,Справочно!$E37,'Отчет РПЗ(ПЗ)_ПЗИП'!$N:$N,"&gt;=01.03.2018",'Отчет РПЗ(ПЗ)_ПЗИП'!$N:$N,"&lt;=31.03.2018",'Отчет РПЗ(ПЗ)_ПЗИП'!$AG:$AG,"&gt;0")</f>
        <v>0</v>
      </c>
      <c r="U72" s="297">
        <f>SUMIFS('Отчет РПЗ(ПЗ)_ПЗИП'!$AG:$AG,'Отчет РПЗ(ПЗ)_ПЗИП'!$D:$D,Справочно!$E37,'Отчет РПЗ(ПЗ)_ПЗИП'!$AR:$AR,3)</f>
        <v>0</v>
      </c>
      <c r="V72" s="305" t="str">
        <f t="shared" si="47"/>
        <v>НД</v>
      </c>
      <c r="W72" s="231" t="str">
        <f t="shared" si="23"/>
        <v>НД</v>
      </c>
      <c r="X72" s="393">
        <f t="shared" si="48"/>
        <v>0</v>
      </c>
      <c r="Y72" s="298">
        <f t="shared" si="49"/>
        <v>0</v>
      </c>
      <c r="Z72" s="298">
        <f t="shared" si="24"/>
        <v>0</v>
      </c>
      <c r="AA72" s="233">
        <f t="shared" si="25"/>
        <v>0</v>
      </c>
      <c r="AB72" s="399">
        <f>SUMIFS('Отчет РПЗ(ПЗ)_ПЗИП'!$W:$W,'Отчет РПЗ(ПЗ)_ПЗИП'!$D:$D,Справочно!$E37,'Отчет РПЗ(ПЗ)_ПЗИП'!$N:$N,"&gt;=01.04.2018",'Отчет РПЗ(ПЗ)_ПЗИП'!$N:$N,"&lt;=30.04.2018",'Отчет РПЗ(ПЗ)_ПЗИП'!$AG:$AG,"&gt;0")</f>
        <v>0</v>
      </c>
      <c r="AC72" s="299">
        <f>SUMIFS('Отчет РПЗ(ПЗ)_ПЗИП'!$AG:$AG,'Отчет РПЗ(ПЗ)_ПЗИП'!$D:$D,Справочно!$E37,'Отчет РПЗ(ПЗ)_ПЗИП'!$AR:$AR,4)</f>
        <v>0</v>
      </c>
      <c r="AD72" s="299" t="str">
        <f t="shared" si="50"/>
        <v>НД</v>
      </c>
      <c r="AE72" s="232" t="str">
        <f t="shared" si="26"/>
        <v>НД</v>
      </c>
      <c r="AF72" s="398">
        <f>SUMIFS('Отчет РПЗ(ПЗ)_ПЗИП'!$W:$W,'Отчет РПЗ(ПЗ)_ПЗИП'!$D:$D,Справочно!$E37,'Отчет РПЗ(ПЗ)_ПЗИП'!$N:$N,"&gt;=01.05.2018",'Отчет РПЗ(ПЗ)_ПЗИП'!$N:$N,"&lt;=31.05.2018",'Отчет РПЗ(ПЗ)_ПЗИП'!$AG:$AG,"&gt;0")</f>
        <v>0</v>
      </c>
      <c r="AG72" s="299">
        <f>SUMIFS('Отчет РПЗ(ПЗ)_ПЗИП'!$AG:$AG,'Отчет РПЗ(ПЗ)_ПЗИП'!$D:$D,Справочно!$E37,'Отчет РПЗ(ПЗ)_ПЗИП'!$AR:$AR,5)</f>
        <v>0</v>
      </c>
      <c r="AH72" s="299" t="str">
        <f t="shared" si="51"/>
        <v>НД</v>
      </c>
      <c r="AI72" s="232" t="str">
        <f t="shared" si="27"/>
        <v>НД</v>
      </c>
      <c r="AJ72" s="398">
        <f>SUMIFS('Отчет РПЗ(ПЗ)_ПЗИП'!$W:$W,'Отчет РПЗ(ПЗ)_ПЗИП'!$D:$D,Справочно!$E37,'Отчет РПЗ(ПЗ)_ПЗИП'!$N:$N,"&gt;=01.06.2018",'Отчет РПЗ(ПЗ)_ПЗИП'!$N:$N,"&lt;=30.06.2018",'Отчет РПЗ(ПЗ)_ПЗИП'!$AG:$AG,"&gt;0")</f>
        <v>0</v>
      </c>
      <c r="AK72" s="299">
        <f>SUMIFS('Отчет РПЗ(ПЗ)_ПЗИП'!$AG:$AG,'Отчет РПЗ(ПЗ)_ПЗИП'!$D:$D,Справочно!$E37,'Отчет РПЗ(ПЗ)_ПЗИП'!$AR:$AR,6)</f>
        <v>0</v>
      </c>
      <c r="AL72" s="299" t="str">
        <f t="shared" si="52"/>
        <v>НД</v>
      </c>
      <c r="AM72" s="232" t="str">
        <f t="shared" si="28"/>
        <v>НД</v>
      </c>
      <c r="AN72" s="393">
        <f t="shared" si="53"/>
        <v>0</v>
      </c>
      <c r="AO72" s="300">
        <f t="shared" si="54"/>
        <v>0</v>
      </c>
      <c r="AP72" s="300">
        <f t="shared" si="29"/>
        <v>0</v>
      </c>
      <c r="AQ72" s="234">
        <f t="shared" si="30"/>
        <v>0</v>
      </c>
      <c r="AR72" s="399">
        <f>SUMIFS('Отчет РПЗ(ПЗ)_ПЗИП'!$W:$W,'Отчет РПЗ(ПЗ)_ПЗИП'!$D:$D,Справочно!$E37,'Отчет РПЗ(ПЗ)_ПЗИП'!$N:$N,"&gt;=01.07.2018",'Отчет РПЗ(ПЗ)_ПЗИП'!$N:$N,"&lt;=31.07.2018",'Отчет РПЗ(ПЗ)_ПЗИП'!$AG:$AG,"&gt;0")</f>
        <v>0</v>
      </c>
      <c r="AS72" s="301">
        <f>SUMIFS('Отчет РПЗ(ПЗ)_ПЗИП'!$AG:$AG,'Отчет РПЗ(ПЗ)_ПЗИП'!$D:$D,Справочно!$E37,'Отчет РПЗ(ПЗ)_ПЗИП'!$AR:$AR,7)</f>
        <v>0</v>
      </c>
      <c r="AT72" s="341" t="str">
        <f t="shared" si="55"/>
        <v>НД</v>
      </c>
      <c r="AU72" s="236" t="str">
        <f t="shared" si="31"/>
        <v>НД</v>
      </c>
      <c r="AV72" s="394">
        <f>SUMIFS('Отчет РПЗ(ПЗ)_ПЗИП'!$W:$W,'Отчет РПЗ(ПЗ)_ПЗИП'!$D:$D,Справочно!$E37,'Отчет РПЗ(ПЗ)_ПЗИП'!$N:$N,"&gt;=01.08.2018",'Отчет РПЗ(ПЗ)_ПЗИП'!$N:$N,"&lt;=31.08.2018",'Отчет РПЗ(ПЗ)_ПЗИП'!$AG:$AG,"&gt;0")</f>
        <v>0</v>
      </c>
      <c r="AW72" s="301">
        <f>SUMIFS('Отчет РПЗ(ПЗ)_ПЗИП'!$AG:$AG,'Отчет РПЗ(ПЗ)_ПЗИП'!$D:$D,Справочно!$E37,'Отчет РПЗ(ПЗ)_ПЗИП'!$AR:$AR,8)</f>
        <v>0</v>
      </c>
      <c r="AX72" s="341" t="str">
        <f t="shared" si="56"/>
        <v>НД</v>
      </c>
      <c r="AY72" s="236" t="str">
        <f t="shared" si="32"/>
        <v>НД</v>
      </c>
      <c r="AZ72" s="394">
        <f>SUMIFS('Отчет РПЗ(ПЗ)_ПЗИП'!$W:$W,'Отчет РПЗ(ПЗ)_ПЗИП'!$D:$D,Справочно!$E37,'Отчет РПЗ(ПЗ)_ПЗИП'!$N:$N,"&gt;=01.09.2018",'Отчет РПЗ(ПЗ)_ПЗИП'!$N:$N,"&lt;=30.09.2018",'Отчет РПЗ(ПЗ)_ПЗИП'!$AG:$AG,"&gt;0")</f>
        <v>0</v>
      </c>
      <c r="BA72" s="301">
        <f>SUMIFS('Отчет РПЗ(ПЗ)_ПЗИП'!$AG:$AG,'Отчет РПЗ(ПЗ)_ПЗИП'!$D:$D,Справочно!$E37,'Отчет РПЗ(ПЗ)_ПЗИП'!$AR:$AR,9)</f>
        <v>0</v>
      </c>
      <c r="BB72" s="341" t="str">
        <f t="shared" si="57"/>
        <v>НД</v>
      </c>
      <c r="BC72" s="236" t="str">
        <f t="shared" si="33"/>
        <v>НД</v>
      </c>
      <c r="BD72" s="393">
        <f t="shared" si="58"/>
        <v>0</v>
      </c>
      <c r="BE72" s="302">
        <f t="shared" si="59"/>
        <v>0</v>
      </c>
      <c r="BF72" s="302">
        <f t="shared" si="34"/>
        <v>0</v>
      </c>
      <c r="BG72" s="238">
        <f t="shared" si="35"/>
        <v>0</v>
      </c>
      <c r="BH72" s="383">
        <f>SUMIFS('Отчет РПЗ(ПЗ)_ПЗИП'!$W:$W,'Отчет РПЗ(ПЗ)_ПЗИП'!$D:$D,Справочно!$E37,'Отчет РПЗ(ПЗ)_ПЗИП'!$N:$N,"&gt;=01.10.2018",'Отчет РПЗ(ПЗ)_ПЗИП'!$N:$N,"&lt;=31.10.2018",'Отчет РПЗ(ПЗ)_ПЗИП'!$AG:$AG,"&gt;0")</f>
        <v>0</v>
      </c>
      <c r="BI72" s="303">
        <f>SUMIFS('Отчет РПЗ(ПЗ)_ПЗИП'!$AG:$AG,'Отчет РПЗ(ПЗ)_ПЗИП'!$D:$D,Справочно!$E37,'Отчет РПЗ(ПЗ)_ПЗИП'!$AR:$AR,10)</f>
        <v>0</v>
      </c>
      <c r="BJ72" s="343" t="str">
        <f t="shared" si="60"/>
        <v>НД</v>
      </c>
      <c r="BK72" s="240" t="str">
        <f t="shared" si="36"/>
        <v>НД</v>
      </c>
      <c r="BL72" s="398">
        <f>SUMIFS('Отчет РПЗ(ПЗ)_ПЗИП'!$W:$W,'Отчет РПЗ(ПЗ)_ПЗИП'!$D:$D,Справочно!$E37,'Отчет РПЗ(ПЗ)_ПЗИП'!$N:$N,"&gt;=01.11.2018",'Отчет РПЗ(ПЗ)_ПЗИП'!$N:$N,"&lt;=30.11.2018",'Отчет РПЗ(ПЗ)_ПЗИП'!$AG:$AG,"&gt;0")</f>
        <v>0</v>
      </c>
      <c r="BM72" s="303">
        <f>SUMIFS('Отчет РПЗ(ПЗ)_ПЗИП'!$AG:$AG,'Отчет РПЗ(ПЗ)_ПЗИП'!$D:$D,Справочно!$E37,'Отчет РПЗ(ПЗ)_ПЗИП'!$AR:$AR,11)</f>
        <v>0</v>
      </c>
      <c r="BN72" s="343" t="str">
        <f t="shared" si="61"/>
        <v>НД</v>
      </c>
      <c r="BO72" s="240" t="str">
        <f t="shared" si="37"/>
        <v>НД</v>
      </c>
      <c r="BP72" s="398">
        <f>SUMIFS('Отчет РПЗ(ПЗ)_ПЗИП'!$W:$W,'Отчет РПЗ(ПЗ)_ПЗИП'!$D:$D,Справочно!$E37,'Отчет РПЗ(ПЗ)_ПЗИП'!$N:$N,"&gt;=01.12.2018",'Отчет РПЗ(ПЗ)_ПЗИП'!$N:$N,"&lt;=31.12.2018",'Отчет РПЗ(ПЗ)_ПЗИП'!$AG:$AG,"&gt;0")</f>
        <v>0</v>
      </c>
      <c r="BQ72" s="303">
        <f>SUMIFS('Отчет РПЗ(ПЗ)_ПЗИП'!$AG:$AG,'Отчет РПЗ(ПЗ)_ПЗИП'!$D:$D,Справочно!$E37,'Отчет РПЗ(ПЗ)_ПЗИП'!$AR:$AR,12)</f>
        <v>0</v>
      </c>
      <c r="BR72" s="343" t="str">
        <f t="shared" si="62"/>
        <v>НД</v>
      </c>
      <c r="BS72" s="242" t="str">
        <f t="shared" si="38"/>
        <v>НД</v>
      </c>
      <c r="BT72" s="393">
        <f t="shared" si="63"/>
        <v>0</v>
      </c>
      <c r="BU72" s="304">
        <f t="shared" si="64"/>
        <v>0</v>
      </c>
      <c r="BV72" s="304">
        <f t="shared" si="39"/>
        <v>0</v>
      </c>
      <c r="BW72" s="243">
        <f t="shared" si="40"/>
        <v>0</v>
      </c>
    </row>
    <row r="73" spans="2:75" ht="13.5" thickBot="1" x14ac:dyDescent="0.25">
      <c r="B73" s="58" t="str">
        <f>Справочно!E38</f>
        <v>АО "Российская электроника"</v>
      </c>
      <c r="C73" s="95">
        <f>ПП!B61</f>
        <v>0</v>
      </c>
      <c r="D73" s="381" t="e">
        <f>ПП!C61</f>
        <v>#DIV/0!</v>
      </c>
      <c r="E73" s="406">
        <f>ПП!D61</f>
        <v>0</v>
      </c>
      <c r="F73" s="272">
        <f>COUNTIFS('Отчет РПЗ(ПЗ)_ПЗИП'!$AG:$AG,"&gt;0",'Отчет РПЗ(ПЗ)_ПЗИП'!$D:$D,Справочно!$E38)</f>
        <v>0</v>
      </c>
      <c r="G73" s="407" t="e">
        <f t="shared" si="41"/>
        <v>#DIV/0!</v>
      </c>
      <c r="H73" s="408">
        <f>SUMIF('Отчет РПЗ(ПЗ)_ПЗИП'!$D:$D,Справочно!$E38,'Отчет РПЗ(ПЗ)_ПЗИП'!$AG:$AG)</f>
        <v>0</v>
      </c>
      <c r="I73" s="428">
        <f t="shared" si="65"/>
        <v>0</v>
      </c>
      <c r="J73" s="478" t="e">
        <f t="shared" si="42"/>
        <v>#DIV/0!</v>
      </c>
      <c r="L73" s="399">
        <f>SUMIFS('Отчет РПЗ(ПЗ)_ПЗИП'!$W:$W,'Отчет РПЗ(ПЗ)_ПЗИП'!$D:$D,Справочно!$E38,'Отчет РПЗ(ПЗ)_ПЗИП'!$N:$N,"&gt;=01.01.2018",'Отчет РПЗ(ПЗ)_ПЗИП'!$N:$N,"&lt;=31.01.2018",'Отчет РПЗ(ПЗ)_ПЗИП'!$AG:$AG,"&gt;0")</f>
        <v>0</v>
      </c>
      <c r="M73" s="297">
        <f>SUMIFS('Отчет РПЗ(ПЗ)_ПЗИП'!$AG:$AG,'Отчет РПЗ(ПЗ)_ПЗИП'!$D:$D,Справочно!$E38,'Отчет РПЗ(ПЗ)_ПЗИП'!$AR:$AR,1)</f>
        <v>0</v>
      </c>
      <c r="N73" s="305" t="str">
        <f t="shared" si="43"/>
        <v>НД</v>
      </c>
      <c r="O73" s="231" t="str">
        <f t="shared" si="44"/>
        <v>НД</v>
      </c>
      <c r="P73" s="394">
        <f>SUMIFS('Отчет РПЗ(ПЗ)_ПЗИП'!$W:$W,'Отчет РПЗ(ПЗ)_ПЗИП'!$D:$D,Справочно!$E38,'Отчет РПЗ(ПЗ)_ПЗИП'!$N:$N,"&gt;=01.02.2018",'Отчет РПЗ(ПЗ)_ПЗИП'!$N:$N,"&lt;=28.02.2018",'Отчет РПЗ(ПЗ)_ПЗИП'!$AG:$AG,"&gt;0")</f>
        <v>0</v>
      </c>
      <c r="Q73" s="297">
        <f>SUMIFS('Отчет РПЗ(ПЗ)_ПЗИП'!$AG:$AG,'Отчет РПЗ(ПЗ)_ПЗИП'!$D:$D,Справочно!$E38,'Отчет РПЗ(ПЗ)_ПЗИП'!$AR:$AR,2)</f>
        <v>0</v>
      </c>
      <c r="R73" s="305" t="str">
        <f t="shared" si="45"/>
        <v>НД</v>
      </c>
      <c r="S73" s="231" t="str">
        <f t="shared" si="46"/>
        <v>НД</v>
      </c>
      <c r="T73" s="394">
        <f>SUMIFS('Отчет РПЗ(ПЗ)_ПЗИП'!$W:$W,'Отчет РПЗ(ПЗ)_ПЗИП'!$D:$D,Справочно!$E38,'Отчет РПЗ(ПЗ)_ПЗИП'!$N:$N,"&gt;=01.03.2018",'Отчет РПЗ(ПЗ)_ПЗИП'!$N:$N,"&lt;=31.03.2018",'Отчет РПЗ(ПЗ)_ПЗИП'!$AG:$AG,"&gt;0")</f>
        <v>0</v>
      </c>
      <c r="U73" s="297">
        <f>SUMIFS('Отчет РПЗ(ПЗ)_ПЗИП'!$AG:$AG,'Отчет РПЗ(ПЗ)_ПЗИП'!$D:$D,Справочно!$E38,'Отчет РПЗ(ПЗ)_ПЗИП'!$AR:$AR,3)</f>
        <v>0</v>
      </c>
      <c r="V73" s="305" t="str">
        <f t="shared" si="47"/>
        <v>НД</v>
      </c>
      <c r="W73" s="231" t="str">
        <f t="shared" si="23"/>
        <v>НД</v>
      </c>
      <c r="X73" s="393">
        <f t="shared" si="48"/>
        <v>0</v>
      </c>
      <c r="Y73" s="298">
        <f t="shared" si="49"/>
        <v>0</v>
      </c>
      <c r="Z73" s="298">
        <f t="shared" si="24"/>
        <v>0</v>
      </c>
      <c r="AA73" s="233">
        <f t="shared" si="25"/>
        <v>0</v>
      </c>
      <c r="AB73" s="399">
        <f>SUMIFS('Отчет РПЗ(ПЗ)_ПЗИП'!$W:$W,'Отчет РПЗ(ПЗ)_ПЗИП'!$D:$D,Справочно!$E38,'Отчет РПЗ(ПЗ)_ПЗИП'!$N:$N,"&gt;=01.04.2018",'Отчет РПЗ(ПЗ)_ПЗИП'!$N:$N,"&lt;=30.04.2018",'Отчет РПЗ(ПЗ)_ПЗИП'!$AG:$AG,"&gt;0")</f>
        <v>0</v>
      </c>
      <c r="AC73" s="299">
        <f>SUMIFS('Отчет РПЗ(ПЗ)_ПЗИП'!$AG:$AG,'Отчет РПЗ(ПЗ)_ПЗИП'!$D:$D,Справочно!$E38,'Отчет РПЗ(ПЗ)_ПЗИП'!$AR:$AR,4)</f>
        <v>0</v>
      </c>
      <c r="AD73" s="299" t="str">
        <f t="shared" si="50"/>
        <v>НД</v>
      </c>
      <c r="AE73" s="232" t="str">
        <f t="shared" si="26"/>
        <v>НД</v>
      </c>
      <c r="AF73" s="398">
        <f>SUMIFS('Отчет РПЗ(ПЗ)_ПЗИП'!$W:$W,'Отчет РПЗ(ПЗ)_ПЗИП'!$D:$D,Справочно!$E38,'Отчет РПЗ(ПЗ)_ПЗИП'!$N:$N,"&gt;=01.05.2018",'Отчет РПЗ(ПЗ)_ПЗИП'!$N:$N,"&lt;=31.05.2018",'Отчет РПЗ(ПЗ)_ПЗИП'!$AG:$AG,"&gt;0")</f>
        <v>0</v>
      </c>
      <c r="AG73" s="299">
        <f>SUMIFS('Отчет РПЗ(ПЗ)_ПЗИП'!$AG:$AG,'Отчет РПЗ(ПЗ)_ПЗИП'!$D:$D,Справочно!$E38,'Отчет РПЗ(ПЗ)_ПЗИП'!$AR:$AR,5)</f>
        <v>0</v>
      </c>
      <c r="AH73" s="299" t="str">
        <f t="shared" si="51"/>
        <v>НД</v>
      </c>
      <c r="AI73" s="232" t="str">
        <f t="shared" si="27"/>
        <v>НД</v>
      </c>
      <c r="AJ73" s="398">
        <f>SUMIFS('Отчет РПЗ(ПЗ)_ПЗИП'!$W:$W,'Отчет РПЗ(ПЗ)_ПЗИП'!$D:$D,Справочно!$E38,'Отчет РПЗ(ПЗ)_ПЗИП'!$N:$N,"&gt;=01.06.2018",'Отчет РПЗ(ПЗ)_ПЗИП'!$N:$N,"&lt;=30.06.2018",'Отчет РПЗ(ПЗ)_ПЗИП'!$AG:$AG,"&gt;0")</f>
        <v>0</v>
      </c>
      <c r="AK73" s="299">
        <f>SUMIFS('Отчет РПЗ(ПЗ)_ПЗИП'!$AG:$AG,'Отчет РПЗ(ПЗ)_ПЗИП'!$D:$D,Справочно!$E38,'Отчет РПЗ(ПЗ)_ПЗИП'!$AR:$AR,6)</f>
        <v>0</v>
      </c>
      <c r="AL73" s="299" t="str">
        <f t="shared" si="52"/>
        <v>НД</v>
      </c>
      <c r="AM73" s="232" t="str">
        <f t="shared" si="28"/>
        <v>НД</v>
      </c>
      <c r="AN73" s="393">
        <f t="shared" si="53"/>
        <v>0</v>
      </c>
      <c r="AO73" s="300">
        <f t="shared" si="54"/>
        <v>0</v>
      </c>
      <c r="AP73" s="300">
        <f t="shared" si="29"/>
        <v>0</v>
      </c>
      <c r="AQ73" s="234">
        <f t="shared" si="30"/>
        <v>0</v>
      </c>
      <c r="AR73" s="399">
        <f>SUMIFS('Отчет РПЗ(ПЗ)_ПЗИП'!$W:$W,'Отчет РПЗ(ПЗ)_ПЗИП'!$D:$D,Справочно!$E38,'Отчет РПЗ(ПЗ)_ПЗИП'!$N:$N,"&gt;=01.07.2018",'Отчет РПЗ(ПЗ)_ПЗИП'!$N:$N,"&lt;=31.07.2018",'Отчет РПЗ(ПЗ)_ПЗИП'!$AG:$AG,"&gt;0")</f>
        <v>0</v>
      </c>
      <c r="AS73" s="301">
        <f>SUMIFS('Отчет РПЗ(ПЗ)_ПЗИП'!$AG:$AG,'Отчет РПЗ(ПЗ)_ПЗИП'!$D:$D,Справочно!$E38,'Отчет РПЗ(ПЗ)_ПЗИП'!$AR:$AR,7)</f>
        <v>0</v>
      </c>
      <c r="AT73" s="341" t="str">
        <f t="shared" si="55"/>
        <v>НД</v>
      </c>
      <c r="AU73" s="236" t="str">
        <f t="shared" si="31"/>
        <v>НД</v>
      </c>
      <c r="AV73" s="394">
        <f>SUMIFS('Отчет РПЗ(ПЗ)_ПЗИП'!$W:$W,'Отчет РПЗ(ПЗ)_ПЗИП'!$D:$D,Справочно!$E38,'Отчет РПЗ(ПЗ)_ПЗИП'!$N:$N,"&gt;=01.08.2018",'Отчет РПЗ(ПЗ)_ПЗИП'!$N:$N,"&lt;=31.08.2018",'Отчет РПЗ(ПЗ)_ПЗИП'!$AG:$AG,"&gt;0")</f>
        <v>0</v>
      </c>
      <c r="AW73" s="301">
        <f>SUMIFS('Отчет РПЗ(ПЗ)_ПЗИП'!$AG:$AG,'Отчет РПЗ(ПЗ)_ПЗИП'!$D:$D,Справочно!$E38,'Отчет РПЗ(ПЗ)_ПЗИП'!$AR:$AR,8)</f>
        <v>0</v>
      </c>
      <c r="AX73" s="341" t="str">
        <f t="shared" si="56"/>
        <v>НД</v>
      </c>
      <c r="AY73" s="236" t="str">
        <f t="shared" si="32"/>
        <v>НД</v>
      </c>
      <c r="AZ73" s="394">
        <f>SUMIFS('Отчет РПЗ(ПЗ)_ПЗИП'!$W:$W,'Отчет РПЗ(ПЗ)_ПЗИП'!$D:$D,Справочно!$E38,'Отчет РПЗ(ПЗ)_ПЗИП'!$N:$N,"&gt;=01.09.2018",'Отчет РПЗ(ПЗ)_ПЗИП'!$N:$N,"&lt;=30.09.2018",'Отчет РПЗ(ПЗ)_ПЗИП'!$AG:$AG,"&gt;0")</f>
        <v>0</v>
      </c>
      <c r="BA73" s="301">
        <f>SUMIFS('Отчет РПЗ(ПЗ)_ПЗИП'!$AG:$AG,'Отчет РПЗ(ПЗ)_ПЗИП'!$D:$D,Справочно!$E38,'Отчет РПЗ(ПЗ)_ПЗИП'!$AR:$AR,9)</f>
        <v>0</v>
      </c>
      <c r="BB73" s="341" t="str">
        <f t="shared" si="57"/>
        <v>НД</v>
      </c>
      <c r="BC73" s="236" t="str">
        <f t="shared" si="33"/>
        <v>НД</v>
      </c>
      <c r="BD73" s="393">
        <f t="shared" si="58"/>
        <v>0</v>
      </c>
      <c r="BE73" s="302">
        <f t="shared" si="59"/>
        <v>0</v>
      </c>
      <c r="BF73" s="302">
        <f t="shared" si="34"/>
        <v>0</v>
      </c>
      <c r="BG73" s="238">
        <f t="shared" si="35"/>
        <v>0</v>
      </c>
      <c r="BH73" s="383">
        <f>SUMIFS('Отчет РПЗ(ПЗ)_ПЗИП'!$W:$W,'Отчет РПЗ(ПЗ)_ПЗИП'!$D:$D,Справочно!$E38,'Отчет РПЗ(ПЗ)_ПЗИП'!$N:$N,"&gt;=01.10.2018",'Отчет РПЗ(ПЗ)_ПЗИП'!$N:$N,"&lt;=31.10.2018",'Отчет РПЗ(ПЗ)_ПЗИП'!$AG:$AG,"&gt;0")</f>
        <v>0</v>
      </c>
      <c r="BI73" s="303">
        <f>SUMIFS('Отчет РПЗ(ПЗ)_ПЗИП'!$AG:$AG,'Отчет РПЗ(ПЗ)_ПЗИП'!$D:$D,Справочно!$E38,'Отчет РПЗ(ПЗ)_ПЗИП'!$AR:$AR,10)</f>
        <v>0</v>
      </c>
      <c r="BJ73" s="343" t="str">
        <f t="shared" si="60"/>
        <v>НД</v>
      </c>
      <c r="BK73" s="240" t="str">
        <f t="shared" si="36"/>
        <v>НД</v>
      </c>
      <c r="BL73" s="398">
        <f>SUMIFS('Отчет РПЗ(ПЗ)_ПЗИП'!$W:$W,'Отчет РПЗ(ПЗ)_ПЗИП'!$D:$D,Справочно!$E38,'Отчет РПЗ(ПЗ)_ПЗИП'!$N:$N,"&gt;=01.11.2018",'Отчет РПЗ(ПЗ)_ПЗИП'!$N:$N,"&lt;=30.11.2018",'Отчет РПЗ(ПЗ)_ПЗИП'!$AG:$AG,"&gt;0")</f>
        <v>0</v>
      </c>
      <c r="BM73" s="303">
        <f>SUMIFS('Отчет РПЗ(ПЗ)_ПЗИП'!$AG:$AG,'Отчет РПЗ(ПЗ)_ПЗИП'!$D:$D,Справочно!$E38,'Отчет РПЗ(ПЗ)_ПЗИП'!$AR:$AR,11)</f>
        <v>0</v>
      </c>
      <c r="BN73" s="343" t="str">
        <f t="shared" si="61"/>
        <v>НД</v>
      </c>
      <c r="BO73" s="240" t="str">
        <f t="shared" si="37"/>
        <v>НД</v>
      </c>
      <c r="BP73" s="398">
        <f>SUMIFS('Отчет РПЗ(ПЗ)_ПЗИП'!$W:$W,'Отчет РПЗ(ПЗ)_ПЗИП'!$D:$D,Справочно!$E38,'Отчет РПЗ(ПЗ)_ПЗИП'!$N:$N,"&gt;=01.12.2018",'Отчет РПЗ(ПЗ)_ПЗИП'!$N:$N,"&lt;=31.12.2018",'Отчет РПЗ(ПЗ)_ПЗИП'!$AG:$AG,"&gt;0")</f>
        <v>0</v>
      </c>
      <c r="BQ73" s="303">
        <f>SUMIFS('Отчет РПЗ(ПЗ)_ПЗИП'!$AG:$AG,'Отчет РПЗ(ПЗ)_ПЗИП'!$D:$D,Справочно!$E38,'Отчет РПЗ(ПЗ)_ПЗИП'!$AR:$AR,12)</f>
        <v>0</v>
      </c>
      <c r="BR73" s="343" t="str">
        <f t="shared" si="62"/>
        <v>НД</v>
      </c>
      <c r="BS73" s="242" t="str">
        <f t="shared" si="38"/>
        <v>НД</v>
      </c>
      <c r="BT73" s="393">
        <f t="shared" si="63"/>
        <v>0</v>
      </c>
      <c r="BU73" s="304">
        <f t="shared" si="64"/>
        <v>0</v>
      </c>
      <c r="BV73" s="304">
        <f t="shared" si="39"/>
        <v>0</v>
      </c>
      <c r="BW73" s="243">
        <f t="shared" si="40"/>
        <v>0</v>
      </c>
    </row>
    <row r="74" spans="2:75" ht="13.5" thickBot="1" x14ac:dyDescent="0.25">
      <c r="B74" s="58" t="str">
        <f>Справочно!E39</f>
        <v>АО "РТ-Авто"</v>
      </c>
      <c r="C74" s="95">
        <f>ПП!B62</f>
        <v>0</v>
      </c>
      <c r="D74" s="381" t="e">
        <f>ПП!C62</f>
        <v>#DIV/0!</v>
      </c>
      <c r="E74" s="406">
        <f>ПП!D62</f>
        <v>0</v>
      </c>
      <c r="F74" s="272">
        <f>COUNTIFS('Отчет РПЗ(ПЗ)_ПЗИП'!$AG:$AG,"&gt;0",'Отчет РПЗ(ПЗ)_ПЗИП'!$D:$D,Справочно!$E38)</f>
        <v>0</v>
      </c>
      <c r="G74" s="407" t="e">
        <f t="shared" si="41"/>
        <v>#DIV/0!</v>
      </c>
      <c r="H74" s="408">
        <f>SUMIF('Отчет РПЗ(ПЗ)_ПЗИП'!$D:$D,Справочно!$E38,'Отчет РПЗ(ПЗ)_ПЗИП'!$AG:$AG)</f>
        <v>0</v>
      </c>
      <c r="I74" s="428">
        <f t="shared" si="65"/>
        <v>0</v>
      </c>
      <c r="J74" s="478" t="e">
        <f t="shared" si="42"/>
        <v>#DIV/0!</v>
      </c>
      <c r="L74" s="399">
        <f>SUMIFS('Отчет РПЗ(ПЗ)_ПЗИП'!$W:$W,'Отчет РПЗ(ПЗ)_ПЗИП'!$D:$D,Справочно!$E39,'Отчет РПЗ(ПЗ)_ПЗИП'!$N:$N,"&gt;=01.01.2018",'Отчет РПЗ(ПЗ)_ПЗИП'!$N:$N,"&lt;=31.01.2018",'Отчет РПЗ(ПЗ)_ПЗИП'!$AG:$AG,"&gt;0")</f>
        <v>0</v>
      </c>
      <c r="M74" s="297">
        <f>SUMIFS('Отчет РПЗ(ПЗ)_ПЗИП'!$AG:$AG,'Отчет РПЗ(ПЗ)_ПЗИП'!$D:$D,Справочно!$E39,'Отчет РПЗ(ПЗ)_ПЗИП'!$AR:$AR,1)</f>
        <v>0</v>
      </c>
      <c r="N74" s="305" t="str">
        <f t="shared" si="43"/>
        <v>НД</v>
      </c>
      <c r="O74" s="231" t="str">
        <f t="shared" si="44"/>
        <v>НД</v>
      </c>
      <c r="P74" s="394">
        <f>SUMIFS('Отчет РПЗ(ПЗ)_ПЗИП'!$W:$W,'Отчет РПЗ(ПЗ)_ПЗИП'!$D:$D,Справочно!$E39,'Отчет РПЗ(ПЗ)_ПЗИП'!$N:$N,"&gt;=01.02.2018",'Отчет РПЗ(ПЗ)_ПЗИП'!$N:$N,"&lt;=28.02.2018",'Отчет РПЗ(ПЗ)_ПЗИП'!$AG:$AG,"&gt;0")</f>
        <v>0</v>
      </c>
      <c r="Q74" s="297">
        <f>SUMIFS('Отчет РПЗ(ПЗ)_ПЗИП'!$AG:$AG,'Отчет РПЗ(ПЗ)_ПЗИП'!$D:$D,Справочно!$E39,'Отчет РПЗ(ПЗ)_ПЗИП'!$AR:$AR,2)</f>
        <v>0</v>
      </c>
      <c r="R74" s="305" t="str">
        <f t="shared" si="45"/>
        <v>НД</v>
      </c>
      <c r="S74" s="231" t="str">
        <f t="shared" si="46"/>
        <v>НД</v>
      </c>
      <c r="T74" s="394">
        <f>SUMIFS('Отчет РПЗ(ПЗ)_ПЗИП'!$W:$W,'Отчет РПЗ(ПЗ)_ПЗИП'!$D:$D,Справочно!$E39,'Отчет РПЗ(ПЗ)_ПЗИП'!$N:$N,"&gt;=01.03.2018",'Отчет РПЗ(ПЗ)_ПЗИП'!$N:$N,"&lt;=31.03.2018",'Отчет РПЗ(ПЗ)_ПЗИП'!$AG:$AG,"&gt;0")</f>
        <v>0</v>
      </c>
      <c r="U74" s="297">
        <f>SUMIFS('Отчет РПЗ(ПЗ)_ПЗИП'!$AG:$AG,'Отчет РПЗ(ПЗ)_ПЗИП'!$D:$D,Справочно!$E39,'Отчет РПЗ(ПЗ)_ПЗИП'!$AR:$AR,3)</f>
        <v>0</v>
      </c>
      <c r="V74" s="305" t="str">
        <f t="shared" si="47"/>
        <v>НД</v>
      </c>
      <c r="W74" s="231" t="str">
        <f t="shared" si="23"/>
        <v>НД</v>
      </c>
      <c r="X74" s="393">
        <f t="shared" si="48"/>
        <v>0</v>
      </c>
      <c r="Y74" s="298">
        <f t="shared" si="49"/>
        <v>0</v>
      </c>
      <c r="Z74" s="298">
        <f t="shared" si="24"/>
        <v>0</v>
      </c>
      <c r="AA74" s="233">
        <f t="shared" si="25"/>
        <v>0</v>
      </c>
      <c r="AB74" s="399">
        <f>SUMIFS('Отчет РПЗ(ПЗ)_ПЗИП'!$W:$W,'Отчет РПЗ(ПЗ)_ПЗИП'!$D:$D,Справочно!$E39,'Отчет РПЗ(ПЗ)_ПЗИП'!$N:$N,"&gt;=01.04.2018",'Отчет РПЗ(ПЗ)_ПЗИП'!$N:$N,"&lt;=30.04.2018",'Отчет РПЗ(ПЗ)_ПЗИП'!$AG:$AG,"&gt;0")</f>
        <v>0</v>
      </c>
      <c r="AC74" s="299">
        <f>SUMIFS('Отчет РПЗ(ПЗ)_ПЗИП'!$AG:$AG,'Отчет РПЗ(ПЗ)_ПЗИП'!$D:$D,Справочно!$E39,'Отчет РПЗ(ПЗ)_ПЗИП'!$AR:$AR,4)</f>
        <v>0</v>
      </c>
      <c r="AD74" s="299" t="str">
        <f t="shared" si="50"/>
        <v>НД</v>
      </c>
      <c r="AE74" s="232" t="str">
        <f t="shared" si="26"/>
        <v>НД</v>
      </c>
      <c r="AF74" s="398">
        <f>SUMIFS('Отчет РПЗ(ПЗ)_ПЗИП'!$W:$W,'Отчет РПЗ(ПЗ)_ПЗИП'!$D:$D,Справочно!$E39,'Отчет РПЗ(ПЗ)_ПЗИП'!$N:$N,"&gt;=01.05.2018",'Отчет РПЗ(ПЗ)_ПЗИП'!$N:$N,"&lt;=31.05.2018",'Отчет РПЗ(ПЗ)_ПЗИП'!$AG:$AG,"&gt;0")</f>
        <v>0</v>
      </c>
      <c r="AG74" s="299">
        <f>SUMIFS('Отчет РПЗ(ПЗ)_ПЗИП'!$AG:$AG,'Отчет РПЗ(ПЗ)_ПЗИП'!$D:$D,Справочно!$E39,'Отчет РПЗ(ПЗ)_ПЗИП'!$AR:$AR,5)</f>
        <v>0</v>
      </c>
      <c r="AH74" s="299" t="str">
        <f t="shared" si="51"/>
        <v>НД</v>
      </c>
      <c r="AI74" s="232" t="str">
        <f t="shared" si="27"/>
        <v>НД</v>
      </c>
      <c r="AJ74" s="398">
        <f>SUMIFS('Отчет РПЗ(ПЗ)_ПЗИП'!$W:$W,'Отчет РПЗ(ПЗ)_ПЗИП'!$D:$D,Справочно!$E39,'Отчет РПЗ(ПЗ)_ПЗИП'!$N:$N,"&gt;=01.06.2018",'Отчет РПЗ(ПЗ)_ПЗИП'!$N:$N,"&lt;=30.06.2018",'Отчет РПЗ(ПЗ)_ПЗИП'!$AG:$AG,"&gt;0")</f>
        <v>0</v>
      </c>
      <c r="AK74" s="299">
        <f>SUMIFS('Отчет РПЗ(ПЗ)_ПЗИП'!$AG:$AG,'Отчет РПЗ(ПЗ)_ПЗИП'!$D:$D,Справочно!$E39,'Отчет РПЗ(ПЗ)_ПЗИП'!$AR:$AR,6)</f>
        <v>0</v>
      </c>
      <c r="AL74" s="299" t="str">
        <f t="shared" si="52"/>
        <v>НД</v>
      </c>
      <c r="AM74" s="232" t="str">
        <f t="shared" si="28"/>
        <v>НД</v>
      </c>
      <c r="AN74" s="393">
        <f t="shared" si="53"/>
        <v>0</v>
      </c>
      <c r="AO74" s="300">
        <f t="shared" si="54"/>
        <v>0</v>
      </c>
      <c r="AP74" s="300">
        <f t="shared" si="29"/>
        <v>0</v>
      </c>
      <c r="AQ74" s="234">
        <f t="shared" si="30"/>
        <v>0</v>
      </c>
      <c r="AR74" s="399">
        <f>SUMIFS('Отчет РПЗ(ПЗ)_ПЗИП'!$W:$W,'Отчет РПЗ(ПЗ)_ПЗИП'!$D:$D,Справочно!$E39,'Отчет РПЗ(ПЗ)_ПЗИП'!$N:$N,"&gt;=01.07.2018",'Отчет РПЗ(ПЗ)_ПЗИП'!$N:$N,"&lt;=31.07.2018",'Отчет РПЗ(ПЗ)_ПЗИП'!$AG:$AG,"&gt;0")</f>
        <v>0</v>
      </c>
      <c r="AS74" s="301">
        <f>SUMIFS('Отчет РПЗ(ПЗ)_ПЗИП'!$AG:$AG,'Отчет РПЗ(ПЗ)_ПЗИП'!$D:$D,Справочно!$E39,'Отчет РПЗ(ПЗ)_ПЗИП'!$AR:$AR,7)</f>
        <v>0</v>
      </c>
      <c r="AT74" s="341" t="str">
        <f>IF(AS74=0,"НД",AR74-AS74)</f>
        <v>НД</v>
      </c>
      <c r="AU74" s="236" t="str">
        <f t="shared" si="31"/>
        <v>НД</v>
      </c>
      <c r="AV74" s="394">
        <f>SUMIFS('Отчет РПЗ(ПЗ)_ПЗИП'!$W:$W,'Отчет РПЗ(ПЗ)_ПЗИП'!$D:$D,Справочно!$E39,'Отчет РПЗ(ПЗ)_ПЗИП'!$N:$N,"&gt;=01.08.2018",'Отчет РПЗ(ПЗ)_ПЗИП'!$N:$N,"&lt;=31.08.2018",'Отчет РПЗ(ПЗ)_ПЗИП'!$AG:$AG,"&gt;0")</f>
        <v>0</v>
      </c>
      <c r="AW74" s="301">
        <f>SUMIFS('Отчет РПЗ(ПЗ)_ПЗИП'!$AG:$AG,'Отчет РПЗ(ПЗ)_ПЗИП'!$D:$D,Справочно!$E39,'Отчет РПЗ(ПЗ)_ПЗИП'!$AR:$AR,8)</f>
        <v>0</v>
      </c>
      <c r="AX74" s="341" t="str">
        <f t="shared" si="56"/>
        <v>НД</v>
      </c>
      <c r="AY74" s="236" t="str">
        <f t="shared" si="32"/>
        <v>НД</v>
      </c>
      <c r="AZ74" s="394">
        <f>SUMIFS('Отчет РПЗ(ПЗ)_ПЗИП'!$W:$W,'Отчет РПЗ(ПЗ)_ПЗИП'!$D:$D,Справочно!$E39,'Отчет РПЗ(ПЗ)_ПЗИП'!$N:$N,"&gt;=01.09.2018",'Отчет РПЗ(ПЗ)_ПЗИП'!$N:$N,"&lt;=30.09.2018",'Отчет РПЗ(ПЗ)_ПЗИП'!$AG:$AG,"&gt;0")</f>
        <v>0</v>
      </c>
      <c r="BA74" s="301">
        <f>SUMIFS('Отчет РПЗ(ПЗ)_ПЗИП'!$AG:$AG,'Отчет РПЗ(ПЗ)_ПЗИП'!$D:$D,Справочно!$E39,'Отчет РПЗ(ПЗ)_ПЗИП'!$AR:$AR,9)</f>
        <v>0</v>
      </c>
      <c r="BB74" s="341" t="str">
        <f t="shared" si="57"/>
        <v>НД</v>
      </c>
      <c r="BC74" s="236" t="str">
        <f t="shared" si="33"/>
        <v>НД</v>
      </c>
      <c r="BD74" s="393">
        <f t="shared" si="58"/>
        <v>0</v>
      </c>
      <c r="BE74" s="302">
        <f t="shared" si="59"/>
        <v>0</v>
      </c>
      <c r="BF74" s="302">
        <f t="shared" si="34"/>
        <v>0</v>
      </c>
      <c r="BG74" s="238">
        <f t="shared" si="35"/>
        <v>0</v>
      </c>
      <c r="BH74" s="383">
        <f>SUMIFS('Отчет РПЗ(ПЗ)_ПЗИП'!$W:$W,'Отчет РПЗ(ПЗ)_ПЗИП'!$D:$D,Справочно!$E39,'Отчет РПЗ(ПЗ)_ПЗИП'!$N:$N,"&gt;=01.10.2018",'Отчет РПЗ(ПЗ)_ПЗИП'!$N:$N,"&lt;=31.10.2018",'Отчет РПЗ(ПЗ)_ПЗИП'!$AG:$AG,"&gt;0")</f>
        <v>0</v>
      </c>
      <c r="BI74" s="303">
        <f>SUMIFS('Отчет РПЗ(ПЗ)_ПЗИП'!$AG:$AG,'Отчет РПЗ(ПЗ)_ПЗИП'!$D:$D,Справочно!$E39,'Отчет РПЗ(ПЗ)_ПЗИП'!$AR:$AR,10)</f>
        <v>0</v>
      </c>
      <c r="BJ74" s="343" t="str">
        <f t="shared" si="60"/>
        <v>НД</v>
      </c>
      <c r="BK74" s="240" t="str">
        <f t="shared" si="36"/>
        <v>НД</v>
      </c>
      <c r="BL74" s="398">
        <f>SUMIFS('Отчет РПЗ(ПЗ)_ПЗИП'!$W:$W,'Отчет РПЗ(ПЗ)_ПЗИП'!$D:$D,Справочно!$E39,'Отчет РПЗ(ПЗ)_ПЗИП'!$N:$N,"&gt;=01.11.2018",'Отчет РПЗ(ПЗ)_ПЗИП'!$N:$N,"&lt;=30.11.2018",'Отчет РПЗ(ПЗ)_ПЗИП'!$AG:$AG,"&gt;0")</f>
        <v>0</v>
      </c>
      <c r="BM74" s="303">
        <f>SUMIFS('Отчет РПЗ(ПЗ)_ПЗИП'!$AG:$AG,'Отчет РПЗ(ПЗ)_ПЗИП'!$D:$D,Справочно!$E39,'Отчет РПЗ(ПЗ)_ПЗИП'!$AR:$AR,11)</f>
        <v>0</v>
      </c>
      <c r="BN74" s="343" t="str">
        <f t="shared" si="61"/>
        <v>НД</v>
      </c>
      <c r="BO74" s="240" t="str">
        <f t="shared" si="37"/>
        <v>НД</v>
      </c>
      <c r="BP74" s="398">
        <f>SUMIFS('Отчет РПЗ(ПЗ)_ПЗИП'!$W:$W,'Отчет РПЗ(ПЗ)_ПЗИП'!$D:$D,Справочно!$E39,'Отчет РПЗ(ПЗ)_ПЗИП'!$N:$N,"&gt;=01.12.2018",'Отчет РПЗ(ПЗ)_ПЗИП'!$N:$N,"&lt;=31.12.2018",'Отчет РПЗ(ПЗ)_ПЗИП'!$AG:$AG,"&gt;0")</f>
        <v>0</v>
      </c>
      <c r="BQ74" s="303">
        <f>SUMIFS('Отчет РПЗ(ПЗ)_ПЗИП'!$AG:$AG,'Отчет РПЗ(ПЗ)_ПЗИП'!$D:$D,Справочно!$E39,'Отчет РПЗ(ПЗ)_ПЗИП'!$AR:$AR,12)</f>
        <v>0</v>
      </c>
      <c r="BR74" s="343" t="str">
        <f t="shared" si="62"/>
        <v>НД</v>
      </c>
      <c r="BS74" s="242" t="str">
        <f t="shared" si="38"/>
        <v>НД</v>
      </c>
      <c r="BT74" s="393">
        <f t="shared" si="63"/>
        <v>0</v>
      </c>
      <c r="BU74" s="304">
        <f t="shared" si="64"/>
        <v>0</v>
      </c>
      <c r="BV74" s="304">
        <f t="shared" si="39"/>
        <v>0</v>
      </c>
      <c r="BW74" s="243">
        <f t="shared" si="40"/>
        <v>0</v>
      </c>
    </row>
    <row r="75" spans="2:75" ht="13.5" thickBot="1" x14ac:dyDescent="0.25">
      <c r="B75" s="58" t="str">
        <f>Справочно!E40</f>
        <v>АО "Национальная иммунобиологическая компания"</v>
      </c>
      <c r="C75" s="95">
        <f>ПП!B63</f>
        <v>0</v>
      </c>
      <c r="D75" s="381" t="e">
        <f>ПП!C63</f>
        <v>#DIV/0!</v>
      </c>
      <c r="E75" s="406">
        <f>ПП!D63</f>
        <v>0</v>
      </c>
      <c r="F75" s="272">
        <f>COUNTIFS('Отчет РПЗ(ПЗ)_ПЗИП'!$AG:$AG,"&gt;0",'Отчет РПЗ(ПЗ)_ПЗИП'!$D:$D,Справочно!$E39)</f>
        <v>0</v>
      </c>
      <c r="G75" s="407" t="e">
        <f t="shared" si="41"/>
        <v>#DIV/0!</v>
      </c>
      <c r="H75" s="408">
        <f>SUMIF('Отчет РПЗ(ПЗ)_ПЗИП'!$D:$D,Справочно!$E39,'Отчет РПЗ(ПЗ)_ПЗИП'!$AG:$AG)</f>
        <v>0</v>
      </c>
      <c r="I75" s="428">
        <f t="shared" si="65"/>
        <v>0</v>
      </c>
      <c r="J75" s="478" t="e">
        <f t="shared" si="42"/>
        <v>#DIV/0!</v>
      </c>
      <c r="L75" s="399">
        <f>SUMIFS('Отчет РПЗ(ПЗ)_ПЗИП'!$W:$W,'Отчет РПЗ(ПЗ)_ПЗИП'!$D:$D,Справочно!$E40,'Отчет РПЗ(ПЗ)_ПЗИП'!$N:$N,"&gt;=01.01.2018",'Отчет РПЗ(ПЗ)_ПЗИП'!$N:$N,"&lt;=31.01.2018",'Отчет РПЗ(ПЗ)_ПЗИП'!$AG:$AG,"&gt;0")</f>
        <v>0</v>
      </c>
      <c r="M75" s="297">
        <f>SUMIFS('Отчет РПЗ(ПЗ)_ПЗИП'!$AG:$AG,'Отчет РПЗ(ПЗ)_ПЗИП'!$D:$D,Справочно!$E40,'Отчет РПЗ(ПЗ)_ПЗИП'!$AR:$AR,1)</f>
        <v>0</v>
      </c>
      <c r="N75" s="305" t="str">
        <f t="shared" si="43"/>
        <v>НД</v>
      </c>
      <c r="O75" s="231" t="str">
        <f t="shared" si="44"/>
        <v>НД</v>
      </c>
      <c r="P75" s="394">
        <f>SUMIFS('Отчет РПЗ(ПЗ)_ПЗИП'!$W:$W,'Отчет РПЗ(ПЗ)_ПЗИП'!$D:$D,Справочно!$E40,'Отчет РПЗ(ПЗ)_ПЗИП'!$N:$N,"&gt;=01.02.2018",'Отчет РПЗ(ПЗ)_ПЗИП'!$N:$N,"&lt;=28.02.2018",'Отчет РПЗ(ПЗ)_ПЗИП'!$AG:$AG,"&gt;0")</f>
        <v>0</v>
      </c>
      <c r="Q75" s="297">
        <f>SUMIFS('Отчет РПЗ(ПЗ)_ПЗИП'!$AG:$AG,'Отчет РПЗ(ПЗ)_ПЗИП'!$D:$D,Справочно!$E40,'Отчет РПЗ(ПЗ)_ПЗИП'!$AR:$AR,2)</f>
        <v>0</v>
      </c>
      <c r="R75" s="305" t="str">
        <f t="shared" si="45"/>
        <v>НД</v>
      </c>
      <c r="S75" s="231" t="str">
        <f t="shared" si="46"/>
        <v>НД</v>
      </c>
      <c r="T75" s="394">
        <f>SUMIFS('Отчет РПЗ(ПЗ)_ПЗИП'!$W:$W,'Отчет РПЗ(ПЗ)_ПЗИП'!$D:$D,Справочно!$E40,'Отчет РПЗ(ПЗ)_ПЗИП'!$N:$N,"&gt;=01.03.2018",'Отчет РПЗ(ПЗ)_ПЗИП'!$N:$N,"&lt;=31.03.2018",'Отчет РПЗ(ПЗ)_ПЗИП'!$AG:$AG,"&gt;0")</f>
        <v>0</v>
      </c>
      <c r="U75" s="297">
        <f>SUMIFS('Отчет РПЗ(ПЗ)_ПЗИП'!$AG:$AG,'Отчет РПЗ(ПЗ)_ПЗИП'!$D:$D,Справочно!$E40,'Отчет РПЗ(ПЗ)_ПЗИП'!$AR:$AR,3)</f>
        <v>0</v>
      </c>
      <c r="V75" s="305" t="str">
        <f t="shared" si="47"/>
        <v>НД</v>
      </c>
      <c r="W75" s="231" t="str">
        <f t="shared" si="23"/>
        <v>НД</v>
      </c>
      <c r="X75" s="393">
        <f t="shared" si="48"/>
        <v>0</v>
      </c>
      <c r="Y75" s="298">
        <f t="shared" si="49"/>
        <v>0</v>
      </c>
      <c r="Z75" s="298">
        <f t="shared" si="24"/>
        <v>0</v>
      </c>
      <c r="AA75" s="233">
        <f t="shared" si="25"/>
        <v>0</v>
      </c>
      <c r="AB75" s="399">
        <f>SUMIFS('Отчет РПЗ(ПЗ)_ПЗИП'!$W:$W,'Отчет РПЗ(ПЗ)_ПЗИП'!$D:$D,Справочно!$E40,'Отчет РПЗ(ПЗ)_ПЗИП'!$N:$N,"&gt;=01.04.2018",'Отчет РПЗ(ПЗ)_ПЗИП'!$N:$N,"&lt;=30.04.2018",'Отчет РПЗ(ПЗ)_ПЗИП'!$AG:$AG,"&gt;0")</f>
        <v>0</v>
      </c>
      <c r="AC75" s="299">
        <f>SUMIFS('Отчет РПЗ(ПЗ)_ПЗИП'!$AG:$AG,'Отчет РПЗ(ПЗ)_ПЗИП'!$D:$D,Справочно!$E40,'Отчет РПЗ(ПЗ)_ПЗИП'!$AR:$AR,4)</f>
        <v>0</v>
      </c>
      <c r="AD75" s="299" t="str">
        <f t="shared" si="50"/>
        <v>НД</v>
      </c>
      <c r="AE75" s="232" t="str">
        <f t="shared" si="26"/>
        <v>НД</v>
      </c>
      <c r="AF75" s="398">
        <f>SUMIFS('Отчет РПЗ(ПЗ)_ПЗИП'!$W:$W,'Отчет РПЗ(ПЗ)_ПЗИП'!$D:$D,Справочно!$E40,'Отчет РПЗ(ПЗ)_ПЗИП'!$N:$N,"&gt;=01.05.2018",'Отчет РПЗ(ПЗ)_ПЗИП'!$N:$N,"&lt;=31.05.2018",'Отчет РПЗ(ПЗ)_ПЗИП'!$AG:$AG,"&gt;0")</f>
        <v>0</v>
      </c>
      <c r="AG75" s="299">
        <f>SUMIFS('Отчет РПЗ(ПЗ)_ПЗИП'!$AG:$AG,'Отчет РПЗ(ПЗ)_ПЗИП'!$D:$D,Справочно!$E40,'Отчет РПЗ(ПЗ)_ПЗИП'!$AR:$AR,5)</f>
        <v>0</v>
      </c>
      <c r="AH75" s="299" t="str">
        <f t="shared" si="51"/>
        <v>НД</v>
      </c>
      <c r="AI75" s="232" t="str">
        <f t="shared" si="27"/>
        <v>НД</v>
      </c>
      <c r="AJ75" s="398">
        <f>SUMIFS('Отчет РПЗ(ПЗ)_ПЗИП'!$W:$W,'Отчет РПЗ(ПЗ)_ПЗИП'!$D:$D,Справочно!$E40,'Отчет РПЗ(ПЗ)_ПЗИП'!$N:$N,"&gt;=01.06.2018",'Отчет РПЗ(ПЗ)_ПЗИП'!$N:$N,"&lt;=30.06.2018",'Отчет РПЗ(ПЗ)_ПЗИП'!$AG:$AG,"&gt;0")</f>
        <v>0</v>
      </c>
      <c r="AK75" s="299">
        <f>SUMIFS('Отчет РПЗ(ПЗ)_ПЗИП'!$AG:$AG,'Отчет РПЗ(ПЗ)_ПЗИП'!$D:$D,Справочно!$E40,'Отчет РПЗ(ПЗ)_ПЗИП'!$AR:$AR,6)</f>
        <v>0</v>
      </c>
      <c r="AL75" s="299" t="str">
        <f t="shared" si="52"/>
        <v>НД</v>
      </c>
      <c r="AM75" s="232" t="str">
        <f t="shared" si="28"/>
        <v>НД</v>
      </c>
      <c r="AN75" s="393">
        <f t="shared" si="53"/>
        <v>0</v>
      </c>
      <c r="AO75" s="300">
        <f t="shared" si="54"/>
        <v>0</v>
      </c>
      <c r="AP75" s="300">
        <f t="shared" si="29"/>
        <v>0</v>
      </c>
      <c r="AQ75" s="234">
        <f t="shared" si="30"/>
        <v>0</v>
      </c>
      <c r="AR75" s="399">
        <f>SUMIFS('Отчет РПЗ(ПЗ)_ПЗИП'!$W:$W,'Отчет РПЗ(ПЗ)_ПЗИП'!$D:$D,Справочно!$E40,'Отчет РПЗ(ПЗ)_ПЗИП'!$N:$N,"&gt;=01.07.2018",'Отчет РПЗ(ПЗ)_ПЗИП'!$N:$N,"&lt;=31.07.2018",'Отчет РПЗ(ПЗ)_ПЗИП'!$AG:$AG,"&gt;0")</f>
        <v>0</v>
      </c>
      <c r="AS75" s="301">
        <f>SUMIFS('Отчет РПЗ(ПЗ)_ПЗИП'!$AG:$AG,'Отчет РПЗ(ПЗ)_ПЗИП'!$D:$D,Справочно!$E40,'Отчет РПЗ(ПЗ)_ПЗИП'!$AR:$AR,7)</f>
        <v>0</v>
      </c>
      <c r="AT75" s="341" t="str">
        <f t="shared" si="55"/>
        <v>НД</v>
      </c>
      <c r="AU75" s="236" t="str">
        <f t="shared" si="31"/>
        <v>НД</v>
      </c>
      <c r="AV75" s="394">
        <f>SUMIFS('Отчет РПЗ(ПЗ)_ПЗИП'!$W:$W,'Отчет РПЗ(ПЗ)_ПЗИП'!$D:$D,Справочно!$E40,'Отчет РПЗ(ПЗ)_ПЗИП'!$N:$N,"&gt;=01.08.2018",'Отчет РПЗ(ПЗ)_ПЗИП'!$N:$N,"&lt;=31.08.2018",'Отчет РПЗ(ПЗ)_ПЗИП'!$AG:$AG,"&gt;0")</f>
        <v>0</v>
      </c>
      <c r="AW75" s="301">
        <f>SUMIFS('Отчет РПЗ(ПЗ)_ПЗИП'!$AG:$AG,'Отчет РПЗ(ПЗ)_ПЗИП'!$D:$D,Справочно!$E40,'Отчет РПЗ(ПЗ)_ПЗИП'!$AR:$AR,8)</f>
        <v>0</v>
      </c>
      <c r="AX75" s="341" t="str">
        <f t="shared" si="56"/>
        <v>НД</v>
      </c>
      <c r="AY75" s="236" t="str">
        <f t="shared" si="32"/>
        <v>НД</v>
      </c>
      <c r="AZ75" s="394">
        <f>SUMIFS('Отчет РПЗ(ПЗ)_ПЗИП'!$W:$W,'Отчет РПЗ(ПЗ)_ПЗИП'!$D:$D,Справочно!$E40,'Отчет РПЗ(ПЗ)_ПЗИП'!$N:$N,"&gt;=01.09.2018",'Отчет РПЗ(ПЗ)_ПЗИП'!$N:$N,"&lt;=30.09.2018",'Отчет РПЗ(ПЗ)_ПЗИП'!$AG:$AG,"&gt;0")</f>
        <v>0</v>
      </c>
      <c r="BA75" s="301">
        <f>SUMIFS('Отчет РПЗ(ПЗ)_ПЗИП'!$AG:$AG,'Отчет РПЗ(ПЗ)_ПЗИП'!$D:$D,Справочно!$E40,'Отчет РПЗ(ПЗ)_ПЗИП'!$AR:$AR,9)</f>
        <v>0</v>
      </c>
      <c r="BB75" s="341" t="str">
        <f t="shared" si="57"/>
        <v>НД</v>
      </c>
      <c r="BC75" s="236" t="str">
        <f t="shared" si="33"/>
        <v>НД</v>
      </c>
      <c r="BD75" s="393">
        <f t="shared" si="58"/>
        <v>0</v>
      </c>
      <c r="BE75" s="302">
        <f t="shared" si="59"/>
        <v>0</v>
      </c>
      <c r="BF75" s="302">
        <f t="shared" si="34"/>
        <v>0</v>
      </c>
      <c r="BG75" s="238">
        <f t="shared" si="35"/>
        <v>0</v>
      </c>
      <c r="BH75" s="383">
        <f>SUMIFS('Отчет РПЗ(ПЗ)_ПЗИП'!$W:$W,'Отчет РПЗ(ПЗ)_ПЗИП'!$D:$D,Справочно!$E40,'Отчет РПЗ(ПЗ)_ПЗИП'!$N:$N,"&gt;=01.10.2018",'Отчет РПЗ(ПЗ)_ПЗИП'!$N:$N,"&lt;=31.10.2018",'Отчет РПЗ(ПЗ)_ПЗИП'!$AG:$AG,"&gt;0")</f>
        <v>0</v>
      </c>
      <c r="BI75" s="303">
        <f>SUMIFS('Отчет РПЗ(ПЗ)_ПЗИП'!$AG:$AG,'Отчет РПЗ(ПЗ)_ПЗИП'!$D:$D,Справочно!$E40,'Отчет РПЗ(ПЗ)_ПЗИП'!$AR:$AR,10)</f>
        <v>0</v>
      </c>
      <c r="BJ75" s="343" t="str">
        <f t="shared" si="60"/>
        <v>НД</v>
      </c>
      <c r="BK75" s="240" t="str">
        <f t="shared" si="36"/>
        <v>НД</v>
      </c>
      <c r="BL75" s="398">
        <f>SUMIFS('Отчет РПЗ(ПЗ)_ПЗИП'!$W:$W,'Отчет РПЗ(ПЗ)_ПЗИП'!$D:$D,Справочно!$E40,'Отчет РПЗ(ПЗ)_ПЗИП'!$N:$N,"&gt;=01.11.2018",'Отчет РПЗ(ПЗ)_ПЗИП'!$N:$N,"&lt;=30.11.2018",'Отчет РПЗ(ПЗ)_ПЗИП'!$AG:$AG,"&gt;0")</f>
        <v>0</v>
      </c>
      <c r="BM75" s="303">
        <f>SUMIFS('Отчет РПЗ(ПЗ)_ПЗИП'!$AG:$AG,'Отчет РПЗ(ПЗ)_ПЗИП'!$D:$D,Справочно!$E40,'Отчет РПЗ(ПЗ)_ПЗИП'!$AR:$AR,11)</f>
        <v>0</v>
      </c>
      <c r="BN75" s="343" t="str">
        <f t="shared" si="61"/>
        <v>НД</v>
      </c>
      <c r="BO75" s="240" t="str">
        <f t="shared" si="37"/>
        <v>НД</v>
      </c>
      <c r="BP75" s="398">
        <f>SUMIFS('Отчет РПЗ(ПЗ)_ПЗИП'!$W:$W,'Отчет РПЗ(ПЗ)_ПЗИП'!$D:$D,Справочно!$E40,'Отчет РПЗ(ПЗ)_ПЗИП'!$N:$N,"&gt;=01.12.2018",'Отчет РПЗ(ПЗ)_ПЗИП'!$N:$N,"&lt;=31.12.2018",'Отчет РПЗ(ПЗ)_ПЗИП'!$AG:$AG,"&gt;0")</f>
        <v>0</v>
      </c>
      <c r="BQ75" s="303">
        <f>SUMIFS('Отчет РПЗ(ПЗ)_ПЗИП'!$AG:$AG,'Отчет РПЗ(ПЗ)_ПЗИП'!$D:$D,Справочно!$E40,'Отчет РПЗ(ПЗ)_ПЗИП'!$AR:$AR,12)</f>
        <v>0</v>
      </c>
      <c r="BR75" s="343" t="str">
        <f t="shared" si="62"/>
        <v>НД</v>
      </c>
      <c r="BS75" s="242" t="str">
        <f t="shared" si="38"/>
        <v>НД</v>
      </c>
      <c r="BT75" s="393">
        <f t="shared" si="63"/>
        <v>0</v>
      </c>
      <c r="BU75" s="304">
        <f t="shared" si="64"/>
        <v>0</v>
      </c>
      <c r="BV75" s="304">
        <f t="shared" si="39"/>
        <v>0</v>
      </c>
      <c r="BW75" s="243">
        <f t="shared" si="40"/>
        <v>0</v>
      </c>
    </row>
    <row r="76" spans="2:75" ht="13.5" thickBot="1" x14ac:dyDescent="0.25">
      <c r="B76" s="58" t="str">
        <f>Справочно!E41</f>
        <v>АО "РТ-Химические технологии и композиционные материалы"</v>
      </c>
      <c r="C76" s="95">
        <f>ПП!B64</f>
        <v>0</v>
      </c>
      <c r="D76" s="381" t="e">
        <f>ПП!C64</f>
        <v>#DIV/0!</v>
      </c>
      <c r="E76" s="406">
        <f>ПП!D64</f>
        <v>0</v>
      </c>
      <c r="F76" s="272">
        <f>COUNTIFS('Отчет РПЗ(ПЗ)_ПЗИП'!$AG:$AG,"&gt;0",'Отчет РПЗ(ПЗ)_ПЗИП'!$D:$D,Справочно!$E40)</f>
        <v>0</v>
      </c>
      <c r="G76" s="407" t="e">
        <f t="shared" si="41"/>
        <v>#DIV/0!</v>
      </c>
      <c r="H76" s="408">
        <f>SUMIF('Отчет РПЗ(ПЗ)_ПЗИП'!$D:$D,Справочно!$E40,'Отчет РПЗ(ПЗ)_ПЗИП'!$AG:$AG)</f>
        <v>0</v>
      </c>
      <c r="I76" s="428">
        <f t="shared" si="65"/>
        <v>0</v>
      </c>
      <c r="J76" s="478" t="e">
        <f t="shared" si="42"/>
        <v>#DIV/0!</v>
      </c>
      <c r="L76" s="399">
        <f>SUMIFS('Отчет РПЗ(ПЗ)_ПЗИП'!$W:$W,'Отчет РПЗ(ПЗ)_ПЗИП'!$D:$D,Справочно!$E41,'Отчет РПЗ(ПЗ)_ПЗИП'!$N:$N,"&gt;=01.01.2018",'Отчет РПЗ(ПЗ)_ПЗИП'!$N:$N,"&lt;=31.01.2018",'Отчет РПЗ(ПЗ)_ПЗИП'!$AG:$AG,"&gt;0")</f>
        <v>0</v>
      </c>
      <c r="M76" s="297">
        <f>SUMIFS('Отчет РПЗ(ПЗ)_ПЗИП'!$AG:$AG,'Отчет РПЗ(ПЗ)_ПЗИП'!$D:$D,Справочно!$E41,'Отчет РПЗ(ПЗ)_ПЗИП'!$AR:$AR,1)</f>
        <v>0</v>
      </c>
      <c r="N76" s="305" t="str">
        <f t="shared" si="43"/>
        <v>НД</v>
      </c>
      <c r="O76" s="231" t="str">
        <f t="shared" si="44"/>
        <v>НД</v>
      </c>
      <c r="P76" s="394">
        <f>SUMIFS('Отчет РПЗ(ПЗ)_ПЗИП'!$W:$W,'Отчет РПЗ(ПЗ)_ПЗИП'!$D:$D,Справочно!$E41,'Отчет РПЗ(ПЗ)_ПЗИП'!$N:$N,"&gt;=01.02.2018",'Отчет РПЗ(ПЗ)_ПЗИП'!$N:$N,"&lt;=28.02.2018",'Отчет РПЗ(ПЗ)_ПЗИП'!$AG:$AG,"&gt;0")</f>
        <v>0</v>
      </c>
      <c r="Q76" s="297">
        <f>SUMIFS('Отчет РПЗ(ПЗ)_ПЗИП'!$AG:$AG,'Отчет РПЗ(ПЗ)_ПЗИП'!$D:$D,Справочно!$E41,'Отчет РПЗ(ПЗ)_ПЗИП'!$AR:$AR,2)</f>
        <v>0</v>
      </c>
      <c r="R76" s="305" t="str">
        <f t="shared" si="45"/>
        <v>НД</v>
      </c>
      <c r="S76" s="231" t="str">
        <f t="shared" si="46"/>
        <v>НД</v>
      </c>
      <c r="T76" s="394">
        <f>SUMIFS('Отчет РПЗ(ПЗ)_ПЗИП'!$W:$W,'Отчет РПЗ(ПЗ)_ПЗИП'!$D:$D,Справочно!$E41,'Отчет РПЗ(ПЗ)_ПЗИП'!$N:$N,"&gt;=01.03.2018",'Отчет РПЗ(ПЗ)_ПЗИП'!$N:$N,"&lt;=31.03.2018",'Отчет РПЗ(ПЗ)_ПЗИП'!$AG:$AG,"&gt;0")</f>
        <v>0</v>
      </c>
      <c r="U76" s="297">
        <f>SUMIFS('Отчет РПЗ(ПЗ)_ПЗИП'!$AG:$AG,'Отчет РПЗ(ПЗ)_ПЗИП'!$D:$D,Справочно!$E41,'Отчет РПЗ(ПЗ)_ПЗИП'!$AR:$AR,3)</f>
        <v>0</v>
      </c>
      <c r="V76" s="305" t="str">
        <f t="shared" si="47"/>
        <v>НД</v>
      </c>
      <c r="W76" s="231" t="str">
        <f t="shared" si="23"/>
        <v>НД</v>
      </c>
      <c r="X76" s="393">
        <f t="shared" si="48"/>
        <v>0</v>
      </c>
      <c r="Y76" s="298">
        <f t="shared" si="49"/>
        <v>0</v>
      </c>
      <c r="Z76" s="298">
        <f t="shared" si="24"/>
        <v>0</v>
      </c>
      <c r="AA76" s="233">
        <f t="shared" si="25"/>
        <v>0</v>
      </c>
      <c r="AB76" s="399">
        <f>SUMIFS('Отчет РПЗ(ПЗ)_ПЗИП'!$W:$W,'Отчет РПЗ(ПЗ)_ПЗИП'!$D:$D,Справочно!$E41,'Отчет РПЗ(ПЗ)_ПЗИП'!$N:$N,"&gt;=01.04.2018",'Отчет РПЗ(ПЗ)_ПЗИП'!$N:$N,"&lt;=30.04.2018",'Отчет РПЗ(ПЗ)_ПЗИП'!$AG:$AG,"&gt;0")</f>
        <v>0</v>
      </c>
      <c r="AC76" s="299">
        <f>SUMIFS('Отчет РПЗ(ПЗ)_ПЗИП'!$AG:$AG,'Отчет РПЗ(ПЗ)_ПЗИП'!$D:$D,Справочно!$E41,'Отчет РПЗ(ПЗ)_ПЗИП'!$AR:$AR,4)</f>
        <v>0</v>
      </c>
      <c r="AD76" s="299" t="str">
        <f t="shared" si="50"/>
        <v>НД</v>
      </c>
      <c r="AE76" s="232" t="str">
        <f t="shared" si="26"/>
        <v>НД</v>
      </c>
      <c r="AF76" s="398">
        <f>SUMIFS('Отчет РПЗ(ПЗ)_ПЗИП'!$W:$W,'Отчет РПЗ(ПЗ)_ПЗИП'!$D:$D,Справочно!$E41,'Отчет РПЗ(ПЗ)_ПЗИП'!$N:$N,"&gt;=01.05.2018",'Отчет РПЗ(ПЗ)_ПЗИП'!$N:$N,"&lt;=31.05.2018",'Отчет РПЗ(ПЗ)_ПЗИП'!$AG:$AG,"&gt;0")</f>
        <v>0</v>
      </c>
      <c r="AG76" s="299">
        <f>SUMIFS('Отчет РПЗ(ПЗ)_ПЗИП'!$AG:$AG,'Отчет РПЗ(ПЗ)_ПЗИП'!$D:$D,Справочно!$E41,'Отчет РПЗ(ПЗ)_ПЗИП'!$AR:$AR,5)</f>
        <v>0</v>
      </c>
      <c r="AH76" s="299" t="str">
        <f t="shared" si="51"/>
        <v>НД</v>
      </c>
      <c r="AI76" s="232" t="str">
        <f t="shared" si="27"/>
        <v>НД</v>
      </c>
      <c r="AJ76" s="398">
        <f>SUMIFS('Отчет РПЗ(ПЗ)_ПЗИП'!$W:$W,'Отчет РПЗ(ПЗ)_ПЗИП'!$D:$D,Справочно!$E41,'Отчет РПЗ(ПЗ)_ПЗИП'!$N:$N,"&gt;=01.06.2018",'Отчет РПЗ(ПЗ)_ПЗИП'!$N:$N,"&lt;=30.06.2018",'Отчет РПЗ(ПЗ)_ПЗИП'!$AG:$AG,"&gt;0")</f>
        <v>0</v>
      </c>
      <c r="AK76" s="299">
        <f>SUMIFS('Отчет РПЗ(ПЗ)_ПЗИП'!$AG:$AG,'Отчет РПЗ(ПЗ)_ПЗИП'!$D:$D,Справочно!$E41,'Отчет РПЗ(ПЗ)_ПЗИП'!$AR:$AR,6)</f>
        <v>0</v>
      </c>
      <c r="AL76" s="299" t="str">
        <f t="shared" si="52"/>
        <v>НД</v>
      </c>
      <c r="AM76" s="232" t="str">
        <f t="shared" si="28"/>
        <v>НД</v>
      </c>
      <c r="AN76" s="393">
        <f t="shared" si="53"/>
        <v>0</v>
      </c>
      <c r="AO76" s="300">
        <f t="shared" si="54"/>
        <v>0</v>
      </c>
      <c r="AP76" s="300">
        <f t="shared" si="29"/>
        <v>0</v>
      </c>
      <c r="AQ76" s="234">
        <f t="shared" si="30"/>
        <v>0</v>
      </c>
      <c r="AR76" s="399">
        <f>SUMIFS('Отчет РПЗ(ПЗ)_ПЗИП'!$W:$W,'Отчет РПЗ(ПЗ)_ПЗИП'!$D:$D,Справочно!$E41,'Отчет РПЗ(ПЗ)_ПЗИП'!$N:$N,"&gt;=01.07.2018",'Отчет РПЗ(ПЗ)_ПЗИП'!$N:$N,"&lt;=31.07.2018",'Отчет РПЗ(ПЗ)_ПЗИП'!$AG:$AG,"&gt;0")</f>
        <v>0</v>
      </c>
      <c r="AS76" s="301">
        <f>SUMIFS('Отчет РПЗ(ПЗ)_ПЗИП'!$AG:$AG,'Отчет РПЗ(ПЗ)_ПЗИП'!$D:$D,Справочно!$E41,'Отчет РПЗ(ПЗ)_ПЗИП'!$AR:$AR,7)</f>
        <v>0</v>
      </c>
      <c r="AT76" s="341" t="str">
        <f t="shared" si="55"/>
        <v>НД</v>
      </c>
      <c r="AU76" s="236" t="str">
        <f t="shared" si="31"/>
        <v>НД</v>
      </c>
      <c r="AV76" s="394">
        <f>SUMIFS('Отчет РПЗ(ПЗ)_ПЗИП'!$W:$W,'Отчет РПЗ(ПЗ)_ПЗИП'!$D:$D,Справочно!$E41,'Отчет РПЗ(ПЗ)_ПЗИП'!$N:$N,"&gt;=01.08.2018",'Отчет РПЗ(ПЗ)_ПЗИП'!$N:$N,"&lt;=31.08.2018",'Отчет РПЗ(ПЗ)_ПЗИП'!$AG:$AG,"&gt;0")</f>
        <v>0</v>
      </c>
      <c r="AW76" s="301">
        <f>SUMIFS('Отчет РПЗ(ПЗ)_ПЗИП'!$AG:$AG,'Отчет РПЗ(ПЗ)_ПЗИП'!$D:$D,Справочно!$E41,'Отчет РПЗ(ПЗ)_ПЗИП'!$AR:$AR,8)</f>
        <v>0</v>
      </c>
      <c r="AX76" s="341" t="str">
        <f t="shared" si="56"/>
        <v>НД</v>
      </c>
      <c r="AY76" s="236" t="str">
        <f t="shared" si="32"/>
        <v>НД</v>
      </c>
      <c r="AZ76" s="394">
        <f>SUMIFS('Отчет РПЗ(ПЗ)_ПЗИП'!$W:$W,'Отчет РПЗ(ПЗ)_ПЗИП'!$D:$D,Справочно!$E41,'Отчет РПЗ(ПЗ)_ПЗИП'!$N:$N,"&gt;=01.09.2018",'Отчет РПЗ(ПЗ)_ПЗИП'!$N:$N,"&lt;=30.09.2018",'Отчет РПЗ(ПЗ)_ПЗИП'!$AG:$AG,"&gt;0")</f>
        <v>0</v>
      </c>
      <c r="BA76" s="301">
        <f>SUMIFS('Отчет РПЗ(ПЗ)_ПЗИП'!$AG:$AG,'Отчет РПЗ(ПЗ)_ПЗИП'!$D:$D,Справочно!$E41,'Отчет РПЗ(ПЗ)_ПЗИП'!$AR:$AR,9)</f>
        <v>0</v>
      </c>
      <c r="BB76" s="341" t="str">
        <f t="shared" si="57"/>
        <v>НД</v>
      </c>
      <c r="BC76" s="236" t="str">
        <f t="shared" si="33"/>
        <v>НД</v>
      </c>
      <c r="BD76" s="393">
        <f t="shared" si="58"/>
        <v>0</v>
      </c>
      <c r="BE76" s="302">
        <f t="shared" si="59"/>
        <v>0</v>
      </c>
      <c r="BF76" s="302">
        <f t="shared" si="34"/>
        <v>0</v>
      </c>
      <c r="BG76" s="238">
        <f t="shared" si="35"/>
        <v>0</v>
      </c>
      <c r="BH76" s="383">
        <f>SUMIFS('Отчет РПЗ(ПЗ)_ПЗИП'!$W:$W,'Отчет РПЗ(ПЗ)_ПЗИП'!$D:$D,Справочно!$E41,'Отчет РПЗ(ПЗ)_ПЗИП'!$N:$N,"&gt;=01.10.2018",'Отчет РПЗ(ПЗ)_ПЗИП'!$N:$N,"&lt;=31.10.2018",'Отчет РПЗ(ПЗ)_ПЗИП'!$AG:$AG,"&gt;0")</f>
        <v>0</v>
      </c>
      <c r="BI76" s="303">
        <f>SUMIFS('Отчет РПЗ(ПЗ)_ПЗИП'!$AG:$AG,'Отчет РПЗ(ПЗ)_ПЗИП'!$D:$D,Справочно!$E41,'Отчет РПЗ(ПЗ)_ПЗИП'!$AR:$AR,10)</f>
        <v>0</v>
      </c>
      <c r="BJ76" s="343" t="str">
        <f t="shared" si="60"/>
        <v>НД</v>
      </c>
      <c r="BK76" s="240" t="str">
        <f t="shared" si="36"/>
        <v>НД</v>
      </c>
      <c r="BL76" s="398">
        <f>SUMIFS('Отчет РПЗ(ПЗ)_ПЗИП'!$W:$W,'Отчет РПЗ(ПЗ)_ПЗИП'!$D:$D,Справочно!$E41,'Отчет РПЗ(ПЗ)_ПЗИП'!$N:$N,"&gt;=01.11.2018",'Отчет РПЗ(ПЗ)_ПЗИП'!$N:$N,"&lt;=30.11.2018",'Отчет РПЗ(ПЗ)_ПЗИП'!$AG:$AG,"&gt;0")</f>
        <v>0</v>
      </c>
      <c r="BM76" s="303">
        <f>SUMIFS('Отчет РПЗ(ПЗ)_ПЗИП'!$AG:$AG,'Отчет РПЗ(ПЗ)_ПЗИП'!$D:$D,Справочно!$E41,'Отчет РПЗ(ПЗ)_ПЗИП'!$AR:$AR,11)</f>
        <v>0</v>
      </c>
      <c r="BN76" s="343" t="str">
        <f t="shared" si="61"/>
        <v>НД</v>
      </c>
      <c r="BO76" s="240" t="str">
        <f t="shared" si="37"/>
        <v>НД</v>
      </c>
      <c r="BP76" s="398">
        <f>SUMIFS('Отчет РПЗ(ПЗ)_ПЗИП'!$W:$W,'Отчет РПЗ(ПЗ)_ПЗИП'!$D:$D,Справочно!$E41,'Отчет РПЗ(ПЗ)_ПЗИП'!$N:$N,"&gt;=01.12.2018",'Отчет РПЗ(ПЗ)_ПЗИП'!$N:$N,"&lt;=31.12.2018",'Отчет РПЗ(ПЗ)_ПЗИП'!$AG:$AG,"&gt;0")</f>
        <v>0</v>
      </c>
      <c r="BQ76" s="303">
        <f>SUMIFS('Отчет РПЗ(ПЗ)_ПЗИП'!$AG:$AG,'Отчет РПЗ(ПЗ)_ПЗИП'!$D:$D,Справочно!$E41,'Отчет РПЗ(ПЗ)_ПЗИП'!$AR:$AR,12)</f>
        <v>0</v>
      </c>
      <c r="BR76" s="343" t="str">
        <f t="shared" si="62"/>
        <v>НД</v>
      </c>
      <c r="BS76" s="242" t="str">
        <f t="shared" si="38"/>
        <v>НД</v>
      </c>
      <c r="BT76" s="393">
        <f t="shared" si="63"/>
        <v>0</v>
      </c>
      <c r="BU76" s="304">
        <f t="shared" si="64"/>
        <v>0</v>
      </c>
      <c r="BV76" s="304">
        <f t="shared" si="39"/>
        <v>0</v>
      </c>
      <c r="BW76" s="243">
        <f t="shared" si="40"/>
        <v>0</v>
      </c>
    </row>
    <row r="77" spans="2:75" ht="13.5" thickBot="1" x14ac:dyDescent="0.25">
      <c r="B77" s="58" t="str">
        <f>Справочно!E42</f>
        <v>АО "Технодинамика"</v>
      </c>
      <c r="C77" s="95">
        <f>ПП!B65</f>
        <v>0</v>
      </c>
      <c r="D77" s="381" t="e">
        <f>ПП!C65</f>
        <v>#DIV/0!</v>
      </c>
      <c r="E77" s="406">
        <f>ПП!D65</f>
        <v>0</v>
      </c>
      <c r="F77" s="272">
        <f>COUNTIFS('Отчет РПЗ(ПЗ)_ПЗИП'!$AG:$AG,"&gt;0",'Отчет РПЗ(ПЗ)_ПЗИП'!$D:$D,Справочно!$E41)</f>
        <v>0</v>
      </c>
      <c r="G77" s="407" t="e">
        <f t="shared" si="41"/>
        <v>#DIV/0!</v>
      </c>
      <c r="H77" s="408">
        <f>SUMIF('Отчет РПЗ(ПЗ)_ПЗИП'!$D:$D,Справочно!$E41,'Отчет РПЗ(ПЗ)_ПЗИП'!$AG:$AG)</f>
        <v>0</v>
      </c>
      <c r="I77" s="428">
        <f t="shared" si="65"/>
        <v>0</v>
      </c>
      <c r="J77" s="478" t="e">
        <f t="shared" si="42"/>
        <v>#DIV/0!</v>
      </c>
      <c r="L77" s="399">
        <f>SUMIFS('Отчет РПЗ(ПЗ)_ПЗИП'!$W:$W,'Отчет РПЗ(ПЗ)_ПЗИП'!$D:$D,Справочно!$E42,'Отчет РПЗ(ПЗ)_ПЗИП'!$N:$N,"&gt;=01.01.2018",'Отчет РПЗ(ПЗ)_ПЗИП'!$N:$N,"&lt;=31.01.2018",'Отчет РПЗ(ПЗ)_ПЗИП'!$AG:$AG,"&gt;0")</f>
        <v>0</v>
      </c>
      <c r="M77" s="297">
        <f>SUMIFS('Отчет РПЗ(ПЗ)_ПЗИП'!$AG:$AG,'Отчет РПЗ(ПЗ)_ПЗИП'!$D:$D,Справочно!$E42,'Отчет РПЗ(ПЗ)_ПЗИП'!$AR:$AR,1)</f>
        <v>0</v>
      </c>
      <c r="N77" s="305" t="str">
        <f t="shared" si="43"/>
        <v>НД</v>
      </c>
      <c r="O77" s="231" t="str">
        <f t="shared" si="44"/>
        <v>НД</v>
      </c>
      <c r="P77" s="394">
        <f>SUMIFS('Отчет РПЗ(ПЗ)_ПЗИП'!$W:$W,'Отчет РПЗ(ПЗ)_ПЗИП'!$D:$D,Справочно!$E42,'Отчет РПЗ(ПЗ)_ПЗИП'!$N:$N,"&gt;=01.02.2018",'Отчет РПЗ(ПЗ)_ПЗИП'!$N:$N,"&lt;=28.02.2018",'Отчет РПЗ(ПЗ)_ПЗИП'!$AG:$AG,"&gt;0")</f>
        <v>0</v>
      </c>
      <c r="Q77" s="297">
        <f>SUMIFS('Отчет РПЗ(ПЗ)_ПЗИП'!$AG:$AG,'Отчет РПЗ(ПЗ)_ПЗИП'!$D:$D,Справочно!$E42,'Отчет РПЗ(ПЗ)_ПЗИП'!$AR:$AR,2)</f>
        <v>0</v>
      </c>
      <c r="R77" s="305" t="str">
        <f t="shared" si="45"/>
        <v>НД</v>
      </c>
      <c r="S77" s="231" t="str">
        <f t="shared" si="46"/>
        <v>НД</v>
      </c>
      <c r="T77" s="394">
        <f>SUMIFS('Отчет РПЗ(ПЗ)_ПЗИП'!$W:$W,'Отчет РПЗ(ПЗ)_ПЗИП'!$D:$D,Справочно!$E42,'Отчет РПЗ(ПЗ)_ПЗИП'!$N:$N,"&gt;=01.03.2018",'Отчет РПЗ(ПЗ)_ПЗИП'!$N:$N,"&lt;=31.03.2018",'Отчет РПЗ(ПЗ)_ПЗИП'!$AG:$AG,"&gt;0")</f>
        <v>0</v>
      </c>
      <c r="U77" s="297">
        <f>SUMIFS('Отчет РПЗ(ПЗ)_ПЗИП'!$AG:$AG,'Отчет РПЗ(ПЗ)_ПЗИП'!$D:$D,Справочно!$E42,'Отчет РПЗ(ПЗ)_ПЗИП'!$AR:$AR,3)</f>
        <v>0</v>
      </c>
      <c r="V77" s="305" t="str">
        <f t="shared" si="47"/>
        <v>НД</v>
      </c>
      <c r="W77" s="231" t="str">
        <f t="shared" si="23"/>
        <v>НД</v>
      </c>
      <c r="X77" s="393">
        <f t="shared" si="48"/>
        <v>0</v>
      </c>
      <c r="Y77" s="298">
        <f t="shared" si="49"/>
        <v>0</v>
      </c>
      <c r="Z77" s="298">
        <f t="shared" si="24"/>
        <v>0</v>
      </c>
      <c r="AA77" s="233">
        <f t="shared" si="25"/>
        <v>0</v>
      </c>
      <c r="AB77" s="399">
        <f>SUMIFS('Отчет РПЗ(ПЗ)_ПЗИП'!$W:$W,'Отчет РПЗ(ПЗ)_ПЗИП'!$D:$D,Справочно!$E42,'Отчет РПЗ(ПЗ)_ПЗИП'!$N:$N,"&gt;=01.04.2018",'Отчет РПЗ(ПЗ)_ПЗИП'!$N:$N,"&lt;=30.04.2018",'Отчет РПЗ(ПЗ)_ПЗИП'!$AG:$AG,"&gt;0")</f>
        <v>0</v>
      </c>
      <c r="AC77" s="299">
        <f>SUMIFS('Отчет РПЗ(ПЗ)_ПЗИП'!$AG:$AG,'Отчет РПЗ(ПЗ)_ПЗИП'!$D:$D,Справочно!$E42,'Отчет РПЗ(ПЗ)_ПЗИП'!$AR:$AR,4)</f>
        <v>0</v>
      </c>
      <c r="AD77" s="299" t="str">
        <f t="shared" si="50"/>
        <v>НД</v>
      </c>
      <c r="AE77" s="232" t="str">
        <f t="shared" si="26"/>
        <v>НД</v>
      </c>
      <c r="AF77" s="398">
        <f>SUMIFS('Отчет РПЗ(ПЗ)_ПЗИП'!$W:$W,'Отчет РПЗ(ПЗ)_ПЗИП'!$D:$D,Справочно!$E42,'Отчет РПЗ(ПЗ)_ПЗИП'!$N:$N,"&gt;=01.05.2018",'Отчет РПЗ(ПЗ)_ПЗИП'!$N:$N,"&lt;=31.05.2018",'Отчет РПЗ(ПЗ)_ПЗИП'!$AG:$AG,"&gt;0")</f>
        <v>0</v>
      </c>
      <c r="AG77" s="299">
        <f>SUMIFS('Отчет РПЗ(ПЗ)_ПЗИП'!$AG:$AG,'Отчет РПЗ(ПЗ)_ПЗИП'!$D:$D,Справочно!$E42,'Отчет РПЗ(ПЗ)_ПЗИП'!$AR:$AR,5)</f>
        <v>0</v>
      </c>
      <c r="AH77" s="299" t="str">
        <f t="shared" si="51"/>
        <v>НД</v>
      </c>
      <c r="AI77" s="232" t="str">
        <f t="shared" si="27"/>
        <v>НД</v>
      </c>
      <c r="AJ77" s="398">
        <f>SUMIFS('Отчет РПЗ(ПЗ)_ПЗИП'!$W:$W,'Отчет РПЗ(ПЗ)_ПЗИП'!$D:$D,Справочно!$E42,'Отчет РПЗ(ПЗ)_ПЗИП'!$N:$N,"&gt;=01.06.2018",'Отчет РПЗ(ПЗ)_ПЗИП'!$N:$N,"&lt;=30.06.2018",'Отчет РПЗ(ПЗ)_ПЗИП'!$AG:$AG,"&gt;0")</f>
        <v>0</v>
      </c>
      <c r="AK77" s="299">
        <f>SUMIFS('Отчет РПЗ(ПЗ)_ПЗИП'!$AG:$AG,'Отчет РПЗ(ПЗ)_ПЗИП'!$D:$D,Справочно!$E42,'Отчет РПЗ(ПЗ)_ПЗИП'!$AR:$AR,6)</f>
        <v>0</v>
      </c>
      <c r="AL77" s="299" t="str">
        <f t="shared" si="52"/>
        <v>НД</v>
      </c>
      <c r="AM77" s="232" t="str">
        <f t="shared" si="28"/>
        <v>НД</v>
      </c>
      <c r="AN77" s="393">
        <f t="shared" si="53"/>
        <v>0</v>
      </c>
      <c r="AO77" s="300">
        <f t="shared" si="54"/>
        <v>0</v>
      </c>
      <c r="AP77" s="300">
        <f t="shared" si="29"/>
        <v>0</v>
      </c>
      <c r="AQ77" s="234">
        <f t="shared" si="30"/>
        <v>0</v>
      </c>
      <c r="AR77" s="399">
        <f>SUMIFS('Отчет РПЗ(ПЗ)_ПЗИП'!$W:$W,'Отчет РПЗ(ПЗ)_ПЗИП'!$D:$D,Справочно!$E42,'Отчет РПЗ(ПЗ)_ПЗИП'!$N:$N,"&gt;=01.07.2018",'Отчет РПЗ(ПЗ)_ПЗИП'!$N:$N,"&lt;=31.07.2018",'Отчет РПЗ(ПЗ)_ПЗИП'!$AG:$AG,"&gt;0")</f>
        <v>0</v>
      </c>
      <c r="AS77" s="301">
        <f>SUMIFS('Отчет РПЗ(ПЗ)_ПЗИП'!$AG:$AG,'Отчет РПЗ(ПЗ)_ПЗИП'!$D:$D,Справочно!$E42,'Отчет РПЗ(ПЗ)_ПЗИП'!$AR:$AR,7)</f>
        <v>0</v>
      </c>
      <c r="AT77" s="341" t="str">
        <f t="shared" si="55"/>
        <v>НД</v>
      </c>
      <c r="AU77" s="236" t="str">
        <f t="shared" si="31"/>
        <v>НД</v>
      </c>
      <c r="AV77" s="394">
        <f>SUMIFS('Отчет РПЗ(ПЗ)_ПЗИП'!$W:$W,'Отчет РПЗ(ПЗ)_ПЗИП'!$D:$D,Справочно!$E42,'Отчет РПЗ(ПЗ)_ПЗИП'!$N:$N,"&gt;=01.08.2018",'Отчет РПЗ(ПЗ)_ПЗИП'!$N:$N,"&lt;=31.08.2018",'Отчет РПЗ(ПЗ)_ПЗИП'!$AG:$AG,"&gt;0")</f>
        <v>0</v>
      </c>
      <c r="AW77" s="301">
        <f>SUMIFS('Отчет РПЗ(ПЗ)_ПЗИП'!$AG:$AG,'Отчет РПЗ(ПЗ)_ПЗИП'!$D:$D,Справочно!$E42,'Отчет РПЗ(ПЗ)_ПЗИП'!$AR:$AR,8)</f>
        <v>0</v>
      </c>
      <c r="AX77" s="341" t="str">
        <f t="shared" si="56"/>
        <v>НД</v>
      </c>
      <c r="AY77" s="236" t="str">
        <f t="shared" si="32"/>
        <v>НД</v>
      </c>
      <c r="AZ77" s="394">
        <f>SUMIFS('Отчет РПЗ(ПЗ)_ПЗИП'!$W:$W,'Отчет РПЗ(ПЗ)_ПЗИП'!$D:$D,Справочно!$E42,'Отчет РПЗ(ПЗ)_ПЗИП'!$N:$N,"&gt;=01.09.2018",'Отчет РПЗ(ПЗ)_ПЗИП'!$N:$N,"&lt;=30.09.2018",'Отчет РПЗ(ПЗ)_ПЗИП'!$AG:$AG,"&gt;0")</f>
        <v>0</v>
      </c>
      <c r="BA77" s="301">
        <f>SUMIFS('Отчет РПЗ(ПЗ)_ПЗИП'!$AG:$AG,'Отчет РПЗ(ПЗ)_ПЗИП'!$D:$D,Справочно!$E42,'Отчет РПЗ(ПЗ)_ПЗИП'!$AR:$AR,9)</f>
        <v>0</v>
      </c>
      <c r="BB77" s="341" t="str">
        <f t="shared" si="57"/>
        <v>НД</v>
      </c>
      <c r="BC77" s="236" t="str">
        <f t="shared" si="33"/>
        <v>НД</v>
      </c>
      <c r="BD77" s="393">
        <f t="shared" si="58"/>
        <v>0</v>
      </c>
      <c r="BE77" s="302">
        <f t="shared" si="59"/>
        <v>0</v>
      </c>
      <c r="BF77" s="302">
        <f t="shared" si="34"/>
        <v>0</v>
      </c>
      <c r="BG77" s="238">
        <f t="shared" si="35"/>
        <v>0</v>
      </c>
      <c r="BH77" s="383">
        <f>SUMIFS('Отчет РПЗ(ПЗ)_ПЗИП'!$W:$W,'Отчет РПЗ(ПЗ)_ПЗИП'!$D:$D,Справочно!$E42,'Отчет РПЗ(ПЗ)_ПЗИП'!$N:$N,"&gt;=01.10.2018",'Отчет РПЗ(ПЗ)_ПЗИП'!$N:$N,"&lt;=31.10.2018",'Отчет РПЗ(ПЗ)_ПЗИП'!$AG:$AG,"&gt;0")</f>
        <v>0</v>
      </c>
      <c r="BI77" s="303">
        <f>SUMIFS('Отчет РПЗ(ПЗ)_ПЗИП'!$AG:$AG,'Отчет РПЗ(ПЗ)_ПЗИП'!$D:$D,Справочно!$E42,'Отчет РПЗ(ПЗ)_ПЗИП'!$AR:$AR,10)</f>
        <v>0</v>
      </c>
      <c r="BJ77" s="343" t="str">
        <f t="shared" si="60"/>
        <v>НД</v>
      </c>
      <c r="BK77" s="240" t="str">
        <f t="shared" si="36"/>
        <v>НД</v>
      </c>
      <c r="BL77" s="398">
        <f>SUMIFS('Отчет РПЗ(ПЗ)_ПЗИП'!$W:$W,'Отчет РПЗ(ПЗ)_ПЗИП'!$D:$D,Справочно!$E42,'Отчет РПЗ(ПЗ)_ПЗИП'!$N:$N,"&gt;=01.11.2018",'Отчет РПЗ(ПЗ)_ПЗИП'!$N:$N,"&lt;=30.11.2018",'Отчет РПЗ(ПЗ)_ПЗИП'!$AG:$AG,"&gt;0")</f>
        <v>0</v>
      </c>
      <c r="BM77" s="303">
        <f>SUMIFS('Отчет РПЗ(ПЗ)_ПЗИП'!$AG:$AG,'Отчет РПЗ(ПЗ)_ПЗИП'!$D:$D,Справочно!$E42,'Отчет РПЗ(ПЗ)_ПЗИП'!$AR:$AR,11)</f>
        <v>0</v>
      </c>
      <c r="BN77" s="343" t="str">
        <f t="shared" si="61"/>
        <v>НД</v>
      </c>
      <c r="BO77" s="240" t="str">
        <f t="shared" si="37"/>
        <v>НД</v>
      </c>
      <c r="BP77" s="398">
        <f>SUMIFS('Отчет РПЗ(ПЗ)_ПЗИП'!$W:$W,'Отчет РПЗ(ПЗ)_ПЗИП'!$D:$D,Справочно!$E42,'Отчет РПЗ(ПЗ)_ПЗИП'!$N:$N,"&gt;=01.12.2018",'Отчет РПЗ(ПЗ)_ПЗИП'!$N:$N,"&lt;=31.12.2018",'Отчет РПЗ(ПЗ)_ПЗИП'!$AG:$AG,"&gt;0")</f>
        <v>0</v>
      </c>
      <c r="BQ77" s="303">
        <f>SUMIFS('Отчет РПЗ(ПЗ)_ПЗИП'!$AG:$AG,'Отчет РПЗ(ПЗ)_ПЗИП'!$D:$D,Справочно!$E42,'Отчет РПЗ(ПЗ)_ПЗИП'!$AR:$AR,12)</f>
        <v>0</v>
      </c>
      <c r="BR77" s="343" t="str">
        <f t="shared" si="62"/>
        <v>НД</v>
      </c>
      <c r="BS77" s="242" t="str">
        <f t="shared" si="38"/>
        <v>НД</v>
      </c>
      <c r="BT77" s="393">
        <f t="shared" si="63"/>
        <v>0</v>
      </c>
      <c r="BU77" s="304">
        <f t="shared" si="64"/>
        <v>0</v>
      </c>
      <c r="BV77" s="304">
        <f t="shared" si="39"/>
        <v>0</v>
      </c>
      <c r="BW77" s="243">
        <f t="shared" si="40"/>
        <v>0</v>
      </c>
    </row>
    <row r="78" spans="2:75" ht="13.5" thickBot="1" x14ac:dyDescent="0.25">
      <c r="B78" s="58" t="str">
        <f>Справочно!E43</f>
        <v>АО "Швабе"</v>
      </c>
      <c r="C78" s="95">
        <f>ПП!B66</f>
        <v>0</v>
      </c>
      <c r="D78" s="381" t="e">
        <f>ПП!C66</f>
        <v>#DIV/0!</v>
      </c>
      <c r="E78" s="406">
        <f>ПП!D66</f>
        <v>0</v>
      </c>
      <c r="F78" s="272">
        <f>COUNTIFS('Отчет РПЗ(ПЗ)_ПЗИП'!$AG:$AG,"&gt;0",'Отчет РПЗ(ПЗ)_ПЗИП'!$D:$D,Справочно!$E42)</f>
        <v>0</v>
      </c>
      <c r="G78" s="407" t="e">
        <f t="shared" si="41"/>
        <v>#DIV/0!</v>
      </c>
      <c r="H78" s="408">
        <f>SUMIF('Отчет РПЗ(ПЗ)_ПЗИП'!$D:$D,Справочно!$E42,'Отчет РПЗ(ПЗ)_ПЗИП'!$AG:$AG)</f>
        <v>0</v>
      </c>
      <c r="I78" s="428">
        <f t="shared" si="65"/>
        <v>0</v>
      </c>
      <c r="J78" s="478" t="e">
        <f t="shared" si="42"/>
        <v>#DIV/0!</v>
      </c>
      <c r="L78" s="399">
        <f>SUMIFS('Отчет РПЗ(ПЗ)_ПЗИП'!$W:$W,'Отчет РПЗ(ПЗ)_ПЗИП'!$D:$D,Справочно!$E43,'Отчет РПЗ(ПЗ)_ПЗИП'!$N:$N,"&gt;=01.01.2018",'Отчет РПЗ(ПЗ)_ПЗИП'!$N:$N,"&lt;=31.01.2018",'Отчет РПЗ(ПЗ)_ПЗИП'!$AG:$AG,"&gt;0")</f>
        <v>0</v>
      </c>
      <c r="M78" s="297">
        <f>SUMIFS('Отчет РПЗ(ПЗ)_ПЗИП'!$AG:$AG,'Отчет РПЗ(ПЗ)_ПЗИП'!$D:$D,Справочно!$E43,'Отчет РПЗ(ПЗ)_ПЗИП'!$AR:$AR,1)</f>
        <v>0</v>
      </c>
      <c r="N78" s="305" t="str">
        <f t="shared" si="43"/>
        <v>НД</v>
      </c>
      <c r="O78" s="231" t="str">
        <f t="shared" si="44"/>
        <v>НД</v>
      </c>
      <c r="P78" s="394">
        <f>SUMIFS('Отчет РПЗ(ПЗ)_ПЗИП'!$W:$W,'Отчет РПЗ(ПЗ)_ПЗИП'!$D:$D,Справочно!$E43,'Отчет РПЗ(ПЗ)_ПЗИП'!$N:$N,"&gt;=01.02.2018",'Отчет РПЗ(ПЗ)_ПЗИП'!$N:$N,"&lt;=28.02.2018",'Отчет РПЗ(ПЗ)_ПЗИП'!$AG:$AG,"&gt;0")</f>
        <v>0</v>
      </c>
      <c r="Q78" s="297">
        <f>SUMIFS('Отчет РПЗ(ПЗ)_ПЗИП'!$AG:$AG,'Отчет РПЗ(ПЗ)_ПЗИП'!$D:$D,Справочно!$E43,'Отчет РПЗ(ПЗ)_ПЗИП'!$AR:$AR,2)</f>
        <v>0</v>
      </c>
      <c r="R78" s="305" t="str">
        <f t="shared" si="45"/>
        <v>НД</v>
      </c>
      <c r="S78" s="231" t="str">
        <f t="shared" si="46"/>
        <v>НД</v>
      </c>
      <c r="T78" s="394">
        <f>SUMIFS('Отчет РПЗ(ПЗ)_ПЗИП'!$W:$W,'Отчет РПЗ(ПЗ)_ПЗИП'!$D:$D,Справочно!$E43,'Отчет РПЗ(ПЗ)_ПЗИП'!$N:$N,"&gt;=01.03.2018",'Отчет РПЗ(ПЗ)_ПЗИП'!$N:$N,"&lt;=31.03.2018",'Отчет РПЗ(ПЗ)_ПЗИП'!$AG:$AG,"&gt;0")</f>
        <v>0</v>
      </c>
      <c r="U78" s="297">
        <f>SUMIFS('Отчет РПЗ(ПЗ)_ПЗИП'!$AG:$AG,'Отчет РПЗ(ПЗ)_ПЗИП'!$D:$D,Справочно!$E43,'Отчет РПЗ(ПЗ)_ПЗИП'!$AR:$AR,3)</f>
        <v>0</v>
      </c>
      <c r="V78" s="305" t="str">
        <f t="shared" si="47"/>
        <v>НД</v>
      </c>
      <c r="W78" s="231" t="str">
        <f t="shared" si="23"/>
        <v>НД</v>
      </c>
      <c r="X78" s="393">
        <f t="shared" si="48"/>
        <v>0</v>
      </c>
      <c r="Y78" s="298">
        <f t="shared" si="49"/>
        <v>0</v>
      </c>
      <c r="Z78" s="298">
        <f t="shared" si="24"/>
        <v>0</v>
      </c>
      <c r="AA78" s="233">
        <f t="shared" si="25"/>
        <v>0</v>
      </c>
      <c r="AB78" s="399">
        <f>SUMIFS('Отчет РПЗ(ПЗ)_ПЗИП'!$W:$W,'Отчет РПЗ(ПЗ)_ПЗИП'!$D:$D,Справочно!$E43,'Отчет РПЗ(ПЗ)_ПЗИП'!$N:$N,"&gt;=01.04.2018",'Отчет РПЗ(ПЗ)_ПЗИП'!$N:$N,"&lt;=30.04.2018",'Отчет РПЗ(ПЗ)_ПЗИП'!$AG:$AG,"&gt;0")</f>
        <v>0</v>
      </c>
      <c r="AC78" s="299">
        <f>SUMIFS('Отчет РПЗ(ПЗ)_ПЗИП'!$AG:$AG,'Отчет РПЗ(ПЗ)_ПЗИП'!$D:$D,Справочно!$E43,'Отчет РПЗ(ПЗ)_ПЗИП'!$AR:$AR,4)</f>
        <v>0</v>
      </c>
      <c r="AD78" s="299" t="str">
        <f t="shared" si="50"/>
        <v>НД</v>
      </c>
      <c r="AE78" s="232" t="str">
        <f t="shared" si="26"/>
        <v>НД</v>
      </c>
      <c r="AF78" s="398">
        <f>SUMIFS('Отчет РПЗ(ПЗ)_ПЗИП'!$W:$W,'Отчет РПЗ(ПЗ)_ПЗИП'!$D:$D,Справочно!$E43,'Отчет РПЗ(ПЗ)_ПЗИП'!$N:$N,"&gt;=01.05.2018",'Отчет РПЗ(ПЗ)_ПЗИП'!$N:$N,"&lt;=31.05.2018",'Отчет РПЗ(ПЗ)_ПЗИП'!$AG:$AG,"&gt;0")</f>
        <v>0</v>
      </c>
      <c r="AG78" s="299">
        <f>SUMIFS('Отчет РПЗ(ПЗ)_ПЗИП'!$AG:$AG,'Отчет РПЗ(ПЗ)_ПЗИП'!$D:$D,Справочно!$E43,'Отчет РПЗ(ПЗ)_ПЗИП'!$AR:$AR,5)</f>
        <v>0</v>
      </c>
      <c r="AH78" s="299" t="str">
        <f t="shared" si="51"/>
        <v>НД</v>
      </c>
      <c r="AI78" s="232" t="str">
        <f t="shared" si="27"/>
        <v>НД</v>
      </c>
      <c r="AJ78" s="398">
        <f>SUMIFS('Отчет РПЗ(ПЗ)_ПЗИП'!$W:$W,'Отчет РПЗ(ПЗ)_ПЗИП'!$D:$D,Справочно!$E43,'Отчет РПЗ(ПЗ)_ПЗИП'!$N:$N,"&gt;=01.06.2018",'Отчет РПЗ(ПЗ)_ПЗИП'!$N:$N,"&lt;=30.06.2018",'Отчет РПЗ(ПЗ)_ПЗИП'!$AG:$AG,"&gt;0")</f>
        <v>0</v>
      </c>
      <c r="AK78" s="299">
        <f>SUMIFS('Отчет РПЗ(ПЗ)_ПЗИП'!$AG:$AG,'Отчет РПЗ(ПЗ)_ПЗИП'!$D:$D,Справочно!$E43,'Отчет РПЗ(ПЗ)_ПЗИП'!$AR:$AR,6)</f>
        <v>0</v>
      </c>
      <c r="AL78" s="299" t="str">
        <f t="shared" si="52"/>
        <v>НД</v>
      </c>
      <c r="AM78" s="232" t="str">
        <f t="shared" si="28"/>
        <v>НД</v>
      </c>
      <c r="AN78" s="393">
        <f t="shared" si="53"/>
        <v>0</v>
      </c>
      <c r="AO78" s="300">
        <f t="shared" si="54"/>
        <v>0</v>
      </c>
      <c r="AP78" s="300">
        <f t="shared" si="29"/>
        <v>0</v>
      </c>
      <c r="AQ78" s="234">
        <f t="shared" si="30"/>
        <v>0</v>
      </c>
      <c r="AR78" s="399">
        <f>SUMIFS('Отчет РПЗ(ПЗ)_ПЗИП'!$W:$W,'Отчет РПЗ(ПЗ)_ПЗИП'!$D:$D,Справочно!$E43,'Отчет РПЗ(ПЗ)_ПЗИП'!$N:$N,"&gt;=01.07.2018",'Отчет РПЗ(ПЗ)_ПЗИП'!$N:$N,"&lt;=31.07.2018",'Отчет РПЗ(ПЗ)_ПЗИП'!$AG:$AG,"&gt;0")</f>
        <v>0</v>
      </c>
      <c r="AS78" s="301">
        <f>SUMIFS('Отчет РПЗ(ПЗ)_ПЗИП'!$AG:$AG,'Отчет РПЗ(ПЗ)_ПЗИП'!$D:$D,Справочно!$E43,'Отчет РПЗ(ПЗ)_ПЗИП'!$AR:$AR,7)</f>
        <v>0</v>
      </c>
      <c r="AT78" s="341" t="str">
        <f t="shared" si="55"/>
        <v>НД</v>
      </c>
      <c r="AU78" s="236" t="str">
        <f t="shared" si="31"/>
        <v>НД</v>
      </c>
      <c r="AV78" s="394">
        <f>SUMIFS('Отчет РПЗ(ПЗ)_ПЗИП'!$W:$W,'Отчет РПЗ(ПЗ)_ПЗИП'!$D:$D,Справочно!$E43,'Отчет РПЗ(ПЗ)_ПЗИП'!$N:$N,"&gt;=01.08.2018",'Отчет РПЗ(ПЗ)_ПЗИП'!$N:$N,"&lt;=31.08.2018",'Отчет РПЗ(ПЗ)_ПЗИП'!$AG:$AG,"&gt;0")</f>
        <v>0</v>
      </c>
      <c r="AW78" s="301">
        <f>SUMIFS('Отчет РПЗ(ПЗ)_ПЗИП'!$AG:$AG,'Отчет РПЗ(ПЗ)_ПЗИП'!$D:$D,Справочно!$E43,'Отчет РПЗ(ПЗ)_ПЗИП'!$AR:$AR,8)</f>
        <v>0</v>
      </c>
      <c r="AX78" s="341" t="str">
        <f t="shared" si="56"/>
        <v>НД</v>
      </c>
      <c r="AY78" s="236" t="str">
        <f t="shared" si="32"/>
        <v>НД</v>
      </c>
      <c r="AZ78" s="394">
        <f>SUMIFS('Отчет РПЗ(ПЗ)_ПЗИП'!$W:$W,'Отчет РПЗ(ПЗ)_ПЗИП'!$D:$D,Справочно!$E43,'Отчет РПЗ(ПЗ)_ПЗИП'!$N:$N,"&gt;=01.09.2018",'Отчет РПЗ(ПЗ)_ПЗИП'!$N:$N,"&lt;=30.09.2018",'Отчет РПЗ(ПЗ)_ПЗИП'!$AG:$AG,"&gt;0")</f>
        <v>0</v>
      </c>
      <c r="BA78" s="301">
        <f>SUMIFS('Отчет РПЗ(ПЗ)_ПЗИП'!$AG:$AG,'Отчет РПЗ(ПЗ)_ПЗИП'!$D:$D,Справочно!$E43,'Отчет РПЗ(ПЗ)_ПЗИП'!$AR:$AR,9)</f>
        <v>0</v>
      </c>
      <c r="BB78" s="341" t="str">
        <f t="shared" si="57"/>
        <v>НД</v>
      </c>
      <c r="BC78" s="236" t="str">
        <f t="shared" si="33"/>
        <v>НД</v>
      </c>
      <c r="BD78" s="393">
        <f t="shared" si="58"/>
        <v>0</v>
      </c>
      <c r="BE78" s="302">
        <f t="shared" si="59"/>
        <v>0</v>
      </c>
      <c r="BF78" s="302">
        <f t="shared" si="34"/>
        <v>0</v>
      </c>
      <c r="BG78" s="238">
        <f t="shared" si="35"/>
        <v>0</v>
      </c>
      <c r="BH78" s="383">
        <f>SUMIFS('Отчет РПЗ(ПЗ)_ПЗИП'!$W:$W,'Отчет РПЗ(ПЗ)_ПЗИП'!$D:$D,Справочно!$E43,'Отчет РПЗ(ПЗ)_ПЗИП'!$N:$N,"&gt;=01.10.2018",'Отчет РПЗ(ПЗ)_ПЗИП'!$N:$N,"&lt;=31.10.2018",'Отчет РПЗ(ПЗ)_ПЗИП'!$AG:$AG,"&gt;0")</f>
        <v>0</v>
      </c>
      <c r="BI78" s="303">
        <f>SUMIFS('Отчет РПЗ(ПЗ)_ПЗИП'!$AG:$AG,'Отчет РПЗ(ПЗ)_ПЗИП'!$D:$D,Справочно!$E43,'Отчет РПЗ(ПЗ)_ПЗИП'!$AR:$AR,10)</f>
        <v>0</v>
      </c>
      <c r="BJ78" s="343" t="str">
        <f t="shared" si="60"/>
        <v>НД</v>
      </c>
      <c r="BK78" s="240" t="str">
        <f t="shared" si="36"/>
        <v>НД</v>
      </c>
      <c r="BL78" s="398">
        <f>SUMIFS('Отчет РПЗ(ПЗ)_ПЗИП'!$W:$W,'Отчет РПЗ(ПЗ)_ПЗИП'!$D:$D,Справочно!$E43,'Отчет РПЗ(ПЗ)_ПЗИП'!$N:$N,"&gt;=01.11.2018",'Отчет РПЗ(ПЗ)_ПЗИП'!$N:$N,"&lt;=30.11.2018",'Отчет РПЗ(ПЗ)_ПЗИП'!$AG:$AG,"&gt;0")</f>
        <v>0</v>
      </c>
      <c r="BM78" s="303">
        <f>SUMIFS('Отчет РПЗ(ПЗ)_ПЗИП'!$AG:$AG,'Отчет РПЗ(ПЗ)_ПЗИП'!$D:$D,Справочно!$E43,'Отчет РПЗ(ПЗ)_ПЗИП'!$AR:$AR,11)</f>
        <v>0</v>
      </c>
      <c r="BN78" s="343" t="str">
        <f t="shared" si="61"/>
        <v>НД</v>
      </c>
      <c r="BO78" s="240" t="str">
        <f t="shared" si="37"/>
        <v>НД</v>
      </c>
      <c r="BP78" s="398">
        <f>SUMIFS('Отчет РПЗ(ПЗ)_ПЗИП'!$W:$W,'Отчет РПЗ(ПЗ)_ПЗИП'!$D:$D,Справочно!$E43,'Отчет РПЗ(ПЗ)_ПЗИП'!$N:$N,"&gt;=01.12.2018",'Отчет РПЗ(ПЗ)_ПЗИП'!$N:$N,"&lt;=31.12.2018",'Отчет РПЗ(ПЗ)_ПЗИП'!$AG:$AG,"&gt;0")</f>
        <v>0</v>
      </c>
      <c r="BQ78" s="303">
        <f>SUMIFS('Отчет РПЗ(ПЗ)_ПЗИП'!$AG:$AG,'Отчет РПЗ(ПЗ)_ПЗИП'!$D:$D,Справочно!$E43,'Отчет РПЗ(ПЗ)_ПЗИП'!$AR:$AR,12)</f>
        <v>0</v>
      </c>
      <c r="BR78" s="343" t="str">
        <f t="shared" si="62"/>
        <v>НД</v>
      </c>
      <c r="BS78" s="242" t="str">
        <f t="shared" si="38"/>
        <v>НД</v>
      </c>
      <c r="BT78" s="393">
        <f t="shared" si="63"/>
        <v>0</v>
      </c>
      <c r="BU78" s="304">
        <f t="shared" si="64"/>
        <v>0</v>
      </c>
      <c r="BV78" s="304">
        <f t="shared" si="39"/>
        <v>0</v>
      </c>
      <c r="BW78" s="243">
        <f t="shared" si="40"/>
        <v>0</v>
      </c>
    </row>
    <row r="79" spans="2:75" ht="13.5" thickBot="1" x14ac:dyDescent="0.25">
      <c r="B79" s="58" t="str">
        <f>Справочно!E44</f>
        <v>АО "Вертолеты России"</v>
      </c>
      <c r="C79" s="95">
        <f>ПП!B67</f>
        <v>0</v>
      </c>
      <c r="D79" s="381" t="e">
        <f>ПП!C67</f>
        <v>#DIV/0!</v>
      </c>
      <c r="E79" s="406">
        <f>ПП!D67</f>
        <v>0</v>
      </c>
      <c r="F79" s="272">
        <f>COUNTIFS('Отчет РПЗ(ПЗ)_ПЗИП'!$AG:$AG,"&gt;0",'Отчет РПЗ(ПЗ)_ПЗИП'!$D:$D,Справочно!$E43)</f>
        <v>0</v>
      </c>
      <c r="G79" s="407" t="e">
        <f t="shared" si="41"/>
        <v>#DIV/0!</v>
      </c>
      <c r="H79" s="408">
        <f>SUMIF('Отчет РПЗ(ПЗ)_ПЗИП'!$D:$D,Справочно!$E43,'Отчет РПЗ(ПЗ)_ПЗИП'!$AG:$AG)</f>
        <v>0</v>
      </c>
      <c r="I79" s="428">
        <f t="shared" si="65"/>
        <v>0</v>
      </c>
      <c r="J79" s="478" t="e">
        <f t="shared" si="42"/>
        <v>#DIV/0!</v>
      </c>
      <c r="L79" s="399">
        <f>SUMIFS('Отчет РПЗ(ПЗ)_ПЗИП'!$W:$W,'Отчет РПЗ(ПЗ)_ПЗИП'!$D:$D,Справочно!$E44,'Отчет РПЗ(ПЗ)_ПЗИП'!$N:$N,"&gt;=01.01.2018",'Отчет РПЗ(ПЗ)_ПЗИП'!$N:$N,"&lt;=31.01.2018",'Отчет РПЗ(ПЗ)_ПЗИП'!$AG:$AG,"&gt;0")</f>
        <v>0</v>
      </c>
      <c r="M79" s="297">
        <f>SUMIFS('Отчет РПЗ(ПЗ)_ПЗИП'!$AG:$AG,'Отчет РПЗ(ПЗ)_ПЗИП'!$D:$D,Справочно!$E44,'Отчет РПЗ(ПЗ)_ПЗИП'!$AR:$AR,1)</f>
        <v>0</v>
      </c>
      <c r="N79" s="305" t="str">
        <f t="shared" si="43"/>
        <v>НД</v>
      </c>
      <c r="O79" s="231" t="str">
        <f t="shared" si="44"/>
        <v>НД</v>
      </c>
      <c r="P79" s="394">
        <f>SUMIFS('Отчет РПЗ(ПЗ)_ПЗИП'!$W:$W,'Отчет РПЗ(ПЗ)_ПЗИП'!$D:$D,Справочно!$E44,'Отчет РПЗ(ПЗ)_ПЗИП'!$N:$N,"&gt;=01.02.2018",'Отчет РПЗ(ПЗ)_ПЗИП'!$N:$N,"&lt;=28.02.2018",'Отчет РПЗ(ПЗ)_ПЗИП'!$AG:$AG,"&gt;0")</f>
        <v>0</v>
      </c>
      <c r="Q79" s="297">
        <f>SUMIFS('Отчет РПЗ(ПЗ)_ПЗИП'!$AG:$AG,'Отчет РПЗ(ПЗ)_ПЗИП'!$D:$D,Справочно!$E44,'Отчет РПЗ(ПЗ)_ПЗИП'!$AR:$AR,2)</f>
        <v>0</v>
      </c>
      <c r="R79" s="305" t="str">
        <f t="shared" si="45"/>
        <v>НД</v>
      </c>
      <c r="S79" s="231" t="str">
        <f t="shared" si="46"/>
        <v>НД</v>
      </c>
      <c r="T79" s="394">
        <f>SUMIFS('Отчет РПЗ(ПЗ)_ПЗИП'!$W:$W,'Отчет РПЗ(ПЗ)_ПЗИП'!$D:$D,Справочно!$E44,'Отчет РПЗ(ПЗ)_ПЗИП'!$N:$N,"&gt;=01.03.2018",'Отчет РПЗ(ПЗ)_ПЗИП'!$N:$N,"&lt;=31.03.2018",'Отчет РПЗ(ПЗ)_ПЗИП'!$AG:$AG,"&gt;0")</f>
        <v>0</v>
      </c>
      <c r="U79" s="297">
        <f>SUMIFS('Отчет РПЗ(ПЗ)_ПЗИП'!$AG:$AG,'Отчет РПЗ(ПЗ)_ПЗИП'!$D:$D,Справочно!$E44,'Отчет РПЗ(ПЗ)_ПЗИП'!$AR:$AR,3)</f>
        <v>0</v>
      </c>
      <c r="V79" s="305" t="str">
        <f t="shared" si="47"/>
        <v>НД</v>
      </c>
      <c r="W79" s="231" t="str">
        <f t="shared" si="23"/>
        <v>НД</v>
      </c>
      <c r="X79" s="393">
        <f t="shared" si="48"/>
        <v>0</v>
      </c>
      <c r="Y79" s="298">
        <f t="shared" si="49"/>
        <v>0</v>
      </c>
      <c r="Z79" s="298">
        <f t="shared" si="24"/>
        <v>0</v>
      </c>
      <c r="AA79" s="233">
        <f>IF(Y79=0,0, IF((Z79="НД"),"НД",Z79/X79))</f>
        <v>0</v>
      </c>
      <c r="AB79" s="399">
        <f>SUMIFS('Отчет РПЗ(ПЗ)_ПЗИП'!$W:$W,'Отчет РПЗ(ПЗ)_ПЗИП'!$D:$D,Справочно!$E44,'Отчет РПЗ(ПЗ)_ПЗИП'!$N:$N,"&gt;=01.04.2018",'Отчет РПЗ(ПЗ)_ПЗИП'!$N:$N,"&lt;=30.04.2018",'Отчет РПЗ(ПЗ)_ПЗИП'!$AG:$AG,"&gt;0")</f>
        <v>0</v>
      </c>
      <c r="AC79" s="299">
        <f>SUMIFS('Отчет РПЗ(ПЗ)_ПЗИП'!$AG:$AG,'Отчет РПЗ(ПЗ)_ПЗИП'!$D:$D,Справочно!$E44,'Отчет РПЗ(ПЗ)_ПЗИП'!$AR:$AR,4)</f>
        <v>0</v>
      </c>
      <c r="AD79" s="299" t="str">
        <f t="shared" si="50"/>
        <v>НД</v>
      </c>
      <c r="AE79" s="232" t="str">
        <f t="shared" si="26"/>
        <v>НД</v>
      </c>
      <c r="AF79" s="398">
        <f>SUMIFS('Отчет РПЗ(ПЗ)_ПЗИП'!$W:$W,'Отчет РПЗ(ПЗ)_ПЗИП'!$D:$D,Справочно!$E44,'Отчет РПЗ(ПЗ)_ПЗИП'!$N:$N,"&gt;=01.05.2018",'Отчет РПЗ(ПЗ)_ПЗИП'!$N:$N,"&lt;=31.05.2018",'Отчет РПЗ(ПЗ)_ПЗИП'!$AG:$AG,"&gt;0")</f>
        <v>0</v>
      </c>
      <c r="AG79" s="299">
        <f>SUMIFS('Отчет РПЗ(ПЗ)_ПЗИП'!$AG:$AG,'Отчет РПЗ(ПЗ)_ПЗИП'!$D:$D,Справочно!$E44,'Отчет РПЗ(ПЗ)_ПЗИП'!$AR:$AR,5)</f>
        <v>0</v>
      </c>
      <c r="AH79" s="299" t="str">
        <f t="shared" si="51"/>
        <v>НД</v>
      </c>
      <c r="AI79" s="232" t="str">
        <f t="shared" si="27"/>
        <v>НД</v>
      </c>
      <c r="AJ79" s="398">
        <f>SUMIFS('Отчет РПЗ(ПЗ)_ПЗИП'!$W:$W,'Отчет РПЗ(ПЗ)_ПЗИП'!$D:$D,Справочно!$E44,'Отчет РПЗ(ПЗ)_ПЗИП'!$N:$N,"&gt;=01.06.2018",'Отчет РПЗ(ПЗ)_ПЗИП'!$N:$N,"&lt;=30.06.2018",'Отчет РПЗ(ПЗ)_ПЗИП'!$AG:$AG,"&gt;0")</f>
        <v>0</v>
      </c>
      <c r="AK79" s="299">
        <f>SUMIFS('Отчет РПЗ(ПЗ)_ПЗИП'!$AG:$AG,'Отчет РПЗ(ПЗ)_ПЗИП'!$D:$D,Справочно!$E44,'Отчет РПЗ(ПЗ)_ПЗИП'!$AR:$AR,6)</f>
        <v>0</v>
      </c>
      <c r="AL79" s="299" t="str">
        <f t="shared" si="52"/>
        <v>НД</v>
      </c>
      <c r="AM79" s="232" t="str">
        <f t="shared" si="28"/>
        <v>НД</v>
      </c>
      <c r="AN79" s="393">
        <f t="shared" si="53"/>
        <v>0</v>
      </c>
      <c r="AO79" s="300">
        <f t="shared" si="54"/>
        <v>0</v>
      </c>
      <c r="AP79" s="300">
        <f t="shared" si="29"/>
        <v>0</v>
      </c>
      <c r="AQ79" s="234">
        <f t="shared" si="30"/>
        <v>0</v>
      </c>
      <c r="AR79" s="399">
        <f>SUMIFS('Отчет РПЗ(ПЗ)_ПЗИП'!$W:$W,'Отчет РПЗ(ПЗ)_ПЗИП'!$D:$D,Справочно!$E44,'Отчет РПЗ(ПЗ)_ПЗИП'!$N:$N,"&gt;=01.07.2018",'Отчет РПЗ(ПЗ)_ПЗИП'!$N:$N,"&lt;=31.07.2018",'Отчет РПЗ(ПЗ)_ПЗИП'!$AG:$AG,"&gt;0")</f>
        <v>0</v>
      </c>
      <c r="AS79" s="301">
        <f>SUMIFS('Отчет РПЗ(ПЗ)_ПЗИП'!$AG:$AG,'Отчет РПЗ(ПЗ)_ПЗИП'!$D:$D,Справочно!$E44,'Отчет РПЗ(ПЗ)_ПЗИП'!$AR:$AR,7)</f>
        <v>0</v>
      </c>
      <c r="AT79" s="341" t="str">
        <f t="shared" si="55"/>
        <v>НД</v>
      </c>
      <c r="AU79" s="236" t="str">
        <f t="shared" si="31"/>
        <v>НД</v>
      </c>
      <c r="AV79" s="394">
        <f>SUMIFS('Отчет РПЗ(ПЗ)_ПЗИП'!$W:$W,'Отчет РПЗ(ПЗ)_ПЗИП'!$D:$D,Справочно!$E44,'Отчет РПЗ(ПЗ)_ПЗИП'!$N:$N,"&gt;=01.08.2018",'Отчет РПЗ(ПЗ)_ПЗИП'!$N:$N,"&lt;=31.08.2018",'Отчет РПЗ(ПЗ)_ПЗИП'!$AG:$AG,"&gt;0")</f>
        <v>0</v>
      </c>
      <c r="AW79" s="301">
        <f>SUMIFS('Отчет РПЗ(ПЗ)_ПЗИП'!$AG:$AG,'Отчет РПЗ(ПЗ)_ПЗИП'!$D:$D,Справочно!$E44,'Отчет РПЗ(ПЗ)_ПЗИП'!$AR:$AR,8)</f>
        <v>0</v>
      </c>
      <c r="AX79" s="341" t="str">
        <f t="shared" si="56"/>
        <v>НД</v>
      </c>
      <c r="AY79" s="236" t="str">
        <f t="shared" si="32"/>
        <v>НД</v>
      </c>
      <c r="AZ79" s="394">
        <f>SUMIFS('Отчет РПЗ(ПЗ)_ПЗИП'!$W:$W,'Отчет РПЗ(ПЗ)_ПЗИП'!$D:$D,Справочно!$E44,'Отчет РПЗ(ПЗ)_ПЗИП'!$N:$N,"&gt;=01.09.2018",'Отчет РПЗ(ПЗ)_ПЗИП'!$N:$N,"&lt;=30.09.2018",'Отчет РПЗ(ПЗ)_ПЗИП'!$AG:$AG,"&gt;0")</f>
        <v>0</v>
      </c>
      <c r="BA79" s="301">
        <f>SUMIFS('Отчет РПЗ(ПЗ)_ПЗИП'!$AG:$AG,'Отчет РПЗ(ПЗ)_ПЗИП'!$D:$D,Справочно!$E44,'Отчет РПЗ(ПЗ)_ПЗИП'!$AR:$AR,9)</f>
        <v>0</v>
      </c>
      <c r="BB79" s="341" t="str">
        <f t="shared" si="57"/>
        <v>НД</v>
      </c>
      <c r="BC79" s="236" t="str">
        <f t="shared" si="33"/>
        <v>НД</v>
      </c>
      <c r="BD79" s="393">
        <f t="shared" si="58"/>
        <v>0</v>
      </c>
      <c r="BE79" s="302">
        <f t="shared" si="59"/>
        <v>0</v>
      </c>
      <c r="BF79" s="302">
        <f t="shared" si="34"/>
        <v>0</v>
      </c>
      <c r="BG79" s="238">
        <f t="shared" si="35"/>
        <v>0</v>
      </c>
      <c r="BH79" s="383">
        <f>SUMIFS('Отчет РПЗ(ПЗ)_ПЗИП'!$W:$W,'Отчет РПЗ(ПЗ)_ПЗИП'!$D:$D,Справочно!$E44,'Отчет РПЗ(ПЗ)_ПЗИП'!$N:$N,"&gt;=01.10.2018",'Отчет РПЗ(ПЗ)_ПЗИП'!$N:$N,"&lt;=31.10.2018",'Отчет РПЗ(ПЗ)_ПЗИП'!$AG:$AG,"&gt;0")</f>
        <v>0</v>
      </c>
      <c r="BI79" s="303">
        <f>SUMIFS('Отчет РПЗ(ПЗ)_ПЗИП'!$AG:$AG,'Отчет РПЗ(ПЗ)_ПЗИП'!$D:$D,Справочно!$E44,'Отчет РПЗ(ПЗ)_ПЗИП'!$AR:$AR,10)</f>
        <v>0</v>
      </c>
      <c r="BJ79" s="343" t="str">
        <f t="shared" si="60"/>
        <v>НД</v>
      </c>
      <c r="BK79" s="240" t="str">
        <f t="shared" si="36"/>
        <v>НД</v>
      </c>
      <c r="BL79" s="398">
        <f>SUMIFS('Отчет РПЗ(ПЗ)_ПЗИП'!$W:$W,'Отчет РПЗ(ПЗ)_ПЗИП'!$D:$D,Справочно!$E44,'Отчет РПЗ(ПЗ)_ПЗИП'!$N:$N,"&gt;=01.11.2018",'Отчет РПЗ(ПЗ)_ПЗИП'!$N:$N,"&lt;=30.11.2018",'Отчет РПЗ(ПЗ)_ПЗИП'!$AG:$AG,"&gt;0")</f>
        <v>0</v>
      </c>
      <c r="BM79" s="303">
        <f>SUMIFS('Отчет РПЗ(ПЗ)_ПЗИП'!$AG:$AG,'Отчет РПЗ(ПЗ)_ПЗИП'!$D:$D,Справочно!$E44,'Отчет РПЗ(ПЗ)_ПЗИП'!$AR:$AR,11)</f>
        <v>0</v>
      </c>
      <c r="BN79" s="343" t="str">
        <f t="shared" si="61"/>
        <v>НД</v>
      </c>
      <c r="BO79" s="240" t="str">
        <f t="shared" si="37"/>
        <v>НД</v>
      </c>
      <c r="BP79" s="398">
        <f>SUMIFS('Отчет РПЗ(ПЗ)_ПЗИП'!$W:$W,'Отчет РПЗ(ПЗ)_ПЗИП'!$D:$D,Справочно!$E44,'Отчет РПЗ(ПЗ)_ПЗИП'!$N:$N,"&gt;=01.12.2018",'Отчет РПЗ(ПЗ)_ПЗИП'!$N:$N,"&lt;=31.12.2018",'Отчет РПЗ(ПЗ)_ПЗИП'!$AG:$AG,"&gt;0")</f>
        <v>0</v>
      </c>
      <c r="BQ79" s="303">
        <f>SUMIFS('Отчет РПЗ(ПЗ)_ПЗИП'!$AG:$AG,'Отчет РПЗ(ПЗ)_ПЗИП'!$D:$D,Справочно!$E44,'Отчет РПЗ(ПЗ)_ПЗИП'!$AR:$AR,12)</f>
        <v>0</v>
      </c>
      <c r="BR79" s="343" t="str">
        <f t="shared" si="62"/>
        <v>НД</v>
      </c>
      <c r="BS79" s="242" t="str">
        <f t="shared" si="38"/>
        <v>НД</v>
      </c>
      <c r="BT79" s="393">
        <f t="shared" si="63"/>
        <v>0</v>
      </c>
      <c r="BU79" s="304">
        <f t="shared" si="64"/>
        <v>0</v>
      </c>
      <c r="BV79" s="304">
        <f t="shared" si="39"/>
        <v>0</v>
      </c>
      <c r="BW79" s="243">
        <f t="shared" si="40"/>
        <v>0</v>
      </c>
    </row>
    <row r="80" spans="2:75" ht="13.5" thickBot="1" x14ac:dyDescent="0.25">
      <c r="B80" s="58" t="str">
        <f>Справочно!E45</f>
        <v>Заказчик</v>
      </c>
      <c r="C80" s="95">
        <f>ПП!B68</f>
        <v>0</v>
      </c>
      <c r="D80" s="381" t="e">
        <f>ПП!C68</f>
        <v>#DIV/0!</v>
      </c>
      <c r="E80" s="406">
        <f>ПП!D68</f>
        <v>0</v>
      </c>
      <c r="F80" s="272">
        <f>COUNTIFS('Отчет РПЗ(ПЗ)_ПЗИП'!$AG:$AG,"&gt;0",'Отчет РПЗ(ПЗ)_ПЗИП'!$D:$D,Справочно!$E44)</f>
        <v>0</v>
      </c>
      <c r="G80" s="407" t="e">
        <f t="shared" si="41"/>
        <v>#DIV/0!</v>
      </c>
      <c r="H80" s="408">
        <f>SUMIF('Отчет РПЗ(ПЗ)_ПЗИП'!$D:$D,Справочно!$E44,'Отчет РПЗ(ПЗ)_ПЗИП'!$AG:$AG)</f>
        <v>0</v>
      </c>
      <c r="I80" s="428">
        <f>(IF($D$3=1,Z80,0)+IF($D$3=2,Z80+AP80,0)+IF($D$3=3,Z80+AP80+BF80,0)+IF($D$3=4,Z80+AP80+BF80+BV80,0))</f>
        <v>0</v>
      </c>
      <c r="J80" s="478" t="e">
        <f>I80/(X80+AN80+BD80+BT80)</f>
        <v>#DIV/0!</v>
      </c>
      <c r="L80" s="399">
        <f>SUMIFS('Отчет РПЗ(ПЗ)_ПЗИП'!$W:$W,'Отчет РПЗ(ПЗ)_ПЗИП'!$D:$D,Справочно!$E45,'Отчет РПЗ(ПЗ)_ПЗИП'!$N:$N,"&gt;=01.01.2018",'Отчет РПЗ(ПЗ)_ПЗИП'!$N:$N,"&lt;=31.01.2018",'Отчет РПЗ(ПЗ)_ПЗИП'!$AG:$AG,"&gt;0")</f>
        <v>0</v>
      </c>
      <c r="M80" s="297">
        <f>SUMIFS('Отчет РПЗ(ПЗ)_ПЗИП'!$AG:$AG,'Отчет РПЗ(ПЗ)_ПЗИП'!$D:$D,Справочно!$E45,'Отчет РПЗ(ПЗ)_ПЗИП'!$AR:$AR,1)</f>
        <v>0</v>
      </c>
      <c r="N80" s="305" t="str">
        <f t="shared" si="43"/>
        <v>НД</v>
      </c>
      <c r="O80" s="231" t="str">
        <f t="shared" si="44"/>
        <v>НД</v>
      </c>
      <c r="P80" s="395">
        <f>SUMIFS('Отчет РПЗ(ПЗ)_ПЗИП'!$W:$W,'Отчет РПЗ(ПЗ)_ПЗИП'!$D:$D,Справочно!$E45,'Отчет РПЗ(ПЗ)_ПЗИП'!$N:$N,"&gt;=01.02.2018",'Отчет РПЗ(ПЗ)_ПЗИП'!$N:$N,"&lt;=28.02.2018",'Отчет РПЗ(ПЗ)_ПЗИП'!$AG:$AG,"&gt;0")</f>
        <v>0</v>
      </c>
      <c r="Q80" s="297">
        <f>SUMIFS('Отчет РПЗ(ПЗ)_ПЗИП'!$AG:$AG,'Отчет РПЗ(ПЗ)_ПЗИП'!$D:$D,Справочно!$E45,'Отчет РПЗ(ПЗ)_ПЗИП'!$AR:$AR,2)</f>
        <v>0</v>
      </c>
      <c r="R80" s="305" t="str">
        <f t="shared" si="45"/>
        <v>НД</v>
      </c>
      <c r="S80" s="231" t="str">
        <f t="shared" si="46"/>
        <v>НД</v>
      </c>
      <c r="T80" s="400">
        <f>SUMIFS('Отчет РПЗ(ПЗ)_ПЗИП'!$W:$W,'Отчет РПЗ(ПЗ)_ПЗИП'!$D:$D,Справочно!$E45,'Отчет РПЗ(ПЗ)_ПЗИП'!$N:$N,"&gt;=01.03.2018",'Отчет РПЗ(ПЗ)_ПЗИП'!$N:$N,"&lt;=31.03.2018",'Отчет РПЗ(ПЗ)_ПЗИП'!$AG:$AG,"&gt;0")</f>
        <v>0</v>
      </c>
      <c r="U80" s="297">
        <f>SUMIFS('Отчет РПЗ(ПЗ)_ПЗИП'!$AG:$AG,'Отчет РПЗ(ПЗ)_ПЗИП'!$D:$D,Справочно!$E45,'Отчет РПЗ(ПЗ)_ПЗИП'!$AR:$AR,3)</f>
        <v>0</v>
      </c>
      <c r="V80" s="305" t="str">
        <f t="shared" si="47"/>
        <v>НД</v>
      </c>
      <c r="W80" s="231" t="str">
        <f t="shared" si="23"/>
        <v>НД</v>
      </c>
      <c r="X80" s="393">
        <f t="shared" si="48"/>
        <v>0</v>
      </c>
      <c r="Y80" s="298">
        <f t="shared" si="49"/>
        <v>0</v>
      </c>
      <c r="Z80" s="298">
        <f t="shared" si="24"/>
        <v>0</v>
      </c>
      <c r="AA80" s="233">
        <f>IF(Y80=0,0, IF((Z80="НД"),"НД",Z80/X80))</f>
        <v>0</v>
      </c>
      <c r="AB80" s="401">
        <f>SUMIFS('Отчет РПЗ(ПЗ)_ПЗИП'!$W:$W,'Отчет РПЗ(ПЗ)_ПЗИП'!$D:$D,Справочно!$E45,'Отчет РПЗ(ПЗ)_ПЗИП'!$N:$N,"&gt;=01.04.2018",'Отчет РПЗ(ПЗ)_ПЗИП'!$N:$N,"&lt;=30.04.2018",'Отчет РПЗ(ПЗ)_ПЗИП'!$AG:$AG,"&gt;0")</f>
        <v>0</v>
      </c>
      <c r="AC80" s="299">
        <f>SUMIFS('Отчет РПЗ(ПЗ)_ПЗИП'!$AG:$AG,'Отчет РПЗ(ПЗ)_ПЗИП'!$D:$D,Справочно!$E45,'Отчет РПЗ(ПЗ)_ПЗИП'!$AR:$AR,4)</f>
        <v>0</v>
      </c>
      <c r="AD80" s="299" t="str">
        <f t="shared" si="50"/>
        <v>НД</v>
      </c>
      <c r="AE80" s="232" t="str">
        <f t="shared" si="26"/>
        <v>НД</v>
      </c>
      <c r="AF80" s="398">
        <f>SUMIFS('Отчет РПЗ(ПЗ)_ПЗИП'!$W:$W,'Отчет РПЗ(ПЗ)_ПЗИП'!$D:$D,Справочно!$E45,'Отчет РПЗ(ПЗ)_ПЗИП'!$N:$N,"&gt;=01.05.2018",'Отчет РПЗ(ПЗ)_ПЗИП'!$N:$N,"&lt;=31.05.2018",'Отчет РПЗ(ПЗ)_ПЗИП'!$AG:$AG,"&gt;0")</f>
        <v>0</v>
      </c>
      <c r="AG80" s="299">
        <f>SUMIFS('Отчет РПЗ(ПЗ)_ПЗИП'!$AG:$AG,'Отчет РПЗ(ПЗ)_ПЗИП'!$D:$D,Справочно!$E45,'Отчет РПЗ(ПЗ)_ПЗИП'!$AR:$AR,5)</f>
        <v>0</v>
      </c>
      <c r="AH80" s="299" t="str">
        <f t="shared" si="51"/>
        <v>НД</v>
      </c>
      <c r="AI80" s="232" t="str">
        <f t="shared" si="27"/>
        <v>НД</v>
      </c>
      <c r="AJ80" s="398">
        <f>SUMIFS('Отчет РПЗ(ПЗ)_ПЗИП'!$W:$W,'Отчет РПЗ(ПЗ)_ПЗИП'!$D:$D,Справочно!$E45,'Отчет РПЗ(ПЗ)_ПЗИП'!$N:$N,"&gt;=01.06.2018",'Отчет РПЗ(ПЗ)_ПЗИП'!$N:$N,"&lt;=30.06.2018",'Отчет РПЗ(ПЗ)_ПЗИП'!$AG:$AG,"&gt;0")</f>
        <v>0</v>
      </c>
      <c r="AK80" s="299">
        <f>SUMIFS('Отчет РПЗ(ПЗ)_ПЗИП'!$AG:$AG,'Отчет РПЗ(ПЗ)_ПЗИП'!$D:$D,Справочно!$E45,'Отчет РПЗ(ПЗ)_ПЗИП'!$AR:$AR,6)</f>
        <v>0</v>
      </c>
      <c r="AL80" s="299" t="str">
        <f t="shared" si="52"/>
        <v>НД</v>
      </c>
      <c r="AM80" s="232" t="str">
        <f t="shared" si="28"/>
        <v>НД</v>
      </c>
      <c r="AN80" s="393">
        <f t="shared" si="53"/>
        <v>0</v>
      </c>
      <c r="AO80" s="300">
        <f t="shared" si="54"/>
        <v>0</v>
      </c>
      <c r="AP80" s="300">
        <f t="shared" si="29"/>
        <v>0</v>
      </c>
      <c r="AQ80" s="234">
        <f t="shared" si="30"/>
        <v>0</v>
      </c>
      <c r="AR80" s="401">
        <f>SUMIFS('Отчет РПЗ(ПЗ)_ПЗИП'!$W:$W,'Отчет РПЗ(ПЗ)_ПЗИП'!$D:$D,Справочно!$E45,'Отчет РПЗ(ПЗ)_ПЗИП'!$N:$N,"&gt;=01.07.2018",'Отчет РПЗ(ПЗ)_ПЗИП'!$N:$N,"&lt;=31.07.2018",'Отчет РПЗ(ПЗ)_ПЗИП'!$AG:$AG,"&gt;0")</f>
        <v>0</v>
      </c>
      <c r="AS80" s="301">
        <f>SUMIFS('Отчет РПЗ(ПЗ)_ПЗИП'!$AG:$AG,'Отчет РПЗ(ПЗ)_ПЗИП'!$D:$D,Справочно!$E45,'Отчет РПЗ(ПЗ)_ПЗИП'!$AR:$AR,7)</f>
        <v>0</v>
      </c>
      <c r="AT80" s="341" t="str">
        <f t="shared" si="55"/>
        <v>НД</v>
      </c>
      <c r="AU80" s="236" t="str">
        <f t="shared" si="31"/>
        <v>НД</v>
      </c>
      <c r="AV80" s="395">
        <f>SUMIFS('Отчет РПЗ(ПЗ)_ПЗИП'!$W:$W,'Отчет РПЗ(ПЗ)_ПЗИП'!$D:$D,Справочно!$E45,'Отчет РПЗ(ПЗ)_ПЗИП'!$N:$N,"&gt;=01.08.2018",'Отчет РПЗ(ПЗ)_ПЗИП'!$N:$N,"&lt;=31.08.2018",'Отчет РПЗ(ПЗ)_ПЗИП'!$AG:$AG,"&gt;0")</f>
        <v>0</v>
      </c>
      <c r="AW80" s="301">
        <f>SUMIFS('Отчет РПЗ(ПЗ)_ПЗИП'!$AG:$AG,'Отчет РПЗ(ПЗ)_ПЗИП'!$D:$D,Справочно!$E45,'Отчет РПЗ(ПЗ)_ПЗИП'!$AR:$AR,8)</f>
        <v>0</v>
      </c>
      <c r="AX80" s="341" t="str">
        <f t="shared" si="56"/>
        <v>НД</v>
      </c>
      <c r="AY80" s="236" t="str">
        <f t="shared" si="32"/>
        <v>НД</v>
      </c>
      <c r="AZ80" s="395">
        <f>SUMIFS('Отчет РПЗ(ПЗ)_ПЗИП'!$W:$W,'Отчет РПЗ(ПЗ)_ПЗИП'!$D:$D,Справочно!$E45,'Отчет РПЗ(ПЗ)_ПЗИП'!$N:$N,"&gt;=01.09.2018",'Отчет РПЗ(ПЗ)_ПЗИП'!$N:$N,"&lt;=30.09.2018",'Отчет РПЗ(ПЗ)_ПЗИП'!$AG:$AG,"&gt;0")</f>
        <v>0</v>
      </c>
      <c r="BA80" s="301">
        <f>SUMIFS('Отчет РПЗ(ПЗ)_ПЗИП'!$AG:$AG,'Отчет РПЗ(ПЗ)_ПЗИП'!$D:$D,Справочно!$E45,'Отчет РПЗ(ПЗ)_ПЗИП'!$AR:$AR,9)</f>
        <v>0</v>
      </c>
      <c r="BB80" s="341" t="str">
        <f t="shared" si="57"/>
        <v>НД</v>
      </c>
      <c r="BC80" s="236" t="str">
        <f t="shared" si="33"/>
        <v>НД</v>
      </c>
      <c r="BD80" s="393">
        <f t="shared" si="58"/>
        <v>0</v>
      </c>
      <c r="BE80" s="302">
        <f t="shared" si="59"/>
        <v>0</v>
      </c>
      <c r="BF80" s="302">
        <f t="shared" si="34"/>
        <v>0</v>
      </c>
      <c r="BG80" s="238">
        <f t="shared" si="35"/>
        <v>0</v>
      </c>
      <c r="BH80" s="383">
        <f>SUMIFS('Отчет РПЗ(ПЗ)_ПЗИП'!$W:$W,'Отчет РПЗ(ПЗ)_ПЗИП'!$D:$D,Справочно!$E45,'Отчет РПЗ(ПЗ)_ПЗИП'!$N:$N,"&gt;=01.10.2018",'Отчет РПЗ(ПЗ)_ПЗИП'!$N:$N,"&lt;=31.10.2018",'Отчет РПЗ(ПЗ)_ПЗИП'!$AG:$AG,"&gt;0")</f>
        <v>0</v>
      </c>
      <c r="BI80" s="303">
        <f>SUMIFS('Отчет РПЗ(ПЗ)_ПЗИП'!$AG:$AG,'Отчет РПЗ(ПЗ)_ПЗИП'!$D:$D,Справочно!$E45,'Отчет РПЗ(ПЗ)_ПЗИП'!$AR:$AR,10)</f>
        <v>0</v>
      </c>
      <c r="BJ80" s="343" t="str">
        <f t="shared" si="60"/>
        <v>НД</v>
      </c>
      <c r="BK80" s="240" t="str">
        <f t="shared" si="36"/>
        <v>НД</v>
      </c>
      <c r="BL80" s="398">
        <f>SUMIFS('Отчет РПЗ(ПЗ)_ПЗИП'!$W:$W,'Отчет РПЗ(ПЗ)_ПЗИП'!$D:$D,Справочно!$E45,'Отчет РПЗ(ПЗ)_ПЗИП'!$N:$N,"&gt;=01.11.2018",'Отчет РПЗ(ПЗ)_ПЗИП'!$N:$N,"&lt;=30.11.2018",'Отчет РПЗ(ПЗ)_ПЗИП'!$AG:$AG,"&gt;0")</f>
        <v>0</v>
      </c>
      <c r="BM80" s="303">
        <f>SUMIFS('Отчет РПЗ(ПЗ)_ПЗИП'!$AG:$AG,'Отчет РПЗ(ПЗ)_ПЗИП'!$D:$D,Справочно!$E45,'Отчет РПЗ(ПЗ)_ПЗИП'!$AR:$AR,11)</f>
        <v>0</v>
      </c>
      <c r="BN80" s="343" t="str">
        <f t="shared" si="61"/>
        <v>НД</v>
      </c>
      <c r="BO80" s="240" t="str">
        <f t="shared" si="37"/>
        <v>НД</v>
      </c>
      <c r="BP80" s="398">
        <f>SUMIFS('Отчет РПЗ(ПЗ)_ПЗИП'!$W:$W,'Отчет РПЗ(ПЗ)_ПЗИП'!$D:$D,Справочно!$E45,'Отчет РПЗ(ПЗ)_ПЗИП'!$N:$N,"&gt;=01.12.2018",'Отчет РПЗ(ПЗ)_ПЗИП'!$N:$N,"&lt;=31.12.2018",'Отчет РПЗ(ПЗ)_ПЗИП'!$AG:$AG,"&gt;0")</f>
        <v>0</v>
      </c>
      <c r="BQ80" s="303">
        <f>SUMIFS('Отчет РПЗ(ПЗ)_ПЗИП'!$AG:$AG,'Отчет РПЗ(ПЗ)_ПЗИП'!$D:$D,Справочно!$E45,'Отчет РПЗ(ПЗ)_ПЗИП'!$AR:$AR,12)</f>
        <v>0</v>
      </c>
      <c r="BR80" s="343" t="str">
        <f t="shared" si="62"/>
        <v>НД</v>
      </c>
      <c r="BS80" s="242" t="str">
        <f t="shared" si="38"/>
        <v>НД</v>
      </c>
      <c r="BT80" s="393">
        <f t="shared" si="63"/>
        <v>0</v>
      </c>
      <c r="BU80" s="304">
        <f t="shared" si="64"/>
        <v>0</v>
      </c>
      <c r="BV80" s="304">
        <f t="shared" si="39"/>
        <v>0</v>
      </c>
      <c r="BW80" s="243">
        <f t="shared" si="40"/>
        <v>0</v>
      </c>
    </row>
    <row r="81" spans="2:75" ht="13.5" thickBot="1" x14ac:dyDescent="0.25">
      <c r="B81" s="73" t="s">
        <v>242</v>
      </c>
      <c r="C81" s="290">
        <f t="shared" ref="C81:H81" si="66">SUM(C56:C80)</f>
        <v>0</v>
      </c>
      <c r="D81" s="386" t="e">
        <f t="shared" si="66"/>
        <v>#DIV/0!</v>
      </c>
      <c r="E81" s="409">
        <f t="shared" si="66"/>
        <v>0</v>
      </c>
      <c r="F81" s="380">
        <f t="shared" si="66"/>
        <v>0</v>
      </c>
      <c r="G81" s="410" t="e">
        <f t="shared" si="41"/>
        <v>#DIV/0!</v>
      </c>
      <c r="H81" s="411">
        <f t="shared" si="66"/>
        <v>0</v>
      </c>
      <c r="I81" s="411">
        <f t="shared" ref="I81" si="67">(IF($D$3=1,Z81,0)+IF($D$3=2,Z81+AP81,0)+IF($D$3=3,Z81+AP81+BF81,0)+IF($D$3=4,Z81+AP81+BF81+BV81,0))</f>
        <v>0</v>
      </c>
      <c r="J81" s="256" t="e">
        <f>I81/(X81+AN81+BD81+BT81)</f>
        <v>#DIV/0!</v>
      </c>
      <c r="L81" s="402">
        <f t="shared" ref="L81:AO81" si="68">SUM(L56:L80)</f>
        <v>0</v>
      </c>
      <c r="M81" s="403">
        <f t="shared" si="68"/>
        <v>0</v>
      </c>
      <c r="N81" s="403" t="str">
        <f t="shared" si="43"/>
        <v>НД</v>
      </c>
      <c r="O81" s="270" t="str">
        <f t="shared" si="44"/>
        <v>НД</v>
      </c>
      <c r="P81" s="404">
        <f t="shared" si="68"/>
        <v>0</v>
      </c>
      <c r="Q81" s="403">
        <f>SUM(Q56:Q80)</f>
        <v>0</v>
      </c>
      <c r="R81" s="403" t="str">
        <f t="shared" si="45"/>
        <v>НД</v>
      </c>
      <c r="S81" s="270" t="str">
        <f t="shared" si="46"/>
        <v>НД</v>
      </c>
      <c r="T81" s="404">
        <f t="shared" si="68"/>
        <v>0</v>
      </c>
      <c r="U81" s="403">
        <f t="shared" si="68"/>
        <v>0</v>
      </c>
      <c r="V81" s="403" t="str">
        <f t="shared" si="47"/>
        <v>НД</v>
      </c>
      <c r="W81" s="271" t="str">
        <f t="shared" si="23"/>
        <v>НД</v>
      </c>
      <c r="X81" s="405">
        <f t="shared" si="68"/>
        <v>0</v>
      </c>
      <c r="Y81" s="370">
        <f t="shared" si="68"/>
        <v>0</v>
      </c>
      <c r="Z81" s="403">
        <f t="shared" si="24"/>
        <v>0</v>
      </c>
      <c r="AA81" s="256">
        <f>IF(Y81=0, 0, IF((Z81="НД"),"НД",Z81/X81))</f>
        <v>0</v>
      </c>
      <c r="AB81" s="402">
        <f t="shared" si="68"/>
        <v>0</v>
      </c>
      <c r="AC81" s="403">
        <f t="shared" si="68"/>
        <v>0</v>
      </c>
      <c r="AD81" s="403" t="str">
        <f t="shared" si="50"/>
        <v>НД</v>
      </c>
      <c r="AE81" s="257" t="str">
        <f t="shared" si="26"/>
        <v>НД</v>
      </c>
      <c r="AF81" s="404">
        <f t="shared" si="68"/>
        <v>0</v>
      </c>
      <c r="AG81" s="403">
        <f t="shared" si="68"/>
        <v>0</v>
      </c>
      <c r="AH81" s="403" t="str">
        <f>IF(AG81=0,"НД",AF81-AG81)</f>
        <v>НД</v>
      </c>
      <c r="AI81" s="257" t="str">
        <f t="shared" si="27"/>
        <v>НД</v>
      </c>
      <c r="AJ81" s="404">
        <f t="shared" si="68"/>
        <v>0</v>
      </c>
      <c r="AK81" s="403">
        <f t="shared" si="68"/>
        <v>0</v>
      </c>
      <c r="AL81" s="403" t="str">
        <f>IF(AK81=0,"НД",AJ81-AK81)</f>
        <v>НД</v>
      </c>
      <c r="AM81" s="258" t="str">
        <f t="shared" si="28"/>
        <v>НД</v>
      </c>
      <c r="AN81" s="405">
        <f t="shared" si="68"/>
        <v>0</v>
      </c>
      <c r="AO81" s="370">
        <f t="shared" si="68"/>
        <v>0</v>
      </c>
      <c r="AP81" s="370">
        <f t="shared" si="29"/>
        <v>0</v>
      </c>
      <c r="AQ81" s="259">
        <f t="shared" si="30"/>
        <v>0</v>
      </c>
      <c r="AR81" s="402">
        <f t="shared" ref="AR81:BU81" si="69">SUM(AR56:AR80)</f>
        <v>0</v>
      </c>
      <c r="AS81" s="403">
        <f t="shared" si="69"/>
        <v>0</v>
      </c>
      <c r="AT81" s="403" t="str">
        <f>IF(AS81=0,"НД",AR81-AS81)</f>
        <v>НД</v>
      </c>
      <c r="AU81" s="260" t="str">
        <f t="shared" si="31"/>
        <v>НД</v>
      </c>
      <c r="AV81" s="404">
        <f t="shared" si="69"/>
        <v>0</v>
      </c>
      <c r="AW81" s="403">
        <f t="shared" si="69"/>
        <v>0</v>
      </c>
      <c r="AX81" s="403" t="str">
        <f>IF(AW81=0,"НД",AV81-AW81)</f>
        <v>НД</v>
      </c>
      <c r="AY81" s="260" t="str">
        <f t="shared" si="32"/>
        <v>НД</v>
      </c>
      <c r="AZ81" s="404">
        <f t="shared" si="69"/>
        <v>0</v>
      </c>
      <c r="BA81" s="403">
        <f t="shared" si="69"/>
        <v>0</v>
      </c>
      <c r="BB81" s="403" t="str">
        <f>IF(BA81=0,"НД",AZ81-BA81)</f>
        <v>НД</v>
      </c>
      <c r="BC81" s="260" t="str">
        <f t="shared" si="33"/>
        <v>НД</v>
      </c>
      <c r="BD81" s="405">
        <f t="shared" si="69"/>
        <v>0</v>
      </c>
      <c r="BE81" s="370">
        <f>SUM(BE56:BE80)</f>
        <v>0</v>
      </c>
      <c r="BF81" s="370">
        <f t="shared" si="34"/>
        <v>0</v>
      </c>
      <c r="BG81" s="259" t="str">
        <f>IF(BE81=0, "НД", IF((BF81="НД"),0,BF81/BD81))</f>
        <v>НД</v>
      </c>
      <c r="BH81" s="402">
        <f t="shared" si="69"/>
        <v>0</v>
      </c>
      <c r="BI81" s="403">
        <f t="shared" si="69"/>
        <v>0</v>
      </c>
      <c r="BJ81" s="403" t="str">
        <f>IF(BI81=0,"НД",BH81-BI81)</f>
        <v>НД</v>
      </c>
      <c r="BK81" s="260" t="str">
        <f t="shared" si="36"/>
        <v>НД</v>
      </c>
      <c r="BL81" s="404">
        <f t="shared" si="69"/>
        <v>0</v>
      </c>
      <c r="BM81" s="403">
        <f t="shared" si="69"/>
        <v>0</v>
      </c>
      <c r="BN81" s="403" t="str">
        <f>IF(BM81=0,"НД",BL81-BM81)</f>
        <v>НД</v>
      </c>
      <c r="BO81" s="260" t="str">
        <f t="shared" si="37"/>
        <v>НД</v>
      </c>
      <c r="BP81" s="404">
        <f t="shared" si="69"/>
        <v>0</v>
      </c>
      <c r="BQ81" s="403">
        <f t="shared" si="69"/>
        <v>0</v>
      </c>
      <c r="BR81" s="403" t="str">
        <f>IF(BQ81=0,"НД",BP81-BQ81)</f>
        <v>НД</v>
      </c>
      <c r="BS81" s="258" t="str">
        <f t="shared" si="38"/>
        <v>НД</v>
      </c>
      <c r="BT81" s="405">
        <f t="shared" si="69"/>
        <v>0</v>
      </c>
      <c r="BU81" s="370">
        <f t="shared" si="69"/>
        <v>0</v>
      </c>
      <c r="BV81" s="403">
        <f t="shared" si="39"/>
        <v>0</v>
      </c>
      <c r="BW81" s="259">
        <f t="shared" si="40"/>
        <v>0</v>
      </c>
    </row>
    <row r="82" spans="2:75" ht="36.75" customHeight="1" thickBot="1" x14ac:dyDescent="0.3">
      <c r="B82" s="801" t="s">
        <v>711</v>
      </c>
      <c r="C82" s="801"/>
      <c r="D82" s="801"/>
      <c r="E82" s="801"/>
      <c r="F82" s="801"/>
      <c r="G82" s="803"/>
      <c r="H82" s="803"/>
      <c r="I82" s="803"/>
      <c r="J82" s="803"/>
      <c r="L82" s="262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263"/>
      <c r="AQ82" s="264"/>
      <c r="BG82" s="264"/>
      <c r="BW82" s="264"/>
    </row>
    <row r="83" spans="2:75" ht="27.75" customHeight="1" thickBot="1" x14ac:dyDescent="0.25">
      <c r="B83" s="745" t="s">
        <v>245</v>
      </c>
      <c r="C83" s="253" t="s">
        <v>289</v>
      </c>
      <c r="D83" s="253" t="s">
        <v>240</v>
      </c>
      <c r="E83" s="254" t="s">
        <v>289</v>
      </c>
      <c r="F83" s="261" t="s">
        <v>241</v>
      </c>
      <c r="G83" s="253" t="s">
        <v>288</v>
      </c>
      <c r="H83" s="253" t="s">
        <v>243</v>
      </c>
      <c r="I83" s="253" t="s">
        <v>26</v>
      </c>
      <c r="J83" s="253" t="s">
        <v>679</v>
      </c>
      <c r="L83" s="652" t="s">
        <v>289</v>
      </c>
      <c r="M83" s="741"/>
      <c r="N83" s="741" t="s">
        <v>288</v>
      </c>
      <c r="O83" s="741"/>
      <c r="P83" s="741" t="s">
        <v>289</v>
      </c>
      <c r="Q83" s="741"/>
      <c r="R83" s="741" t="s">
        <v>288</v>
      </c>
      <c r="S83" s="741"/>
      <c r="T83" s="741" t="s">
        <v>289</v>
      </c>
      <c r="U83" s="741"/>
      <c r="V83" s="741" t="s">
        <v>288</v>
      </c>
      <c r="W83" s="653"/>
      <c r="X83" s="747" t="s">
        <v>289</v>
      </c>
      <c r="Y83" s="747"/>
      <c r="Z83" s="747" t="s">
        <v>288</v>
      </c>
      <c r="AA83" s="747"/>
      <c r="AB83" s="652" t="s">
        <v>289</v>
      </c>
      <c r="AC83" s="741"/>
      <c r="AD83" s="741" t="s">
        <v>288</v>
      </c>
      <c r="AE83" s="741"/>
      <c r="AF83" s="741" t="s">
        <v>289</v>
      </c>
      <c r="AG83" s="741"/>
      <c r="AH83" s="741" t="s">
        <v>288</v>
      </c>
      <c r="AI83" s="741"/>
      <c r="AJ83" s="741" t="s">
        <v>289</v>
      </c>
      <c r="AK83" s="741"/>
      <c r="AL83" s="741" t="s">
        <v>288</v>
      </c>
      <c r="AM83" s="653"/>
      <c r="AN83" s="747" t="s">
        <v>289</v>
      </c>
      <c r="AO83" s="747"/>
      <c r="AP83" s="747" t="s">
        <v>288</v>
      </c>
      <c r="AQ83" s="747"/>
      <c r="AR83" s="652" t="s">
        <v>289</v>
      </c>
      <c r="AS83" s="741"/>
      <c r="AT83" s="741" t="s">
        <v>288</v>
      </c>
      <c r="AU83" s="741"/>
      <c r="AV83" s="741" t="s">
        <v>289</v>
      </c>
      <c r="AW83" s="741"/>
      <c r="AX83" s="741" t="s">
        <v>288</v>
      </c>
      <c r="AY83" s="741"/>
      <c r="AZ83" s="741" t="s">
        <v>289</v>
      </c>
      <c r="BA83" s="741"/>
      <c r="BB83" s="741" t="s">
        <v>288</v>
      </c>
      <c r="BC83" s="653"/>
      <c r="BD83" s="747" t="s">
        <v>289</v>
      </c>
      <c r="BE83" s="747"/>
      <c r="BF83" s="747" t="s">
        <v>288</v>
      </c>
      <c r="BG83" s="747"/>
      <c r="BH83" s="652" t="s">
        <v>289</v>
      </c>
      <c r="BI83" s="741"/>
      <c r="BJ83" s="741" t="s">
        <v>288</v>
      </c>
      <c r="BK83" s="741"/>
      <c r="BL83" s="741" t="s">
        <v>289</v>
      </c>
      <c r="BM83" s="741"/>
      <c r="BN83" s="741" t="s">
        <v>288</v>
      </c>
      <c r="BO83" s="741"/>
      <c r="BP83" s="741" t="s">
        <v>289</v>
      </c>
      <c r="BQ83" s="741"/>
      <c r="BR83" s="741" t="s">
        <v>288</v>
      </c>
      <c r="BS83" s="653"/>
      <c r="BT83" s="747" t="s">
        <v>289</v>
      </c>
      <c r="BU83" s="747"/>
      <c r="BV83" s="747" t="s">
        <v>288</v>
      </c>
      <c r="BW83" s="747"/>
    </row>
    <row r="84" spans="2:75" ht="13.5" customHeight="1" thickBot="1" x14ac:dyDescent="0.25">
      <c r="B84" s="746"/>
      <c r="C84" s="738" t="s">
        <v>40</v>
      </c>
      <c r="D84" s="739"/>
      <c r="E84" s="748" t="s">
        <v>247</v>
      </c>
      <c r="F84" s="742"/>
      <c r="G84" s="748" t="s">
        <v>40</v>
      </c>
      <c r="H84" s="749"/>
      <c r="I84" s="750" t="s">
        <v>247</v>
      </c>
      <c r="J84" s="749"/>
      <c r="L84" s="250" t="s">
        <v>40</v>
      </c>
      <c r="M84" s="247" t="s">
        <v>247</v>
      </c>
      <c r="N84" s="247" t="s">
        <v>40</v>
      </c>
      <c r="O84" s="247" t="s">
        <v>247</v>
      </c>
      <c r="P84" s="247" t="s">
        <v>40</v>
      </c>
      <c r="Q84" s="247" t="s">
        <v>247</v>
      </c>
      <c r="R84" s="247" t="s">
        <v>40</v>
      </c>
      <c r="S84" s="247" t="s">
        <v>247</v>
      </c>
      <c r="T84" s="247" t="s">
        <v>40</v>
      </c>
      <c r="U84" s="247" t="s">
        <v>247</v>
      </c>
      <c r="V84" s="247" t="s">
        <v>40</v>
      </c>
      <c r="W84" s="248" t="s">
        <v>247</v>
      </c>
      <c r="X84" s="251" t="s">
        <v>40</v>
      </c>
      <c r="Y84" s="251" t="s">
        <v>247</v>
      </c>
      <c r="Z84" s="251" t="s">
        <v>40</v>
      </c>
      <c r="AA84" s="251" t="s">
        <v>247</v>
      </c>
      <c r="AB84" s="250" t="s">
        <v>40</v>
      </c>
      <c r="AC84" s="247" t="s">
        <v>247</v>
      </c>
      <c r="AD84" s="247" t="s">
        <v>40</v>
      </c>
      <c r="AE84" s="247" t="s">
        <v>247</v>
      </c>
      <c r="AF84" s="247" t="s">
        <v>40</v>
      </c>
      <c r="AG84" s="247" t="s">
        <v>247</v>
      </c>
      <c r="AH84" s="247" t="s">
        <v>40</v>
      </c>
      <c r="AI84" s="247" t="s">
        <v>247</v>
      </c>
      <c r="AJ84" s="247" t="s">
        <v>40</v>
      </c>
      <c r="AK84" s="247" t="s">
        <v>247</v>
      </c>
      <c r="AL84" s="247" t="s">
        <v>40</v>
      </c>
      <c r="AM84" s="248" t="s">
        <v>247</v>
      </c>
      <c r="AN84" s="251" t="s">
        <v>40</v>
      </c>
      <c r="AO84" s="251" t="s">
        <v>247</v>
      </c>
      <c r="AP84" s="251" t="s">
        <v>40</v>
      </c>
      <c r="AQ84" s="251" t="s">
        <v>247</v>
      </c>
      <c r="AR84" s="250" t="s">
        <v>40</v>
      </c>
      <c r="AS84" s="247" t="s">
        <v>247</v>
      </c>
      <c r="AT84" s="247" t="s">
        <v>40</v>
      </c>
      <c r="AU84" s="247" t="s">
        <v>247</v>
      </c>
      <c r="AV84" s="247" t="s">
        <v>40</v>
      </c>
      <c r="AW84" s="247" t="s">
        <v>247</v>
      </c>
      <c r="AX84" s="247" t="s">
        <v>40</v>
      </c>
      <c r="AY84" s="247" t="s">
        <v>247</v>
      </c>
      <c r="AZ84" s="247" t="s">
        <v>40</v>
      </c>
      <c r="BA84" s="247" t="s">
        <v>247</v>
      </c>
      <c r="BB84" s="247" t="s">
        <v>40</v>
      </c>
      <c r="BC84" s="248" t="s">
        <v>247</v>
      </c>
      <c r="BD84" s="251" t="s">
        <v>40</v>
      </c>
      <c r="BE84" s="251" t="s">
        <v>247</v>
      </c>
      <c r="BF84" s="251" t="s">
        <v>40</v>
      </c>
      <c r="BG84" s="251" t="s">
        <v>247</v>
      </c>
      <c r="BH84" s="250" t="s">
        <v>40</v>
      </c>
      <c r="BI84" s="247" t="s">
        <v>247</v>
      </c>
      <c r="BJ84" s="247" t="s">
        <v>40</v>
      </c>
      <c r="BK84" s="247" t="s">
        <v>247</v>
      </c>
      <c r="BL84" s="247" t="s">
        <v>40</v>
      </c>
      <c r="BM84" s="247" t="s">
        <v>247</v>
      </c>
      <c r="BN84" s="247" t="s">
        <v>40</v>
      </c>
      <c r="BO84" s="247" t="s">
        <v>247</v>
      </c>
      <c r="BP84" s="247" t="s">
        <v>40</v>
      </c>
      <c r="BQ84" s="247" t="s">
        <v>247</v>
      </c>
      <c r="BR84" s="247" t="s">
        <v>40</v>
      </c>
      <c r="BS84" s="248" t="s">
        <v>247</v>
      </c>
      <c r="BT84" s="251" t="s">
        <v>40</v>
      </c>
      <c r="BU84" s="251" t="s">
        <v>247</v>
      </c>
      <c r="BV84" s="251" t="s">
        <v>40</v>
      </c>
      <c r="BW84" s="251" t="s">
        <v>247</v>
      </c>
    </row>
    <row r="85" spans="2:75" ht="13.5" thickBot="1" x14ac:dyDescent="0.25">
      <c r="B85" s="90" t="s">
        <v>246</v>
      </c>
      <c r="C85" s="104">
        <f>ПП!B73</f>
        <v>0</v>
      </c>
      <c r="D85" s="412" t="e">
        <f>ПП!C73</f>
        <v>#DIV/0!</v>
      </c>
      <c r="E85" s="66">
        <f>COUNTIFS('Отчет РПЗ(ПЗ)_ПЗИП'!H:H,Справочно!$E16,'Отчет РПЗ(ПЗ)_ПЗИП'!AG:AG, "&gt;0")</f>
        <v>0</v>
      </c>
      <c r="F85" s="382" t="e">
        <f>E85/$E$52</f>
        <v>#DIV/0!</v>
      </c>
      <c r="G85" s="397">
        <f>ПП!D73</f>
        <v>0</v>
      </c>
      <c r="H85" s="413" t="e">
        <f>ПП!E73</f>
        <v>#DIV/0!</v>
      </c>
      <c r="I85" s="385">
        <f>SUMIF(РПЗ!$R:$R,Справочно!$E16,'Отчет РПЗ(ПЗ)_ПЗИП'!$AG:$AG)</f>
        <v>0</v>
      </c>
      <c r="J85" s="382" t="e">
        <f>I85/$I$52</f>
        <v>#DIV/0!</v>
      </c>
      <c r="L85" s="164">
        <f>ПП!G73</f>
        <v>0</v>
      </c>
      <c r="M85" s="150">
        <f>COUNTIFS(РПЗ!$R:$R,Справочно!$E16,'Отчет РПЗ(ПЗ)_ПЗИП'!$AR:$AR,1,'Отчет РПЗ(ПЗ)_ПЗИП'!$AG:$AG,"&gt;0")</f>
        <v>0</v>
      </c>
      <c r="N85" s="392">
        <f>ПП!H73</f>
        <v>0</v>
      </c>
      <c r="O85" s="305">
        <f>SUMIFS('Отчет РПЗ(ПЗ)_ПЗИП'!$AG:$AG,РПЗ!$R:$R,Справочно!$E16,'Отчет РПЗ(ПЗ)_ПЗИП'!$AR:$AR,1,'Отчет РПЗ(ПЗ)_ПЗИП'!$AG:$AG,"&gt;0")</f>
        <v>0</v>
      </c>
      <c r="P85" s="166">
        <f>ПП!I73</f>
        <v>0</v>
      </c>
      <c r="Q85" s="150">
        <f>COUNTIFS(РПЗ!$R:$R,Справочно!$E16,'Отчет РПЗ(ПЗ)_ПЗИП'!$AR:$AR,2,'Отчет РПЗ(ПЗ)_ПЗИП'!$AG:$AG,"&gt;0")</f>
        <v>0</v>
      </c>
      <c r="R85" s="392">
        <f>ПП!J73</f>
        <v>0</v>
      </c>
      <c r="S85" s="305">
        <f>SUMIFS('Отчет РПЗ(ПЗ)_ПЗИП'!$AG:$AG,РПЗ!$R:$R,Справочно!$E16,'Отчет РПЗ(ПЗ)_ПЗИП'!$AR:$AR,2,'Отчет РПЗ(ПЗ)_ПЗИП'!$AG:$AG,"&gt;0")</f>
        <v>0</v>
      </c>
      <c r="T85" s="166">
        <f>ПП!K73</f>
        <v>0</v>
      </c>
      <c r="U85" s="150">
        <f>COUNTIFS(РПЗ!$R:$R,Справочно!$E16,'Отчет РПЗ(ПЗ)_ПЗИП'!$AR:$AR,3,'Отчет РПЗ(ПЗ)_ПЗИП'!$AG:$AG,"&gt;0")</f>
        <v>0</v>
      </c>
      <c r="V85" s="392">
        <f>ПП!L73</f>
        <v>0</v>
      </c>
      <c r="W85" s="338">
        <f>SUMIFS('Отчет РПЗ(ПЗ)_ПЗИП'!$AG:$AG,РПЗ!$R:$R,Справочно!$E16,'Отчет РПЗ(ПЗ)_ПЗИП'!$AR:$AR,3,'Отчет РПЗ(ПЗ)_ПЗИП'!$AG:$AG,"&gt;0")</f>
        <v>0</v>
      </c>
      <c r="X85" s="174">
        <f>ПП!M73</f>
        <v>0</v>
      </c>
      <c r="Y85" s="175">
        <f>SUM(M85,Q85,U85)</f>
        <v>0</v>
      </c>
      <c r="Z85" s="393">
        <f>ПП!N73</f>
        <v>0</v>
      </c>
      <c r="AA85" s="298">
        <f>SUM(O85,S85,W85)</f>
        <v>0</v>
      </c>
      <c r="AB85" s="166">
        <f>ПП!O73</f>
        <v>0</v>
      </c>
      <c r="AC85" s="186">
        <f>COUNTIFS(РПЗ!$R:$R,Справочно!$E16,'Отчет РПЗ(ПЗ)_ПЗИП'!$AR:$AR,4,'Отчет РПЗ(ПЗ)_ПЗИП'!$AG:$AG,"&gt;0")</f>
        <v>0</v>
      </c>
      <c r="AD85" s="392">
        <f>ПП!P73</f>
        <v>0</v>
      </c>
      <c r="AE85" s="339">
        <f>SUMIFS('Отчет РПЗ(ПЗ)_ПЗИП'!$AG:$AG,РПЗ!$R:$R,Справочно!$E16,'Отчет РПЗ(ПЗ)_ПЗИП'!$AR:$AR,4,'Отчет РПЗ(ПЗ)_ПЗИП'!$AG:$AG,"&gt;0")</f>
        <v>0</v>
      </c>
      <c r="AF85" s="166">
        <f>ПП!Q73</f>
        <v>0</v>
      </c>
      <c r="AG85" s="186">
        <f>COUNTIFS(РПЗ!$R:$R,Справочно!$E16,'Отчет РПЗ(ПЗ)_ПЗИП'!$AR:$AR,5,'Отчет РПЗ(ПЗ)_ПЗИП'!$AG:$AG,"&gt;0")</f>
        <v>0</v>
      </c>
      <c r="AH85" s="392">
        <f>ПП!R73</f>
        <v>0</v>
      </c>
      <c r="AI85" s="339">
        <f>SUMIFS('Отчет РПЗ(ПЗ)_ПЗИП'!$AG:$AG,РПЗ!$R:$R,Справочно!$E16,'Отчет РПЗ(ПЗ)_ПЗИП'!$AR:$AR,5,'Отчет РПЗ(ПЗ)_ПЗИП'!$AG:$AG,"&gt;0")</f>
        <v>0</v>
      </c>
      <c r="AJ85" s="166">
        <f>ПП!S73</f>
        <v>0</v>
      </c>
      <c r="AK85" s="186">
        <f>COUNTIFS(РПЗ!$R:$R,Справочно!$E16,'Отчет РПЗ(ПЗ)_ПЗИП'!$AR:$AR,6,'Отчет РПЗ(ПЗ)_ПЗИП'!$AG:$AG,"&gt;0")</f>
        <v>0</v>
      </c>
      <c r="AL85" s="392">
        <f>ПП!T73</f>
        <v>0</v>
      </c>
      <c r="AM85" s="340">
        <f>SUMIFS('Отчет РПЗ(ПЗ)_ПЗИП'!$AG:$AG,РПЗ!$R:$R,Справочно!$E16,'Отчет РПЗ(ПЗ)_ПЗИП'!$AR:$AR,6,'Отчет РПЗ(ПЗ)_ПЗИП'!$AG:$AG,"&gt;0")</f>
        <v>0</v>
      </c>
      <c r="AN85" s="174">
        <f>ПП!U73</f>
        <v>0</v>
      </c>
      <c r="AO85" s="188">
        <f>SUM(AC85,AG85,AK85)</f>
        <v>0</v>
      </c>
      <c r="AP85" s="393">
        <f>ПП!V73</f>
        <v>0</v>
      </c>
      <c r="AQ85" s="300">
        <f>SUM(AE85,AI85,AM85)</f>
        <v>0</v>
      </c>
      <c r="AR85" s="265">
        <f>ПП!W73</f>
        <v>0</v>
      </c>
      <c r="AS85" s="147">
        <f>COUNTIFS(РПЗ!$R:$R,Справочно!$E16,'Отчет РПЗ(ПЗ)_ПЗИП'!$AR:$AR,7,'Отчет РПЗ(ПЗ)_ПЗИП'!$AG:$AG,"&gt;0")</f>
        <v>0</v>
      </c>
      <c r="AT85" s="392">
        <f>ПП!X73</f>
        <v>0</v>
      </c>
      <c r="AU85" s="341">
        <f>SUMIFS('Отчет РПЗ(ПЗ)_ПЗИП'!$AG:$AG,РПЗ!$R:$R,Справочно!$E16,'Отчет РПЗ(ПЗ)_ПЗИП'!$AR:$AR,7,'Отчет РПЗ(ПЗ)_ПЗИП'!$AG:$AG,"&gt;0")</f>
        <v>0</v>
      </c>
      <c r="AV85" s="166">
        <f>ПП!Y73</f>
        <v>0</v>
      </c>
      <c r="AW85" s="147">
        <f>COUNTIFS(РПЗ!$R:$R,Справочно!$E16,'Отчет РПЗ(ПЗ)_ПЗИП'!$AR:$AR,8,'Отчет РПЗ(ПЗ)_ПЗИП'!$AG:$AG,"&gt;0")</f>
        <v>0</v>
      </c>
      <c r="AX85" s="392">
        <f>ПП!Z73</f>
        <v>0</v>
      </c>
      <c r="AY85" s="341">
        <f>SUMIFS('Отчет РПЗ(ПЗ)_ПЗИП'!$AG:$AG,РПЗ!$R:$R,Справочно!$E16,'Отчет РПЗ(ПЗ)_ПЗИП'!$AR:$AR,8,'Отчет РПЗ(ПЗ)_ПЗИП'!$AG:$AG,"&gt;0")</f>
        <v>0</v>
      </c>
      <c r="AZ85" s="166">
        <f>ПП!AA73</f>
        <v>0</v>
      </c>
      <c r="BA85" s="147">
        <f>COUNTIFS(РПЗ!$R:$R,Справочно!$E16,'Отчет РПЗ(ПЗ)_ПЗИП'!$AR:$AR,9,'Отчет РПЗ(ПЗ)_ПЗИП'!$AG:$AG,"&gt;0")</f>
        <v>0</v>
      </c>
      <c r="BB85" s="392">
        <f>ПП!AB73</f>
        <v>0</v>
      </c>
      <c r="BC85" s="342">
        <f>SUMIFS('Отчет РПЗ(ПЗ)_ПЗИП'!$AG:$AG,РПЗ!$R:$R,Справочно!$E16,'Отчет РПЗ(ПЗ)_ПЗИП'!$AR:$AR,9,'Отчет РПЗ(ПЗ)_ПЗИП'!$AG:$AG,"&gt;0")</f>
        <v>0</v>
      </c>
      <c r="BD85" s="174">
        <f>ПП!AC73</f>
        <v>0</v>
      </c>
      <c r="BE85" s="183">
        <f>SUM(AS85,AW85,BA85)</f>
        <v>0</v>
      </c>
      <c r="BF85" s="393">
        <f>ПП!AD73</f>
        <v>0</v>
      </c>
      <c r="BG85" s="302">
        <f>SUM(AU85,AY85,BC85)</f>
        <v>0</v>
      </c>
      <c r="BH85" s="265">
        <f>ПП!AE73</f>
        <v>0</v>
      </c>
      <c r="BI85" s="180">
        <f>COUNTIFS(РПЗ!$R:$R,Справочно!$E16,'Отчет РПЗ(ПЗ)_ПЗИП'!$AR:$AR,10,'Отчет РПЗ(ПЗ)_ПЗИП'!$AG:$AG,"&gt;0")</f>
        <v>0</v>
      </c>
      <c r="BJ85" s="392">
        <f>ПП!AF73</f>
        <v>0</v>
      </c>
      <c r="BK85" s="343">
        <f>SUMIFS('Отчет РПЗ(ПЗ)_ПЗИП'!$AG:$AG,РПЗ!$R:$R,Справочно!$E16,'Отчет РПЗ(ПЗ)_ПЗИП'!$AR:$AR,10,'Отчет РПЗ(ПЗ)_ПЗИП'!$AG:$AG,"&gt;0")</f>
        <v>0</v>
      </c>
      <c r="BL85" s="166">
        <f>ПП!AG73</f>
        <v>0</v>
      </c>
      <c r="BM85" s="180">
        <f>COUNTIFS(РПЗ!$R:$R,Справочно!$E16,'Отчет РПЗ(ПЗ)_ПЗИП'!$AR:$AR,11,'Отчет РПЗ(ПЗ)_ПЗИП'!$AG:$AG,"&gt;0")</f>
        <v>0</v>
      </c>
      <c r="BN85" s="392">
        <f>ПП!AH73</f>
        <v>0</v>
      </c>
      <c r="BO85" s="343">
        <f>SUMIFS('Отчет РПЗ(ПЗ)_ПЗИП'!$AG:$AG,РПЗ!$R:$R,Справочно!$E16,'Отчет РПЗ(ПЗ)_ПЗИП'!$AR:$AR,11,'Отчет РПЗ(ПЗ)_ПЗИП'!$AG:$AG,"&gt;0")</f>
        <v>0</v>
      </c>
      <c r="BP85" s="166">
        <f>ПП!AI73</f>
        <v>0</v>
      </c>
      <c r="BQ85" s="180">
        <f>COUNTIFS(РПЗ!$R:$R,Справочно!$E16,'Отчет РПЗ(ПЗ)_ПЗИП'!$AR:$AR,12,'Отчет РПЗ(ПЗ)_ПЗИП'!$AG:$AG,"&gt;0")</f>
        <v>0</v>
      </c>
      <c r="BR85" s="392">
        <f>ПП!AJ73</f>
        <v>0</v>
      </c>
      <c r="BS85" s="344">
        <f>SUMIFS('Отчет РПЗ(ПЗ)_ПЗИП'!$AG:$AG,РПЗ!$R:$R,Справочно!$E16,'Отчет РПЗ(ПЗ)_ПЗИП'!$AR:$AR,12,'Отчет РПЗ(ПЗ)_ПЗИП'!$AG:$AG,"&gt;0")</f>
        <v>0</v>
      </c>
      <c r="BT85" s="174">
        <f>ПП!AK73</f>
        <v>0</v>
      </c>
      <c r="BU85" s="182">
        <f>SUM(BI85,BM85,BQ85)</f>
        <v>0</v>
      </c>
      <c r="BV85" s="393">
        <f>ПП!AL73</f>
        <v>0</v>
      </c>
      <c r="BW85" s="304">
        <f>SUM(BK85,BO85,BS85)</f>
        <v>0</v>
      </c>
    </row>
    <row r="86" spans="2:75" ht="13.5" thickBot="1" x14ac:dyDescent="0.25">
      <c r="B86" s="91" t="s">
        <v>696</v>
      </c>
      <c r="C86" s="104">
        <f>ПП!B74</f>
        <v>0</v>
      </c>
      <c r="D86" s="412" t="e">
        <f>ПП!C74</f>
        <v>#DIV/0!</v>
      </c>
      <c r="E86" s="66">
        <f>COUNTIFS('Отчет РПЗ(ПЗ)_ПЗИП'!H:H,Справочно!$E17,'Отчет РПЗ(ПЗ)_ПЗИП'!AG:AG, "&gt;0")</f>
        <v>0</v>
      </c>
      <c r="F86" s="382" t="e">
        <f>E86/$E$52</f>
        <v>#DIV/0!</v>
      </c>
      <c r="G86" s="414">
        <f>ПП!D74</f>
        <v>0</v>
      </c>
      <c r="H86" s="415" t="e">
        <f>ПП!E74</f>
        <v>#DIV/0!</v>
      </c>
      <c r="I86" s="385">
        <f>SUMIF(РПЗ!$R:$R,Справочно!$E17,'Отчет РПЗ(ПЗ)_ПЗИП'!$AG:$AG)</f>
        <v>0</v>
      </c>
      <c r="J86" s="382" t="e">
        <f>I86/$I$52</f>
        <v>#DIV/0!</v>
      </c>
      <c r="L86" s="167">
        <f>ПП!G74</f>
        <v>0</v>
      </c>
      <c r="M86" s="150">
        <f>COUNTIFS(РПЗ!$R:$R,Справочно!$E17,'Отчет РПЗ(ПЗ)_ПЗИП'!$AR:$AR,1,'Отчет РПЗ(ПЗ)_ПЗИП'!$AG:$AG,"&gt;0")</f>
        <v>0</v>
      </c>
      <c r="N86" s="395">
        <f>ПП!H74</f>
        <v>0</v>
      </c>
      <c r="O86" s="305">
        <f>SUMIFS('Отчет РПЗ(ПЗ)_ПЗИП'!$AG:$AG,РПЗ!$R:$R,Справочно!$E17,'Отчет РПЗ(ПЗ)_ПЗИП'!$AR:$AR,1,'Отчет РПЗ(ПЗ)_ПЗИП'!$AG:$AG,"&gt;0")</f>
        <v>0</v>
      </c>
      <c r="P86" s="169">
        <f>ПП!I74</f>
        <v>0</v>
      </c>
      <c r="Q86" s="150">
        <f>COUNTIFS(РПЗ!$R:$R,Справочно!$E17,'Отчет РПЗ(ПЗ)_ПЗИП'!$AR:$AR,2,'Отчет РПЗ(ПЗ)_ПЗИП'!$AG:$AG,"&gt;0")</f>
        <v>0</v>
      </c>
      <c r="R86" s="395">
        <f>ПП!J74</f>
        <v>0</v>
      </c>
      <c r="S86" s="305">
        <f>SUMIFS('Отчет РПЗ(ПЗ)_ПЗИП'!$AG:$AG,РПЗ!$R:$R,Справочно!$E17,'Отчет РПЗ(ПЗ)_ПЗИП'!$AR:$AR,2,'Отчет РПЗ(ПЗ)_ПЗИП'!$AG:$AG,"&gt;0")</f>
        <v>0</v>
      </c>
      <c r="T86" s="169">
        <f>ПП!K74</f>
        <v>0</v>
      </c>
      <c r="U86" s="150">
        <f>COUNTIFS(РПЗ!$R:$R,Справочно!$E17,'Отчет РПЗ(ПЗ)_ПЗИП'!$AR:$AR,3,'Отчет РПЗ(ПЗ)_ПЗИП'!$AG:$AG,"&gt;0")</f>
        <v>0</v>
      </c>
      <c r="V86" s="395">
        <f>ПП!L74</f>
        <v>0</v>
      </c>
      <c r="W86" s="338">
        <f>SUMIFS('Отчет РПЗ(ПЗ)_ПЗИП'!$AG:$AG,РПЗ!$R:$R,Справочно!$E17,'Отчет РПЗ(ПЗ)_ПЗИП'!$AR:$AR,3,'Отчет РПЗ(ПЗ)_ПЗИП'!$AG:$AG,"&gt;0")</f>
        <v>0</v>
      </c>
      <c r="X86" s="174">
        <f>ПП!M74</f>
        <v>0</v>
      </c>
      <c r="Y86" s="175">
        <f>SUM(M86,Q86,U86)</f>
        <v>0</v>
      </c>
      <c r="Z86" s="393">
        <f>ПП!N74</f>
        <v>0</v>
      </c>
      <c r="AA86" s="298">
        <f>SUM(O86,S86,W86)</f>
        <v>0</v>
      </c>
      <c r="AB86" s="169">
        <f>ПП!O74</f>
        <v>0</v>
      </c>
      <c r="AC86" s="186">
        <f>COUNTIFS(РПЗ!$R:$R,Справочно!$E17,'Отчет РПЗ(ПЗ)_ПЗИП'!$AR:$AR,4,'Отчет РПЗ(ПЗ)_ПЗИП'!$AG:$AG,"&gt;0")</f>
        <v>0</v>
      </c>
      <c r="AD86" s="395">
        <f>ПП!P74</f>
        <v>0</v>
      </c>
      <c r="AE86" s="339">
        <f>SUMIFS('Отчет РПЗ(ПЗ)_ПЗИП'!$AG:$AG,РПЗ!$R:$R,Справочно!$E17,'Отчет РПЗ(ПЗ)_ПЗИП'!$AR:$AR,4,'Отчет РПЗ(ПЗ)_ПЗИП'!$AG:$AG,"&gt;0")</f>
        <v>0</v>
      </c>
      <c r="AF86" s="169">
        <f>ПП!Q74</f>
        <v>0</v>
      </c>
      <c r="AG86" s="186">
        <f>COUNTIFS(РПЗ!$R:$R,Справочно!$E17,'Отчет РПЗ(ПЗ)_ПЗИП'!$AR:$AR,5,'Отчет РПЗ(ПЗ)_ПЗИП'!$AG:$AG,"&gt;0")</f>
        <v>0</v>
      </c>
      <c r="AH86" s="395">
        <f>ПП!R74</f>
        <v>0</v>
      </c>
      <c r="AI86" s="339">
        <f>SUMIFS('Отчет РПЗ(ПЗ)_ПЗИП'!$AG:$AG,РПЗ!$R:$R,Справочно!$E17,'Отчет РПЗ(ПЗ)_ПЗИП'!$AR:$AR,5,'Отчет РПЗ(ПЗ)_ПЗИП'!$AG:$AG,"&gt;0")</f>
        <v>0</v>
      </c>
      <c r="AJ86" s="169">
        <f>ПП!S74</f>
        <v>0</v>
      </c>
      <c r="AK86" s="186">
        <f>COUNTIFS(РПЗ!$R:$R,Справочно!$E17,'Отчет РПЗ(ПЗ)_ПЗИП'!$AR:$AR,6,'Отчет РПЗ(ПЗ)_ПЗИП'!$AG:$AG,"&gt;0")</f>
        <v>0</v>
      </c>
      <c r="AL86" s="395">
        <f>ПП!T74</f>
        <v>0</v>
      </c>
      <c r="AM86" s="340">
        <f>SUMIFS('Отчет РПЗ(ПЗ)_ПЗИП'!$AG:$AG,РПЗ!$R:$R,Справочно!$E17,'Отчет РПЗ(ПЗ)_ПЗИП'!$AR:$AR,6,'Отчет РПЗ(ПЗ)_ПЗИП'!$AG:$AG,"&gt;0")</f>
        <v>0</v>
      </c>
      <c r="AN86" s="174">
        <f>ПП!U74</f>
        <v>0</v>
      </c>
      <c r="AO86" s="188">
        <f>SUM(AC86,AG86,AK86)</f>
        <v>0</v>
      </c>
      <c r="AP86" s="393">
        <f>ПП!V74</f>
        <v>0</v>
      </c>
      <c r="AQ86" s="300">
        <f>SUM(AE86,AI86,AM86)</f>
        <v>0</v>
      </c>
      <c r="AR86" s="266">
        <f>ПП!W74</f>
        <v>0</v>
      </c>
      <c r="AS86" s="147">
        <f>COUNTIFS(РПЗ!$R:$R,Справочно!$E17,'Отчет РПЗ(ПЗ)_ПЗИП'!$AR:$AR,7,'Отчет РПЗ(ПЗ)_ПЗИП'!$AG:$AG,"&gt;0")</f>
        <v>0</v>
      </c>
      <c r="AT86" s="395">
        <f>ПП!X74</f>
        <v>0</v>
      </c>
      <c r="AU86" s="341">
        <f>SUMIFS('Отчет РПЗ(ПЗ)_ПЗИП'!$AG:$AG,РПЗ!$R:$R,Справочно!$E17,'Отчет РПЗ(ПЗ)_ПЗИП'!$AR:$AR,7,'Отчет РПЗ(ПЗ)_ПЗИП'!$AG:$AG,"&gt;0")</f>
        <v>0</v>
      </c>
      <c r="AV86" s="169">
        <f>ПП!Y74</f>
        <v>0</v>
      </c>
      <c r="AW86" s="147">
        <f>COUNTIFS(РПЗ!$R:$R,Справочно!$E17,'Отчет РПЗ(ПЗ)_ПЗИП'!$AR:$AR,8,'Отчет РПЗ(ПЗ)_ПЗИП'!$AG:$AG,"&gt;0")</f>
        <v>0</v>
      </c>
      <c r="AX86" s="395">
        <f>ПП!Z74</f>
        <v>0</v>
      </c>
      <c r="AY86" s="341">
        <f>SUMIFS('Отчет РПЗ(ПЗ)_ПЗИП'!$AG:$AG,РПЗ!$R:$R,Справочно!$E17,'Отчет РПЗ(ПЗ)_ПЗИП'!$AR:$AR,8,'Отчет РПЗ(ПЗ)_ПЗИП'!$AG:$AG,"&gt;0")</f>
        <v>0</v>
      </c>
      <c r="AZ86" s="169">
        <f>ПП!AA74</f>
        <v>0</v>
      </c>
      <c r="BA86" s="147">
        <f>COUNTIFS(РПЗ!$R:$R,Справочно!$E17,'Отчет РПЗ(ПЗ)_ПЗИП'!$AR:$AR,9,'Отчет РПЗ(ПЗ)_ПЗИП'!$AG:$AG,"&gt;0")</f>
        <v>0</v>
      </c>
      <c r="BB86" s="395">
        <f>ПП!AB74</f>
        <v>0</v>
      </c>
      <c r="BC86" s="342">
        <f>SUMIFS('Отчет РПЗ(ПЗ)_ПЗИП'!$AG:$AG,РПЗ!$R:$R,Справочно!$E17,'Отчет РПЗ(ПЗ)_ПЗИП'!$AR:$AR,9,'Отчет РПЗ(ПЗ)_ПЗИП'!$AG:$AG,"&gt;0")</f>
        <v>0</v>
      </c>
      <c r="BD86" s="174">
        <f>ПП!AC74</f>
        <v>0</v>
      </c>
      <c r="BE86" s="183">
        <f>SUM(AS86,AW86,BA86)</f>
        <v>0</v>
      </c>
      <c r="BF86" s="393">
        <f>ПП!AD74</f>
        <v>0</v>
      </c>
      <c r="BG86" s="302">
        <f>SUM(AU86,AY86,BC86)</f>
        <v>0</v>
      </c>
      <c r="BH86" s="266">
        <f>ПП!AE74</f>
        <v>0</v>
      </c>
      <c r="BI86" s="180">
        <f>COUNTIFS(РПЗ!$R:$R,Справочно!$E17,'Отчет РПЗ(ПЗ)_ПЗИП'!$AR:$AR,10,'Отчет РПЗ(ПЗ)_ПЗИП'!$AG:$AG,"&gt;0")</f>
        <v>0</v>
      </c>
      <c r="BJ86" s="395">
        <f>ПП!AF74</f>
        <v>0</v>
      </c>
      <c r="BK86" s="343">
        <f>SUMIFS('Отчет РПЗ(ПЗ)_ПЗИП'!$AG:$AG,РПЗ!$R:$R,Справочно!$E17,'Отчет РПЗ(ПЗ)_ПЗИП'!$AR:$AR,10,'Отчет РПЗ(ПЗ)_ПЗИП'!$AG:$AG,"&gt;0")</f>
        <v>0</v>
      </c>
      <c r="BL86" s="169">
        <f>ПП!AG74</f>
        <v>0</v>
      </c>
      <c r="BM86" s="180">
        <f>COUNTIFS(РПЗ!$R:$R,Справочно!$E17,'Отчет РПЗ(ПЗ)_ПЗИП'!$AR:$AR,11,'Отчет РПЗ(ПЗ)_ПЗИП'!$AG:$AG,"&gt;0")</f>
        <v>0</v>
      </c>
      <c r="BN86" s="395">
        <f>ПП!AH74</f>
        <v>0</v>
      </c>
      <c r="BO86" s="343">
        <f>SUMIFS('Отчет РПЗ(ПЗ)_ПЗИП'!$AG:$AG,РПЗ!$R:$R,Справочно!$E17,'Отчет РПЗ(ПЗ)_ПЗИП'!$AR:$AR,11,'Отчет РПЗ(ПЗ)_ПЗИП'!$AG:$AG,"&gt;0")</f>
        <v>0</v>
      </c>
      <c r="BP86" s="169">
        <f>ПП!AI74</f>
        <v>0</v>
      </c>
      <c r="BQ86" s="180">
        <f>COUNTIFS(РПЗ!$R:$R,Справочно!$E17,'Отчет РПЗ(ПЗ)_ПЗИП'!$AR:$AR,12,'Отчет РПЗ(ПЗ)_ПЗИП'!$AG:$AG,"&gt;0")</f>
        <v>0</v>
      </c>
      <c r="BR86" s="395">
        <f>ПП!AJ74</f>
        <v>0</v>
      </c>
      <c r="BS86" s="344">
        <f>SUMIFS('Отчет РПЗ(ПЗ)_ПЗИП'!$AG:$AG,РПЗ!$R:$R,Справочно!$E17,'Отчет РПЗ(ПЗ)_ПЗИП'!$AR:$AR,12,'Отчет РПЗ(ПЗ)_ПЗИП'!$AG:$AG,"&gt;0")</f>
        <v>0</v>
      </c>
      <c r="BT86" s="174">
        <f>ПП!AK74</f>
        <v>0</v>
      </c>
      <c r="BU86" s="182">
        <f>SUM(BI86,BM86,BQ86)</f>
        <v>0</v>
      </c>
      <c r="BV86" s="393">
        <f>ПП!AL74</f>
        <v>0</v>
      </c>
      <c r="BW86" s="304">
        <f>SUM(BK86,BO86,BS86)</f>
        <v>0</v>
      </c>
    </row>
    <row r="87" spans="2:75" ht="13.5" thickBot="1" x14ac:dyDescent="0.25">
      <c r="B87" s="73" t="s">
        <v>260</v>
      </c>
      <c r="C87" s="291">
        <f>ПП!B75</f>
        <v>0</v>
      </c>
      <c r="D87" s="416" t="e">
        <f>ПП!C75</f>
        <v>#DIV/0!</v>
      </c>
      <c r="E87" s="96">
        <f>SUM(E85:E86)</f>
        <v>0</v>
      </c>
      <c r="F87" s="364" t="e">
        <f>SUM(F85:F86)</f>
        <v>#DIV/0!</v>
      </c>
      <c r="G87" s="417">
        <f>ПП!D75</f>
        <v>0</v>
      </c>
      <c r="H87" s="416" t="e">
        <f>ПП!E75</f>
        <v>#DIV/0!</v>
      </c>
      <c r="I87" s="388">
        <f>SUM(I85:I86)</f>
        <v>0</v>
      </c>
      <c r="J87" s="364" t="e">
        <f>SUM(J85:J86)</f>
        <v>#DIV/0!</v>
      </c>
      <c r="L87" s="156">
        <f>ПП!G75</f>
        <v>0</v>
      </c>
      <c r="M87" s="142">
        <f>SUM(M85:M86)</f>
        <v>0</v>
      </c>
      <c r="N87" s="396">
        <f>ПП!H75</f>
        <v>0</v>
      </c>
      <c r="O87" s="307">
        <f>SUM(O85:O86)</f>
        <v>0</v>
      </c>
      <c r="P87" s="159">
        <f>ПП!I75</f>
        <v>0</v>
      </c>
      <c r="Q87" s="142">
        <f>SUM(Q85:Q86)</f>
        <v>0</v>
      </c>
      <c r="R87" s="396">
        <f>ПП!J75</f>
        <v>0</v>
      </c>
      <c r="S87" s="307">
        <f>SUM(S85:S86)</f>
        <v>0</v>
      </c>
      <c r="T87" s="159">
        <f>ПП!K75</f>
        <v>0</v>
      </c>
      <c r="U87" s="142">
        <f>SUM(U85:U86)</f>
        <v>0</v>
      </c>
      <c r="V87" s="396">
        <f>ПП!L75</f>
        <v>0</v>
      </c>
      <c r="W87" s="308">
        <f>SUM(W85:W86)</f>
        <v>0</v>
      </c>
      <c r="X87" s="174">
        <f>ПП!M75</f>
        <v>0</v>
      </c>
      <c r="Y87" s="178">
        <f>SUM(M87,Q87,U87)</f>
        <v>0</v>
      </c>
      <c r="Z87" s="393">
        <f>ПП!N75</f>
        <v>0</v>
      </c>
      <c r="AA87" s="309">
        <f>SUM(O87,S87,W87)</f>
        <v>0</v>
      </c>
      <c r="AB87" s="267">
        <f>ПП!O75</f>
        <v>0</v>
      </c>
      <c r="AC87" s="142">
        <f>SUM(AC85:AC86)</f>
        <v>0</v>
      </c>
      <c r="AD87" s="396">
        <f>ПП!P75</f>
        <v>0</v>
      </c>
      <c r="AE87" s="307">
        <f>SUM(AE85:AE86)</f>
        <v>0</v>
      </c>
      <c r="AF87" s="159">
        <f>ПП!Q75</f>
        <v>0</v>
      </c>
      <c r="AG87" s="142">
        <f>SUM(AG85:AG86)</f>
        <v>0</v>
      </c>
      <c r="AH87" s="396">
        <f>ПП!R75</f>
        <v>0</v>
      </c>
      <c r="AI87" s="307">
        <f>SUM(AI85:AI86)</f>
        <v>0</v>
      </c>
      <c r="AJ87" s="159">
        <f>ПП!S75</f>
        <v>0</v>
      </c>
      <c r="AK87" s="142">
        <f>SUM(AK85:AK86)</f>
        <v>0</v>
      </c>
      <c r="AL87" s="396">
        <f>ПП!T75</f>
        <v>0</v>
      </c>
      <c r="AM87" s="307">
        <f>SUM(AM85:AM86)</f>
        <v>0</v>
      </c>
      <c r="AN87" s="174">
        <f>ПП!U75</f>
        <v>0</v>
      </c>
      <c r="AO87" s="178">
        <f>SUM(AC87,AG87,AK87)</f>
        <v>0</v>
      </c>
      <c r="AP87" s="393">
        <f>ПП!V75</f>
        <v>0</v>
      </c>
      <c r="AQ87" s="309">
        <f>SUM(AE87,AI87,AM87)</f>
        <v>0</v>
      </c>
      <c r="AR87" s="267">
        <f>ПП!W75</f>
        <v>0</v>
      </c>
      <c r="AS87" s="142">
        <f>SUM(AS85:AS86)</f>
        <v>0</v>
      </c>
      <c r="AT87" s="396">
        <f>ПП!X75</f>
        <v>0</v>
      </c>
      <c r="AU87" s="307">
        <f>SUM(AU85:AU86)</f>
        <v>0</v>
      </c>
      <c r="AV87" s="159">
        <f>ПП!Y75</f>
        <v>0</v>
      </c>
      <c r="AW87" s="142">
        <f>SUM(AW85:AW86)</f>
        <v>0</v>
      </c>
      <c r="AX87" s="396">
        <f>ПП!Z75</f>
        <v>0</v>
      </c>
      <c r="AY87" s="307">
        <f>SUM(AY85:AY86)</f>
        <v>0</v>
      </c>
      <c r="AZ87" s="159">
        <f>ПП!AA75</f>
        <v>0</v>
      </c>
      <c r="BA87" s="142">
        <f>SUM(BA85:BA86)</f>
        <v>0</v>
      </c>
      <c r="BB87" s="396">
        <f>ПП!AB75</f>
        <v>0</v>
      </c>
      <c r="BC87" s="307">
        <f>SUM(BC85:BC86)</f>
        <v>0</v>
      </c>
      <c r="BD87" s="174">
        <f>ПП!AC75</f>
        <v>0</v>
      </c>
      <c r="BE87" s="178">
        <f>SUM(AS87,AW87,BA87)</f>
        <v>0</v>
      </c>
      <c r="BF87" s="393">
        <f>ПП!AD75</f>
        <v>0</v>
      </c>
      <c r="BG87" s="309">
        <f>SUM(AU87,AY87,BC87)</f>
        <v>0</v>
      </c>
      <c r="BH87" s="267">
        <f>ПП!AE75</f>
        <v>0</v>
      </c>
      <c r="BI87" s="142">
        <f>SUM(BI85:BI86)</f>
        <v>0</v>
      </c>
      <c r="BJ87" s="396">
        <f>ПП!AF75</f>
        <v>0</v>
      </c>
      <c r="BK87" s="307">
        <f>SUM(BK85:BK86)</f>
        <v>0</v>
      </c>
      <c r="BL87" s="159">
        <f>ПП!AG75</f>
        <v>0</v>
      </c>
      <c r="BM87" s="142">
        <f>SUM(BM85:BM86)</f>
        <v>0</v>
      </c>
      <c r="BN87" s="396">
        <f>ПП!AH75</f>
        <v>0</v>
      </c>
      <c r="BO87" s="307">
        <f>SUM(BO85:BO86)</f>
        <v>0</v>
      </c>
      <c r="BP87" s="159">
        <f>ПП!AI75</f>
        <v>0</v>
      </c>
      <c r="BQ87" s="142">
        <f>SUM(BQ85:BQ86)</f>
        <v>0</v>
      </c>
      <c r="BR87" s="396">
        <f>ПП!AJ75</f>
        <v>0</v>
      </c>
      <c r="BS87" s="307">
        <f>SUM(BS85:BS86)</f>
        <v>0</v>
      </c>
      <c r="BT87" s="174">
        <f>ПП!AK75</f>
        <v>0</v>
      </c>
      <c r="BU87" s="178">
        <f>SUM(BI87,BM87,BQ87)</f>
        <v>0</v>
      </c>
      <c r="BV87" s="393">
        <f>ПП!AL75</f>
        <v>0</v>
      </c>
      <c r="BW87" s="309">
        <f>SUM(BK87,BO87,BS87)</f>
        <v>0</v>
      </c>
    </row>
    <row r="88" spans="2:75" ht="13.5" thickBot="1" x14ac:dyDescent="0.25"/>
    <row r="89" spans="2:75" ht="13.5" customHeight="1" thickBot="1" x14ac:dyDescent="0.25">
      <c r="B89" s="656" t="s">
        <v>698</v>
      </c>
      <c r="C89" s="806"/>
      <c r="D89" s="657"/>
    </row>
    <row r="90" spans="2:75" ht="15.75" customHeight="1" thickBot="1" x14ac:dyDescent="0.25">
      <c r="B90" s="804" t="s">
        <v>258</v>
      </c>
      <c r="C90" s="279" t="s">
        <v>40</v>
      </c>
      <c r="D90" s="279" t="s">
        <v>699</v>
      </c>
    </row>
    <row r="91" spans="2:75" ht="13.5" thickBot="1" x14ac:dyDescent="0.25">
      <c r="B91" s="805"/>
      <c r="C91" s="280">
        <f>ПП!B79</f>
        <v>0</v>
      </c>
      <c r="D91" s="281">
        <f>COUNTIF('Отчет РПЗ(ПЗ)_ПЗИП'!G:G,Справочно!$C32)</f>
        <v>0</v>
      </c>
    </row>
    <row r="92" spans="2:75" ht="13.5" thickBot="1" x14ac:dyDescent="0.25"/>
    <row r="93" spans="2:75" ht="13.5" thickBot="1" x14ac:dyDescent="0.25">
      <c r="B93" s="60" t="s">
        <v>154</v>
      </c>
      <c r="C93" s="100" t="s">
        <v>115</v>
      </c>
    </row>
    <row r="94" spans="2:75" x14ac:dyDescent="0.2">
      <c r="B94" s="70" t="s">
        <v>47</v>
      </c>
      <c r="C94" s="101">
        <f>COUNTIF('Отчет РПЗ(ПЗ)_ПЗИП'!$E:$E,Справочно!$E3)</f>
        <v>0</v>
      </c>
    </row>
    <row r="95" spans="2:75" ht="13.5" customHeight="1" x14ac:dyDescent="0.2">
      <c r="B95" s="70" t="s">
        <v>46</v>
      </c>
      <c r="C95" s="102">
        <f>COUNTIF('Отчет РПЗ(ПЗ)_ПЗИП'!$E:$E,Справочно!$E4)</f>
        <v>0</v>
      </c>
    </row>
    <row r="96" spans="2:75" x14ac:dyDescent="0.2">
      <c r="B96" s="70" t="s">
        <v>675</v>
      </c>
      <c r="C96" s="102">
        <f>COUNTIF('Отчет РПЗ(ПЗ)_ПЗИП'!$E:$E,Справочно!$E5)</f>
        <v>0</v>
      </c>
    </row>
    <row r="97" spans="2:75" x14ac:dyDescent="0.2">
      <c r="B97" s="70" t="s">
        <v>52</v>
      </c>
      <c r="C97" s="102">
        <f>COUNTIF('Отчет РПЗ(ПЗ)_ПЗИП'!$E:$E,Справочно!$E6)</f>
        <v>0</v>
      </c>
    </row>
    <row r="98" spans="2:75" x14ac:dyDescent="0.2">
      <c r="B98" s="70" t="s">
        <v>62</v>
      </c>
      <c r="C98" s="102">
        <f>COUNTIF('Отчет РПЗ(ПЗ)_ПЗИП'!$E:$E,Справочно!$E7)</f>
        <v>0</v>
      </c>
    </row>
    <row r="99" spans="2:75" x14ac:dyDescent="0.2">
      <c r="B99" s="70" t="s">
        <v>59</v>
      </c>
      <c r="C99" s="102">
        <f>COUNTIF('Отчет РПЗ(ПЗ)_ПЗИП'!$E:$E,Справочно!$E8)</f>
        <v>0</v>
      </c>
    </row>
    <row r="100" spans="2:75" x14ac:dyDescent="0.2">
      <c r="B100" s="70" t="s">
        <v>60</v>
      </c>
      <c r="C100" s="102">
        <f>COUNTIF('Отчет РПЗ(ПЗ)_ПЗИП'!$E:$E,Справочно!$E9)</f>
        <v>0</v>
      </c>
    </row>
    <row r="101" spans="2:75" ht="13.5" thickBot="1" x14ac:dyDescent="0.25">
      <c r="B101" s="71" t="s">
        <v>61</v>
      </c>
      <c r="C101" s="103">
        <f>COUNTIF('Отчет РПЗ(ПЗ)_ПЗИП'!$E:$E,Справочно!$E10)</f>
        <v>0</v>
      </c>
    </row>
    <row r="102" spans="2:75" ht="15.75" customHeight="1" thickBot="1" x14ac:dyDescent="0.25">
      <c r="B102" s="378" t="s">
        <v>697</v>
      </c>
      <c r="C102" s="379">
        <f>SUM(C94:C101)</f>
        <v>0</v>
      </c>
    </row>
    <row r="104" spans="2:75" ht="15.75" thickBot="1" x14ac:dyDescent="0.3">
      <c r="B104" s="654" t="s">
        <v>757</v>
      </c>
      <c r="C104" s="654"/>
      <c r="D104" s="654"/>
      <c r="E104" s="654"/>
      <c r="F104" s="654"/>
      <c r="G104" s="654"/>
      <c r="H104" s="654"/>
      <c r="I104" s="737"/>
      <c r="J104" s="737"/>
      <c r="L104" s="654" t="s">
        <v>757</v>
      </c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54"/>
      <c r="AB104" s="654" t="s">
        <v>757</v>
      </c>
      <c r="AC104" s="654"/>
      <c r="AD104" s="654"/>
      <c r="AE104" s="654"/>
      <c r="AF104" s="654"/>
      <c r="AG104" s="654"/>
      <c r="AH104" s="654"/>
      <c r="AI104" s="654"/>
      <c r="AJ104" s="654"/>
      <c r="AK104" s="654"/>
      <c r="AL104" s="654"/>
      <c r="AM104" s="654"/>
      <c r="AN104" s="654"/>
      <c r="AO104" s="654"/>
      <c r="AP104" s="654"/>
      <c r="AQ104" s="654"/>
      <c r="AR104" s="654" t="s">
        <v>757</v>
      </c>
      <c r="AS104" s="654"/>
      <c r="AT104" s="654"/>
      <c r="AU104" s="654"/>
      <c r="AV104" s="654"/>
      <c r="AW104" s="654"/>
      <c r="AX104" s="654"/>
      <c r="AY104" s="654"/>
      <c r="AZ104" s="654"/>
      <c r="BA104" s="654"/>
      <c r="BB104" s="654"/>
      <c r="BC104" s="654"/>
      <c r="BD104" s="654"/>
      <c r="BE104" s="654"/>
      <c r="BF104" s="654"/>
      <c r="BG104" s="654"/>
      <c r="BH104" s="654" t="s">
        <v>757</v>
      </c>
      <c r="BI104" s="654"/>
      <c r="BJ104" s="654"/>
      <c r="BK104" s="654"/>
      <c r="BL104" s="654"/>
      <c r="BM104" s="654"/>
      <c r="BN104" s="654"/>
      <c r="BO104" s="654"/>
      <c r="BP104" s="654"/>
      <c r="BQ104" s="654"/>
      <c r="BR104" s="654"/>
      <c r="BS104" s="654"/>
      <c r="BT104" s="654"/>
      <c r="BU104" s="654"/>
      <c r="BV104" s="654"/>
      <c r="BW104" s="654"/>
    </row>
    <row r="105" spans="2:75" ht="77.25" thickBot="1" x14ac:dyDescent="0.25">
      <c r="B105" s="442" t="s">
        <v>748</v>
      </c>
      <c r="C105" s="447" t="s">
        <v>289</v>
      </c>
      <c r="D105" s="65" t="s">
        <v>758</v>
      </c>
      <c r="E105" s="448" t="s">
        <v>288</v>
      </c>
      <c r="F105" s="447" t="s">
        <v>692</v>
      </c>
      <c r="G105" s="65" t="s">
        <v>759</v>
      </c>
      <c r="H105" s="442" t="s">
        <v>694</v>
      </c>
      <c r="I105" s="738" t="s">
        <v>760</v>
      </c>
      <c r="J105" s="739"/>
      <c r="L105" s="444" t="s">
        <v>288</v>
      </c>
      <c r="M105" s="445" t="s">
        <v>225</v>
      </c>
      <c r="N105" s="738" t="s">
        <v>760</v>
      </c>
      <c r="O105" s="739"/>
      <c r="P105" s="445" t="s">
        <v>288</v>
      </c>
      <c r="Q105" s="445" t="s">
        <v>225</v>
      </c>
      <c r="R105" s="738" t="s">
        <v>760</v>
      </c>
      <c r="S105" s="739"/>
      <c r="T105" s="445" t="s">
        <v>288</v>
      </c>
      <c r="U105" s="445" t="s">
        <v>225</v>
      </c>
      <c r="V105" s="738" t="s">
        <v>760</v>
      </c>
      <c r="W105" s="739"/>
      <c r="X105" s="446" t="s">
        <v>288</v>
      </c>
      <c r="Y105" s="446" t="s">
        <v>225</v>
      </c>
      <c r="Z105" s="738" t="s">
        <v>760</v>
      </c>
      <c r="AA105" s="739"/>
      <c r="AB105" s="444" t="s">
        <v>288</v>
      </c>
      <c r="AC105" s="445" t="s">
        <v>225</v>
      </c>
      <c r="AD105" s="738" t="s">
        <v>760</v>
      </c>
      <c r="AE105" s="739"/>
      <c r="AF105" s="445" t="s">
        <v>288</v>
      </c>
      <c r="AG105" s="445" t="s">
        <v>225</v>
      </c>
      <c r="AH105" s="738" t="s">
        <v>760</v>
      </c>
      <c r="AI105" s="739"/>
      <c r="AJ105" s="445" t="s">
        <v>288</v>
      </c>
      <c r="AK105" s="445" t="s">
        <v>225</v>
      </c>
      <c r="AL105" s="738" t="s">
        <v>760</v>
      </c>
      <c r="AM105" s="739"/>
      <c r="AN105" s="446" t="s">
        <v>288</v>
      </c>
      <c r="AO105" s="446" t="s">
        <v>225</v>
      </c>
      <c r="AP105" s="738" t="s">
        <v>760</v>
      </c>
      <c r="AQ105" s="739"/>
      <c r="AR105" s="444" t="s">
        <v>288</v>
      </c>
      <c r="AS105" s="445" t="s">
        <v>225</v>
      </c>
      <c r="AT105" s="738" t="s">
        <v>760</v>
      </c>
      <c r="AU105" s="739"/>
      <c r="AV105" s="445" t="s">
        <v>288</v>
      </c>
      <c r="AW105" s="445" t="s">
        <v>225</v>
      </c>
      <c r="AX105" s="738" t="s">
        <v>760</v>
      </c>
      <c r="AY105" s="739"/>
      <c r="AZ105" s="445" t="s">
        <v>288</v>
      </c>
      <c r="BA105" s="445" t="s">
        <v>225</v>
      </c>
      <c r="BB105" s="738" t="s">
        <v>760</v>
      </c>
      <c r="BC105" s="739"/>
      <c r="BD105" s="446" t="s">
        <v>288</v>
      </c>
      <c r="BE105" s="446" t="s">
        <v>225</v>
      </c>
      <c r="BF105" s="738" t="s">
        <v>760</v>
      </c>
      <c r="BG105" s="739"/>
      <c r="BH105" s="444" t="s">
        <v>288</v>
      </c>
      <c r="BI105" s="445" t="s">
        <v>225</v>
      </c>
      <c r="BJ105" s="738" t="s">
        <v>760</v>
      </c>
      <c r="BK105" s="739"/>
      <c r="BL105" s="445" t="s">
        <v>288</v>
      </c>
      <c r="BM105" s="445" t="s">
        <v>225</v>
      </c>
      <c r="BN105" s="741" t="s">
        <v>261</v>
      </c>
      <c r="BO105" s="741"/>
      <c r="BP105" s="445" t="s">
        <v>288</v>
      </c>
      <c r="BQ105" s="445" t="s">
        <v>225</v>
      </c>
      <c r="BR105" s="738" t="s">
        <v>760</v>
      </c>
      <c r="BS105" s="739"/>
      <c r="BT105" s="446" t="s">
        <v>288</v>
      </c>
      <c r="BU105" s="446" t="s">
        <v>225</v>
      </c>
      <c r="BV105" s="738" t="s">
        <v>760</v>
      </c>
      <c r="BW105" s="739"/>
    </row>
    <row r="106" spans="2:75" ht="13.5" thickBot="1" x14ac:dyDescent="0.25">
      <c r="B106" s="443"/>
      <c r="C106" s="740" t="s">
        <v>40</v>
      </c>
      <c r="D106" s="740"/>
      <c r="E106" s="277"/>
      <c r="F106" s="738" t="s">
        <v>247</v>
      </c>
      <c r="G106" s="739"/>
      <c r="H106" s="278"/>
      <c r="I106" s="440" t="s">
        <v>222</v>
      </c>
      <c r="J106" s="448" t="s">
        <v>116</v>
      </c>
      <c r="L106" s="451" t="s">
        <v>40</v>
      </c>
      <c r="M106" s="441" t="s">
        <v>247</v>
      </c>
      <c r="N106" s="441" t="s">
        <v>222</v>
      </c>
      <c r="O106" s="441" t="s">
        <v>116</v>
      </c>
      <c r="P106" s="441" t="s">
        <v>40</v>
      </c>
      <c r="Q106" s="441" t="s">
        <v>247</v>
      </c>
      <c r="R106" s="441" t="s">
        <v>222</v>
      </c>
      <c r="S106" s="441" t="s">
        <v>116</v>
      </c>
      <c r="T106" s="441" t="s">
        <v>40</v>
      </c>
      <c r="U106" s="441" t="s">
        <v>247</v>
      </c>
      <c r="V106" s="441" t="s">
        <v>222</v>
      </c>
      <c r="W106" s="450" t="s">
        <v>116</v>
      </c>
      <c r="X106" s="446" t="s">
        <v>40</v>
      </c>
      <c r="Y106" s="446" t="s">
        <v>247</v>
      </c>
      <c r="Z106" s="446" t="s">
        <v>222</v>
      </c>
      <c r="AA106" s="446" t="s">
        <v>116</v>
      </c>
      <c r="AB106" s="451" t="s">
        <v>40</v>
      </c>
      <c r="AC106" s="441" t="s">
        <v>247</v>
      </c>
      <c r="AD106" s="441" t="s">
        <v>222</v>
      </c>
      <c r="AE106" s="441" t="s">
        <v>116</v>
      </c>
      <c r="AF106" s="441" t="s">
        <v>40</v>
      </c>
      <c r="AG106" s="441" t="s">
        <v>247</v>
      </c>
      <c r="AH106" s="441" t="s">
        <v>222</v>
      </c>
      <c r="AI106" s="441" t="s">
        <v>116</v>
      </c>
      <c r="AJ106" s="441" t="s">
        <v>40</v>
      </c>
      <c r="AK106" s="441" t="s">
        <v>247</v>
      </c>
      <c r="AL106" s="441" t="s">
        <v>222</v>
      </c>
      <c r="AM106" s="450" t="s">
        <v>116</v>
      </c>
      <c r="AN106" s="446" t="s">
        <v>40</v>
      </c>
      <c r="AO106" s="446" t="s">
        <v>247</v>
      </c>
      <c r="AP106" s="446" t="s">
        <v>222</v>
      </c>
      <c r="AQ106" s="446" t="s">
        <v>116</v>
      </c>
      <c r="AR106" s="451" t="s">
        <v>40</v>
      </c>
      <c r="AS106" s="441" t="s">
        <v>247</v>
      </c>
      <c r="AT106" s="441" t="s">
        <v>222</v>
      </c>
      <c r="AU106" s="441" t="s">
        <v>116</v>
      </c>
      <c r="AV106" s="441" t="s">
        <v>40</v>
      </c>
      <c r="AW106" s="441" t="s">
        <v>247</v>
      </c>
      <c r="AX106" s="441" t="s">
        <v>222</v>
      </c>
      <c r="AY106" s="441" t="s">
        <v>116</v>
      </c>
      <c r="AZ106" s="441" t="s">
        <v>40</v>
      </c>
      <c r="BA106" s="441" t="s">
        <v>247</v>
      </c>
      <c r="BB106" s="441" t="s">
        <v>222</v>
      </c>
      <c r="BC106" s="450" t="s">
        <v>116</v>
      </c>
      <c r="BD106" s="446" t="s">
        <v>40</v>
      </c>
      <c r="BE106" s="446" t="s">
        <v>247</v>
      </c>
      <c r="BF106" s="446" t="s">
        <v>222</v>
      </c>
      <c r="BG106" s="446" t="s">
        <v>116</v>
      </c>
      <c r="BH106" s="451" t="s">
        <v>40</v>
      </c>
      <c r="BI106" s="441" t="s">
        <v>247</v>
      </c>
      <c r="BJ106" s="441" t="s">
        <v>222</v>
      </c>
      <c r="BK106" s="441" t="s">
        <v>116</v>
      </c>
      <c r="BL106" s="441" t="s">
        <v>40</v>
      </c>
      <c r="BM106" s="441" t="s">
        <v>247</v>
      </c>
      <c r="BN106" s="441" t="s">
        <v>222</v>
      </c>
      <c r="BO106" s="441" t="s">
        <v>116</v>
      </c>
      <c r="BP106" s="441" t="s">
        <v>40</v>
      </c>
      <c r="BQ106" s="441" t="s">
        <v>247</v>
      </c>
      <c r="BR106" s="441" t="s">
        <v>222</v>
      </c>
      <c r="BS106" s="450" t="s">
        <v>116</v>
      </c>
      <c r="BT106" s="446" t="s">
        <v>40</v>
      </c>
      <c r="BU106" s="446" t="s">
        <v>247</v>
      </c>
      <c r="BV106" s="446" t="s">
        <v>222</v>
      </c>
      <c r="BW106" s="446" t="s">
        <v>116</v>
      </c>
    </row>
    <row r="107" spans="2:75" ht="13.5" thickBot="1" x14ac:dyDescent="0.25">
      <c r="B107" s="92" t="s">
        <v>754</v>
      </c>
      <c r="C107" s="95">
        <f>ПП!B84</f>
        <v>0</v>
      </c>
      <c r="D107" s="381" t="e">
        <f>ПП!C84</f>
        <v>#DIV/0!</v>
      </c>
      <c r="E107" s="406">
        <f>ПП!D84</f>
        <v>0</v>
      </c>
      <c r="F107" s="272">
        <f>COUNTIFS('Отчет РПЗ(ПЗ)_ПЗИП'!$AG:$AG,"&gt;0",'Отчет РПЗ(ПЗ)_ПЗИП'!$AP:$AP,Справочно!$E16,'Отчет РПЗ(ПЗ)_ПЗИП'!$G:$G,"&lt;&gt;ЕП",'Отчет РПЗ(ПЗ)_ПЗИП'!$W:$W,"&lt;50000000")</f>
        <v>0</v>
      </c>
      <c r="G107" s="407" t="e">
        <f>F107/$E$48</f>
        <v>#DIV/0!</v>
      </c>
      <c r="H107" s="408">
        <f>SUMIFS('Отчет РПЗ(ПЗ)_ПЗИП'!$AG:$AG,'Отчет РПЗ(ПЗ)_ПЗИП'!$AP:$AP,Справочно!$E16,'Отчет РПЗ(ПЗ)_ПЗИП'!$G:$G,"&lt;&gt;ЕП",'Отчет РПЗ(ПЗ)_ПЗИП'!$W:$W,"&lt;50000000")</f>
        <v>0</v>
      </c>
      <c r="I107" s="472">
        <f>(IF($D$3=1,Z107,0)+IF($D$3=2,Z107+AP107,0)+IF($D$3=3,Z107+AP107+BF107,0)+IF($D$3=4,Z107+AP107+BF107+BV107,0))</f>
        <v>0</v>
      </c>
      <c r="J107" s="473" t="e">
        <f>I107/(X107+AN107+BD107+BT107)</f>
        <v>#DIV/0!</v>
      </c>
      <c r="L107" s="383">
        <f>SUMIFS('Отчет РПЗ(ПЗ)_ПЗИП'!$W:$W,'Отчет РПЗ(ПЗ)_ПЗИП'!$AP:$AP,Справочно!$E16,'Отчет РПЗ(ПЗ)_ПЗИП'!$N:$N,"&gt;=01.01.2018",'Отчет РПЗ(ПЗ)_ПЗИП'!$N:$N,"&lt;=31.01.2018",'Отчет РПЗ(ПЗ)_ПЗИП'!$AG:$AG,"&gt;0",'Отчет РПЗ(ПЗ)_ПЗИП'!$G:$G,"&lt;&gt;ЕП",'Отчет РПЗ(ПЗ)_ПЗИП'!$W:$W,"&lt;50000000")</f>
        <v>0</v>
      </c>
      <c r="M107" s="297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РПЗ(ПЗ)_ПЗИП'!$AR:$AR,1)</f>
        <v>0</v>
      </c>
      <c r="N107" s="297" t="str">
        <f>IF(M107=0,"НД",L107-M107)</f>
        <v>НД</v>
      </c>
      <c r="O107" s="497" t="str">
        <f>IF(M107=0, "НД", IF((N107="НД"),"НД",N107/L107))</f>
        <v>НД</v>
      </c>
      <c r="P107" s="398">
        <f>SUMIFS('Отчет РПЗ(ПЗ)_ПЗИП'!$W:$W,'Отчет РПЗ(ПЗ)_ПЗИП'!$AP:$AP,Справочно!$E16,'Отчет РПЗ(ПЗ)_ПЗИП'!$N:$N,"&gt;=01.02.2018",'Отчет РПЗ(ПЗ)_ПЗИП'!$N:$N,"&lt;=28.02.2018",'Отчет РПЗ(ПЗ)_ПЗИП'!$AG:$AG,"&gt;0",'Отчет РПЗ(ПЗ)_ПЗИП'!$G:$G,"&lt;&gt;ЕП",'Отчет РПЗ(ПЗ)_ПЗИП'!$W:$W,"&lt;50000000")</f>
        <v>0</v>
      </c>
      <c r="Q107" s="297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РПЗ(ПЗ)_ПЗИП'!$AR:$AR,2)</f>
        <v>0</v>
      </c>
      <c r="R107" s="297" t="str">
        <f>IF(Q107=0,"НД",P107-Q107)</f>
        <v>НД</v>
      </c>
      <c r="S107" s="497" t="str">
        <f>IF(Q107=0, "НД", IF((R107="НД"),"НД",R107/P107))</f>
        <v>НД</v>
      </c>
      <c r="T107" s="398">
        <f>SUMIFS('Отчет РПЗ(ПЗ)_ПЗИП'!$W:$W,'Отчет РПЗ(ПЗ)_ПЗИП'!$AP:$AP,Справочно!$E16,'Отчет РПЗ(ПЗ)_ПЗИП'!$N:$N,"&gt;=01.03.2018",'Отчет РПЗ(ПЗ)_ПЗИП'!$N:$N,"&lt;=31.03.2018",'Отчет РПЗ(ПЗ)_ПЗИП'!$AG:$AG,"&gt;0",'Отчет РПЗ(ПЗ)_ПЗИП'!$G:$G,"&lt;&gt;ЕП",'Отчет РПЗ(ПЗ)_ПЗИП'!$W:$W,"&lt;50000000")</f>
        <v>0</v>
      </c>
      <c r="U107" s="297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РПЗ(ПЗ)_ПЗИП'!$AR:$AR,3)</f>
        <v>0</v>
      </c>
      <c r="V107" s="297" t="str">
        <f>IF(U107=0,"НД",T107-U107)</f>
        <v>НД</v>
      </c>
      <c r="W107" s="497" t="str">
        <f t="shared" ref="W107:W110" si="70">IF(U107=0, "НД", IF((V107="НД"),"НД",V107/T107))</f>
        <v>НД</v>
      </c>
      <c r="X107" s="498">
        <f>SUM(L107,P107,T107)</f>
        <v>0</v>
      </c>
      <c r="Y107" s="499">
        <f>SUM(M107,Q107,U107)</f>
        <v>0</v>
      </c>
      <c r="Z107" s="499">
        <f t="shared" ref="Z107:Z110" si="71">IF(Y107=0,0,X107-Y107)</f>
        <v>0</v>
      </c>
      <c r="AA107" s="500">
        <f t="shared" ref="AA107:AA110" si="72">IF(Y107=0, 0, IF((Z107="НД"),"НД",Z107/X107))</f>
        <v>0</v>
      </c>
      <c r="AB107" s="398">
        <f>SUMIFS('Отчет РПЗ(ПЗ)_ПЗИП'!$W:$W,'Отчет РПЗ(ПЗ)_ПЗИП'!$AP:$AP,Справочно!$E16,'Отчет РПЗ(ПЗ)_ПЗИП'!$N:$N,"&gt;=01.04.2018",'Отчет РПЗ(ПЗ)_ПЗИП'!$N:$N,"&lt;=30.04.2018",'Отчет РПЗ(ПЗ)_ПЗИП'!$AG:$AG,"&gt;0",'Отчет РПЗ(ПЗ)_ПЗИП'!$G:$G,"&lt;&gt;ЕП",'Отчет РПЗ(ПЗ)_ПЗИП'!$W:$W,"&lt;50000000")</f>
        <v>0</v>
      </c>
      <c r="AC107" s="299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РПЗ(ПЗ)_ПЗИП'!$AR:$AR,4)</f>
        <v>0</v>
      </c>
      <c r="AD107" s="299" t="str">
        <f>IF(AC107=0,"НД",AB107-AC107)</f>
        <v>НД</v>
      </c>
      <c r="AE107" s="501" t="str">
        <f t="shared" ref="AE107:AE110" si="73">IF(AC107=0, "НД", IF((AD107="НД"),"НД",AD107/AB107))</f>
        <v>НД</v>
      </c>
      <c r="AF107" s="398">
        <f>SUMIFS('Отчет РПЗ(ПЗ)_ПЗИП'!$W:$W,'Отчет РПЗ(ПЗ)_ПЗИП'!$AP:$AP,Справочно!$E16,'Отчет РПЗ(ПЗ)_ПЗИП'!$N:$N,"&gt;=01.05.2018",'Отчет РПЗ(ПЗ)_ПЗИП'!$N:$N,"&lt;=31.05.2018",'Отчет РПЗ(ПЗ)_ПЗИП'!$AG:$AG,"&gt;0",'Отчет РПЗ(ПЗ)_ПЗИП'!$G:$G,"&lt;&gt;ЕП",'Отчет РПЗ(ПЗ)_ПЗИП'!$W:$W,"&lt;50000000")</f>
        <v>0</v>
      </c>
      <c r="AG107" s="299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РПЗ(ПЗ)_ПЗИП'!$AR:$AR,5)</f>
        <v>0</v>
      </c>
      <c r="AH107" s="299" t="str">
        <f>IF(AG107=0,"НД",AF107-AG107)</f>
        <v>НД</v>
      </c>
      <c r="AI107" s="501" t="str">
        <f t="shared" ref="AI107:AI110" si="74">IF(AG107=0, "НД", IF((AH107="НД"),"НД",AH107/AF107))</f>
        <v>НД</v>
      </c>
      <c r="AJ107" s="398">
        <f>SUMIFS('Отчет РПЗ(ПЗ)_ПЗИП'!$W:$W,'Отчет РПЗ(ПЗ)_ПЗИП'!$AP:$AP,Справочно!$E16,'Отчет РПЗ(ПЗ)_ПЗИП'!$N:$N,"&gt;=01.06.2018",'Отчет РПЗ(ПЗ)_ПЗИП'!$N:$N,"&lt;=30.06.2018",'Отчет РПЗ(ПЗ)_ПЗИП'!$AG:$AG,"&gt;0",'Отчет РПЗ(ПЗ)_ПЗИП'!$G:$G,"&lt;&gt;ЕП",'Отчет РПЗ(ПЗ)_ПЗИП'!$W:$W,"&lt;50000000")</f>
        <v>0</v>
      </c>
      <c r="AK107" s="299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РПЗ(ПЗ)_ПЗИП'!$AR:$AR,6)</f>
        <v>0</v>
      </c>
      <c r="AL107" s="299" t="str">
        <f>IF(AK107=0,"НД",AJ107-AK107)</f>
        <v>НД</v>
      </c>
      <c r="AM107" s="501" t="str">
        <f t="shared" ref="AM107:AM110" si="75">IF(AK107=0, "НД", IF((AL107="НД"),"НД",AL107/AJ107))</f>
        <v>НД</v>
      </c>
      <c r="AN107" s="498">
        <f>SUM(AB107,AF107,AJ107)</f>
        <v>0</v>
      </c>
      <c r="AO107" s="502">
        <f>SUM(AC107,AG107,AK107)</f>
        <v>0</v>
      </c>
      <c r="AP107" s="502">
        <f t="shared" ref="AP107:AP110" si="76">IF(AO107=0,0,AN107-AO107)</f>
        <v>0</v>
      </c>
      <c r="AQ107" s="503">
        <f t="shared" ref="AQ107:AQ110" si="77">IF(AO107=0, 0, IF((AP107="НД"),"НД",AP107/AN107))</f>
        <v>0</v>
      </c>
      <c r="AR107" s="398">
        <f>SUMIFS('Отчет РПЗ(ПЗ)_ПЗИП'!$W:$W,'Отчет РПЗ(ПЗ)_ПЗИП'!$AP:$AP,Справочно!$E16,'Отчет РПЗ(ПЗ)_ПЗИП'!$N:$N,"&gt;=01.07.2018",'Отчет РПЗ(ПЗ)_ПЗИП'!$N:$N,"&lt;=31.07.2018",'Отчет РПЗ(ПЗ)_ПЗИП'!$AG:$AG,"&gt;0",'Отчет РПЗ(ПЗ)_ПЗИП'!$G:$G,"&lt;&gt;ЕП",'Отчет РПЗ(ПЗ)_ПЗИП'!$W:$W,"&lt;50000000")</f>
        <v>0</v>
      </c>
      <c r="AS107" s="301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РПЗ(ПЗ)_ПЗИП'!$AR:$AR,7)</f>
        <v>0</v>
      </c>
      <c r="AT107" s="301" t="str">
        <f>IF(AS107=0,"НД",AR107-AS107)</f>
        <v>НД</v>
      </c>
      <c r="AU107" s="235" t="str">
        <f t="shared" ref="AU107:AU110" si="78">IF(AS107=0, "НД", IF((AT107="НД"),"НД",AT107/AR107))</f>
        <v>НД</v>
      </c>
      <c r="AV107" s="398">
        <f>SUMIFS('Отчет РПЗ(ПЗ)_ПЗИП'!$W:$W,'Отчет РПЗ(ПЗ)_ПЗИП'!$AP:$AP,Справочно!$E16,'Отчет РПЗ(ПЗ)_ПЗИП'!$N:$N,"&gt;=01.08.2018",'Отчет РПЗ(ПЗ)_ПЗИП'!$N:$N,"&lt;=31.08.2018",'Отчет РПЗ(ПЗ)_ПЗИП'!$AG:$AG,"&gt;0",'Отчет РПЗ(ПЗ)_ПЗИП'!$G:$G,"&lt;&gt;ЕП",'Отчет РПЗ(ПЗ)_ПЗИП'!$W:$W,"&lt;50000000")</f>
        <v>0</v>
      </c>
      <c r="AW107" s="301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РПЗ(ПЗ)_ПЗИП'!$AR:$AR,8)</f>
        <v>0</v>
      </c>
      <c r="AX107" s="301" t="str">
        <f>IF(AW107=0,"НД",AV107-AW107)</f>
        <v>НД</v>
      </c>
      <c r="AY107" s="237" t="str">
        <f t="shared" ref="AY107:AY110" si="79">IF(AW107=0, "НД", IF((AX107="НД"),"НД",AX107/AV107))</f>
        <v>НД</v>
      </c>
      <c r="AZ107" s="398">
        <f>SUMIFS('Отчет РПЗ(ПЗ)_ПЗИП'!$W:$W,'Отчет РПЗ(ПЗ)_ПЗИП'!$AP:$AP,Справочно!$E16,'Отчет РПЗ(ПЗ)_ПЗИП'!$N:$N,"&gt;=01.09.2018",'Отчет РПЗ(ПЗ)_ПЗИП'!$N:$N,"&lt;=30.09.2018",'Отчет РПЗ(ПЗ)_ПЗИП'!$AG:$AG,"&gt;0",'Отчет РПЗ(ПЗ)_ПЗИП'!$G:$G,"&lt;&gt;ЕП",'Отчет РПЗ(ПЗ)_ПЗИП'!$W:$W,"&lt;50000000")</f>
        <v>0</v>
      </c>
      <c r="BA107" s="301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РПЗ(ПЗ)_ПЗИП'!$AR:$AR,9)</f>
        <v>0</v>
      </c>
      <c r="BB107" s="301" t="str">
        <f>IF(BA107=0,"НД",AZ107-BA107)</f>
        <v>НД</v>
      </c>
      <c r="BC107" s="237" t="str">
        <f t="shared" ref="BC107:BC110" si="80">IF(BA107=0, "НД", IF((BB107="НД"),"НД",BB107/AZ107))</f>
        <v>НД</v>
      </c>
      <c r="BD107" s="498">
        <f>SUM(AR107,AV107,AZ107)</f>
        <v>0</v>
      </c>
      <c r="BE107" s="504">
        <f>SUM(AS107,AW107,BA107)</f>
        <v>0</v>
      </c>
      <c r="BF107" s="504">
        <f t="shared" ref="BF107:BF110" si="81">IF(BE107=0,0,BD107-BE107)</f>
        <v>0</v>
      </c>
      <c r="BG107" s="505">
        <f t="shared" ref="BG107:BG110" si="82">IF(BE107=0, 0, IF((BF107="НД"),"НД",BF107/BD107))</f>
        <v>0</v>
      </c>
      <c r="BH107" s="398">
        <f>SUMIFS('Отчет РПЗ(ПЗ)_ПЗИП'!$W:$W,'Отчет РПЗ(ПЗ)_ПЗИП'!$AP:$AP,Справочно!$E16,'Отчет РПЗ(ПЗ)_ПЗИП'!$N:$N,"&gt;=01.10.2018",'Отчет РПЗ(ПЗ)_ПЗИП'!$N:$N,"&lt;=30.10.2018",'Отчет РПЗ(ПЗ)_ПЗИП'!$AG:$AG,"&gt;0",'Отчет РПЗ(ПЗ)_ПЗИП'!$G:$G,"&lt;&gt;ЕП",'Отчет РПЗ(ПЗ)_ПЗИП'!$W:$W,"&lt;50000000")</f>
        <v>0</v>
      </c>
      <c r="BI107" s="303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РПЗ(ПЗ)_ПЗИП'!$AR:$AR,10)</f>
        <v>0</v>
      </c>
      <c r="BJ107" s="303" t="str">
        <f>IF(BI107=0,"НД",BH107-BI107)</f>
        <v>НД</v>
      </c>
      <c r="BK107" s="239" t="str">
        <f t="shared" ref="BK107:BK110" si="83">IF(BI107=0, "НД", IF((BJ107="НД"),"НД",BJ107/BH107))</f>
        <v>НД</v>
      </c>
      <c r="BL107" s="398">
        <f>SUMIFS('Отчет РПЗ(ПЗ)_ПЗИП'!$W:$W,'Отчет РПЗ(ПЗ)_ПЗИП'!$AP:$AP,Справочно!$E16,'Отчет РПЗ(ПЗ)_ПЗИП'!$N:$N,"&gt;=01.11.2018",'Отчет РПЗ(ПЗ)_ПЗИП'!$N:$N,"&lt;=30.11.2018",'Отчет РПЗ(ПЗ)_ПЗИП'!$AG:$AG,"&gt;0",'Отчет РПЗ(ПЗ)_ПЗИП'!$G:$G,"&lt;&gt;ЕП",'Отчет РПЗ(ПЗ)_ПЗИП'!$W:$W,"&lt;50000000")</f>
        <v>0</v>
      </c>
      <c r="BM107" s="303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РПЗ(ПЗ)_ПЗИП'!$AR:$AR,11)</f>
        <v>0</v>
      </c>
      <c r="BN107" s="303" t="str">
        <f>IF(BM107=0,"НД",BL107-BM107)</f>
        <v>НД</v>
      </c>
      <c r="BO107" s="239" t="str">
        <f t="shared" ref="BO107:BO110" si="84">IF(BM107=0, "НД", IF((BN107="НД"),"НД",BN107/BL107))</f>
        <v>НД</v>
      </c>
      <c r="BP107" s="398">
        <f>SUMIFS('Отчет РПЗ(ПЗ)_ПЗИП'!$W:$W,'Отчет РПЗ(ПЗ)_ПЗИП'!$AP:$AP,Справочно!$E16,'Отчет РПЗ(ПЗ)_ПЗИП'!$N:$N,"&gt;=01.12.2018",'Отчет РПЗ(ПЗ)_ПЗИП'!$N:$N,"&lt;=31.12.2018",'Отчет РПЗ(ПЗ)_ПЗИП'!$AG:$AG,"&gt;0",'Отчет РПЗ(ПЗ)_ПЗИП'!$G:$G,"&lt;&gt;ЕП",'Отчет РПЗ(ПЗ)_ПЗИП'!$W:$W,"&lt;50000000")</f>
        <v>0</v>
      </c>
      <c r="BQ107" s="303">
        <f>SUMIFS('Отчет РПЗ(ПЗ)_ПЗИП'!$AG:$AG,'Отчет РПЗ(ПЗ)_ПЗИП'!$AP:$AP,Справочно!$E16,'Отчет РПЗ(ПЗ)_ПЗИП'!$G:$G,"&lt;&gt;ЕП",'Отчет РПЗ(ПЗ)_ПЗИП'!$W:$W,"&lt;50000000",'Отчет РПЗ(ПЗ)_ПЗИП'!$AR:$AR,12)</f>
        <v>0</v>
      </c>
      <c r="BR107" s="303" t="str">
        <f>IF(BQ107=0,"НД",BP107-BQ107)</f>
        <v>НД</v>
      </c>
      <c r="BS107" s="241" t="str">
        <f t="shared" ref="BS107:BS110" si="85">IF(BQ107=0, "НД", IF((BR107="НД"),"НД",BR107/BP107))</f>
        <v>НД</v>
      </c>
      <c r="BT107" s="498">
        <f>SUM(BH107,BL107,BP107)</f>
        <v>0</v>
      </c>
      <c r="BU107" s="506">
        <f>SUM(BI107,BM107,BQ107)</f>
        <v>0</v>
      </c>
      <c r="BV107" s="506">
        <f t="shared" ref="BV107:BV110" si="86">IF(BU107=0,0,BT107-BU107)</f>
        <v>0</v>
      </c>
      <c r="BW107" s="507">
        <f t="shared" ref="BW107:BW110" si="87">IF(BU107=0, 0, IF((BV107="НД"),"НД",BV107/BT107))</f>
        <v>0</v>
      </c>
    </row>
    <row r="108" spans="2:75" ht="13.5" thickBot="1" x14ac:dyDescent="0.25">
      <c r="B108" s="452" t="s">
        <v>749</v>
      </c>
      <c r="C108" s="95">
        <f>ПП!B85</f>
        <v>0</v>
      </c>
      <c r="D108" s="381" t="e">
        <f>ПП!C85</f>
        <v>#DIV/0!</v>
      </c>
      <c r="E108" s="406">
        <f>ПП!D85</f>
        <v>0</v>
      </c>
      <c r="F108" s="272">
        <f>COUNTIFS('Отчет РПЗ(ПЗ)_ПЗИП'!$AG:$AG,"&gt;0",'Отчет РПЗ(ПЗ)_ПЗИП'!$AP:$AP,Справочно!$E16,'Отчет РПЗ(ПЗ)_ПЗИП'!$G:$G,"&lt;&gt;ЕП",'Отчет РПЗ(ПЗ)_ПЗИП'!$W:$W,"&gt;=50000000")</f>
        <v>0</v>
      </c>
      <c r="G108" s="407" t="e">
        <f>F108/$E$48</f>
        <v>#DIV/0!</v>
      </c>
      <c r="H108" s="408">
        <f>SUMIFS('Отчет РПЗ(ПЗ)_ПЗИП'!$AG:$AG,'Отчет РПЗ(ПЗ)_ПЗИП'!$AP:$AP,Справочно!$E16,'Отчет РПЗ(ПЗ)_ПЗИП'!$G:$G,"&lt;&gt;ЕП",'Отчет РПЗ(ПЗ)_ПЗИП'!$W:$W,"&gt;=50000000")</f>
        <v>0</v>
      </c>
      <c r="I108" s="471">
        <f>(IF($D$3=1,Z108,0)+IF($D$3=2,Z108+AP108,0)+IF($D$3=3,Z108+AP108+BF108,0)+IF($D$3=4,Z108+AP108+BF108+BV108,0))</f>
        <v>0</v>
      </c>
      <c r="J108" s="473" t="e">
        <f>I108/(X108+AN108+BD108+BT108)</f>
        <v>#DIV/0!</v>
      </c>
      <c r="L108" s="511">
        <f>SUMIFS('Отчет РПЗ(ПЗ)_ПЗИП'!$W:$W,'Отчет РПЗ(ПЗ)_ПЗИП'!$AP:$AP,Справочно!$E16,'Отчет РПЗ(ПЗ)_ПЗИП'!$N:$N,"&gt;=01.01.2018",'Отчет РПЗ(ПЗ)_ПЗИП'!$N:$N,"&lt;=31.01.2018",'Отчет РПЗ(ПЗ)_ПЗИП'!$AG:$AG,"&gt;0",'Отчет РПЗ(ПЗ)_ПЗИП'!$G:$G,"&lt;&gt;ЕП",'Отчет РПЗ(ПЗ)_ПЗИП'!$W:$W,"&gt;=50000000")</f>
        <v>0</v>
      </c>
      <c r="M108" s="479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РПЗ(ПЗ)_ПЗИП'!$AR:$AR,1)</f>
        <v>0</v>
      </c>
      <c r="N108" s="306" t="str">
        <f t="shared" ref="N108:N110" si="88">IF(M108=0,"НД",L108-M108)</f>
        <v>НД</v>
      </c>
      <c r="O108" s="480" t="str">
        <f t="shared" ref="O108:O110" si="89">IF(M108=0, "НД", IF((N108="НД"),"НД",N108/L108))</f>
        <v>НД</v>
      </c>
      <c r="P108" s="400">
        <f>SUMIFS('Отчет РПЗ(ПЗ)_ПЗИП'!$W:$W,'Отчет РПЗ(ПЗ)_ПЗИП'!$AP:$AP,Справочно!$E16,'Отчет РПЗ(ПЗ)_ПЗИП'!$N:$N,"&gt;=01.02.2018",'Отчет РПЗ(ПЗ)_ПЗИП'!$N:$N,"&lt;=28.02.2018",'Отчет РПЗ(ПЗ)_ПЗИП'!$AG:$AG,"&gt;0",'Отчет РПЗ(ПЗ)_ПЗИП'!$G:$G,"&lt;&gt;ЕП",'Отчет РПЗ(ПЗ)_ПЗИП'!$W:$W,"&gt;=50000000")</f>
        <v>0</v>
      </c>
      <c r="Q108" s="479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РПЗ(ПЗ)_ПЗИП'!$AR:$AR,2)</f>
        <v>0</v>
      </c>
      <c r="R108" s="306" t="str">
        <f t="shared" ref="R108:R110" si="90">IF(Q108=0,"НД",P108-Q108)</f>
        <v>НД</v>
      </c>
      <c r="S108" s="480" t="str">
        <f t="shared" ref="S108:S110" si="91">IF(Q108=0, "НД", IF((R108="НД"),"НД",R108/P108))</f>
        <v>НД</v>
      </c>
      <c r="T108" s="400">
        <f>SUMIFS('Отчет РПЗ(ПЗ)_ПЗИП'!$W:$W,'Отчет РПЗ(ПЗ)_ПЗИП'!$AP:$AP,Справочно!$E16,'Отчет РПЗ(ПЗ)_ПЗИП'!$N:$N,"&gt;=01.03.2018",'Отчет РПЗ(ПЗ)_ПЗИП'!$N:$N,"&lt;=31.03.2018",'Отчет РПЗ(ПЗ)_ПЗИП'!$AG:$AG,"&gt;0",'Отчет РПЗ(ПЗ)_ПЗИП'!$G:$G,"&lt;&gt;ЕП",'Отчет РПЗ(ПЗ)_ПЗИП'!$W:$W,"&gt;=50000000")</f>
        <v>0</v>
      </c>
      <c r="U108" s="479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РПЗ(ПЗ)_ПЗИП'!$AR:$AR,3)</f>
        <v>0</v>
      </c>
      <c r="V108" s="306" t="str">
        <f t="shared" ref="V108:V110" si="92">IF(U108=0,"НД",T108-U108)</f>
        <v>НД</v>
      </c>
      <c r="W108" s="480" t="str">
        <f t="shared" si="70"/>
        <v>НД</v>
      </c>
      <c r="X108" s="481">
        <f t="shared" ref="X108:X110" si="93">SUM(L108,P108,T108)</f>
        <v>0</v>
      </c>
      <c r="Y108" s="482">
        <f t="shared" ref="Y108:Y110" si="94">SUM(M108,Q108,U108)</f>
        <v>0</v>
      </c>
      <c r="Z108" s="482">
        <f t="shared" si="71"/>
        <v>0</v>
      </c>
      <c r="AA108" s="483">
        <f t="shared" si="72"/>
        <v>0</v>
      </c>
      <c r="AB108" s="400">
        <f>SUMIFS('Отчет РПЗ(ПЗ)_ПЗИП'!$W:$W,'Отчет РПЗ(ПЗ)_ПЗИП'!$AP:$AP,Справочно!$E16,'Отчет РПЗ(ПЗ)_ПЗИП'!$N:$N,"&gt;=01.04.2018",'Отчет РПЗ(ПЗ)_ПЗИП'!$N:$N,"&lt;=30.04.2018",'Отчет РПЗ(ПЗ)_ПЗИП'!$AG:$AG,"&gt;0",'Отчет РПЗ(ПЗ)_ПЗИП'!$G:$G,"&lt;&gt;ЕП",'Отчет РПЗ(ПЗ)_ПЗИП'!$W:$W,"&gt;=50000000")</f>
        <v>0</v>
      </c>
      <c r="AC108" s="484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РПЗ(ПЗ)_ПЗИП'!$AR:$AR,4)</f>
        <v>0</v>
      </c>
      <c r="AD108" s="484" t="str">
        <f t="shared" ref="AD108:AD110" si="95">IF(AC108=0,"НД",AB108-AC108)</f>
        <v>НД</v>
      </c>
      <c r="AE108" s="485" t="str">
        <f t="shared" si="73"/>
        <v>НД</v>
      </c>
      <c r="AF108" s="400">
        <f>SUMIFS('Отчет РПЗ(ПЗ)_ПЗИП'!$W:$W,'Отчет РПЗ(ПЗ)_ПЗИП'!$AP:$AP,Справочно!$E16,'Отчет РПЗ(ПЗ)_ПЗИП'!$N:$N,"&gt;=01.05.2018",'Отчет РПЗ(ПЗ)_ПЗИП'!$N:$N,"&lt;=31.05.2018",'Отчет РПЗ(ПЗ)_ПЗИП'!$AG:$AG,"&gt;0",'Отчет РПЗ(ПЗ)_ПЗИП'!$G:$G,"&lt;&gt;ЕП",'Отчет РПЗ(ПЗ)_ПЗИП'!$W:$W,"&gt;=50000000")</f>
        <v>0</v>
      </c>
      <c r="AG108" s="484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РПЗ(ПЗ)_ПЗИП'!$AR:$AR,5)</f>
        <v>0</v>
      </c>
      <c r="AH108" s="484" t="str">
        <f t="shared" ref="AH108:AH110" si="96">IF(AG108=0,"НД",AF108-AG108)</f>
        <v>НД</v>
      </c>
      <c r="AI108" s="485" t="str">
        <f t="shared" si="74"/>
        <v>НД</v>
      </c>
      <c r="AJ108" s="400">
        <f>SUMIFS('Отчет РПЗ(ПЗ)_ПЗИП'!$W:$W,'Отчет РПЗ(ПЗ)_ПЗИП'!$AP:$AP,Справочно!$E16,'Отчет РПЗ(ПЗ)_ПЗИП'!$N:$N,"&gt;=01.06.2018",'Отчет РПЗ(ПЗ)_ПЗИП'!$N:$N,"&lt;=30.06.2018",'Отчет РПЗ(ПЗ)_ПЗИП'!$AG:$AG,"&gt;0",'Отчет РПЗ(ПЗ)_ПЗИП'!$G:$G,"&lt;&gt;ЕП",'Отчет РПЗ(ПЗ)_ПЗИП'!$W:$W,"&gt;=50000000")</f>
        <v>0</v>
      </c>
      <c r="AK108" s="484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РПЗ(ПЗ)_ПЗИП'!$AR:$AR,6)</f>
        <v>0</v>
      </c>
      <c r="AL108" s="484" t="str">
        <f t="shared" ref="AL108:AL110" si="97">IF(AK108=0,"НД",AJ108-AK108)</f>
        <v>НД</v>
      </c>
      <c r="AM108" s="485" t="str">
        <f t="shared" si="75"/>
        <v>НД</v>
      </c>
      <c r="AN108" s="481">
        <f t="shared" ref="AN108:AN110" si="98">SUM(AB108,AF108,AJ108)</f>
        <v>0</v>
      </c>
      <c r="AO108" s="486">
        <f>SUM(AC108,AG108,AK108)</f>
        <v>0</v>
      </c>
      <c r="AP108" s="486">
        <f t="shared" si="76"/>
        <v>0</v>
      </c>
      <c r="AQ108" s="487">
        <f t="shared" si="77"/>
        <v>0</v>
      </c>
      <c r="AR108" s="400">
        <f>SUMIFS('Отчет РПЗ(ПЗ)_ПЗИП'!$W:$W,'Отчет РПЗ(ПЗ)_ПЗИП'!$AP:$AP,Справочно!$E16,'Отчет РПЗ(ПЗ)_ПЗИП'!$N:$N,"&gt;=01.07.2018",'Отчет РПЗ(ПЗ)_ПЗИП'!$N:$N,"&lt;=31.07.2018",'Отчет РПЗ(ПЗ)_ПЗИП'!$AG:$AG,"&gt;0",'Отчет РПЗ(ПЗ)_ПЗИП'!$G:$G,"&lt;&gt;ЕП",'Отчет РПЗ(ПЗ)_ПЗИП'!$W:$W,"&gt;=50000000")</f>
        <v>0</v>
      </c>
      <c r="AS108" s="488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РПЗ(ПЗ)_ПЗИП'!$AR:$AR,7)</f>
        <v>0</v>
      </c>
      <c r="AT108" s="346" t="str">
        <f t="shared" ref="AT108:AT110" si="99">IF(AS108=0,"НД",AR108-AS108)</f>
        <v>НД</v>
      </c>
      <c r="AU108" s="489" t="str">
        <f t="shared" si="78"/>
        <v>НД</v>
      </c>
      <c r="AV108" s="400">
        <f>SUMIFS('Отчет РПЗ(ПЗ)_ПЗИП'!$W:$W,'Отчет РПЗ(ПЗ)_ПЗИП'!$AP:$AP,Справочно!$E16,'Отчет РПЗ(ПЗ)_ПЗИП'!$N:$N,"&gt;=01.08.2018",'Отчет РПЗ(ПЗ)_ПЗИП'!$N:$N,"&lt;=31.08.2018",'Отчет РПЗ(ПЗ)_ПЗИП'!$AG:$AG,"&gt;0",'Отчет РПЗ(ПЗ)_ПЗИП'!$G:$G,"&lt;&gt;ЕП",'Отчет РПЗ(ПЗ)_ПЗИП'!$W:$W,"&gt;=50000000")</f>
        <v>0</v>
      </c>
      <c r="AW108" s="488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РПЗ(ПЗ)_ПЗИП'!$AR:$AR,8)</f>
        <v>0</v>
      </c>
      <c r="AX108" s="346" t="str">
        <f t="shared" ref="AX108:AX110" si="100">IF(AW108=0,"НД",AV108-AW108)</f>
        <v>НД</v>
      </c>
      <c r="AY108" s="489" t="str">
        <f t="shared" si="79"/>
        <v>НД</v>
      </c>
      <c r="AZ108" s="400">
        <f>SUMIFS('Отчет РПЗ(ПЗ)_ПЗИП'!$W:$W,'Отчет РПЗ(ПЗ)_ПЗИП'!$AP:$AP,Справочно!$E16,'Отчет РПЗ(ПЗ)_ПЗИП'!$N:$N,"&gt;=01.09.2018",'Отчет РПЗ(ПЗ)_ПЗИП'!$N:$N,"&lt;=30.09.2018",'Отчет РПЗ(ПЗ)_ПЗИП'!$AG:$AG,"&gt;0",'Отчет РПЗ(ПЗ)_ПЗИП'!$G:$G,"&lt;&gt;ЕП",'Отчет РПЗ(ПЗ)_ПЗИП'!$W:$W,"&gt;=50000000")</f>
        <v>0</v>
      </c>
      <c r="BA108" s="488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РПЗ(ПЗ)_ПЗИП'!$AR:$AR,9)</f>
        <v>0</v>
      </c>
      <c r="BB108" s="346" t="str">
        <f t="shared" ref="BB108:BB110" si="101">IF(BA108=0,"НД",AZ108-BA108)</f>
        <v>НД</v>
      </c>
      <c r="BC108" s="489" t="str">
        <f t="shared" si="80"/>
        <v>НД</v>
      </c>
      <c r="BD108" s="481">
        <f t="shared" ref="BD108:BD110" si="102">SUM(AR108,AV108,AZ108)</f>
        <v>0</v>
      </c>
      <c r="BE108" s="490">
        <f t="shared" ref="BE108:BE110" si="103">SUM(AS108,AW108,BA108)</f>
        <v>0</v>
      </c>
      <c r="BF108" s="490">
        <f t="shared" si="81"/>
        <v>0</v>
      </c>
      <c r="BG108" s="491">
        <f t="shared" si="82"/>
        <v>0</v>
      </c>
      <c r="BH108" s="400">
        <f>SUMIFS('Отчет РПЗ(ПЗ)_ПЗИП'!$W:$W,'Отчет РПЗ(ПЗ)_ПЗИП'!$AP:$AP,Справочно!$E16,'Отчет РПЗ(ПЗ)_ПЗИП'!$N:$N,"&gt;=01.10.2018",'Отчет РПЗ(ПЗ)_ПЗИП'!$N:$N,"&lt;=30.10.2018",'Отчет РПЗ(ПЗ)_ПЗИП'!$AG:$AG,"&gt;0",'Отчет РПЗ(ПЗ)_ПЗИП'!$G:$G,"&lt;&gt;ЕП",'Отчет РПЗ(ПЗ)_ПЗИП'!$W:$W,"&gt;=50000000")</f>
        <v>0</v>
      </c>
      <c r="BI108" s="492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РПЗ(ПЗ)_ПЗИП'!$AR:$AR,10)</f>
        <v>0</v>
      </c>
      <c r="BJ108" s="347" t="str">
        <f t="shared" ref="BJ108:BJ110" si="104">IF(BI108=0,"НД",BH108-BI108)</f>
        <v>НД</v>
      </c>
      <c r="BK108" s="493" t="str">
        <f t="shared" si="83"/>
        <v>НД</v>
      </c>
      <c r="BL108" s="400">
        <f>SUMIFS('Отчет РПЗ(ПЗ)_ПЗИП'!$W:$W,'Отчет РПЗ(ПЗ)_ПЗИП'!$AP:$AP,Справочно!$E16,'Отчет РПЗ(ПЗ)_ПЗИП'!$N:$N,"&gt;=01.11.2018",'Отчет РПЗ(ПЗ)_ПЗИП'!$N:$N,"&lt;=30.11.2018",'Отчет РПЗ(ПЗ)_ПЗИП'!$AG:$AG,"&gt;0",'Отчет РПЗ(ПЗ)_ПЗИП'!$G:$G,"&lt;&gt;ЕП",'Отчет РПЗ(ПЗ)_ПЗИП'!$W:$W,"&gt;=50000000")</f>
        <v>0</v>
      </c>
      <c r="BM108" s="492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РПЗ(ПЗ)_ПЗИП'!$AR:$AR,11)</f>
        <v>0</v>
      </c>
      <c r="BN108" s="347" t="str">
        <f t="shared" ref="BN108:BN110" si="105">IF(BM108=0,"НД",BL108-BM108)</f>
        <v>НД</v>
      </c>
      <c r="BO108" s="493" t="str">
        <f t="shared" si="84"/>
        <v>НД</v>
      </c>
      <c r="BP108" s="400">
        <f>SUMIFS('Отчет РПЗ(ПЗ)_ПЗИП'!$W:$W,'Отчет РПЗ(ПЗ)_ПЗИП'!$AP:$AP,Справочно!$E16,'Отчет РПЗ(ПЗ)_ПЗИП'!$N:$N,"&gt;=01.12.2018",'Отчет РПЗ(ПЗ)_ПЗИП'!$N:$N,"&lt;=31.12.2018",'Отчет РПЗ(ПЗ)_ПЗИП'!$AG:$AG,"&gt;0",'Отчет РПЗ(ПЗ)_ПЗИП'!$G:$G,"&lt;&gt;ЕП",'Отчет РПЗ(ПЗ)_ПЗИП'!$W:$W,"&gt;=50000000")</f>
        <v>0</v>
      </c>
      <c r="BQ108" s="492">
        <f>SUMIFS('Отчет РПЗ(ПЗ)_ПЗИП'!$AG:$AG,'Отчет РПЗ(ПЗ)_ПЗИП'!$AP:$AP,Справочно!$E16,'Отчет РПЗ(ПЗ)_ПЗИП'!$G:$G,"&lt;&gt;ЕП",'Отчет РПЗ(ПЗ)_ПЗИП'!$W:$W,"&gt;=50000000",'Отчет РПЗ(ПЗ)_ПЗИП'!$AR:$AR,12)</f>
        <v>0</v>
      </c>
      <c r="BR108" s="347" t="str">
        <f t="shared" ref="BR108:BR110" si="106">IF(BQ108=0,"НД",BP108-BQ108)</f>
        <v>НД</v>
      </c>
      <c r="BS108" s="494" t="str">
        <f t="shared" si="85"/>
        <v>НД</v>
      </c>
      <c r="BT108" s="481">
        <f t="shared" ref="BT108:BT110" si="107">SUM(BH108,BL108,BP108)</f>
        <v>0</v>
      </c>
      <c r="BU108" s="495">
        <f t="shared" ref="BU108:BU110" si="108">SUM(BI108,BM108,BQ108)</f>
        <v>0</v>
      </c>
      <c r="BV108" s="495">
        <f t="shared" si="86"/>
        <v>0</v>
      </c>
      <c r="BW108" s="496">
        <f t="shared" si="87"/>
        <v>0</v>
      </c>
    </row>
    <row r="109" spans="2:75" ht="13.5" thickBot="1" x14ac:dyDescent="0.25">
      <c r="B109" s="73" t="s">
        <v>750</v>
      </c>
      <c r="C109" s="95">
        <f>ПП!B86</f>
        <v>0</v>
      </c>
      <c r="D109" s="381" t="e">
        <f>ПП!C86</f>
        <v>#DIV/0!</v>
      </c>
      <c r="E109" s="406">
        <f>ПП!D86</f>
        <v>0</v>
      </c>
      <c r="F109" s="142">
        <f>SUM(F107:F108)</f>
        <v>0</v>
      </c>
      <c r="G109" s="467" t="e">
        <f>SUM(G107:G108)</f>
        <v>#DIV/0!</v>
      </c>
      <c r="H109" s="308">
        <f>SUM(H107:H108)</f>
        <v>0</v>
      </c>
      <c r="I109" s="468">
        <f>SUM(I107:I108)</f>
        <v>0</v>
      </c>
      <c r="J109" s="256" t="e">
        <f>I109/(X109+AN109+BD109+BT109)</f>
        <v>#DIV/0!</v>
      </c>
      <c r="L109" s="365">
        <f>SUM(L107:L108)</f>
        <v>0</v>
      </c>
      <c r="M109" s="403">
        <f>SUM(M107:M108)</f>
        <v>0</v>
      </c>
      <c r="N109" s="403">
        <f>SUM(N107:N108)</f>
        <v>0</v>
      </c>
      <c r="O109" s="508" t="str">
        <f t="shared" si="89"/>
        <v>НД</v>
      </c>
      <c r="P109" s="403">
        <f>SUM(P107:P108)</f>
        <v>0</v>
      </c>
      <c r="Q109" s="403">
        <f>SUM(Q107:Q108)</f>
        <v>0</v>
      </c>
      <c r="R109" s="307" t="str">
        <f t="shared" si="90"/>
        <v>НД</v>
      </c>
      <c r="S109" s="508" t="str">
        <f t="shared" si="91"/>
        <v>НД</v>
      </c>
      <c r="T109" s="403">
        <f>SUM(T107:T108)</f>
        <v>0</v>
      </c>
      <c r="U109" s="403">
        <f>SUM(U107:U108)</f>
        <v>0</v>
      </c>
      <c r="V109" s="307" t="str">
        <f t="shared" si="92"/>
        <v>НД</v>
      </c>
      <c r="W109" s="508" t="str">
        <f t="shared" si="70"/>
        <v>НД</v>
      </c>
      <c r="X109" s="309">
        <f t="shared" si="93"/>
        <v>0</v>
      </c>
      <c r="Y109" s="309">
        <f t="shared" si="94"/>
        <v>0</v>
      </c>
      <c r="Z109" s="309">
        <f t="shared" si="71"/>
        <v>0</v>
      </c>
      <c r="AA109" s="469">
        <f t="shared" si="72"/>
        <v>0</v>
      </c>
      <c r="AB109" s="403">
        <f>SUM(AB107:AB108)</f>
        <v>0</v>
      </c>
      <c r="AC109" s="403">
        <f>SUM(AC107:AC108)</f>
        <v>0</v>
      </c>
      <c r="AD109" s="307" t="str">
        <f t="shared" si="95"/>
        <v>НД</v>
      </c>
      <c r="AE109" s="509" t="str">
        <f t="shared" si="73"/>
        <v>НД</v>
      </c>
      <c r="AF109" s="403">
        <f>SUM(AF107:AF108)</f>
        <v>0</v>
      </c>
      <c r="AG109" s="403">
        <f>SUM(AG107:AG108)</f>
        <v>0</v>
      </c>
      <c r="AH109" s="307" t="str">
        <f t="shared" si="96"/>
        <v>НД</v>
      </c>
      <c r="AI109" s="509" t="str">
        <f t="shared" si="74"/>
        <v>НД</v>
      </c>
      <c r="AJ109" s="403">
        <f>SUM(AJ107:AJ108)</f>
        <v>0</v>
      </c>
      <c r="AK109" s="403">
        <f>SUM(AK107:AK108)</f>
        <v>0</v>
      </c>
      <c r="AL109" s="307" t="str">
        <f t="shared" si="97"/>
        <v>НД</v>
      </c>
      <c r="AM109" s="509" t="str">
        <f t="shared" si="75"/>
        <v>НД</v>
      </c>
      <c r="AN109" s="309">
        <f t="shared" si="98"/>
        <v>0</v>
      </c>
      <c r="AO109" s="309">
        <f t="shared" ref="AO109:AO110" si="109">SUM(AC109,AG109,AK109)</f>
        <v>0</v>
      </c>
      <c r="AP109" s="309">
        <f t="shared" si="76"/>
        <v>0</v>
      </c>
      <c r="AQ109" s="470">
        <f t="shared" si="77"/>
        <v>0</v>
      </c>
      <c r="AR109" s="403">
        <f>SUM(AR107:AR108)</f>
        <v>0</v>
      </c>
      <c r="AS109" s="403">
        <f>SUM(AS107:AS108)</f>
        <v>0</v>
      </c>
      <c r="AT109" s="307" t="str">
        <f t="shared" si="99"/>
        <v>НД</v>
      </c>
      <c r="AU109" s="509" t="str">
        <f t="shared" si="78"/>
        <v>НД</v>
      </c>
      <c r="AV109" s="403">
        <f>SUM(AV107:AV108)</f>
        <v>0</v>
      </c>
      <c r="AW109" s="403">
        <f>SUM(AW107:AW108)</f>
        <v>0</v>
      </c>
      <c r="AX109" s="307" t="str">
        <f t="shared" si="100"/>
        <v>НД</v>
      </c>
      <c r="AY109" s="509" t="str">
        <f t="shared" si="79"/>
        <v>НД</v>
      </c>
      <c r="AZ109" s="403">
        <f>SUM(AZ107:AZ108)</f>
        <v>0</v>
      </c>
      <c r="BA109" s="403">
        <f>SUM(BA107:BA108)</f>
        <v>0</v>
      </c>
      <c r="BB109" s="307" t="str">
        <f t="shared" si="101"/>
        <v>НД</v>
      </c>
      <c r="BC109" s="509" t="str">
        <f t="shared" si="80"/>
        <v>НД</v>
      </c>
      <c r="BD109" s="309">
        <f t="shared" si="102"/>
        <v>0</v>
      </c>
      <c r="BE109" s="309">
        <f t="shared" si="103"/>
        <v>0</v>
      </c>
      <c r="BF109" s="309">
        <f t="shared" si="81"/>
        <v>0</v>
      </c>
      <c r="BG109" s="470">
        <f t="shared" si="82"/>
        <v>0</v>
      </c>
      <c r="BH109" s="403">
        <f>SUM(BH107:BH108)</f>
        <v>0</v>
      </c>
      <c r="BI109" s="403">
        <f>SUM(BI107:BI108)</f>
        <v>0</v>
      </c>
      <c r="BJ109" s="307" t="str">
        <f t="shared" si="104"/>
        <v>НД</v>
      </c>
      <c r="BK109" s="509" t="str">
        <f t="shared" si="83"/>
        <v>НД</v>
      </c>
      <c r="BL109" s="403">
        <f>SUM(BL107:BL108)</f>
        <v>0</v>
      </c>
      <c r="BM109" s="403">
        <f>SUM(BM107:BM108)</f>
        <v>0</v>
      </c>
      <c r="BN109" s="307" t="str">
        <f t="shared" si="105"/>
        <v>НД</v>
      </c>
      <c r="BO109" s="509" t="str">
        <f t="shared" si="84"/>
        <v>НД</v>
      </c>
      <c r="BP109" s="403">
        <f>SUM(BP107:BP108)</f>
        <v>0</v>
      </c>
      <c r="BQ109" s="403">
        <f>SUM(BQ107:BQ108)</f>
        <v>0</v>
      </c>
      <c r="BR109" s="307" t="str">
        <f t="shared" si="106"/>
        <v>НД</v>
      </c>
      <c r="BS109" s="510" t="str">
        <f t="shared" si="85"/>
        <v>НД</v>
      </c>
      <c r="BT109" s="309">
        <f t="shared" si="107"/>
        <v>0</v>
      </c>
      <c r="BU109" s="309">
        <f t="shared" si="108"/>
        <v>0</v>
      </c>
      <c r="BV109" s="309">
        <f t="shared" si="86"/>
        <v>0</v>
      </c>
      <c r="BW109" s="470">
        <f t="shared" si="87"/>
        <v>0</v>
      </c>
    </row>
    <row r="110" spans="2:75" ht="13.5" thickBot="1" x14ac:dyDescent="0.25">
      <c r="B110" s="525" t="s">
        <v>751</v>
      </c>
      <c r="C110" s="95">
        <f>ПП!B87</f>
        <v>0</v>
      </c>
      <c r="D110" s="381" t="e">
        <f>ПП!C87</f>
        <v>#DIV/0!</v>
      </c>
      <c r="E110" s="406">
        <f>ПП!D87</f>
        <v>0</v>
      </c>
      <c r="F110" s="272">
        <f>COUNTIFS('Отчет РПЗ(ПЗ)_ПЗИП'!$AG:$AG,"&gt;0",'Отчет РПЗ(ПЗ)_ПЗИП'!$AP:$AP,Справочно!$E17,'Отчет РПЗ(ПЗ)_ПЗИП'!$G:$G,"&lt;&gt;ЕП",'Отчет РПЗ(ПЗ)_ПЗИП'!$W:$W,"&gt;=50000000")</f>
        <v>0</v>
      </c>
      <c r="G110" s="407" t="e">
        <f>F110/$E$48</f>
        <v>#DIV/0!</v>
      </c>
      <c r="H110" s="408">
        <f>SUMIFS('Отчет РПЗ(ПЗ)_ПЗИП'!$AG:$AG,'Отчет РПЗ(ПЗ)_ПЗИП'!$AP:$AP,Справочно!$E17,'Отчет РПЗ(ПЗ)_ПЗИП'!$G:$G,"&lt;&gt;ЕП",'Отчет РПЗ(ПЗ)_ПЗИП'!$W:$W,"&gt;=50000000")</f>
        <v>0</v>
      </c>
      <c r="I110" s="526">
        <f>(IF($D$3=1,Z110,0)+IF($D$3=2,Z110+AP110,0)+IF($D$3=3,Z110+AP110+BF110,0)+IF($D$3=4,Z110+AP110+BF110+BV110,0))</f>
        <v>0</v>
      </c>
      <c r="J110" s="527" t="e">
        <f>I110/(X110+AN110+BD110+BT110)</f>
        <v>#DIV/0!</v>
      </c>
      <c r="L110" s="414">
        <f>SUMIFS('Отчет РПЗ(ПЗ)_ПЗИП'!$W:$W,'Отчет РПЗ(ПЗ)_ПЗИП'!$AP:$AP,Справочно!$E17,'Отчет РПЗ(ПЗ)_ПЗИП'!$N:$N,"&gt;=01.01.2018",'Отчет РПЗ(ПЗ)_ПЗИП'!$N:$N,"&lt;=31.01.2018",'Отчет РПЗ(ПЗ)_ПЗИП'!$AG:$AG,"&gt;0",'Отчет РПЗ(ПЗ)_ПЗИП'!$G:$G,"&lt;&gt;ЕП",'Отчет РПЗ(ПЗ)_ПЗИП'!$W:$W,"&gt;=50000000")</f>
        <v>0</v>
      </c>
      <c r="M110" s="512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РПЗ(ПЗ)_ПЗИП'!$AR:$AR,1)</f>
        <v>0</v>
      </c>
      <c r="N110" s="512" t="str">
        <f t="shared" si="88"/>
        <v>НД</v>
      </c>
      <c r="O110" s="513" t="str">
        <f t="shared" si="89"/>
        <v>НД</v>
      </c>
      <c r="P110" s="514">
        <f>SUMIFS('Отчет РПЗ(ПЗ)_ПЗИП'!$W:$W,'Отчет РПЗ(ПЗ)_ПЗИП'!$AP:$AP,Справочно!$E17,'Отчет РПЗ(ПЗ)_ПЗИП'!$N:$N,"&gt;=01.02.2018",'Отчет РПЗ(ПЗ)_ПЗИП'!$N:$N,"&lt;=28.02.2018",'Отчет РПЗ(ПЗ)_ПЗИП'!$AG:$AG,"&gt;0",'Отчет РПЗ(ПЗ)_ПЗИП'!$G:$G,"&lt;&gt;ЕП",'Отчет РПЗ(ПЗ)_ПЗИП'!$W:$W,"&gt;=50000000")</f>
        <v>0</v>
      </c>
      <c r="Q110" s="512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РПЗ(ПЗ)_ПЗИП'!$AR:$AR,2)</f>
        <v>0</v>
      </c>
      <c r="R110" s="512" t="str">
        <f t="shared" si="90"/>
        <v>НД</v>
      </c>
      <c r="S110" s="513" t="str">
        <f t="shared" si="91"/>
        <v>НД</v>
      </c>
      <c r="T110" s="514">
        <f>SUMIFS('Отчет РПЗ(ПЗ)_ПЗИП'!$W:$W,'Отчет РПЗ(ПЗ)_ПЗИП'!$AP:$AP,Справочно!$E17,'Отчет РПЗ(ПЗ)_ПЗИП'!$N:$N,"&gt;=01.03.2018",'Отчет РПЗ(ПЗ)_ПЗИП'!$N:$N,"&lt;=31.03.2018",'Отчет РПЗ(ПЗ)_ПЗИП'!$AG:$AG,"&gt;0",'Отчет РПЗ(ПЗ)_ПЗИП'!$G:$G,"&lt;&gt;ЕП",'Отчет РПЗ(ПЗ)_ПЗИП'!$W:$W,"&gt;=50000000")</f>
        <v>0</v>
      </c>
      <c r="U110" s="512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РПЗ(ПЗ)_ПЗИП'!$AR:$AR,3)</f>
        <v>0</v>
      </c>
      <c r="V110" s="512" t="str">
        <f t="shared" si="92"/>
        <v>НД</v>
      </c>
      <c r="W110" s="513" t="str">
        <f t="shared" si="70"/>
        <v>НД</v>
      </c>
      <c r="X110" s="498">
        <f t="shared" si="93"/>
        <v>0</v>
      </c>
      <c r="Y110" s="499">
        <f t="shared" si="94"/>
        <v>0</v>
      </c>
      <c r="Z110" s="499">
        <f t="shared" si="71"/>
        <v>0</v>
      </c>
      <c r="AA110" s="500">
        <f t="shared" si="72"/>
        <v>0</v>
      </c>
      <c r="AB110" s="514">
        <f>SUMIFS('Отчет РПЗ(ПЗ)_ПЗИП'!$W:$W,'Отчет РПЗ(ПЗ)_ПЗИП'!$AP:$AP,Справочно!$E17,'Отчет РПЗ(ПЗ)_ПЗИП'!$N:$N,"&gt;=01.04.2018",'Отчет РПЗ(ПЗ)_ПЗИП'!$N:$N,"&lt;=30.04.2018",'Отчет РПЗ(ПЗ)_ПЗИП'!$AG:$AG,"&gt;0",'Отчет РПЗ(ПЗ)_ПЗИП'!$G:$G,"&lt;&gt;ЕП",'Отчет РПЗ(ПЗ)_ПЗИП'!$W:$W,"&gt;=50000000")</f>
        <v>0</v>
      </c>
      <c r="AC110" s="515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РПЗ(ПЗ)_ПЗИП'!$AR:$AR,4)</f>
        <v>0</v>
      </c>
      <c r="AD110" s="515" t="str">
        <f t="shared" si="95"/>
        <v>НД</v>
      </c>
      <c r="AE110" s="516" t="str">
        <f t="shared" si="73"/>
        <v>НД</v>
      </c>
      <c r="AF110" s="514">
        <f>SUMIFS('Отчет РПЗ(ПЗ)_ПЗИП'!$W:$W,'Отчет РПЗ(ПЗ)_ПЗИП'!$AP:$AP,Справочно!$E17,'Отчет РПЗ(ПЗ)_ПЗИП'!$N:$N,"&gt;=01.05.2018",'Отчет РПЗ(ПЗ)_ПЗИП'!$N:$N,"&lt;=31.05.2018",'Отчет РПЗ(ПЗ)_ПЗИП'!$AG:$AG,"&gt;0",'Отчет РПЗ(ПЗ)_ПЗИП'!$G:$G,"&lt;&gt;ЕП",'Отчет РПЗ(ПЗ)_ПЗИП'!$W:$W,"&gt;=50000000")</f>
        <v>0</v>
      </c>
      <c r="AG110" s="515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РПЗ(ПЗ)_ПЗИП'!$AR:$AR,5)</f>
        <v>0</v>
      </c>
      <c r="AH110" s="515" t="str">
        <f t="shared" si="96"/>
        <v>НД</v>
      </c>
      <c r="AI110" s="516" t="str">
        <f t="shared" si="74"/>
        <v>НД</v>
      </c>
      <c r="AJ110" s="514">
        <f>SUMIFS('Отчет РПЗ(ПЗ)_ПЗИП'!$W:$W,'Отчет РПЗ(ПЗ)_ПЗИП'!$AP:$AP,Справочно!$E17,'Отчет РПЗ(ПЗ)_ПЗИП'!$N:$N,"&gt;=01.06.2018",'Отчет РПЗ(ПЗ)_ПЗИП'!$N:$N,"&lt;=30.06.2018",'Отчет РПЗ(ПЗ)_ПЗИП'!$AG:$AG,"&gt;0",'Отчет РПЗ(ПЗ)_ПЗИП'!$G:$G,"&lt;&gt;ЕП",'Отчет РПЗ(ПЗ)_ПЗИП'!$W:$W,"&gt;=50000000")</f>
        <v>0</v>
      </c>
      <c r="AK110" s="515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РПЗ(ПЗ)_ПЗИП'!$AR:$AR,6)</f>
        <v>0</v>
      </c>
      <c r="AL110" s="515" t="str">
        <f t="shared" si="97"/>
        <v>НД</v>
      </c>
      <c r="AM110" s="516" t="str">
        <f t="shared" si="75"/>
        <v>НД</v>
      </c>
      <c r="AN110" s="498">
        <f t="shared" si="98"/>
        <v>0</v>
      </c>
      <c r="AO110" s="502">
        <f t="shared" si="109"/>
        <v>0</v>
      </c>
      <c r="AP110" s="502">
        <f t="shared" si="76"/>
        <v>0</v>
      </c>
      <c r="AQ110" s="503">
        <f t="shared" si="77"/>
        <v>0</v>
      </c>
      <c r="AR110" s="514">
        <f>SUMIFS('Отчет РПЗ(ПЗ)_ПЗИП'!$W:$W,'Отчет РПЗ(ПЗ)_ПЗИП'!$AP:$AP,Справочно!$E17,'Отчет РПЗ(ПЗ)_ПЗИП'!$N:$N,"&gt;=01.07.2018",'Отчет РПЗ(ПЗ)_ПЗИП'!$N:$N,"&lt;=31.07.2018",'Отчет РПЗ(ПЗ)_ПЗИП'!$AG:$AG,"&gt;0",'Отчет РПЗ(ПЗ)_ПЗИП'!$G:$G,"&lt;&gt;ЕП",'Отчет РПЗ(ПЗ)_ПЗИП'!$W:$W,"&gt;=50000000")</f>
        <v>0</v>
      </c>
      <c r="AS110" s="517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РПЗ(ПЗ)_ПЗИП'!$AR:$AR,7)</f>
        <v>0</v>
      </c>
      <c r="AT110" s="517" t="str">
        <f t="shared" si="99"/>
        <v>НД</v>
      </c>
      <c r="AU110" s="518" t="str">
        <f t="shared" si="78"/>
        <v>НД</v>
      </c>
      <c r="AV110" s="514">
        <f>SUMIFS('Отчет РПЗ(ПЗ)_ПЗИП'!$W:$W,'Отчет РПЗ(ПЗ)_ПЗИП'!$AP:$AP,Справочно!$E17,'Отчет РПЗ(ПЗ)_ПЗИП'!$N:$N,"&gt;=01.08.2018",'Отчет РПЗ(ПЗ)_ПЗИП'!$N:$N,"&lt;=31.08.2018",'Отчет РПЗ(ПЗ)_ПЗИП'!$AG:$AG,"&gt;0",'Отчет РПЗ(ПЗ)_ПЗИП'!$G:$G,"&lt;&gt;ЕП",'Отчет РПЗ(ПЗ)_ПЗИП'!$W:$W,"&gt;=50000000")</f>
        <v>0</v>
      </c>
      <c r="AW110" s="517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РПЗ(ПЗ)_ПЗИП'!$AR:$AR,8)</f>
        <v>0</v>
      </c>
      <c r="AX110" s="517" t="str">
        <f t="shared" si="100"/>
        <v>НД</v>
      </c>
      <c r="AY110" s="518" t="str">
        <f t="shared" si="79"/>
        <v>НД</v>
      </c>
      <c r="AZ110" s="514">
        <f>SUMIFS('Отчет РПЗ(ПЗ)_ПЗИП'!$W:$W,'Отчет РПЗ(ПЗ)_ПЗИП'!$AP:$AP,Справочно!$E17,'Отчет РПЗ(ПЗ)_ПЗИП'!$N:$N,"&gt;=01.09.2018",'Отчет РПЗ(ПЗ)_ПЗИП'!$N:$N,"&lt;=30.09.2018",'Отчет РПЗ(ПЗ)_ПЗИП'!$AG:$AG,"&gt;0",'Отчет РПЗ(ПЗ)_ПЗИП'!$G:$G,"&lt;&gt;ЕП",'Отчет РПЗ(ПЗ)_ПЗИП'!$W:$W,"&gt;=50000000")</f>
        <v>0</v>
      </c>
      <c r="BA110" s="517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РПЗ(ПЗ)_ПЗИП'!$AR:$AR,9)</f>
        <v>0</v>
      </c>
      <c r="BB110" s="517" t="str">
        <f t="shared" si="101"/>
        <v>НД</v>
      </c>
      <c r="BC110" s="518" t="str">
        <f t="shared" si="80"/>
        <v>НД</v>
      </c>
      <c r="BD110" s="498">
        <f t="shared" si="102"/>
        <v>0</v>
      </c>
      <c r="BE110" s="504">
        <f t="shared" si="103"/>
        <v>0</v>
      </c>
      <c r="BF110" s="504">
        <f t="shared" si="81"/>
        <v>0</v>
      </c>
      <c r="BG110" s="505">
        <f t="shared" si="82"/>
        <v>0</v>
      </c>
      <c r="BH110" s="514">
        <f>SUMIFS('Отчет РПЗ(ПЗ)_ПЗИП'!$W:$W,'Отчет РПЗ(ПЗ)_ПЗИП'!$AP:$AP,Справочно!$E17,'Отчет РПЗ(ПЗ)_ПЗИП'!$N:$N,"&gt;=01.10.2018",'Отчет РПЗ(ПЗ)_ПЗИП'!$N:$N,"&lt;=30.10.2018",'Отчет РПЗ(ПЗ)_ПЗИП'!$AG:$AG,"&gt;0",'Отчет РПЗ(ПЗ)_ПЗИП'!$G:$G,"&lt;&gt;ЕП",'Отчет РПЗ(ПЗ)_ПЗИП'!$W:$W,"&gt;=50000000")</f>
        <v>0</v>
      </c>
      <c r="BI110" s="519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РПЗ(ПЗ)_ПЗИП'!$AR:$AR,10)</f>
        <v>0</v>
      </c>
      <c r="BJ110" s="519" t="str">
        <f t="shared" si="104"/>
        <v>НД</v>
      </c>
      <c r="BK110" s="520" t="str">
        <f t="shared" si="83"/>
        <v>НД</v>
      </c>
      <c r="BL110" s="514">
        <f>SUMIFS('Отчет РПЗ(ПЗ)_ПЗИП'!$W:$W,'Отчет РПЗ(ПЗ)_ПЗИП'!$AP:$AP,Справочно!$E17,'Отчет РПЗ(ПЗ)_ПЗИП'!$N:$N,"&gt;=01.11.2018",'Отчет РПЗ(ПЗ)_ПЗИП'!$N:$N,"&lt;=30.11.2018",'Отчет РПЗ(ПЗ)_ПЗИП'!$AG:$AG,"&gt;0",'Отчет РПЗ(ПЗ)_ПЗИП'!$G:$G,"&lt;&gt;ЕП",'Отчет РПЗ(ПЗ)_ПЗИП'!$W:$W,"&gt;=50000000")</f>
        <v>0</v>
      </c>
      <c r="BM110" s="519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РПЗ(ПЗ)_ПЗИП'!$AR:$AR,11)</f>
        <v>0</v>
      </c>
      <c r="BN110" s="519" t="str">
        <f t="shared" si="105"/>
        <v>НД</v>
      </c>
      <c r="BO110" s="520" t="str">
        <f t="shared" si="84"/>
        <v>НД</v>
      </c>
      <c r="BP110" s="514">
        <f>SUMIFS('Отчет РПЗ(ПЗ)_ПЗИП'!$W:$W,'Отчет РПЗ(ПЗ)_ПЗИП'!$AP:$AP,Справочно!$E17,'Отчет РПЗ(ПЗ)_ПЗИП'!$N:$N,"&gt;=01.12.2018",'Отчет РПЗ(ПЗ)_ПЗИП'!$N:$N,"&lt;=31.12.2018",'Отчет РПЗ(ПЗ)_ПЗИП'!$AG:$AG,"&gt;0",'Отчет РПЗ(ПЗ)_ПЗИП'!$G:$G,"&lt;&gt;ЕП",'Отчет РПЗ(ПЗ)_ПЗИП'!$W:$W,"&gt;=50000000")</f>
        <v>0</v>
      </c>
      <c r="BQ110" s="519">
        <f>SUMIFS('Отчет РПЗ(ПЗ)_ПЗИП'!$AG:$AG,'Отчет РПЗ(ПЗ)_ПЗИП'!$AP:$AP,Справочно!$E17,'Отчет РПЗ(ПЗ)_ПЗИП'!$G:$G,"&lt;&gt;ЕП",'Отчет РПЗ(ПЗ)_ПЗИП'!$W:$W,"&gt;=50000000",'Отчет РПЗ(ПЗ)_ПЗИП'!$AR:$AR,12)</f>
        <v>0</v>
      </c>
      <c r="BR110" s="519" t="str">
        <f t="shared" si="106"/>
        <v>НД</v>
      </c>
      <c r="BS110" s="521" t="str">
        <f t="shared" si="85"/>
        <v>НД</v>
      </c>
      <c r="BT110" s="498">
        <f t="shared" si="107"/>
        <v>0</v>
      </c>
      <c r="BU110" s="506">
        <f t="shared" si="108"/>
        <v>0</v>
      </c>
      <c r="BV110" s="506">
        <f t="shared" si="86"/>
        <v>0</v>
      </c>
      <c r="BW110" s="507">
        <f t="shared" si="87"/>
        <v>0</v>
      </c>
    </row>
    <row r="112" spans="2:75" ht="13.5" thickBot="1" x14ac:dyDescent="0.25"/>
    <row r="113" spans="2:6" ht="26.25" customHeight="1" x14ac:dyDescent="0.2">
      <c r="B113" s="652" t="s">
        <v>1044</v>
      </c>
      <c r="C113" s="653"/>
    </row>
    <row r="114" spans="2:6" ht="25.5" x14ac:dyDescent="0.2">
      <c r="B114" s="581" t="s">
        <v>1041</v>
      </c>
      <c r="C114" s="583">
        <f>SUMIFS(Таблица5[30],Таблица5[5],"Завершена",Таблица5[36],"0")+SUMIFS(МалыеЗакупки[6],МалыеЗакупки[10],"")</f>
        <v>0</v>
      </c>
    </row>
    <row r="115" spans="2:6" ht="38.25" x14ac:dyDescent="0.2">
      <c r="B115" s="581" t="s">
        <v>1042</v>
      </c>
      <c r="C115" s="583">
        <f>SUMIFS(Таблица5[34],Таблица5[5],"Завершена")+SUMIFS(Таблица5[33],Таблица5[5],"Завершена")+SUMIFS(МалыеЗакупки[6],МалыеЗакупки[9],"ДА")</f>
        <v>0</v>
      </c>
    </row>
    <row r="116" spans="2:6" ht="38.25" x14ac:dyDescent="0.2">
      <c r="B116" s="581" t="s">
        <v>1043</v>
      </c>
      <c r="C116" s="583">
        <f>SUMIFS(Таблица5[34],Таблица5[5],"Завершена")</f>
        <v>0</v>
      </c>
      <c r="E116" s="127"/>
      <c r="F116" s="127"/>
    </row>
    <row r="117" spans="2:6" ht="38.25" x14ac:dyDescent="0.2">
      <c r="B117" s="581" t="s">
        <v>1516</v>
      </c>
      <c r="C117" s="584" t="e">
        <f>C115/C114</f>
        <v>#DIV/0!</v>
      </c>
    </row>
    <row r="118" spans="2:6" ht="77.25" thickBot="1" x14ac:dyDescent="0.25">
      <c r="B118" s="582" t="s">
        <v>1517</v>
      </c>
      <c r="C118" s="585" t="e">
        <f>C116/C114</f>
        <v>#DIV/0!</v>
      </c>
    </row>
  </sheetData>
  <mergeCells count="217">
    <mergeCell ref="B90:B91"/>
    <mergeCell ref="B89:D89"/>
    <mergeCell ref="BT83:BU83"/>
    <mergeCell ref="BV83:BW83"/>
    <mergeCell ref="BJ83:BK83"/>
    <mergeCell ref="L51:AA51"/>
    <mergeCell ref="L53:AA53"/>
    <mergeCell ref="R54:S54"/>
    <mergeCell ref="V54:W54"/>
    <mergeCell ref="Z54:AA54"/>
    <mergeCell ref="BL83:BM83"/>
    <mergeCell ref="BN83:BO83"/>
    <mergeCell ref="BP83:BQ83"/>
    <mergeCell ref="BR83:BS83"/>
    <mergeCell ref="AZ83:BA83"/>
    <mergeCell ref="BB83:BC83"/>
    <mergeCell ref="BD83:BE83"/>
    <mergeCell ref="AB83:AC83"/>
    <mergeCell ref="AD83:AE83"/>
    <mergeCell ref="AF83:AG83"/>
    <mergeCell ref="AH83:AI83"/>
    <mergeCell ref="AJ83:AK83"/>
    <mergeCell ref="BF83:BG83"/>
    <mergeCell ref="BH83:BI83"/>
    <mergeCell ref="L83:M83"/>
    <mergeCell ref="Z26:AA26"/>
    <mergeCell ref="BH49:BW49"/>
    <mergeCell ref="BV26:BW26"/>
    <mergeCell ref="BH51:BW51"/>
    <mergeCell ref="B53:J53"/>
    <mergeCell ref="B82:J82"/>
    <mergeCell ref="BH53:BW53"/>
    <mergeCell ref="BJ54:BK54"/>
    <mergeCell ref="BN54:BO54"/>
    <mergeCell ref="BR54:BS54"/>
    <mergeCell ref="BV54:BW54"/>
    <mergeCell ref="AD54:AE54"/>
    <mergeCell ref="AH54:AI54"/>
    <mergeCell ref="AL54:AM54"/>
    <mergeCell ref="AP54:AQ54"/>
    <mergeCell ref="L49:AA49"/>
    <mergeCell ref="BL26:BM26"/>
    <mergeCell ref="AB53:AQ53"/>
    <mergeCell ref="L26:M26"/>
    <mergeCell ref="N26:O26"/>
    <mergeCell ref="P26:Q26"/>
    <mergeCell ref="AX83:AY83"/>
    <mergeCell ref="BT25:BW25"/>
    <mergeCell ref="AR53:BG53"/>
    <mergeCell ref="AT54:AU54"/>
    <mergeCell ref="AX54:AY54"/>
    <mergeCell ref="BB54:BC54"/>
    <mergeCell ref="BF54:BG54"/>
    <mergeCell ref="BB26:BC26"/>
    <mergeCell ref="BD26:BE26"/>
    <mergeCell ref="BF26:BG26"/>
    <mergeCell ref="AR49:BG49"/>
    <mergeCell ref="AR51:BG51"/>
    <mergeCell ref="AR26:AS26"/>
    <mergeCell ref="AT26:AU26"/>
    <mergeCell ref="AV26:AW26"/>
    <mergeCell ref="AX26:AY26"/>
    <mergeCell ref="AZ26:BA26"/>
    <mergeCell ref="BD25:BG25"/>
    <mergeCell ref="BR26:BS26"/>
    <mergeCell ref="BT26:BU26"/>
    <mergeCell ref="BH26:BI26"/>
    <mergeCell ref="BN26:BO26"/>
    <mergeCell ref="BJ26:BK26"/>
    <mergeCell ref="AB24:AQ24"/>
    <mergeCell ref="AB25:AE25"/>
    <mergeCell ref="AF25:AI25"/>
    <mergeCell ref="AJ25:AM25"/>
    <mergeCell ref="AN25:AQ25"/>
    <mergeCell ref="AB49:AQ49"/>
    <mergeCell ref="AB51:AQ51"/>
    <mergeCell ref="BH24:BW24"/>
    <mergeCell ref="BH25:BK25"/>
    <mergeCell ref="BP26:BQ26"/>
    <mergeCell ref="AR24:BG24"/>
    <mergeCell ref="AR25:AU25"/>
    <mergeCell ref="AV25:AY25"/>
    <mergeCell ref="AZ25:BC25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BL25:BO25"/>
    <mergeCell ref="BP25:BS25"/>
    <mergeCell ref="AB16:AC16"/>
    <mergeCell ref="AD16:AE16"/>
    <mergeCell ref="AB17:AB19"/>
    <mergeCell ref="AC17:AC19"/>
    <mergeCell ref="AD17:AD19"/>
    <mergeCell ref="AE17:AE19"/>
    <mergeCell ref="K14:AA14"/>
    <mergeCell ref="X15:AA15"/>
    <mergeCell ref="L16:M16"/>
    <mergeCell ref="N16:O16"/>
    <mergeCell ref="P16:Q16"/>
    <mergeCell ref="R16:S16"/>
    <mergeCell ref="T16:U16"/>
    <mergeCell ref="V16:W16"/>
    <mergeCell ref="X16:Y16"/>
    <mergeCell ref="Z16:AA16"/>
    <mergeCell ref="AC15:AD15"/>
    <mergeCell ref="Q17:Q19"/>
    <mergeCell ref="R17:R19"/>
    <mergeCell ref="S17:S19"/>
    <mergeCell ref="T17:T19"/>
    <mergeCell ref="P15:S15"/>
    <mergeCell ref="T15:W15"/>
    <mergeCell ref="V17:V19"/>
    <mergeCell ref="B113:C113"/>
    <mergeCell ref="B2:J2"/>
    <mergeCell ref="B49:J49"/>
    <mergeCell ref="L15:O15"/>
    <mergeCell ref="L17:L19"/>
    <mergeCell ref="K15:K19"/>
    <mergeCell ref="B15:B16"/>
    <mergeCell ref="C15:C16"/>
    <mergeCell ref="C24:C26"/>
    <mergeCell ref="D24:D26"/>
    <mergeCell ref="E24:E26"/>
    <mergeCell ref="F24:F26"/>
    <mergeCell ref="L25:O25"/>
    <mergeCell ref="L24:AA24"/>
    <mergeCell ref="P25:S25"/>
    <mergeCell ref="X25:AA25"/>
    <mergeCell ref="T25:W25"/>
    <mergeCell ref="R26:S26"/>
    <mergeCell ref="V26:W26"/>
    <mergeCell ref="X26:Y26"/>
    <mergeCell ref="W17:W19"/>
    <mergeCell ref="T26:U26"/>
    <mergeCell ref="X17:X19"/>
    <mergeCell ref="Y17:Y19"/>
    <mergeCell ref="AA17:AA19"/>
    <mergeCell ref="M17:M19"/>
    <mergeCell ref="N17:N19"/>
    <mergeCell ref="O17:O19"/>
    <mergeCell ref="P17:P19"/>
    <mergeCell ref="U17:U19"/>
    <mergeCell ref="B51:J51"/>
    <mergeCell ref="G27:H27"/>
    <mergeCell ref="I27:J27"/>
    <mergeCell ref="C27:D27"/>
    <mergeCell ref="E27:F27"/>
    <mergeCell ref="G24:G26"/>
    <mergeCell ref="H24:H26"/>
    <mergeCell ref="I24:I26"/>
    <mergeCell ref="J24:J26"/>
    <mergeCell ref="B24:B27"/>
    <mergeCell ref="B21:B22"/>
    <mergeCell ref="B19:D19"/>
    <mergeCell ref="Z17:Z19"/>
    <mergeCell ref="D15:D16"/>
    <mergeCell ref="C5:D5"/>
    <mergeCell ref="C6:D6"/>
    <mergeCell ref="C7:D7"/>
    <mergeCell ref="C8:D8"/>
    <mergeCell ref="C9:D9"/>
    <mergeCell ref="C10:D10"/>
    <mergeCell ref="C11:D11"/>
    <mergeCell ref="C12:D12"/>
    <mergeCell ref="H15:I15"/>
    <mergeCell ref="E15:E16"/>
    <mergeCell ref="C55:D55"/>
    <mergeCell ref="I54:J54"/>
    <mergeCell ref="F55:G55"/>
    <mergeCell ref="B83:B84"/>
    <mergeCell ref="AR83:AS83"/>
    <mergeCell ref="AT83:AU83"/>
    <mergeCell ref="AV83:AW83"/>
    <mergeCell ref="N83:O83"/>
    <mergeCell ref="P83:Q83"/>
    <mergeCell ref="R83:S83"/>
    <mergeCell ref="T83:U83"/>
    <mergeCell ref="V83:W83"/>
    <mergeCell ref="X83:Y83"/>
    <mergeCell ref="Z83:AA83"/>
    <mergeCell ref="AP83:AQ83"/>
    <mergeCell ref="N54:O54"/>
    <mergeCell ref="AL83:AM83"/>
    <mergeCell ref="AN83:AO83"/>
    <mergeCell ref="C84:D84"/>
    <mergeCell ref="E84:F84"/>
    <mergeCell ref="G84:H84"/>
    <mergeCell ref="I84:J84"/>
    <mergeCell ref="B104:J104"/>
    <mergeCell ref="I105:J105"/>
    <mergeCell ref="C106:D106"/>
    <mergeCell ref="F106:G106"/>
    <mergeCell ref="L104:AA104"/>
    <mergeCell ref="AB104:AQ104"/>
    <mergeCell ref="AR104:BG104"/>
    <mergeCell ref="BH104:BW104"/>
    <mergeCell ref="N105:O105"/>
    <mergeCell ref="R105:S105"/>
    <mergeCell ref="V105:W105"/>
    <mergeCell ref="Z105:AA105"/>
    <mergeCell ref="AD105:AE105"/>
    <mergeCell ref="AH105:AI105"/>
    <mergeCell ref="AL105:AM105"/>
    <mergeCell ref="AP105:AQ105"/>
    <mergeCell ref="AT105:AU105"/>
    <mergeCell ref="AX105:AY105"/>
    <mergeCell ref="BB105:BC105"/>
    <mergeCell ref="BF105:BG105"/>
    <mergeCell ref="BJ105:BK105"/>
    <mergeCell ref="BN105:BO105"/>
    <mergeCell ref="BR105:BS105"/>
    <mergeCell ref="BV105:BW105"/>
  </mergeCells>
  <conditionalFormatting sqref="E17:F17">
    <cfRule type="cellIs" dxfId="18" priority="260" operator="equal">
      <formula>#REF!</formula>
    </cfRule>
    <cfRule type="cellIs" dxfId="17" priority="261" operator="lessThan">
      <formula>#REF!</formula>
    </cfRule>
  </conditionalFormatting>
  <conditionalFormatting sqref="G17:H17">
    <cfRule type="iconSet" priority="256">
      <iconSet iconSet="3Symbols">
        <cfvo type="percent" val="0"/>
        <cfvo type="percent" val="33"/>
        <cfvo type="num" val="&quot;сумм($D$4:$D$9)&quot;"/>
      </iconSet>
    </cfRule>
  </conditionalFormatting>
  <conditionalFormatting sqref="G17">
    <cfRule type="cellIs" dxfId="16" priority="245" operator="lessThan">
      <formula>$I$52</formula>
    </cfRule>
    <cfRule type="cellIs" dxfId="15" priority="246" operator="greaterThan">
      <formula>$I$52</formula>
    </cfRule>
    <cfRule type="cellIs" dxfId="14" priority="250" operator="equal">
      <formula>$I$52</formula>
    </cfRule>
  </conditionalFormatting>
  <conditionalFormatting sqref="I56:J80">
    <cfRule type="containsErrors" dxfId="13" priority="331">
      <formula>ISERROR(I56)</formula>
    </cfRule>
  </conditionalFormatting>
  <conditionalFormatting sqref="I107:J107">
    <cfRule type="containsErrors" dxfId="12" priority="6">
      <formula>ISERROR(I107)</formula>
    </cfRule>
  </conditionalFormatting>
  <conditionalFormatting sqref="I108:J108">
    <cfRule type="containsErrors" dxfId="11" priority="5">
      <formula>ISERROR(I108)</formula>
    </cfRule>
  </conditionalFormatting>
  <conditionalFormatting sqref="I110:J110">
    <cfRule type="containsErrors" dxfId="10" priority="4">
      <formula>ISERROR(I110)</formula>
    </cfRule>
  </conditionalFormatting>
  <conditionalFormatting sqref="I109">
    <cfRule type="containsErrors" dxfId="9" priority="3">
      <formula>ISERROR(I109)</formula>
    </cfRule>
  </conditionalFormatting>
  <pageMargins left="0.51181102362204722" right="0.51181102362204722" top="0.55118110236220474" bottom="0.55118110236220474" header="0.31496062992125984" footer="0.31496062992125984"/>
  <pageSetup paperSize="8" scale="44" fitToWidth="2" fitToHeight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9" id="{A40F470C-591E-4C05-A0E4-CE794992D6D5}">
            <x14:iconSet iconSet="5Boxes">
              <x14:cfvo type="percent">
                <xm:f>0</xm:f>
              </x14:cfvo>
              <x14:cfvo type="num">
                <xm:f>20</xm:f>
              </x14:cfvo>
              <x14:cfvo type="num">
                <xm:f>40</xm:f>
              </x14:cfvo>
              <x14:cfvo type="num">
                <xm:f>60</xm:f>
              </x14:cfvo>
              <x14:cfvo type="num">
                <xm:f>80</xm:f>
              </x14:cfvo>
            </x14:iconSet>
          </x14:cfRule>
          <xm:sqref>E19</xm:sqref>
        </x14:conditionalFormatting>
        <x14:conditionalFormatting xmlns:xm="http://schemas.microsoft.com/office/excel/2006/main">
          <x14:cfRule type="iconSet" priority="2" id="{388D5AFD-6EE1-429F-8BCF-06D96BF90AE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0.18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C117</xm:sqref>
        </x14:conditionalFormatting>
        <x14:conditionalFormatting xmlns:xm="http://schemas.microsoft.com/office/excel/2006/main">
          <x14:cfRule type="iconSet" priority="1" id="{D74DCEE9-DA33-4259-AB6E-7F8443099767}">
            <x14:iconSet iconSet="3Symbols2" custom="1">
              <x14:cfvo type="percent">
                <xm:f>0</xm:f>
              </x14:cfvo>
              <x14:cfvo type="percent">
                <xm:f>0</xm:f>
              </x14:cfvo>
              <x14:cfvo type="num">
                <xm:f>0.1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C118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2"/>
  <sheetViews>
    <sheetView workbookViewId="0">
      <selection activeCell="B85" sqref="B85"/>
    </sheetView>
  </sheetViews>
  <sheetFormatPr defaultRowHeight="15" x14ac:dyDescent="0.25"/>
  <cols>
    <col min="1" max="1" width="88.5703125" style="610" customWidth="1"/>
    <col min="2" max="2" width="11" style="589" customWidth="1"/>
    <col min="3" max="3" width="7.5703125" style="589" customWidth="1"/>
    <col min="4" max="4" width="60.42578125" style="589" customWidth="1"/>
    <col min="5" max="5" width="9.140625" style="589"/>
    <col min="6" max="6" width="60.42578125" style="589" bestFit="1" customWidth="1"/>
    <col min="7" max="16384" width="9.140625" style="589"/>
  </cols>
  <sheetData>
    <row r="1" spans="1:7" ht="15.75" x14ac:dyDescent="0.25">
      <c r="A1" s="612" t="s">
        <v>22</v>
      </c>
      <c r="B1" s="613" t="s">
        <v>5</v>
      </c>
      <c r="C1" s="613" t="s">
        <v>42</v>
      </c>
      <c r="D1" s="613" t="s">
        <v>1502</v>
      </c>
      <c r="F1" s="807" t="s">
        <v>1052</v>
      </c>
      <c r="G1" s="807"/>
    </row>
    <row r="2" spans="1:7" x14ac:dyDescent="0.25">
      <c r="A2" s="590" t="s">
        <v>669</v>
      </c>
      <c r="B2" s="591">
        <v>7704274402</v>
      </c>
      <c r="C2" s="592" t="s">
        <v>323</v>
      </c>
      <c r="D2" s="591" t="s">
        <v>1053</v>
      </c>
      <c r="F2" s="587" t="s">
        <v>1053</v>
      </c>
      <c r="G2" s="615">
        <f t="shared" ref="G2:G21" si="0">COUNTIF(D:D,F2)</f>
        <v>1</v>
      </c>
    </row>
    <row r="3" spans="1:7" x14ac:dyDescent="0.25">
      <c r="A3" s="593" t="s">
        <v>1054</v>
      </c>
      <c r="B3" s="588">
        <v>7704837944</v>
      </c>
      <c r="C3" s="594">
        <v>1101</v>
      </c>
      <c r="D3" s="588" t="s">
        <v>322</v>
      </c>
      <c r="F3" s="587" t="s">
        <v>322</v>
      </c>
      <c r="G3" s="615">
        <f t="shared" si="0"/>
        <v>64</v>
      </c>
    </row>
    <row r="4" spans="1:7" ht="25.5" x14ac:dyDescent="0.25">
      <c r="A4" s="593" t="s">
        <v>1504</v>
      </c>
      <c r="B4" s="588">
        <v>3528109996</v>
      </c>
      <c r="C4" s="594">
        <v>1102</v>
      </c>
      <c r="D4" s="588" t="s">
        <v>322</v>
      </c>
      <c r="F4" s="595" t="s">
        <v>607</v>
      </c>
      <c r="G4" s="615">
        <f t="shared" si="0"/>
        <v>14</v>
      </c>
    </row>
    <row r="5" spans="1:7" x14ac:dyDescent="0.25">
      <c r="A5" s="596" t="s">
        <v>1055</v>
      </c>
      <c r="B5" s="588">
        <v>7718852163</v>
      </c>
      <c r="C5" s="594">
        <v>1103</v>
      </c>
      <c r="D5" s="588" t="s">
        <v>322</v>
      </c>
      <c r="F5" s="587" t="s">
        <v>609</v>
      </c>
      <c r="G5" s="615">
        <f t="shared" si="0"/>
        <v>8</v>
      </c>
    </row>
    <row r="6" spans="1:7" x14ac:dyDescent="0.25">
      <c r="A6" s="596" t="s">
        <v>1505</v>
      </c>
      <c r="B6" s="588">
        <v>7744003127</v>
      </c>
      <c r="C6" s="594">
        <v>1105</v>
      </c>
      <c r="D6" s="588" t="s">
        <v>322</v>
      </c>
      <c r="F6" s="587" t="s">
        <v>605</v>
      </c>
      <c r="G6" s="615">
        <f t="shared" si="0"/>
        <v>14</v>
      </c>
    </row>
    <row r="7" spans="1:7" x14ac:dyDescent="0.25">
      <c r="A7" s="596" t="s">
        <v>1506</v>
      </c>
      <c r="B7" s="588">
        <v>5046057591</v>
      </c>
      <c r="C7" s="594">
        <v>1106</v>
      </c>
      <c r="D7" s="588" t="s">
        <v>322</v>
      </c>
      <c r="F7" s="587" t="s">
        <v>1056</v>
      </c>
      <c r="G7" s="615">
        <f t="shared" si="0"/>
        <v>75</v>
      </c>
    </row>
    <row r="8" spans="1:7" x14ac:dyDescent="0.25">
      <c r="A8" s="596" t="s">
        <v>1507</v>
      </c>
      <c r="B8" s="588">
        <v>7714281335</v>
      </c>
      <c r="C8" s="594">
        <v>1107</v>
      </c>
      <c r="D8" s="588" t="s">
        <v>322</v>
      </c>
      <c r="F8" s="587" t="s">
        <v>1057</v>
      </c>
      <c r="G8" s="615">
        <f t="shared" si="0"/>
        <v>57</v>
      </c>
    </row>
    <row r="9" spans="1:7" x14ac:dyDescent="0.25">
      <c r="A9" s="596" t="s">
        <v>1058</v>
      </c>
      <c r="B9" s="588">
        <v>7729663922</v>
      </c>
      <c r="C9" s="594">
        <v>1108</v>
      </c>
      <c r="D9" s="588" t="s">
        <v>322</v>
      </c>
      <c r="F9" s="587" t="s">
        <v>615</v>
      </c>
      <c r="G9" s="615">
        <f t="shared" si="0"/>
        <v>9</v>
      </c>
    </row>
    <row r="10" spans="1:7" x14ac:dyDescent="0.25">
      <c r="A10" s="596" t="s">
        <v>1508</v>
      </c>
      <c r="B10" s="588">
        <v>6320000561</v>
      </c>
      <c r="C10" s="594">
        <v>1109</v>
      </c>
      <c r="D10" s="588" t="s">
        <v>322</v>
      </c>
      <c r="F10" s="587" t="s">
        <v>1059</v>
      </c>
      <c r="G10" s="615">
        <f t="shared" si="0"/>
        <v>47</v>
      </c>
    </row>
    <row r="11" spans="1:7" x14ac:dyDescent="0.25">
      <c r="A11" s="596" t="s">
        <v>1509</v>
      </c>
      <c r="B11" s="588">
        <v>6321211371</v>
      </c>
      <c r="C11" s="594">
        <v>1110</v>
      </c>
      <c r="D11" s="588" t="s">
        <v>322</v>
      </c>
      <c r="F11" s="587" t="s">
        <v>616</v>
      </c>
      <c r="G11" s="615">
        <f t="shared" si="0"/>
        <v>7</v>
      </c>
    </row>
    <row r="12" spans="1:7" ht="25.5" x14ac:dyDescent="0.25">
      <c r="A12" s="596" t="s">
        <v>1510</v>
      </c>
      <c r="B12" s="588">
        <v>7704863782</v>
      </c>
      <c r="C12" s="594">
        <v>1111</v>
      </c>
      <c r="D12" s="588" t="s">
        <v>322</v>
      </c>
      <c r="F12" s="587" t="s">
        <v>618</v>
      </c>
      <c r="G12" s="615">
        <f t="shared" si="0"/>
        <v>34</v>
      </c>
    </row>
    <row r="13" spans="1:7" x14ac:dyDescent="0.25">
      <c r="A13" s="596" t="s">
        <v>1060</v>
      </c>
      <c r="B13" s="587">
        <v>6320005552</v>
      </c>
      <c r="C13" s="597" t="s">
        <v>806</v>
      </c>
      <c r="D13" s="588" t="s">
        <v>322</v>
      </c>
      <c r="F13" s="587" t="s">
        <v>321</v>
      </c>
      <c r="G13" s="615">
        <f t="shared" si="0"/>
        <v>20</v>
      </c>
    </row>
    <row r="14" spans="1:7" x14ac:dyDescent="0.25">
      <c r="A14" s="596" t="s">
        <v>1061</v>
      </c>
      <c r="B14" s="588">
        <v>3912013210</v>
      </c>
      <c r="C14" s="594">
        <v>1113</v>
      </c>
      <c r="D14" s="588" t="s">
        <v>322</v>
      </c>
      <c r="F14" s="587" t="s">
        <v>611</v>
      </c>
      <c r="G14" s="615">
        <f t="shared" si="0"/>
        <v>47</v>
      </c>
    </row>
    <row r="15" spans="1:7" x14ac:dyDescent="0.25">
      <c r="A15" s="596" t="s">
        <v>1511</v>
      </c>
      <c r="B15" s="588">
        <v>3912010410</v>
      </c>
      <c r="C15" s="594">
        <v>1114</v>
      </c>
      <c r="D15" s="588" t="s">
        <v>322</v>
      </c>
      <c r="F15" s="587" t="s">
        <v>703</v>
      </c>
      <c r="G15" s="615">
        <f t="shared" si="0"/>
        <v>4</v>
      </c>
    </row>
    <row r="16" spans="1:7" x14ac:dyDescent="0.25">
      <c r="A16" s="596" t="s">
        <v>1062</v>
      </c>
      <c r="B16" s="588">
        <v>5074051432</v>
      </c>
      <c r="C16" s="594">
        <v>1116</v>
      </c>
      <c r="D16" s="588" t="s">
        <v>322</v>
      </c>
      <c r="F16" s="587" t="s">
        <v>604</v>
      </c>
      <c r="G16" s="615">
        <f t="shared" si="0"/>
        <v>20</v>
      </c>
    </row>
    <row r="17" spans="1:7" ht="25.5" x14ac:dyDescent="0.25">
      <c r="A17" s="596" t="s">
        <v>1512</v>
      </c>
      <c r="B17" s="588">
        <v>5021003065</v>
      </c>
      <c r="C17" s="594">
        <v>1117</v>
      </c>
      <c r="D17" s="588" t="s">
        <v>322</v>
      </c>
      <c r="F17" s="587" t="s">
        <v>610</v>
      </c>
      <c r="G17" s="615">
        <f t="shared" si="0"/>
        <v>25</v>
      </c>
    </row>
    <row r="18" spans="1:7" x14ac:dyDescent="0.25">
      <c r="A18" s="596" t="s">
        <v>1063</v>
      </c>
      <c r="B18" s="588">
        <v>7708697381</v>
      </c>
      <c r="C18" s="594">
        <v>1121</v>
      </c>
      <c r="D18" s="588" t="s">
        <v>322</v>
      </c>
      <c r="F18" s="587" t="s">
        <v>608</v>
      </c>
      <c r="G18" s="615">
        <f t="shared" si="0"/>
        <v>9</v>
      </c>
    </row>
    <row r="19" spans="1:7" x14ac:dyDescent="0.25">
      <c r="A19" s="596" t="s">
        <v>1503</v>
      </c>
      <c r="B19" s="588">
        <v>7701976932</v>
      </c>
      <c r="C19" s="594">
        <v>1122</v>
      </c>
      <c r="D19" s="588" t="s">
        <v>322</v>
      </c>
      <c r="F19" s="587" t="s">
        <v>617</v>
      </c>
      <c r="G19" s="615">
        <f t="shared" si="0"/>
        <v>11</v>
      </c>
    </row>
    <row r="20" spans="1:7" x14ac:dyDescent="0.25">
      <c r="A20" s="596" t="s">
        <v>1513</v>
      </c>
      <c r="B20" s="588">
        <v>7701369198</v>
      </c>
      <c r="C20" s="594">
        <v>1123</v>
      </c>
      <c r="D20" s="588" t="s">
        <v>322</v>
      </c>
      <c r="F20" s="587" t="s">
        <v>1064</v>
      </c>
      <c r="G20" s="615">
        <f t="shared" si="0"/>
        <v>3</v>
      </c>
    </row>
    <row r="21" spans="1:7" x14ac:dyDescent="0.25">
      <c r="A21" s="596" t="s">
        <v>1065</v>
      </c>
      <c r="B21" s="587">
        <v>3445041455</v>
      </c>
      <c r="C21" s="594">
        <v>1129</v>
      </c>
      <c r="D21" s="588" t="s">
        <v>322</v>
      </c>
      <c r="F21" s="588" t="s">
        <v>1547</v>
      </c>
      <c r="G21" s="615">
        <f t="shared" si="0"/>
        <v>52</v>
      </c>
    </row>
    <row r="22" spans="1:7" ht="15.75" x14ac:dyDescent="0.25">
      <c r="A22" s="596" t="s">
        <v>1066</v>
      </c>
      <c r="B22" s="588">
        <v>7705713236</v>
      </c>
      <c r="C22" s="594">
        <v>1130</v>
      </c>
      <c r="D22" s="588" t="s">
        <v>322</v>
      </c>
      <c r="F22" s="613" t="s">
        <v>697</v>
      </c>
      <c r="G22" s="614">
        <f>SUM(G2:G21)</f>
        <v>521</v>
      </c>
    </row>
    <row r="23" spans="1:7" x14ac:dyDescent="0.25">
      <c r="A23" s="596" t="s">
        <v>1067</v>
      </c>
      <c r="B23" s="588">
        <v>7705961278</v>
      </c>
      <c r="C23" s="594">
        <v>1131</v>
      </c>
      <c r="D23" s="588" t="s">
        <v>322</v>
      </c>
      <c r="F23"/>
    </row>
    <row r="24" spans="1:7" x14ac:dyDescent="0.25">
      <c r="A24" s="596" t="s">
        <v>1068</v>
      </c>
      <c r="B24" s="588">
        <v>6321280368</v>
      </c>
      <c r="C24" s="594">
        <v>1133</v>
      </c>
      <c r="D24" s="588" t="s">
        <v>322</v>
      </c>
      <c r="F24"/>
    </row>
    <row r="25" spans="1:7" x14ac:dyDescent="0.25">
      <c r="A25" s="596" t="s">
        <v>1069</v>
      </c>
      <c r="B25" s="588">
        <v>7724230019</v>
      </c>
      <c r="C25" s="594">
        <v>1134</v>
      </c>
      <c r="D25" s="588" t="s">
        <v>322</v>
      </c>
      <c r="F25"/>
    </row>
    <row r="26" spans="1:7" x14ac:dyDescent="0.25">
      <c r="A26" s="596" t="s">
        <v>1070</v>
      </c>
      <c r="B26" s="588">
        <v>7714710760</v>
      </c>
      <c r="C26" s="594">
        <v>1135</v>
      </c>
      <c r="D26" s="588" t="s">
        <v>322</v>
      </c>
      <c r="F26"/>
    </row>
    <row r="27" spans="1:7" x14ac:dyDescent="0.25">
      <c r="A27" s="596" t="s">
        <v>1071</v>
      </c>
      <c r="B27" s="588">
        <v>7704770859</v>
      </c>
      <c r="C27" s="594">
        <v>1137</v>
      </c>
      <c r="D27" s="588" t="s">
        <v>322</v>
      </c>
      <c r="F27"/>
    </row>
    <row r="28" spans="1:7" x14ac:dyDescent="0.25">
      <c r="A28" s="596" t="s">
        <v>1072</v>
      </c>
      <c r="B28" s="588">
        <v>1841062631</v>
      </c>
      <c r="C28" s="594">
        <v>1138</v>
      </c>
      <c r="D28" s="588" t="s">
        <v>322</v>
      </c>
      <c r="F28"/>
    </row>
    <row r="29" spans="1:7" x14ac:dyDescent="0.25">
      <c r="A29" s="596" t="s">
        <v>1073</v>
      </c>
      <c r="B29" s="588">
        <v>5013057525</v>
      </c>
      <c r="C29" s="598">
        <v>1139</v>
      </c>
      <c r="D29" s="588" t="s">
        <v>322</v>
      </c>
      <c r="F29"/>
    </row>
    <row r="30" spans="1:7" x14ac:dyDescent="0.25">
      <c r="A30" s="596" t="s">
        <v>1074</v>
      </c>
      <c r="B30" s="588">
        <v>7728562625</v>
      </c>
      <c r="C30" s="594">
        <v>1141</v>
      </c>
      <c r="D30" s="588" t="s">
        <v>322</v>
      </c>
      <c r="F30"/>
    </row>
    <row r="31" spans="1:7" x14ac:dyDescent="0.25">
      <c r="A31" s="596" t="s">
        <v>203</v>
      </c>
      <c r="B31" s="588">
        <v>7717668394</v>
      </c>
      <c r="C31" s="594">
        <v>1145</v>
      </c>
      <c r="D31" s="588" t="s">
        <v>322</v>
      </c>
      <c r="F31"/>
    </row>
    <row r="32" spans="1:7" x14ac:dyDescent="0.25">
      <c r="A32" s="596" t="s">
        <v>1075</v>
      </c>
      <c r="B32" s="588">
        <v>5257149788</v>
      </c>
      <c r="C32" s="594">
        <v>1146</v>
      </c>
      <c r="D32" s="588" t="s">
        <v>322</v>
      </c>
      <c r="F32"/>
    </row>
    <row r="33" spans="1:6" x14ac:dyDescent="0.25">
      <c r="A33" s="596" t="s">
        <v>1076</v>
      </c>
      <c r="B33" s="588">
        <v>5040107373</v>
      </c>
      <c r="C33" s="594">
        <v>1148</v>
      </c>
      <c r="D33" s="588" t="s">
        <v>322</v>
      </c>
      <c r="F33"/>
    </row>
    <row r="34" spans="1:6" x14ac:dyDescent="0.25">
      <c r="A34" s="596" t="s">
        <v>1077</v>
      </c>
      <c r="B34" s="588">
        <v>7703697388</v>
      </c>
      <c r="C34" s="594">
        <v>1149</v>
      </c>
      <c r="D34" s="588" t="s">
        <v>322</v>
      </c>
      <c r="F34"/>
    </row>
    <row r="35" spans="1:6" x14ac:dyDescent="0.25">
      <c r="A35" s="596" t="s">
        <v>1078</v>
      </c>
      <c r="B35" s="588">
        <v>7743627436</v>
      </c>
      <c r="C35" s="594">
        <v>1151</v>
      </c>
      <c r="D35" s="588" t="s">
        <v>322</v>
      </c>
      <c r="F35"/>
    </row>
    <row r="36" spans="1:6" ht="25.5" x14ac:dyDescent="0.25">
      <c r="A36" s="596" t="s">
        <v>1079</v>
      </c>
      <c r="B36" s="588">
        <v>6671140952</v>
      </c>
      <c r="C36" s="594">
        <v>1152</v>
      </c>
      <c r="D36" s="588" t="s">
        <v>322</v>
      </c>
      <c r="F36"/>
    </row>
    <row r="37" spans="1:6" x14ac:dyDescent="0.25">
      <c r="A37" s="596" t="s">
        <v>1080</v>
      </c>
      <c r="B37" s="588">
        <v>7727237735</v>
      </c>
      <c r="C37" s="594">
        <v>1153</v>
      </c>
      <c r="D37" s="588" t="s">
        <v>322</v>
      </c>
      <c r="F37"/>
    </row>
    <row r="38" spans="1:6" x14ac:dyDescent="0.25">
      <c r="A38" s="596" t="s">
        <v>1081</v>
      </c>
      <c r="B38" s="588">
        <v>5030056754</v>
      </c>
      <c r="C38" s="594">
        <v>1154</v>
      </c>
      <c r="D38" s="588" t="s">
        <v>322</v>
      </c>
      <c r="F38"/>
    </row>
    <row r="39" spans="1:6" x14ac:dyDescent="0.25">
      <c r="A39" s="596" t="s">
        <v>1082</v>
      </c>
      <c r="B39" s="588">
        <v>7717715414</v>
      </c>
      <c r="C39" s="594">
        <v>1155</v>
      </c>
      <c r="D39" s="588" t="s">
        <v>322</v>
      </c>
      <c r="F39"/>
    </row>
    <row r="40" spans="1:6" x14ac:dyDescent="0.25">
      <c r="A40" s="596" t="s">
        <v>1083</v>
      </c>
      <c r="B40" s="588">
        <v>6317088527</v>
      </c>
      <c r="C40" s="594">
        <v>1156</v>
      </c>
      <c r="D40" s="588" t="s">
        <v>322</v>
      </c>
      <c r="F40"/>
    </row>
    <row r="41" spans="1:6" x14ac:dyDescent="0.25">
      <c r="A41" s="596" t="s">
        <v>1084</v>
      </c>
      <c r="B41" s="588">
        <v>7720547784</v>
      </c>
      <c r="C41" s="594">
        <v>1166</v>
      </c>
      <c r="D41" s="588" t="s">
        <v>322</v>
      </c>
      <c r="F41"/>
    </row>
    <row r="42" spans="1:6" x14ac:dyDescent="0.25">
      <c r="A42" s="596" t="s">
        <v>1085</v>
      </c>
      <c r="B42" s="588">
        <v>6672175820</v>
      </c>
      <c r="C42" s="594">
        <v>1169</v>
      </c>
      <c r="D42" s="588" t="s">
        <v>322</v>
      </c>
      <c r="F42"/>
    </row>
    <row r="43" spans="1:6" x14ac:dyDescent="0.25">
      <c r="A43" s="596" t="s">
        <v>202</v>
      </c>
      <c r="B43" s="588">
        <v>7704756043</v>
      </c>
      <c r="C43" s="594">
        <v>1170</v>
      </c>
      <c r="D43" s="588" t="s">
        <v>322</v>
      </c>
      <c r="F43"/>
    </row>
    <row r="44" spans="1:6" x14ac:dyDescent="0.25">
      <c r="A44" s="596" t="s">
        <v>1086</v>
      </c>
      <c r="B44" s="588">
        <v>3443053127</v>
      </c>
      <c r="C44" s="594">
        <v>1171</v>
      </c>
      <c r="D44" s="588" t="s">
        <v>322</v>
      </c>
      <c r="F44"/>
    </row>
    <row r="45" spans="1:6" x14ac:dyDescent="0.25">
      <c r="A45" s="596" t="s">
        <v>1087</v>
      </c>
      <c r="B45" s="588">
        <v>7804181590</v>
      </c>
      <c r="C45" s="594">
        <v>1174</v>
      </c>
      <c r="D45" s="588" t="s">
        <v>322</v>
      </c>
      <c r="F45"/>
    </row>
    <row r="46" spans="1:6" x14ac:dyDescent="0.25">
      <c r="A46" s="596" t="s">
        <v>1088</v>
      </c>
      <c r="B46" s="588">
        <v>7704730687</v>
      </c>
      <c r="C46" s="594">
        <v>1177</v>
      </c>
      <c r="D46" s="588" t="s">
        <v>322</v>
      </c>
      <c r="F46"/>
    </row>
    <row r="47" spans="1:6" x14ac:dyDescent="0.25">
      <c r="A47" s="596" t="s">
        <v>1089</v>
      </c>
      <c r="B47" s="588">
        <v>7724804619</v>
      </c>
      <c r="C47" s="594">
        <v>1178</v>
      </c>
      <c r="D47" s="588" t="s">
        <v>322</v>
      </c>
      <c r="F47"/>
    </row>
    <row r="48" spans="1:6" x14ac:dyDescent="0.25">
      <c r="A48" s="596" t="s">
        <v>201</v>
      </c>
      <c r="B48" s="588">
        <v>7704810710</v>
      </c>
      <c r="C48" s="594">
        <v>1179</v>
      </c>
      <c r="D48" s="588" t="s">
        <v>322</v>
      </c>
      <c r="F48"/>
    </row>
    <row r="49" spans="1:6" x14ac:dyDescent="0.25">
      <c r="A49" s="596" t="s">
        <v>1090</v>
      </c>
      <c r="B49" s="588">
        <v>7704840129</v>
      </c>
      <c r="C49" s="594">
        <v>1180</v>
      </c>
      <c r="D49" s="588" t="s">
        <v>322</v>
      </c>
      <c r="F49"/>
    </row>
    <row r="50" spans="1:6" x14ac:dyDescent="0.25">
      <c r="A50" s="596" t="s">
        <v>1091</v>
      </c>
      <c r="B50" s="588">
        <v>7704338977</v>
      </c>
      <c r="C50" s="594">
        <v>1183</v>
      </c>
      <c r="D50" s="588" t="s">
        <v>322</v>
      </c>
      <c r="F50"/>
    </row>
    <row r="51" spans="1:6" x14ac:dyDescent="0.25">
      <c r="A51" s="596" t="s">
        <v>1092</v>
      </c>
      <c r="B51" s="588">
        <v>7717551100</v>
      </c>
      <c r="C51" s="594">
        <v>1197</v>
      </c>
      <c r="D51" s="588" t="s">
        <v>322</v>
      </c>
      <c r="F51"/>
    </row>
    <row r="52" spans="1:6" x14ac:dyDescent="0.25">
      <c r="A52" s="596" t="s">
        <v>1093</v>
      </c>
      <c r="B52" s="588">
        <v>7704332728</v>
      </c>
      <c r="C52" s="594">
        <v>1199</v>
      </c>
      <c r="D52" s="588" t="s">
        <v>322</v>
      </c>
      <c r="F52"/>
    </row>
    <row r="53" spans="1:6" x14ac:dyDescent="0.25">
      <c r="A53" s="596" t="s">
        <v>1094</v>
      </c>
      <c r="B53" s="588">
        <v>5013058744</v>
      </c>
      <c r="C53" s="594">
        <v>9201</v>
      </c>
      <c r="D53" s="588" t="s">
        <v>322</v>
      </c>
      <c r="F53"/>
    </row>
    <row r="54" spans="1:6" x14ac:dyDescent="0.25">
      <c r="A54" s="596" t="s">
        <v>1095</v>
      </c>
      <c r="B54" s="588">
        <v>7706593549</v>
      </c>
      <c r="C54" s="594">
        <v>9202</v>
      </c>
      <c r="D54" s="588" t="s">
        <v>322</v>
      </c>
      <c r="F54"/>
    </row>
    <row r="55" spans="1:6" x14ac:dyDescent="0.25">
      <c r="A55" s="596" t="s">
        <v>1096</v>
      </c>
      <c r="B55" s="588">
        <v>7718218951</v>
      </c>
      <c r="C55" s="594">
        <v>9203</v>
      </c>
      <c r="D55" s="588" t="s">
        <v>322</v>
      </c>
      <c r="F55"/>
    </row>
    <row r="56" spans="1:6" x14ac:dyDescent="0.25">
      <c r="A56" s="596" t="s">
        <v>1097</v>
      </c>
      <c r="B56" s="588">
        <v>7725326404</v>
      </c>
      <c r="C56" s="594">
        <v>9212</v>
      </c>
      <c r="D56" s="588" t="s">
        <v>322</v>
      </c>
      <c r="F56"/>
    </row>
    <row r="57" spans="1:6" x14ac:dyDescent="0.25">
      <c r="A57" s="596" t="s">
        <v>1098</v>
      </c>
      <c r="B57" s="588">
        <v>7703810139</v>
      </c>
      <c r="C57" s="594">
        <v>9213</v>
      </c>
      <c r="D57" s="588" t="s">
        <v>322</v>
      </c>
      <c r="F57"/>
    </row>
    <row r="58" spans="1:6" x14ac:dyDescent="0.25">
      <c r="A58" s="596" t="s">
        <v>1099</v>
      </c>
      <c r="B58" s="588">
        <v>7725745148</v>
      </c>
      <c r="C58" s="599" t="s">
        <v>377</v>
      </c>
      <c r="D58" s="588" t="s">
        <v>322</v>
      </c>
      <c r="F58"/>
    </row>
    <row r="59" spans="1:6" x14ac:dyDescent="0.25">
      <c r="A59" s="596" t="s">
        <v>1100</v>
      </c>
      <c r="B59" s="588">
        <v>3525078725</v>
      </c>
      <c r="C59" s="597" t="s">
        <v>435</v>
      </c>
      <c r="D59" s="588" t="s">
        <v>322</v>
      </c>
      <c r="F59"/>
    </row>
    <row r="60" spans="1:6" x14ac:dyDescent="0.25">
      <c r="A60" s="596" t="s">
        <v>1101</v>
      </c>
      <c r="B60" s="588">
        <v>7704727853</v>
      </c>
      <c r="C60" s="594">
        <v>1176</v>
      </c>
      <c r="D60" s="588" t="s">
        <v>322</v>
      </c>
      <c r="F60"/>
    </row>
    <row r="61" spans="1:6" ht="25.5" x14ac:dyDescent="0.25">
      <c r="A61" s="596" t="s">
        <v>1514</v>
      </c>
      <c r="B61" s="588">
        <v>7724380159</v>
      </c>
      <c r="C61" s="594">
        <v>9215</v>
      </c>
      <c r="D61" s="588" t="s">
        <v>322</v>
      </c>
      <c r="F61"/>
    </row>
    <row r="62" spans="1:6" x14ac:dyDescent="0.25">
      <c r="A62" s="596" t="s">
        <v>1515</v>
      </c>
      <c r="B62" s="588">
        <v>7708246100</v>
      </c>
      <c r="C62" s="594">
        <v>9211</v>
      </c>
      <c r="D62" s="588" t="s">
        <v>322</v>
      </c>
      <c r="F62"/>
    </row>
    <row r="63" spans="1:6" x14ac:dyDescent="0.25">
      <c r="A63" s="596" t="s">
        <v>1102</v>
      </c>
      <c r="B63" s="588">
        <v>7718606827</v>
      </c>
      <c r="C63" s="597" t="s">
        <v>357</v>
      </c>
      <c r="D63" s="588" t="s">
        <v>322</v>
      </c>
      <c r="F63"/>
    </row>
    <row r="64" spans="1:6" x14ac:dyDescent="0.25">
      <c r="A64" s="596" t="s">
        <v>1103</v>
      </c>
      <c r="B64" s="588">
        <v>6382049214</v>
      </c>
      <c r="C64" s="597" t="s">
        <v>428</v>
      </c>
      <c r="D64" s="588" t="s">
        <v>322</v>
      </c>
      <c r="F64"/>
    </row>
    <row r="65" spans="1:6" x14ac:dyDescent="0.25">
      <c r="A65" s="596" t="s">
        <v>1104</v>
      </c>
      <c r="B65" s="588">
        <v>1660161662</v>
      </c>
      <c r="C65" s="597" t="s">
        <v>482</v>
      </c>
      <c r="D65" s="588" t="s">
        <v>322</v>
      </c>
      <c r="F65"/>
    </row>
    <row r="66" spans="1:6" x14ac:dyDescent="0.25">
      <c r="A66" s="596" t="s">
        <v>1105</v>
      </c>
      <c r="B66" s="588">
        <v>7107033763</v>
      </c>
      <c r="C66" s="597" t="s">
        <v>645</v>
      </c>
      <c r="D66" s="588" t="s">
        <v>322</v>
      </c>
      <c r="F66"/>
    </row>
    <row r="67" spans="1:6" x14ac:dyDescent="0.25">
      <c r="A67" s="590" t="s">
        <v>607</v>
      </c>
      <c r="B67" s="591">
        <v>7704721192</v>
      </c>
      <c r="C67" s="592" t="s">
        <v>324</v>
      </c>
      <c r="D67" s="600" t="s">
        <v>607</v>
      </c>
      <c r="F67"/>
    </row>
    <row r="68" spans="1:6" x14ac:dyDescent="0.25">
      <c r="A68" s="596" t="s">
        <v>1106</v>
      </c>
      <c r="B68" s="587">
        <v>7105514574</v>
      </c>
      <c r="C68" s="597" t="s">
        <v>337</v>
      </c>
      <c r="D68" s="595" t="s">
        <v>607</v>
      </c>
      <c r="F68"/>
    </row>
    <row r="69" spans="1:6" x14ac:dyDescent="0.25">
      <c r="A69" s="596" t="s">
        <v>1107</v>
      </c>
      <c r="B69" s="587">
        <v>7728789425</v>
      </c>
      <c r="C69" s="597" t="s">
        <v>350</v>
      </c>
      <c r="D69" s="595" t="s">
        <v>607</v>
      </c>
      <c r="F69"/>
    </row>
    <row r="70" spans="1:6" x14ac:dyDescent="0.25">
      <c r="A70" s="596" t="s">
        <v>1108</v>
      </c>
      <c r="B70" s="587">
        <v>6726009364</v>
      </c>
      <c r="C70" s="597" t="s">
        <v>363</v>
      </c>
      <c r="D70" s="595" t="s">
        <v>607</v>
      </c>
      <c r="F70"/>
    </row>
    <row r="71" spans="1:6" x14ac:dyDescent="0.25">
      <c r="A71" s="596" t="s">
        <v>1109</v>
      </c>
      <c r="B71" s="587">
        <v>5022039177</v>
      </c>
      <c r="C71" s="597" t="s">
        <v>372</v>
      </c>
      <c r="D71" s="595" t="s">
        <v>607</v>
      </c>
      <c r="F71"/>
    </row>
    <row r="72" spans="1:6" x14ac:dyDescent="0.25">
      <c r="A72" s="596" t="s">
        <v>1110</v>
      </c>
      <c r="B72" s="587">
        <v>3305708964</v>
      </c>
      <c r="C72" s="597" t="s">
        <v>382</v>
      </c>
      <c r="D72" s="595" t="s">
        <v>607</v>
      </c>
      <c r="F72"/>
    </row>
    <row r="73" spans="1:6" x14ac:dyDescent="0.25">
      <c r="A73" s="596" t="s">
        <v>1111</v>
      </c>
      <c r="B73" s="587">
        <v>6441019849</v>
      </c>
      <c r="C73" s="597" t="s">
        <v>391</v>
      </c>
      <c r="D73" s="595" t="s">
        <v>607</v>
      </c>
      <c r="F73"/>
    </row>
    <row r="74" spans="1:6" x14ac:dyDescent="0.25">
      <c r="A74" s="596" t="s">
        <v>1112</v>
      </c>
      <c r="B74" s="587">
        <v>6455053670</v>
      </c>
      <c r="C74" s="597" t="s">
        <v>401</v>
      </c>
      <c r="D74" s="595" t="s">
        <v>607</v>
      </c>
      <c r="F74"/>
    </row>
    <row r="75" spans="1:6" x14ac:dyDescent="0.25">
      <c r="A75" s="596" t="s">
        <v>1113</v>
      </c>
      <c r="B75" s="587">
        <v>7715900066</v>
      </c>
      <c r="C75" s="597" t="s">
        <v>410</v>
      </c>
      <c r="D75" s="595" t="s">
        <v>607</v>
      </c>
      <c r="F75"/>
    </row>
    <row r="76" spans="1:6" x14ac:dyDescent="0.25">
      <c r="A76" s="596" t="s">
        <v>1518</v>
      </c>
      <c r="B76" s="587">
        <v>5043012881</v>
      </c>
      <c r="C76" s="597" t="s">
        <v>419</v>
      </c>
      <c r="D76" s="588" t="s">
        <v>607</v>
      </c>
      <c r="F76"/>
    </row>
    <row r="77" spans="1:6" x14ac:dyDescent="0.25">
      <c r="A77" s="596" t="s">
        <v>1519</v>
      </c>
      <c r="B77" s="587">
        <v>7452033815</v>
      </c>
      <c r="C77" s="597" t="s">
        <v>427</v>
      </c>
      <c r="D77" s="588" t="s">
        <v>607</v>
      </c>
      <c r="F77"/>
    </row>
    <row r="78" spans="1:6" x14ac:dyDescent="0.25">
      <c r="A78" s="596" t="s">
        <v>1520</v>
      </c>
      <c r="B78" s="587">
        <v>7106002868</v>
      </c>
      <c r="C78" s="597" t="s">
        <v>458</v>
      </c>
      <c r="D78" s="588" t="s">
        <v>607</v>
      </c>
      <c r="F78"/>
    </row>
    <row r="79" spans="1:6" x14ac:dyDescent="0.25">
      <c r="A79" s="596" t="s">
        <v>1114</v>
      </c>
      <c r="B79" s="587">
        <v>7105026111</v>
      </c>
      <c r="C79" s="597" t="s">
        <v>804</v>
      </c>
      <c r="D79" s="588" t="s">
        <v>607</v>
      </c>
      <c r="F79"/>
    </row>
    <row r="80" spans="1:6" x14ac:dyDescent="0.25">
      <c r="A80" s="596" t="s">
        <v>1115</v>
      </c>
      <c r="B80" s="587">
        <v>7105509912</v>
      </c>
      <c r="C80" s="597" t="s">
        <v>803</v>
      </c>
      <c r="D80" s="588" t="s">
        <v>607</v>
      </c>
      <c r="F80"/>
    </row>
    <row r="81" spans="1:6" x14ac:dyDescent="0.25">
      <c r="A81" s="601" t="s">
        <v>609</v>
      </c>
      <c r="B81" s="591">
        <v>7715906332</v>
      </c>
      <c r="C81" s="602" t="s">
        <v>325</v>
      </c>
      <c r="D81" s="591" t="s">
        <v>609</v>
      </c>
      <c r="F81"/>
    </row>
    <row r="82" spans="1:6" x14ac:dyDescent="0.25">
      <c r="A82" s="603" t="s">
        <v>1116</v>
      </c>
      <c r="B82" s="587" t="s">
        <v>1117</v>
      </c>
      <c r="C82" s="604" t="s">
        <v>338</v>
      </c>
      <c r="D82" s="588" t="s">
        <v>609</v>
      </c>
      <c r="F82"/>
    </row>
    <row r="83" spans="1:6" x14ac:dyDescent="0.25">
      <c r="A83" s="603" t="s">
        <v>1118</v>
      </c>
      <c r="B83" s="587">
        <v>4028050231</v>
      </c>
      <c r="C83" s="604" t="s">
        <v>351</v>
      </c>
      <c r="D83" s="588" t="s">
        <v>609</v>
      </c>
      <c r="F83"/>
    </row>
    <row r="84" spans="1:6" x14ac:dyDescent="0.25">
      <c r="A84" s="603" t="s">
        <v>1119</v>
      </c>
      <c r="B84" s="587">
        <v>4027106964</v>
      </c>
      <c r="C84" s="604" t="s">
        <v>364</v>
      </c>
      <c r="D84" s="588" t="s">
        <v>609</v>
      </c>
      <c r="F84"/>
    </row>
    <row r="85" spans="1:6" x14ac:dyDescent="0.25">
      <c r="A85" s="603" t="s">
        <v>1598</v>
      </c>
      <c r="B85" s="587">
        <v>5836649358</v>
      </c>
      <c r="C85" s="604" t="s">
        <v>658</v>
      </c>
      <c r="D85" s="588" t="s">
        <v>609</v>
      </c>
      <c r="F85"/>
    </row>
    <row r="86" spans="1:6" x14ac:dyDescent="0.25">
      <c r="A86" s="603" t="s">
        <v>1120</v>
      </c>
      <c r="B86" s="587">
        <v>5835094992</v>
      </c>
      <c r="C86" s="604" t="s">
        <v>659</v>
      </c>
      <c r="D86" s="588" t="s">
        <v>609</v>
      </c>
      <c r="F86"/>
    </row>
    <row r="87" spans="1:6" x14ac:dyDescent="0.25">
      <c r="A87" s="603" t="s">
        <v>1121</v>
      </c>
      <c r="B87" s="587" t="s">
        <v>1122</v>
      </c>
      <c r="C87" s="604" t="s">
        <v>660</v>
      </c>
      <c r="D87" s="588" t="s">
        <v>609</v>
      </c>
      <c r="F87"/>
    </row>
    <row r="88" spans="1:6" x14ac:dyDescent="0.25">
      <c r="A88" s="603" t="s">
        <v>1123</v>
      </c>
      <c r="B88" s="587">
        <v>7811511866</v>
      </c>
      <c r="C88" s="604" t="s">
        <v>661</v>
      </c>
      <c r="D88" s="588" t="s">
        <v>609</v>
      </c>
      <c r="F88"/>
    </row>
    <row r="89" spans="1:6" x14ac:dyDescent="0.25">
      <c r="A89" s="601" t="s">
        <v>605</v>
      </c>
      <c r="B89" s="591">
        <v>7731563940</v>
      </c>
      <c r="C89" s="602" t="s">
        <v>326</v>
      </c>
      <c r="D89" s="591" t="s">
        <v>605</v>
      </c>
      <c r="F89"/>
    </row>
    <row r="90" spans="1:6" x14ac:dyDescent="0.25">
      <c r="A90" s="603" t="s">
        <v>1124</v>
      </c>
      <c r="B90" s="587">
        <v>7728309982</v>
      </c>
      <c r="C90" s="604" t="s">
        <v>339</v>
      </c>
      <c r="D90" s="588" t="s">
        <v>605</v>
      </c>
      <c r="F90"/>
    </row>
    <row r="91" spans="1:6" x14ac:dyDescent="0.25">
      <c r="A91" s="603" t="s">
        <v>1125</v>
      </c>
      <c r="B91" s="587">
        <v>7731591908</v>
      </c>
      <c r="C91" s="604" t="s">
        <v>352</v>
      </c>
      <c r="D91" s="588" t="s">
        <v>605</v>
      </c>
      <c r="F91"/>
    </row>
    <row r="92" spans="1:6" x14ac:dyDescent="0.25">
      <c r="A92" s="603" t="s">
        <v>1126</v>
      </c>
      <c r="B92" s="587">
        <v>7709662021</v>
      </c>
      <c r="C92" s="604" t="s">
        <v>365</v>
      </c>
      <c r="D92" s="588" t="s">
        <v>605</v>
      </c>
      <c r="F92"/>
    </row>
    <row r="93" spans="1:6" x14ac:dyDescent="0.25">
      <c r="A93" s="603" t="s">
        <v>1127</v>
      </c>
      <c r="B93" s="587">
        <v>7702566199</v>
      </c>
      <c r="C93" s="604" t="s">
        <v>373</v>
      </c>
      <c r="D93" s="588" t="s">
        <v>605</v>
      </c>
      <c r="F93"/>
    </row>
    <row r="94" spans="1:6" x14ac:dyDescent="0.25">
      <c r="A94" s="603" t="s">
        <v>1128</v>
      </c>
      <c r="B94" s="587">
        <v>3327100094</v>
      </c>
      <c r="C94" s="604" t="s">
        <v>383</v>
      </c>
      <c r="D94" s="588" t="s">
        <v>605</v>
      </c>
      <c r="F94"/>
    </row>
    <row r="95" spans="1:6" x14ac:dyDescent="0.25">
      <c r="A95" s="603" t="s">
        <v>1129</v>
      </c>
      <c r="B95" s="587">
        <v>5501072277</v>
      </c>
      <c r="C95" s="604" t="s">
        <v>392</v>
      </c>
      <c r="D95" s="588" t="s">
        <v>605</v>
      </c>
      <c r="F95"/>
    </row>
    <row r="96" spans="1:6" x14ac:dyDescent="0.25">
      <c r="A96" s="603" t="s">
        <v>1130</v>
      </c>
      <c r="B96" s="587">
        <v>7702715348</v>
      </c>
      <c r="C96" s="604" t="s">
        <v>402</v>
      </c>
      <c r="D96" s="588" t="s">
        <v>605</v>
      </c>
      <c r="F96"/>
    </row>
    <row r="97" spans="1:6" x14ac:dyDescent="0.25">
      <c r="A97" s="603" t="s">
        <v>1131</v>
      </c>
      <c r="B97" s="587">
        <v>7704802518</v>
      </c>
      <c r="C97" s="604" t="s">
        <v>411</v>
      </c>
      <c r="D97" s="588" t="s">
        <v>605</v>
      </c>
      <c r="F97"/>
    </row>
    <row r="98" spans="1:6" x14ac:dyDescent="0.25">
      <c r="A98" s="603" t="s">
        <v>1132</v>
      </c>
      <c r="B98" s="587">
        <v>7719022373</v>
      </c>
      <c r="C98" s="604" t="s">
        <v>420</v>
      </c>
      <c r="D98" s="588" t="s">
        <v>605</v>
      </c>
      <c r="F98"/>
    </row>
    <row r="99" spans="1:6" x14ac:dyDescent="0.25">
      <c r="A99" s="603" t="s">
        <v>1133</v>
      </c>
      <c r="B99" s="587">
        <v>7810831831</v>
      </c>
      <c r="C99" s="604" t="s">
        <v>436</v>
      </c>
      <c r="D99" s="588" t="s">
        <v>605</v>
      </c>
      <c r="F99"/>
    </row>
    <row r="100" spans="1:6" x14ac:dyDescent="0.25">
      <c r="A100" s="603" t="s">
        <v>1134</v>
      </c>
      <c r="B100" s="587">
        <v>5904007425</v>
      </c>
      <c r="C100" s="604" t="s">
        <v>443</v>
      </c>
      <c r="D100" s="588" t="s">
        <v>605</v>
      </c>
      <c r="F100"/>
    </row>
    <row r="101" spans="1:6" x14ac:dyDescent="0.25">
      <c r="A101" s="603" t="s">
        <v>1135</v>
      </c>
      <c r="B101" s="587">
        <v>7328049049</v>
      </c>
      <c r="C101" s="604" t="s">
        <v>451</v>
      </c>
      <c r="D101" s="588" t="s">
        <v>605</v>
      </c>
      <c r="F101"/>
    </row>
    <row r="102" spans="1:6" x14ac:dyDescent="0.25">
      <c r="A102" s="603" t="s">
        <v>1136</v>
      </c>
      <c r="B102" s="587">
        <v>5904103714</v>
      </c>
      <c r="C102" s="604" t="s">
        <v>459</v>
      </c>
      <c r="D102" s="588" t="s">
        <v>605</v>
      </c>
      <c r="F102"/>
    </row>
    <row r="103" spans="1:6" x14ac:dyDescent="0.25">
      <c r="A103" s="601" t="s">
        <v>1056</v>
      </c>
      <c r="B103" s="591">
        <v>7710277994</v>
      </c>
      <c r="C103" s="602" t="s">
        <v>327</v>
      </c>
      <c r="D103" s="591" t="s">
        <v>1056</v>
      </c>
      <c r="F103"/>
    </row>
    <row r="104" spans="1:6" x14ac:dyDescent="0.25">
      <c r="A104" s="603" t="s">
        <v>1137</v>
      </c>
      <c r="B104" s="587">
        <v>7802144144</v>
      </c>
      <c r="C104" s="605" t="s">
        <v>340</v>
      </c>
      <c r="D104" s="588" t="s">
        <v>1056</v>
      </c>
      <c r="F104"/>
    </row>
    <row r="105" spans="1:6" x14ac:dyDescent="0.25">
      <c r="A105" s="603" t="s">
        <v>1138</v>
      </c>
      <c r="B105" s="587">
        <v>6230005886</v>
      </c>
      <c r="C105" s="604" t="s">
        <v>353</v>
      </c>
      <c r="D105" s="588" t="s">
        <v>1056</v>
      </c>
      <c r="F105"/>
    </row>
    <row r="106" spans="1:6" x14ac:dyDescent="0.25">
      <c r="A106" s="603" t="s">
        <v>1139</v>
      </c>
      <c r="B106" s="587">
        <v>7712008203</v>
      </c>
      <c r="C106" s="604" t="s">
        <v>786</v>
      </c>
      <c r="D106" s="588" t="s">
        <v>1056</v>
      </c>
      <c r="F106"/>
    </row>
    <row r="107" spans="1:6" x14ac:dyDescent="0.25">
      <c r="A107" s="603" t="s">
        <v>1140</v>
      </c>
      <c r="B107" s="587">
        <v>6230006400</v>
      </c>
      <c r="C107" s="604" t="s">
        <v>374</v>
      </c>
      <c r="D107" s="588" t="s">
        <v>1056</v>
      </c>
      <c r="F107"/>
    </row>
    <row r="108" spans="1:6" x14ac:dyDescent="0.25">
      <c r="A108" s="603" t="s">
        <v>1141</v>
      </c>
      <c r="B108" s="587">
        <v>7810196298</v>
      </c>
      <c r="C108" s="604" t="s">
        <v>384</v>
      </c>
      <c r="D108" s="588" t="s">
        <v>1056</v>
      </c>
      <c r="F108"/>
    </row>
    <row r="109" spans="1:6" x14ac:dyDescent="0.25">
      <c r="A109" s="603" t="s">
        <v>1142</v>
      </c>
      <c r="B109" s="587">
        <v>7810245940</v>
      </c>
      <c r="C109" s="604" t="s">
        <v>393</v>
      </c>
      <c r="D109" s="588" t="s">
        <v>1056</v>
      </c>
      <c r="F109"/>
    </row>
    <row r="110" spans="1:6" x14ac:dyDescent="0.25">
      <c r="A110" s="603" t="s">
        <v>1143</v>
      </c>
      <c r="B110" s="587">
        <v>6450039697</v>
      </c>
      <c r="C110" s="604" t="s">
        <v>403</v>
      </c>
      <c r="D110" s="588" t="s">
        <v>1056</v>
      </c>
      <c r="F110"/>
    </row>
    <row r="111" spans="1:6" x14ac:dyDescent="0.25">
      <c r="A111" s="603" t="s">
        <v>1144</v>
      </c>
      <c r="B111" s="587">
        <v>7718564221</v>
      </c>
      <c r="C111" s="604" t="s">
        <v>412</v>
      </c>
      <c r="D111" s="588" t="s">
        <v>1056</v>
      </c>
      <c r="F111"/>
    </row>
    <row r="112" spans="1:6" x14ac:dyDescent="0.25">
      <c r="A112" s="603" t="s">
        <v>1145</v>
      </c>
      <c r="B112" s="587">
        <v>7734682448</v>
      </c>
      <c r="C112" s="604" t="s">
        <v>814</v>
      </c>
      <c r="D112" s="588" t="s">
        <v>1056</v>
      </c>
      <c r="F112"/>
    </row>
    <row r="113" spans="1:6" x14ac:dyDescent="0.25">
      <c r="A113" s="603" t="s">
        <v>1146</v>
      </c>
      <c r="B113" s="587">
        <v>7802144666</v>
      </c>
      <c r="C113" s="604" t="s">
        <v>816</v>
      </c>
      <c r="D113" s="588" t="s">
        <v>1056</v>
      </c>
      <c r="F113"/>
    </row>
    <row r="114" spans="1:6" x14ac:dyDescent="0.25">
      <c r="A114" s="603" t="s">
        <v>1147</v>
      </c>
      <c r="B114" s="587">
        <v>7718159209</v>
      </c>
      <c r="C114" s="604" t="s">
        <v>437</v>
      </c>
      <c r="D114" s="588" t="s">
        <v>1056</v>
      </c>
      <c r="F114"/>
    </row>
    <row r="115" spans="1:6" x14ac:dyDescent="0.25">
      <c r="A115" s="603" t="s">
        <v>1148</v>
      </c>
      <c r="B115" s="587">
        <v>7720249844</v>
      </c>
      <c r="C115" s="604" t="s">
        <v>444</v>
      </c>
      <c r="D115" s="588" t="s">
        <v>1056</v>
      </c>
      <c r="F115"/>
    </row>
    <row r="116" spans="1:6" x14ac:dyDescent="0.25">
      <c r="A116" s="603" t="s">
        <v>1149</v>
      </c>
      <c r="B116" s="587">
        <v>5262001265</v>
      </c>
      <c r="C116" s="604" t="s">
        <v>460</v>
      </c>
      <c r="D116" s="588" t="s">
        <v>1056</v>
      </c>
      <c r="F116"/>
    </row>
    <row r="117" spans="1:6" x14ac:dyDescent="0.25">
      <c r="A117" s="603" t="s">
        <v>1150</v>
      </c>
      <c r="B117" s="587">
        <v>7719019691</v>
      </c>
      <c r="C117" s="604" t="s">
        <v>467</v>
      </c>
      <c r="D117" s="588" t="s">
        <v>1056</v>
      </c>
      <c r="F117"/>
    </row>
    <row r="118" spans="1:6" x14ac:dyDescent="0.25">
      <c r="A118" s="603" t="s">
        <v>1151</v>
      </c>
      <c r="B118" s="587">
        <v>7743785802</v>
      </c>
      <c r="C118" s="604" t="s">
        <v>476</v>
      </c>
      <c r="D118" s="588" t="s">
        <v>1056</v>
      </c>
      <c r="F118"/>
    </row>
    <row r="119" spans="1:6" x14ac:dyDescent="0.25">
      <c r="A119" s="603" t="s">
        <v>1152</v>
      </c>
      <c r="B119" s="587">
        <v>2462214466</v>
      </c>
      <c r="C119" s="604" t="s">
        <v>483</v>
      </c>
      <c r="D119" s="588" t="s">
        <v>1056</v>
      </c>
      <c r="F119"/>
    </row>
    <row r="120" spans="1:6" x14ac:dyDescent="0.25">
      <c r="A120" s="603" t="s">
        <v>1153</v>
      </c>
      <c r="B120" s="587">
        <v>7017084932</v>
      </c>
      <c r="C120" s="604" t="s">
        <v>491</v>
      </c>
      <c r="D120" s="588" t="s">
        <v>1056</v>
      </c>
      <c r="F120"/>
    </row>
    <row r="121" spans="1:6" x14ac:dyDescent="0.25">
      <c r="A121" s="603" t="s">
        <v>1154</v>
      </c>
      <c r="B121" s="587">
        <v>1215085052</v>
      </c>
      <c r="C121" s="604" t="s">
        <v>495</v>
      </c>
      <c r="D121" s="588" t="s">
        <v>1056</v>
      </c>
      <c r="F121"/>
    </row>
    <row r="122" spans="1:6" x14ac:dyDescent="0.25">
      <c r="A122" s="603" t="s">
        <v>1155</v>
      </c>
      <c r="B122" s="587">
        <v>6671189556</v>
      </c>
      <c r="C122" s="604" t="s">
        <v>498</v>
      </c>
      <c r="D122" s="588" t="s">
        <v>1056</v>
      </c>
      <c r="F122"/>
    </row>
    <row r="123" spans="1:6" x14ac:dyDescent="0.25">
      <c r="A123" s="603" t="s">
        <v>1156</v>
      </c>
      <c r="B123" s="587">
        <v>5052022886</v>
      </c>
      <c r="C123" s="604" t="s">
        <v>501</v>
      </c>
      <c r="D123" s="588" t="s">
        <v>1056</v>
      </c>
      <c r="F123"/>
    </row>
    <row r="124" spans="1:6" x14ac:dyDescent="0.25">
      <c r="A124" s="603" t="s">
        <v>1157</v>
      </c>
      <c r="B124" s="587">
        <v>5402546159</v>
      </c>
      <c r="C124" s="604" t="s">
        <v>505</v>
      </c>
      <c r="D124" s="588" t="s">
        <v>1056</v>
      </c>
      <c r="F124"/>
    </row>
    <row r="125" spans="1:6" x14ac:dyDescent="0.25">
      <c r="A125" s="603" t="s">
        <v>1158</v>
      </c>
      <c r="B125" s="587">
        <v>7719800954</v>
      </c>
      <c r="C125" s="604" t="s">
        <v>508</v>
      </c>
      <c r="D125" s="588" t="s">
        <v>1056</v>
      </c>
      <c r="F125"/>
    </row>
    <row r="126" spans="1:6" x14ac:dyDescent="0.25">
      <c r="A126" s="603" t="s">
        <v>1159</v>
      </c>
      <c r="B126" s="587">
        <v>5405441299</v>
      </c>
      <c r="C126" s="604" t="s">
        <v>512</v>
      </c>
      <c r="D126" s="588" t="s">
        <v>1056</v>
      </c>
      <c r="F126"/>
    </row>
    <row r="127" spans="1:6" x14ac:dyDescent="0.25">
      <c r="A127" s="603" t="s">
        <v>1160</v>
      </c>
      <c r="B127" s="587">
        <v>5052023047</v>
      </c>
      <c r="C127" s="604" t="s">
        <v>514</v>
      </c>
      <c r="D127" s="588" t="s">
        <v>1056</v>
      </c>
      <c r="F127"/>
    </row>
    <row r="128" spans="1:6" x14ac:dyDescent="0.25">
      <c r="A128" s="603" t="s">
        <v>1161</v>
      </c>
      <c r="B128" s="587">
        <v>6453097665</v>
      </c>
      <c r="C128" s="604" t="s">
        <v>518</v>
      </c>
      <c r="D128" s="588" t="s">
        <v>1056</v>
      </c>
      <c r="F128"/>
    </row>
    <row r="129" spans="1:6" x14ac:dyDescent="0.25">
      <c r="A129" s="603" t="s">
        <v>1162</v>
      </c>
      <c r="B129" s="587">
        <v>5261079332</v>
      </c>
      <c r="C129" s="604" t="s">
        <v>522</v>
      </c>
      <c r="D129" s="588" t="s">
        <v>1056</v>
      </c>
      <c r="F129"/>
    </row>
    <row r="130" spans="1:6" x14ac:dyDescent="0.25">
      <c r="A130" s="603" t="s">
        <v>1163</v>
      </c>
      <c r="B130" s="587">
        <v>7017275172</v>
      </c>
      <c r="C130" s="604" t="s">
        <v>526</v>
      </c>
      <c r="D130" s="588" t="s">
        <v>1056</v>
      </c>
      <c r="F130"/>
    </row>
    <row r="131" spans="1:6" x14ac:dyDescent="0.25">
      <c r="A131" s="603" t="s">
        <v>1164</v>
      </c>
      <c r="B131" s="587">
        <v>5321095589</v>
      </c>
      <c r="C131" s="604" t="s">
        <v>529</v>
      </c>
      <c r="D131" s="588" t="s">
        <v>1056</v>
      </c>
      <c r="F131"/>
    </row>
    <row r="132" spans="1:6" x14ac:dyDescent="0.25">
      <c r="A132" s="603" t="s">
        <v>1165</v>
      </c>
      <c r="B132" s="587">
        <v>7730658356</v>
      </c>
      <c r="C132" s="604" t="s">
        <v>533</v>
      </c>
      <c r="D132" s="588" t="s">
        <v>1056</v>
      </c>
      <c r="F132"/>
    </row>
    <row r="133" spans="1:6" x14ac:dyDescent="0.25">
      <c r="A133" s="603" t="s">
        <v>1166</v>
      </c>
      <c r="B133" s="587">
        <v>7804454896</v>
      </c>
      <c r="C133" s="604" t="s">
        <v>537</v>
      </c>
      <c r="D133" s="588" t="s">
        <v>1056</v>
      </c>
      <c r="F133"/>
    </row>
    <row r="134" spans="1:6" x14ac:dyDescent="0.25">
      <c r="A134" s="603" t="s">
        <v>1167</v>
      </c>
      <c r="B134" s="587">
        <v>7813487947</v>
      </c>
      <c r="C134" s="604" t="s">
        <v>541</v>
      </c>
      <c r="D134" s="588" t="s">
        <v>1056</v>
      </c>
      <c r="F134"/>
    </row>
    <row r="135" spans="1:6" x14ac:dyDescent="0.25">
      <c r="A135" s="603" t="s">
        <v>1168</v>
      </c>
      <c r="B135" s="587">
        <v>6950087667</v>
      </c>
      <c r="C135" s="604" t="s">
        <v>545</v>
      </c>
      <c r="D135" s="588" t="s">
        <v>1056</v>
      </c>
      <c r="F135"/>
    </row>
    <row r="136" spans="1:6" x14ac:dyDescent="0.25">
      <c r="A136" s="603" t="s">
        <v>1169</v>
      </c>
      <c r="B136" s="587">
        <v>5402546039</v>
      </c>
      <c r="C136" s="604" t="s">
        <v>549</v>
      </c>
      <c r="D136" s="588" t="s">
        <v>1056</v>
      </c>
      <c r="F136"/>
    </row>
    <row r="137" spans="1:6" x14ac:dyDescent="0.25">
      <c r="A137" s="603" t="s">
        <v>1170</v>
      </c>
      <c r="B137" s="587">
        <v>7743869192</v>
      </c>
      <c r="C137" s="604" t="s">
        <v>552</v>
      </c>
      <c r="D137" s="588" t="s">
        <v>1056</v>
      </c>
      <c r="F137"/>
    </row>
    <row r="138" spans="1:6" x14ac:dyDescent="0.25">
      <c r="A138" s="603" t="s">
        <v>1171</v>
      </c>
      <c r="B138" s="587">
        <v>4345309407</v>
      </c>
      <c r="C138" s="604" t="s">
        <v>556</v>
      </c>
      <c r="D138" s="588" t="s">
        <v>1056</v>
      </c>
      <c r="F138"/>
    </row>
    <row r="139" spans="1:6" x14ac:dyDescent="0.25">
      <c r="A139" s="603" t="s">
        <v>1172</v>
      </c>
      <c r="B139" s="587">
        <v>7722599844</v>
      </c>
      <c r="C139" s="604" t="s">
        <v>560</v>
      </c>
      <c r="D139" s="588" t="s">
        <v>1056</v>
      </c>
      <c r="F139"/>
    </row>
    <row r="140" spans="1:6" x14ac:dyDescent="0.25">
      <c r="A140" s="603" t="s">
        <v>1173</v>
      </c>
      <c r="B140" s="587">
        <v>4027106731</v>
      </c>
      <c r="C140" s="604" t="s">
        <v>564</v>
      </c>
      <c r="D140" s="588" t="s">
        <v>1056</v>
      </c>
      <c r="F140"/>
    </row>
    <row r="141" spans="1:6" x14ac:dyDescent="0.25">
      <c r="A141" s="603" t="s">
        <v>1174</v>
      </c>
      <c r="B141" s="587">
        <v>6027075580</v>
      </c>
      <c r="C141" s="604" t="s">
        <v>568</v>
      </c>
      <c r="D141" s="588" t="s">
        <v>1056</v>
      </c>
      <c r="F141"/>
    </row>
    <row r="142" spans="1:6" x14ac:dyDescent="0.25">
      <c r="A142" s="603" t="s">
        <v>1175</v>
      </c>
      <c r="B142" s="587">
        <v>5321144204</v>
      </c>
      <c r="C142" s="604" t="s">
        <v>574</v>
      </c>
      <c r="D142" s="588" t="s">
        <v>1056</v>
      </c>
      <c r="F142"/>
    </row>
    <row r="143" spans="1:6" x14ac:dyDescent="0.25">
      <c r="A143" s="603" t="s">
        <v>1176</v>
      </c>
      <c r="B143" s="587">
        <v>5029008964</v>
      </c>
      <c r="C143" s="604" t="s">
        <v>577</v>
      </c>
      <c r="D143" s="588" t="s">
        <v>1056</v>
      </c>
      <c r="F143"/>
    </row>
    <row r="144" spans="1:6" x14ac:dyDescent="0.25">
      <c r="A144" s="603" t="s">
        <v>1177</v>
      </c>
      <c r="B144" s="587">
        <v>7713752430</v>
      </c>
      <c r="C144" s="604" t="s">
        <v>583</v>
      </c>
      <c r="D144" s="588" t="s">
        <v>1056</v>
      </c>
      <c r="F144"/>
    </row>
    <row r="145" spans="1:6" x14ac:dyDescent="0.25">
      <c r="A145" s="603" t="s">
        <v>1178</v>
      </c>
      <c r="B145" s="587">
        <v>5031099373</v>
      </c>
      <c r="C145" s="604" t="s">
        <v>586</v>
      </c>
      <c r="D145" s="588" t="s">
        <v>1056</v>
      </c>
      <c r="F145"/>
    </row>
    <row r="146" spans="1:6" x14ac:dyDescent="0.25">
      <c r="A146" s="603" t="s">
        <v>1179</v>
      </c>
      <c r="B146" s="587">
        <v>6915002325</v>
      </c>
      <c r="C146" s="604" t="s">
        <v>632</v>
      </c>
      <c r="D146" s="588" t="s">
        <v>1056</v>
      </c>
      <c r="F146"/>
    </row>
    <row r="147" spans="1:6" x14ac:dyDescent="0.25">
      <c r="A147" s="603" t="s">
        <v>1180</v>
      </c>
      <c r="B147" s="587">
        <v>7735121290</v>
      </c>
      <c r="C147" s="604" t="s">
        <v>633</v>
      </c>
      <c r="D147" s="588" t="s">
        <v>1056</v>
      </c>
      <c r="F147"/>
    </row>
    <row r="148" spans="1:6" x14ac:dyDescent="0.25">
      <c r="A148" s="603" t="s">
        <v>1181</v>
      </c>
      <c r="B148" s="587">
        <v>5503229082</v>
      </c>
      <c r="C148" s="604" t="s">
        <v>634</v>
      </c>
      <c r="D148" s="588" t="s">
        <v>1056</v>
      </c>
      <c r="F148"/>
    </row>
    <row r="149" spans="1:6" x14ac:dyDescent="0.25">
      <c r="A149" s="603" t="s">
        <v>1182</v>
      </c>
      <c r="B149" s="587">
        <v>7743592991</v>
      </c>
      <c r="C149" s="604" t="s">
        <v>635</v>
      </c>
      <c r="D149" s="588" t="s">
        <v>1056</v>
      </c>
      <c r="F149"/>
    </row>
    <row r="150" spans="1:6" x14ac:dyDescent="0.25">
      <c r="A150" s="603" t="s">
        <v>1183</v>
      </c>
      <c r="B150" s="587">
        <v>6450072775</v>
      </c>
      <c r="C150" s="604" t="s">
        <v>636</v>
      </c>
      <c r="D150" s="588" t="s">
        <v>1056</v>
      </c>
      <c r="F150"/>
    </row>
    <row r="151" spans="1:6" x14ac:dyDescent="0.25">
      <c r="A151" s="603" t="s">
        <v>1184</v>
      </c>
      <c r="B151" s="587">
        <v>1513008350</v>
      </c>
      <c r="C151" s="604" t="s">
        <v>637</v>
      </c>
      <c r="D151" s="588" t="s">
        <v>1056</v>
      </c>
      <c r="F151"/>
    </row>
    <row r="152" spans="1:6" x14ac:dyDescent="0.25">
      <c r="A152" s="603" t="s">
        <v>1185</v>
      </c>
      <c r="B152" s="587">
        <v>1514010249</v>
      </c>
      <c r="C152" s="604" t="s">
        <v>638</v>
      </c>
      <c r="D152" s="588" t="s">
        <v>1056</v>
      </c>
      <c r="F152"/>
    </row>
    <row r="153" spans="1:6" x14ac:dyDescent="0.25">
      <c r="A153" s="603" t="s">
        <v>1186</v>
      </c>
      <c r="B153" s="587">
        <v>5834054179</v>
      </c>
      <c r="C153" s="604" t="s">
        <v>639</v>
      </c>
      <c r="D153" s="588" t="s">
        <v>1056</v>
      </c>
      <c r="F153"/>
    </row>
    <row r="154" spans="1:6" x14ac:dyDescent="0.25">
      <c r="A154" s="603" t="s">
        <v>1187</v>
      </c>
      <c r="B154" s="587">
        <v>5050108496</v>
      </c>
      <c r="C154" s="604" t="s">
        <v>640</v>
      </c>
      <c r="D154" s="588" t="s">
        <v>1056</v>
      </c>
      <c r="F154"/>
    </row>
    <row r="155" spans="1:6" x14ac:dyDescent="0.25">
      <c r="A155" s="603" t="s">
        <v>1188</v>
      </c>
      <c r="B155" s="587">
        <v>7719846490</v>
      </c>
      <c r="C155" s="604" t="s">
        <v>641</v>
      </c>
      <c r="D155" s="588" t="s">
        <v>1056</v>
      </c>
      <c r="F155"/>
    </row>
    <row r="156" spans="1:6" x14ac:dyDescent="0.25">
      <c r="A156" s="603" t="s">
        <v>1189</v>
      </c>
      <c r="B156" s="587">
        <v>7726722129</v>
      </c>
      <c r="C156" s="604" t="s">
        <v>642</v>
      </c>
      <c r="D156" s="588" t="s">
        <v>1056</v>
      </c>
      <c r="F156"/>
    </row>
    <row r="157" spans="1:6" x14ac:dyDescent="0.25">
      <c r="A157" s="603" t="s">
        <v>1190</v>
      </c>
      <c r="B157" s="587">
        <v>6453119615</v>
      </c>
      <c r="C157" s="604" t="s">
        <v>643</v>
      </c>
      <c r="D157" s="588" t="s">
        <v>1056</v>
      </c>
      <c r="F157"/>
    </row>
    <row r="158" spans="1:6" x14ac:dyDescent="0.25">
      <c r="A158" s="603" t="s">
        <v>1191</v>
      </c>
      <c r="B158" s="587">
        <v>7704731673</v>
      </c>
      <c r="C158" s="604" t="s">
        <v>644</v>
      </c>
      <c r="D158" s="588" t="s">
        <v>1056</v>
      </c>
      <c r="F158"/>
    </row>
    <row r="159" spans="1:6" x14ac:dyDescent="0.25">
      <c r="A159" s="603" t="s">
        <v>1192</v>
      </c>
      <c r="B159" s="587">
        <v>7802774001</v>
      </c>
      <c r="C159" s="604" t="s">
        <v>646</v>
      </c>
      <c r="D159" s="588" t="s">
        <v>1056</v>
      </c>
      <c r="F159"/>
    </row>
    <row r="160" spans="1:6" x14ac:dyDescent="0.25">
      <c r="A160" s="603" t="s">
        <v>1193</v>
      </c>
      <c r="B160" s="587">
        <v>7810856191</v>
      </c>
      <c r="C160" s="604" t="s">
        <v>647</v>
      </c>
      <c r="D160" s="588" t="s">
        <v>1056</v>
      </c>
      <c r="F160"/>
    </row>
    <row r="161" spans="1:6" x14ac:dyDescent="0.25">
      <c r="A161" s="603" t="s">
        <v>1194</v>
      </c>
      <c r="B161" s="587">
        <v>7719891775</v>
      </c>
      <c r="C161" s="604" t="s">
        <v>648</v>
      </c>
      <c r="D161" s="588" t="s">
        <v>1056</v>
      </c>
      <c r="F161"/>
    </row>
    <row r="162" spans="1:6" x14ac:dyDescent="0.25">
      <c r="A162" s="603" t="s">
        <v>1195</v>
      </c>
      <c r="B162" s="587">
        <v>7709868424</v>
      </c>
      <c r="C162" s="604" t="s">
        <v>649</v>
      </c>
      <c r="D162" s="588" t="s">
        <v>1056</v>
      </c>
      <c r="F162"/>
    </row>
    <row r="163" spans="1:6" x14ac:dyDescent="0.25">
      <c r="A163" s="603" t="s">
        <v>1196</v>
      </c>
      <c r="B163" s="587">
        <v>7709877563</v>
      </c>
      <c r="C163" s="604" t="s">
        <v>650</v>
      </c>
      <c r="D163" s="588" t="s">
        <v>1056</v>
      </c>
      <c r="F163"/>
    </row>
    <row r="164" spans="1:6" x14ac:dyDescent="0.25">
      <c r="A164" s="603" t="s">
        <v>1197</v>
      </c>
      <c r="B164" s="587">
        <v>5506218498</v>
      </c>
      <c r="C164" s="604" t="s">
        <v>651</v>
      </c>
      <c r="D164" s="588" t="s">
        <v>1056</v>
      </c>
      <c r="F164"/>
    </row>
    <row r="165" spans="1:6" x14ac:dyDescent="0.25">
      <c r="A165" s="603" t="s">
        <v>1198</v>
      </c>
      <c r="B165" s="587">
        <v>2221181133</v>
      </c>
      <c r="C165" s="604" t="s">
        <v>652</v>
      </c>
      <c r="D165" s="588" t="s">
        <v>1056</v>
      </c>
      <c r="F165"/>
    </row>
    <row r="166" spans="1:6" x14ac:dyDescent="0.25">
      <c r="A166" s="603" t="s">
        <v>1199</v>
      </c>
      <c r="B166" s="587">
        <v>5835049799</v>
      </c>
      <c r="C166" s="604" t="s">
        <v>653</v>
      </c>
      <c r="D166" s="588" t="s">
        <v>1056</v>
      </c>
      <c r="F166"/>
    </row>
    <row r="167" spans="1:6" x14ac:dyDescent="0.25">
      <c r="A167" s="603" t="s">
        <v>1200</v>
      </c>
      <c r="B167" s="587">
        <v>7813179558</v>
      </c>
      <c r="C167" s="604" t="s">
        <v>654</v>
      </c>
      <c r="D167" s="588" t="s">
        <v>1056</v>
      </c>
      <c r="F167"/>
    </row>
    <row r="168" spans="1:6" x14ac:dyDescent="0.25">
      <c r="A168" s="603" t="s">
        <v>1201</v>
      </c>
      <c r="B168" s="587">
        <v>5505211490</v>
      </c>
      <c r="C168" s="604" t="s">
        <v>655</v>
      </c>
      <c r="D168" s="588" t="s">
        <v>1056</v>
      </c>
      <c r="F168"/>
    </row>
    <row r="169" spans="1:6" x14ac:dyDescent="0.25">
      <c r="A169" s="603" t="s">
        <v>1202</v>
      </c>
      <c r="B169" s="587">
        <v>7719813840</v>
      </c>
      <c r="C169" s="604" t="s">
        <v>656</v>
      </c>
      <c r="D169" s="588" t="s">
        <v>1056</v>
      </c>
      <c r="F169"/>
    </row>
    <row r="170" spans="1:6" x14ac:dyDescent="0.25">
      <c r="A170" s="603" t="s">
        <v>1203</v>
      </c>
      <c r="B170" s="587">
        <v>7728328640</v>
      </c>
      <c r="C170" s="604" t="s">
        <v>657</v>
      </c>
      <c r="D170" s="588" t="s">
        <v>1056</v>
      </c>
      <c r="F170"/>
    </row>
    <row r="171" spans="1:6" x14ac:dyDescent="0.25">
      <c r="A171" s="603" t="s">
        <v>1204</v>
      </c>
      <c r="B171" s="587">
        <v>7731014611</v>
      </c>
      <c r="C171" s="604" t="s">
        <v>712</v>
      </c>
      <c r="D171" s="588" t="s">
        <v>1056</v>
      </c>
      <c r="F171"/>
    </row>
    <row r="172" spans="1:6" x14ac:dyDescent="0.25">
      <c r="A172" s="603" t="s">
        <v>1205</v>
      </c>
      <c r="B172" s="587">
        <v>7736005120</v>
      </c>
      <c r="C172" s="604" t="s">
        <v>715</v>
      </c>
      <c r="D172" s="588" t="s">
        <v>1056</v>
      </c>
      <c r="F172"/>
    </row>
    <row r="173" spans="1:6" x14ac:dyDescent="0.25">
      <c r="A173" s="603" t="s">
        <v>1206</v>
      </c>
      <c r="B173" s="587">
        <v>7710643062</v>
      </c>
      <c r="C173" s="604" t="s">
        <v>716</v>
      </c>
      <c r="D173" s="588" t="s">
        <v>1056</v>
      </c>
      <c r="F173"/>
    </row>
    <row r="174" spans="1:6" x14ac:dyDescent="0.25">
      <c r="A174" s="603" t="s">
        <v>1207</v>
      </c>
      <c r="B174" s="587">
        <v>7017091390</v>
      </c>
      <c r="C174" s="604" t="s">
        <v>717</v>
      </c>
      <c r="D174" s="588" t="s">
        <v>1056</v>
      </c>
      <c r="F174"/>
    </row>
    <row r="175" spans="1:6" x14ac:dyDescent="0.25">
      <c r="A175" s="603" t="s">
        <v>1208</v>
      </c>
      <c r="B175" s="587">
        <v>5261019855</v>
      </c>
      <c r="C175" s="604" t="s">
        <v>718</v>
      </c>
      <c r="D175" s="588" t="s">
        <v>1056</v>
      </c>
      <c r="F175"/>
    </row>
    <row r="176" spans="1:6" x14ac:dyDescent="0.25">
      <c r="A176" s="603" t="s">
        <v>1209</v>
      </c>
      <c r="B176" s="587">
        <v>5261001382</v>
      </c>
      <c r="C176" s="604" t="s">
        <v>719</v>
      </c>
      <c r="D176" s="588" t="s">
        <v>1056</v>
      </c>
      <c r="F176"/>
    </row>
    <row r="177" spans="1:6" x14ac:dyDescent="0.25">
      <c r="A177" s="603" t="s">
        <v>1210</v>
      </c>
      <c r="B177" s="587">
        <v>3435000717</v>
      </c>
      <c r="C177" s="604" t="s">
        <v>738</v>
      </c>
      <c r="D177" s="588" t="s">
        <v>1056</v>
      </c>
      <c r="F177"/>
    </row>
    <row r="178" spans="1:6" x14ac:dyDescent="0.25">
      <c r="A178" s="601" t="s">
        <v>1057</v>
      </c>
      <c r="B178" s="591">
        <v>7704859803</v>
      </c>
      <c r="C178" s="602" t="s">
        <v>328</v>
      </c>
      <c r="D178" s="591" t="s">
        <v>1057</v>
      </c>
      <c r="F178"/>
    </row>
    <row r="179" spans="1:6" x14ac:dyDescent="0.25">
      <c r="A179" s="603" t="s">
        <v>1211</v>
      </c>
      <c r="B179" s="588">
        <v>7730170167</v>
      </c>
      <c r="C179" s="604" t="s">
        <v>341</v>
      </c>
      <c r="D179" s="588" t="s">
        <v>1057</v>
      </c>
      <c r="F179"/>
    </row>
    <row r="180" spans="1:6" x14ac:dyDescent="0.25">
      <c r="A180" s="603" t="s">
        <v>1212</v>
      </c>
      <c r="B180" s="588">
        <v>5835049453</v>
      </c>
      <c r="C180" s="604" t="s">
        <v>354</v>
      </c>
      <c r="D180" s="588" t="s">
        <v>1057</v>
      </c>
      <c r="F180"/>
    </row>
    <row r="181" spans="1:6" x14ac:dyDescent="0.25">
      <c r="A181" s="603" t="s">
        <v>1213</v>
      </c>
      <c r="B181" s="588">
        <v>7726336229</v>
      </c>
      <c r="C181" s="604" t="s">
        <v>366</v>
      </c>
      <c r="D181" s="588" t="s">
        <v>1057</v>
      </c>
      <c r="F181"/>
    </row>
    <row r="182" spans="1:6" x14ac:dyDescent="0.25">
      <c r="A182" s="603" t="s">
        <v>1214</v>
      </c>
      <c r="B182" s="588">
        <v>7610062970</v>
      </c>
      <c r="C182" s="604" t="s">
        <v>375</v>
      </c>
      <c r="D182" s="588" t="s">
        <v>1057</v>
      </c>
      <c r="F182"/>
    </row>
    <row r="183" spans="1:6" x14ac:dyDescent="0.25">
      <c r="A183" s="603" t="s">
        <v>1215</v>
      </c>
      <c r="B183" s="588">
        <v>7610063043</v>
      </c>
      <c r="C183" s="604" t="s">
        <v>385</v>
      </c>
      <c r="D183" s="588" t="s">
        <v>1057</v>
      </c>
      <c r="F183"/>
    </row>
    <row r="184" spans="1:6" x14ac:dyDescent="0.25">
      <c r="A184" s="603" t="s">
        <v>1216</v>
      </c>
      <c r="B184" s="588">
        <v>7714613189</v>
      </c>
      <c r="C184" s="604" t="s">
        <v>394</v>
      </c>
      <c r="D184" s="588" t="s">
        <v>1057</v>
      </c>
      <c r="F184"/>
    </row>
    <row r="185" spans="1:6" x14ac:dyDescent="0.25">
      <c r="A185" s="603" t="s">
        <v>1217</v>
      </c>
      <c r="B185" s="588">
        <v>7717149279</v>
      </c>
      <c r="C185" s="604" t="s">
        <v>404</v>
      </c>
      <c r="D185" s="588" t="s">
        <v>1057</v>
      </c>
      <c r="F185"/>
    </row>
    <row r="186" spans="1:6" x14ac:dyDescent="0.25">
      <c r="A186" s="603" t="s">
        <v>1218</v>
      </c>
      <c r="B186" s="588">
        <v>7743084892</v>
      </c>
      <c r="C186" s="604" t="s">
        <v>413</v>
      </c>
      <c r="D186" s="588" t="s">
        <v>1057</v>
      </c>
      <c r="F186"/>
    </row>
    <row r="187" spans="1:6" x14ac:dyDescent="0.25">
      <c r="A187" s="603" t="s">
        <v>1219</v>
      </c>
      <c r="B187" s="588">
        <v>7453140915</v>
      </c>
      <c r="C187" s="604" t="s">
        <v>421</v>
      </c>
      <c r="D187" s="588" t="s">
        <v>1057</v>
      </c>
      <c r="F187"/>
    </row>
    <row r="188" spans="1:6" x14ac:dyDescent="0.25">
      <c r="A188" s="603" t="s">
        <v>1220</v>
      </c>
      <c r="B188" s="588">
        <v>7813397637</v>
      </c>
      <c r="C188" s="604" t="s">
        <v>429</v>
      </c>
      <c r="D188" s="588" t="s">
        <v>1057</v>
      </c>
      <c r="F188"/>
    </row>
    <row r="189" spans="1:6" x14ac:dyDescent="0.25">
      <c r="A189" s="603" t="s">
        <v>1221</v>
      </c>
      <c r="B189" s="588">
        <v>7726019325</v>
      </c>
      <c r="C189" s="604" t="s">
        <v>438</v>
      </c>
      <c r="D189" s="588" t="s">
        <v>1057</v>
      </c>
      <c r="F189"/>
    </row>
    <row r="190" spans="1:6" x14ac:dyDescent="0.25">
      <c r="A190" s="603" t="s">
        <v>1222</v>
      </c>
      <c r="B190" s="588">
        <v>7813491943</v>
      </c>
      <c r="C190" s="604" t="s">
        <v>445</v>
      </c>
      <c r="D190" s="588" t="s">
        <v>1057</v>
      </c>
      <c r="F190"/>
    </row>
    <row r="191" spans="1:6" x14ac:dyDescent="0.25">
      <c r="A191" s="603" t="s">
        <v>1223</v>
      </c>
      <c r="B191" s="588">
        <v>7813478734</v>
      </c>
      <c r="C191" s="604" t="s">
        <v>452</v>
      </c>
      <c r="D191" s="588" t="s">
        <v>1057</v>
      </c>
      <c r="F191"/>
    </row>
    <row r="192" spans="1:6" x14ac:dyDescent="0.25">
      <c r="A192" s="603" t="s">
        <v>1224</v>
      </c>
      <c r="B192" s="588">
        <v>4027100480</v>
      </c>
      <c r="C192" s="604" t="s">
        <v>461</v>
      </c>
      <c r="D192" s="588" t="s">
        <v>1057</v>
      </c>
      <c r="F192"/>
    </row>
    <row r="193" spans="1:6" x14ac:dyDescent="0.25">
      <c r="A193" s="603" t="s">
        <v>1225</v>
      </c>
      <c r="B193" s="588">
        <v>5008058393</v>
      </c>
      <c r="C193" s="604" t="s">
        <v>468</v>
      </c>
      <c r="D193" s="588" t="s">
        <v>1057</v>
      </c>
      <c r="F193"/>
    </row>
    <row r="194" spans="1:6" x14ac:dyDescent="0.25">
      <c r="A194" s="603" t="s">
        <v>1226</v>
      </c>
      <c r="B194" s="588">
        <v>7726694231</v>
      </c>
      <c r="C194" s="604" t="s">
        <v>472</v>
      </c>
      <c r="D194" s="588" t="s">
        <v>1057</v>
      </c>
      <c r="F194"/>
    </row>
    <row r="195" spans="1:6" x14ac:dyDescent="0.25">
      <c r="A195" s="603" t="s">
        <v>1227</v>
      </c>
      <c r="B195" s="588">
        <v>7709899951</v>
      </c>
      <c r="C195" s="604" t="s">
        <v>477</v>
      </c>
      <c r="D195" s="588" t="s">
        <v>1057</v>
      </c>
      <c r="F195"/>
    </row>
    <row r="196" spans="1:6" x14ac:dyDescent="0.25">
      <c r="A196" s="603" t="s">
        <v>1228</v>
      </c>
      <c r="B196" s="588">
        <v>7726700037</v>
      </c>
      <c r="C196" s="604" t="s">
        <v>480</v>
      </c>
      <c r="D196" s="588" t="s">
        <v>1057</v>
      </c>
      <c r="F196"/>
    </row>
    <row r="197" spans="1:6" x14ac:dyDescent="0.25">
      <c r="A197" s="603" t="s">
        <v>1229</v>
      </c>
      <c r="B197" s="588">
        <v>7735521475</v>
      </c>
      <c r="C197" s="604" t="s">
        <v>484</v>
      </c>
      <c r="D197" s="588" t="s">
        <v>1057</v>
      </c>
      <c r="F197"/>
    </row>
    <row r="198" spans="1:6" x14ac:dyDescent="0.25">
      <c r="A198" s="603" t="s">
        <v>1230</v>
      </c>
      <c r="B198" s="588">
        <v>7726336331</v>
      </c>
      <c r="C198" s="604" t="s">
        <v>488</v>
      </c>
      <c r="D198" s="588" t="s">
        <v>1057</v>
      </c>
      <c r="F198"/>
    </row>
    <row r="199" spans="1:6" x14ac:dyDescent="0.25">
      <c r="A199" s="603" t="s">
        <v>1231</v>
      </c>
      <c r="B199" s="588">
        <v>3666127502</v>
      </c>
      <c r="C199" s="604" t="s">
        <v>492</v>
      </c>
      <c r="D199" s="588" t="s">
        <v>1057</v>
      </c>
      <c r="F199"/>
    </row>
    <row r="200" spans="1:6" x14ac:dyDescent="0.25">
      <c r="A200" s="603" t="s">
        <v>1232</v>
      </c>
      <c r="B200" s="588">
        <v>3662103035</v>
      </c>
      <c r="C200" s="604" t="s">
        <v>496</v>
      </c>
      <c r="D200" s="588" t="s">
        <v>1057</v>
      </c>
      <c r="F200"/>
    </row>
    <row r="201" spans="1:6" x14ac:dyDescent="0.25">
      <c r="A201" s="603" t="s">
        <v>1233</v>
      </c>
      <c r="B201" s="588">
        <v>7705711648</v>
      </c>
      <c r="C201" s="604" t="s">
        <v>499</v>
      </c>
      <c r="D201" s="588" t="s">
        <v>1057</v>
      </c>
      <c r="F201"/>
    </row>
    <row r="202" spans="1:6" x14ac:dyDescent="0.25">
      <c r="A202" s="603" t="s">
        <v>1234</v>
      </c>
      <c r="B202" s="588">
        <v>6166055693</v>
      </c>
      <c r="C202" s="604" t="s">
        <v>502</v>
      </c>
      <c r="D202" s="588" t="s">
        <v>1057</v>
      </c>
      <c r="F202"/>
    </row>
    <row r="203" spans="1:6" x14ac:dyDescent="0.25">
      <c r="A203" s="603" t="s">
        <v>1235</v>
      </c>
      <c r="B203" s="588">
        <v>3662104575</v>
      </c>
      <c r="C203" s="604" t="s">
        <v>506</v>
      </c>
      <c r="D203" s="588" t="s">
        <v>1057</v>
      </c>
      <c r="F203"/>
    </row>
    <row r="204" spans="1:6" x14ac:dyDescent="0.25">
      <c r="A204" s="603" t="s">
        <v>1236</v>
      </c>
      <c r="B204" s="588">
        <v>2311085593</v>
      </c>
      <c r="C204" s="604" t="s">
        <v>509</v>
      </c>
      <c r="D204" s="588" t="s">
        <v>1057</v>
      </c>
      <c r="F204"/>
    </row>
    <row r="205" spans="1:6" x14ac:dyDescent="0.25">
      <c r="A205" s="603" t="s">
        <v>1237</v>
      </c>
      <c r="B205" s="588">
        <v>6829015472</v>
      </c>
      <c r="C205" s="604" t="s">
        <v>513</v>
      </c>
      <c r="D205" s="588" t="s">
        <v>1057</v>
      </c>
      <c r="F205"/>
    </row>
    <row r="206" spans="1:6" x14ac:dyDescent="0.25">
      <c r="A206" s="603" t="s">
        <v>1238</v>
      </c>
      <c r="B206" s="588">
        <v>2311085868</v>
      </c>
      <c r="C206" s="604" t="s">
        <v>515</v>
      </c>
      <c r="D206" s="588" t="s">
        <v>1057</v>
      </c>
      <c r="F206"/>
    </row>
    <row r="207" spans="1:6" x14ac:dyDescent="0.25">
      <c r="A207" s="603" t="s">
        <v>1239</v>
      </c>
      <c r="B207" s="588">
        <v>5321091136</v>
      </c>
      <c r="C207" s="604" t="s">
        <v>519</v>
      </c>
      <c r="D207" s="588" t="s">
        <v>1057</v>
      </c>
      <c r="F207"/>
    </row>
    <row r="208" spans="1:6" x14ac:dyDescent="0.25">
      <c r="A208" s="603" t="s">
        <v>1240</v>
      </c>
      <c r="B208" s="588">
        <v>6829014768</v>
      </c>
      <c r="C208" s="604" t="s">
        <v>523</v>
      </c>
      <c r="D208" s="588" t="s">
        <v>1057</v>
      </c>
      <c r="F208"/>
    </row>
    <row r="209" spans="1:6" x14ac:dyDescent="0.25">
      <c r="A209" s="603" t="s">
        <v>1241</v>
      </c>
      <c r="B209" s="588">
        <v>6829024766</v>
      </c>
      <c r="C209" s="604" t="s">
        <v>527</v>
      </c>
      <c r="D209" s="588" t="s">
        <v>1057</v>
      </c>
      <c r="F209"/>
    </row>
    <row r="210" spans="1:6" x14ac:dyDescent="0.25">
      <c r="A210" s="603" t="s">
        <v>1242</v>
      </c>
      <c r="B210" s="588">
        <v>7726534774</v>
      </c>
      <c r="C210" s="604" t="s">
        <v>530</v>
      </c>
      <c r="D210" s="588" t="s">
        <v>1057</v>
      </c>
      <c r="F210"/>
    </row>
    <row r="211" spans="1:6" x14ac:dyDescent="0.25">
      <c r="A211" s="603" t="s">
        <v>1243</v>
      </c>
      <c r="B211" s="588">
        <v>7728804257</v>
      </c>
      <c r="C211" s="604" t="s">
        <v>534</v>
      </c>
      <c r="D211" s="588" t="s">
        <v>1057</v>
      </c>
      <c r="F211"/>
    </row>
    <row r="212" spans="1:6" x14ac:dyDescent="0.25">
      <c r="A212" s="603" t="s">
        <v>1244</v>
      </c>
      <c r="B212" s="588">
        <v>3661057900</v>
      </c>
      <c r="C212" s="604" t="s">
        <v>538</v>
      </c>
      <c r="D212" s="588" t="s">
        <v>1057</v>
      </c>
      <c r="F212"/>
    </row>
    <row r="213" spans="1:6" x14ac:dyDescent="0.25">
      <c r="A213" s="603" t="s">
        <v>1245</v>
      </c>
      <c r="B213" s="588">
        <v>6829086184</v>
      </c>
      <c r="C213" s="604" t="s">
        <v>542</v>
      </c>
      <c r="D213" s="588" t="s">
        <v>1057</v>
      </c>
      <c r="F213"/>
    </row>
    <row r="214" spans="1:6" x14ac:dyDescent="0.25">
      <c r="A214" s="603" t="s">
        <v>1246</v>
      </c>
      <c r="B214" s="588">
        <v>6231006875</v>
      </c>
      <c r="C214" s="604" t="s">
        <v>546</v>
      </c>
      <c r="D214" s="588" t="s">
        <v>1057</v>
      </c>
      <c r="F214"/>
    </row>
    <row r="215" spans="1:6" x14ac:dyDescent="0.25">
      <c r="A215" s="603" t="s">
        <v>1247</v>
      </c>
      <c r="B215" s="587">
        <v>1516609581</v>
      </c>
      <c r="C215" s="604" t="s">
        <v>550</v>
      </c>
      <c r="D215" s="588" t="s">
        <v>1057</v>
      </c>
      <c r="F215"/>
    </row>
    <row r="216" spans="1:6" x14ac:dyDescent="0.25">
      <c r="A216" s="603" t="s">
        <v>1248</v>
      </c>
      <c r="B216" s="588">
        <v>7728767728</v>
      </c>
      <c r="C216" s="604" t="s">
        <v>553</v>
      </c>
      <c r="D216" s="588" t="s">
        <v>1057</v>
      </c>
      <c r="F216"/>
    </row>
    <row r="217" spans="1:6" x14ac:dyDescent="0.25">
      <c r="A217" s="603" t="s">
        <v>1249</v>
      </c>
      <c r="B217" s="588">
        <v>7115501221</v>
      </c>
      <c r="C217" s="604" t="s">
        <v>557</v>
      </c>
      <c r="D217" s="588" t="s">
        <v>1057</v>
      </c>
      <c r="F217"/>
    </row>
    <row r="218" spans="1:6" x14ac:dyDescent="0.25">
      <c r="A218" s="603" t="s">
        <v>1250</v>
      </c>
      <c r="B218" s="588">
        <v>7708753935</v>
      </c>
      <c r="C218" s="604" t="s">
        <v>561</v>
      </c>
      <c r="D218" s="588" t="s">
        <v>1057</v>
      </c>
      <c r="F218"/>
    </row>
    <row r="219" spans="1:6" x14ac:dyDescent="0.25">
      <c r="A219" s="603" t="s">
        <v>1251</v>
      </c>
      <c r="B219" s="588">
        <v>7801563590</v>
      </c>
      <c r="C219" s="604" t="s">
        <v>565</v>
      </c>
      <c r="D219" s="588" t="s">
        <v>1057</v>
      </c>
      <c r="F219"/>
    </row>
    <row r="220" spans="1:6" x14ac:dyDescent="0.25">
      <c r="A220" s="603" t="s">
        <v>1252</v>
      </c>
      <c r="B220" s="588">
        <v>6950145750</v>
      </c>
      <c r="C220" s="604" t="s">
        <v>569</v>
      </c>
      <c r="D220" s="588" t="s">
        <v>1057</v>
      </c>
      <c r="F220"/>
    </row>
    <row r="221" spans="1:6" x14ac:dyDescent="0.25">
      <c r="A221" s="603" t="s">
        <v>1253</v>
      </c>
      <c r="B221" s="588">
        <v>7802777108</v>
      </c>
      <c r="C221" s="604" t="s">
        <v>572</v>
      </c>
      <c r="D221" s="588" t="s">
        <v>1057</v>
      </c>
      <c r="F221"/>
    </row>
    <row r="222" spans="1:6" x14ac:dyDescent="0.25">
      <c r="A222" s="603" t="s">
        <v>1254</v>
      </c>
      <c r="B222" s="588">
        <v>7802776390</v>
      </c>
      <c r="C222" s="604" t="s">
        <v>575</v>
      </c>
      <c r="D222" s="588" t="s">
        <v>1057</v>
      </c>
      <c r="F222"/>
    </row>
    <row r="223" spans="1:6" x14ac:dyDescent="0.25">
      <c r="A223" s="603" t="s">
        <v>1255</v>
      </c>
      <c r="B223" s="588">
        <v>7804478424</v>
      </c>
      <c r="C223" s="604" t="s">
        <v>578</v>
      </c>
      <c r="D223" s="588" t="s">
        <v>1057</v>
      </c>
      <c r="F223"/>
    </row>
    <row r="224" spans="1:6" x14ac:dyDescent="0.25">
      <c r="A224" s="603" t="s">
        <v>1256</v>
      </c>
      <c r="B224" s="588">
        <v>5258100129</v>
      </c>
      <c r="C224" s="604" t="s">
        <v>579</v>
      </c>
      <c r="D224" s="588" t="s">
        <v>1057</v>
      </c>
      <c r="F224"/>
    </row>
    <row r="225" spans="1:6" x14ac:dyDescent="0.25">
      <c r="A225" s="603" t="s">
        <v>1257</v>
      </c>
      <c r="B225" s="588">
        <v>7726687555</v>
      </c>
      <c r="C225" s="604" t="s">
        <v>581</v>
      </c>
      <c r="D225" s="588" t="s">
        <v>1057</v>
      </c>
      <c r="F225"/>
    </row>
    <row r="226" spans="1:6" x14ac:dyDescent="0.25">
      <c r="A226" s="603" t="s">
        <v>1258</v>
      </c>
      <c r="B226" s="588">
        <v>7728795443</v>
      </c>
      <c r="C226" s="604" t="s">
        <v>584</v>
      </c>
      <c r="D226" s="588" t="s">
        <v>1057</v>
      </c>
      <c r="F226"/>
    </row>
    <row r="227" spans="1:6" x14ac:dyDescent="0.25">
      <c r="A227" s="603" t="s">
        <v>1259</v>
      </c>
      <c r="B227" s="588">
        <v>7802030605</v>
      </c>
      <c r="C227" s="604" t="s">
        <v>587</v>
      </c>
      <c r="D227" s="588" t="s">
        <v>1057</v>
      </c>
      <c r="F227"/>
    </row>
    <row r="228" spans="1:6" x14ac:dyDescent="0.25">
      <c r="A228" s="603" t="s">
        <v>1260</v>
      </c>
      <c r="B228" s="588">
        <v>7802369966</v>
      </c>
      <c r="C228" s="604" t="s">
        <v>588</v>
      </c>
      <c r="D228" s="588" t="s">
        <v>1057</v>
      </c>
      <c r="F228"/>
    </row>
    <row r="229" spans="1:6" x14ac:dyDescent="0.25">
      <c r="A229" s="603" t="s">
        <v>1261</v>
      </c>
      <c r="B229" s="588">
        <v>7703824477</v>
      </c>
      <c r="C229" s="604" t="s">
        <v>589</v>
      </c>
      <c r="D229" s="588" t="s">
        <v>1057</v>
      </c>
      <c r="F229"/>
    </row>
    <row r="230" spans="1:6" x14ac:dyDescent="0.25">
      <c r="A230" s="603" t="s">
        <v>1262</v>
      </c>
      <c r="B230" s="588">
        <v>2460243408</v>
      </c>
      <c r="C230" s="604" t="s">
        <v>590</v>
      </c>
      <c r="D230" s="588" t="s">
        <v>1057</v>
      </c>
      <c r="F230"/>
    </row>
    <row r="231" spans="1:6" x14ac:dyDescent="0.25">
      <c r="A231" s="603" t="s">
        <v>1263</v>
      </c>
      <c r="B231" s="588">
        <v>7730537993</v>
      </c>
      <c r="C231" s="604" t="s">
        <v>591</v>
      </c>
      <c r="D231" s="588" t="s">
        <v>1057</v>
      </c>
      <c r="F231"/>
    </row>
    <row r="232" spans="1:6" x14ac:dyDescent="0.25">
      <c r="A232" s="603" t="s">
        <v>1264</v>
      </c>
      <c r="B232" s="588">
        <v>7736005096</v>
      </c>
      <c r="C232" s="604" t="s">
        <v>592</v>
      </c>
      <c r="D232" s="588" t="s">
        <v>1057</v>
      </c>
      <c r="F232"/>
    </row>
    <row r="233" spans="1:6" x14ac:dyDescent="0.25">
      <c r="A233" s="603" t="s">
        <v>1265</v>
      </c>
      <c r="B233" s="588">
        <v>5044028517</v>
      </c>
      <c r="C233" s="604" t="s">
        <v>593</v>
      </c>
      <c r="D233" s="588" t="s">
        <v>1057</v>
      </c>
      <c r="F233"/>
    </row>
    <row r="234" spans="1:6" x14ac:dyDescent="0.25">
      <c r="A234" s="603" t="s">
        <v>670</v>
      </c>
      <c r="B234" s="588">
        <v>7731564527</v>
      </c>
      <c r="C234" s="604" t="s">
        <v>787</v>
      </c>
      <c r="D234" s="588" t="s">
        <v>1057</v>
      </c>
      <c r="F234"/>
    </row>
    <row r="235" spans="1:6" x14ac:dyDescent="0.25">
      <c r="A235" s="601" t="s">
        <v>615</v>
      </c>
      <c r="B235" s="591">
        <v>7709851082</v>
      </c>
      <c r="C235" s="602" t="s">
        <v>329</v>
      </c>
      <c r="D235" s="591" t="s">
        <v>615</v>
      </c>
      <c r="F235"/>
    </row>
    <row r="236" spans="1:6" x14ac:dyDescent="0.25">
      <c r="A236" s="603" t="s">
        <v>1266</v>
      </c>
      <c r="B236" s="587">
        <v>5048082120</v>
      </c>
      <c r="C236" s="604" t="s">
        <v>342</v>
      </c>
      <c r="D236" s="588" t="s">
        <v>615</v>
      </c>
      <c r="F236"/>
    </row>
    <row r="237" spans="1:6" x14ac:dyDescent="0.25">
      <c r="A237" s="603" t="s">
        <v>1267</v>
      </c>
      <c r="B237" s="587">
        <v>3328431645</v>
      </c>
      <c r="C237" s="604" t="s">
        <v>355</v>
      </c>
      <c r="D237" s="588" t="s">
        <v>615</v>
      </c>
      <c r="F237"/>
    </row>
    <row r="238" spans="1:6" x14ac:dyDescent="0.25">
      <c r="A238" s="603" t="s">
        <v>1268</v>
      </c>
      <c r="B238" s="587">
        <v>7731569966</v>
      </c>
      <c r="C238" s="604" t="s">
        <v>788</v>
      </c>
      <c r="D238" s="588" t="s">
        <v>615</v>
      </c>
      <c r="F238"/>
    </row>
    <row r="239" spans="1:6" x14ac:dyDescent="0.25">
      <c r="A239" s="603" t="s">
        <v>1269</v>
      </c>
      <c r="B239" s="587">
        <v>6317075334</v>
      </c>
      <c r="C239" s="604">
        <v>9206</v>
      </c>
      <c r="D239" s="588" t="s">
        <v>615</v>
      </c>
      <c r="F239"/>
    </row>
    <row r="240" spans="1:6" x14ac:dyDescent="0.25">
      <c r="A240" s="603" t="s">
        <v>1270</v>
      </c>
      <c r="B240" s="587">
        <v>7302004004</v>
      </c>
      <c r="C240" s="604">
        <v>9207</v>
      </c>
      <c r="D240" s="588" t="s">
        <v>615</v>
      </c>
      <c r="F240"/>
    </row>
    <row r="241" spans="1:6" x14ac:dyDescent="0.25">
      <c r="A241" s="603" t="s">
        <v>1271</v>
      </c>
      <c r="B241" s="587">
        <v>6219000027</v>
      </c>
      <c r="C241" s="604">
        <v>9208</v>
      </c>
      <c r="D241" s="588" t="s">
        <v>615</v>
      </c>
      <c r="F241"/>
    </row>
    <row r="242" spans="1:6" x14ac:dyDescent="0.25">
      <c r="A242" s="603" t="s">
        <v>1272</v>
      </c>
      <c r="B242" s="587">
        <v>5805008450</v>
      </c>
      <c r="C242" s="604">
        <v>9209</v>
      </c>
      <c r="D242" s="588" t="s">
        <v>615</v>
      </c>
      <c r="F242"/>
    </row>
    <row r="243" spans="1:6" x14ac:dyDescent="0.25">
      <c r="A243" s="603" t="s">
        <v>1273</v>
      </c>
      <c r="B243" s="587">
        <v>5805008820</v>
      </c>
      <c r="C243" s="604">
        <v>9210</v>
      </c>
      <c r="D243" s="588" t="s">
        <v>615</v>
      </c>
      <c r="F243"/>
    </row>
    <row r="244" spans="1:6" x14ac:dyDescent="0.25">
      <c r="A244" s="601" t="s">
        <v>1059</v>
      </c>
      <c r="B244" s="591">
        <v>7743813961</v>
      </c>
      <c r="C244" s="602" t="s">
        <v>330</v>
      </c>
      <c r="D244" s="591" t="s">
        <v>1059</v>
      </c>
      <c r="F244"/>
    </row>
    <row r="245" spans="1:6" x14ac:dyDescent="0.25">
      <c r="A245" s="603" t="s">
        <v>1274</v>
      </c>
      <c r="B245" s="588">
        <v>7743873015</v>
      </c>
      <c r="C245" s="604" t="s">
        <v>343</v>
      </c>
      <c r="D245" s="588" t="s">
        <v>1059</v>
      </c>
      <c r="F245"/>
    </row>
    <row r="246" spans="1:6" x14ac:dyDescent="0.25">
      <c r="A246" s="603" t="s">
        <v>1275</v>
      </c>
      <c r="B246" s="588">
        <v>2462034551</v>
      </c>
      <c r="C246" s="604" t="s">
        <v>356</v>
      </c>
      <c r="D246" s="588" t="s">
        <v>1059</v>
      </c>
      <c r="F246"/>
    </row>
    <row r="247" spans="1:6" x14ac:dyDescent="0.25">
      <c r="A247" s="603" t="s">
        <v>1276</v>
      </c>
      <c r="B247" s="588">
        <v>7717709121</v>
      </c>
      <c r="C247" s="604" t="s">
        <v>376</v>
      </c>
      <c r="D247" s="588" t="s">
        <v>1059</v>
      </c>
      <c r="F247"/>
    </row>
    <row r="248" spans="1:6" x14ac:dyDescent="0.25">
      <c r="A248" s="603" t="s">
        <v>1277</v>
      </c>
      <c r="B248" s="588">
        <v>7743838356</v>
      </c>
      <c r="C248" s="604" t="s">
        <v>386</v>
      </c>
      <c r="D248" s="588" t="s">
        <v>1059</v>
      </c>
      <c r="F248"/>
    </row>
    <row r="249" spans="1:6" x14ac:dyDescent="0.25">
      <c r="A249" s="603" t="s">
        <v>1278</v>
      </c>
      <c r="B249" s="588">
        <v>5410039642</v>
      </c>
      <c r="C249" s="604" t="s">
        <v>395</v>
      </c>
      <c r="D249" s="588" t="s">
        <v>1059</v>
      </c>
      <c r="F249"/>
    </row>
    <row r="250" spans="1:6" x14ac:dyDescent="0.25">
      <c r="A250" s="603" t="s">
        <v>1279</v>
      </c>
      <c r="B250" s="588">
        <v>7724815882</v>
      </c>
      <c r="C250" s="604" t="s">
        <v>405</v>
      </c>
      <c r="D250" s="588" t="s">
        <v>1059</v>
      </c>
      <c r="F250"/>
    </row>
    <row r="251" spans="1:6" x14ac:dyDescent="0.25">
      <c r="A251" s="603" t="s">
        <v>1280</v>
      </c>
      <c r="B251" s="588">
        <v>7705536812</v>
      </c>
      <c r="C251" s="604" t="s">
        <v>414</v>
      </c>
      <c r="D251" s="588" t="s">
        <v>1059</v>
      </c>
      <c r="F251"/>
    </row>
    <row r="252" spans="1:6" x14ac:dyDescent="0.25">
      <c r="A252" s="603" t="s">
        <v>1281</v>
      </c>
      <c r="B252" s="588">
        <v>7724859431</v>
      </c>
      <c r="C252" s="604" t="s">
        <v>422</v>
      </c>
      <c r="D252" s="588" t="s">
        <v>1059</v>
      </c>
      <c r="F252"/>
    </row>
    <row r="253" spans="1:6" x14ac:dyDescent="0.25">
      <c r="A253" s="603" t="s">
        <v>1282</v>
      </c>
      <c r="B253" s="588">
        <v>7724817897</v>
      </c>
      <c r="C253" s="604" t="s">
        <v>430</v>
      </c>
      <c r="D253" s="588" t="s">
        <v>1059</v>
      </c>
      <c r="F253"/>
    </row>
    <row r="254" spans="1:6" x14ac:dyDescent="0.25">
      <c r="A254" s="603" t="s">
        <v>1283</v>
      </c>
      <c r="B254" s="588">
        <v>2204056679</v>
      </c>
      <c r="C254" s="604" t="s">
        <v>439</v>
      </c>
      <c r="D254" s="588" t="s">
        <v>1059</v>
      </c>
      <c r="F254"/>
    </row>
    <row r="255" spans="1:6" x14ac:dyDescent="0.25">
      <c r="A255" s="603" t="s">
        <v>1284</v>
      </c>
      <c r="B255" s="588">
        <v>7743945541</v>
      </c>
      <c r="C255" s="604" t="s">
        <v>446</v>
      </c>
      <c r="D255" s="588" t="s">
        <v>1059</v>
      </c>
      <c r="F255"/>
    </row>
    <row r="256" spans="1:6" x14ac:dyDescent="0.25">
      <c r="A256" s="603" t="s">
        <v>1285</v>
      </c>
      <c r="B256" s="588">
        <v>7724813589</v>
      </c>
      <c r="C256" s="604" t="s">
        <v>453</v>
      </c>
      <c r="D256" s="588" t="s">
        <v>1059</v>
      </c>
      <c r="F256"/>
    </row>
    <row r="257" spans="1:6" x14ac:dyDescent="0.25">
      <c r="A257" s="603" t="s">
        <v>1286</v>
      </c>
      <c r="B257" s="588">
        <v>7724938595</v>
      </c>
      <c r="C257" s="604" t="s">
        <v>462</v>
      </c>
      <c r="D257" s="588" t="s">
        <v>1059</v>
      </c>
      <c r="F257"/>
    </row>
    <row r="258" spans="1:6" x14ac:dyDescent="0.25">
      <c r="A258" s="603" t="s">
        <v>1287</v>
      </c>
      <c r="B258" s="588">
        <v>2130095159</v>
      </c>
      <c r="C258" s="604" t="s">
        <v>469</v>
      </c>
      <c r="D258" s="588" t="s">
        <v>1059</v>
      </c>
      <c r="F258"/>
    </row>
    <row r="259" spans="1:6" x14ac:dyDescent="0.25">
      <c r="A259" s="603" t="s">
        <v>1288</v>
      </c>
      <c r="B259" s="588">
        <v>4205227909</v>
      </c>
      <c r="C259" s="604" t="s">
        <v>473</v>
      </c>
      <c r="D259" s="588" t="s">
        <v>1059</v>
      </c>
      <c r="F259"/>
    </row>
    <row r="260" spans="1:6" x14ac:dyDescent="0.25">
      <c r="A260" s="603" t="s">
        <v>1289</v>
      </c>
      <c r="B260" s="588">
        <v>7804474927</v>
      </c>
      <c r="C260" s="604" t="s">
        <v>478</v>
      </c>
      <c r="D260" s="588" t="s">
        <v>1059</v>
      </c>
      <c r="F260"/>
    </row>
    <row r="261" spans="1:6" x14ac:dyDescent="0.25">
      <c r="A261" s="603" t="s">
        <v>1290</v>
      </c>
      <c r="B261" s="588">
        <v>5001086137</v>
      </c>
      <c r="C261" s="604" t="s">
        <v>481</v>
      </c>
      <c r="D261" s="588" t="s">
        <v>1059</v>
      </c>
      <c r="F261"/>
    </row>
    <row r="262" spans="1:6" x14ac:dyDescent="0.25">
      <c r="A262" s="603" t="s">
        <v>1291</v>
      </c>
      <c r="B262" s="588">
        <v>5249116549</v>
      </c>
      <c r="C262" s="604" t="s">
        <v>485</v>
      </c>
      <c r="D262" s="588" t="s">
        <v>1059</v>
      </c>
      <c r="F262"/>
    </row>
    <row r="263" spans="1:6" x14ac:dyDescent="0.25">
      <c r="A263" s="603" t="s">
        <v>1292</v>
      </c>
      <c r="B263" s="588">
        <v>5038087144</v>
      </c>
      <c r="C263" s="604" t="s">
        <v>489</v>
      </c>
      <c r="D263" s="588" t="s">
        <v>1059</v>
      </c>
      <c r="F263"/>
    </row>
    <row r="264" spans="1:6" x14ac:dyDescent="0.25">
      <c r="A264" s="603" t="s">
        <v>1293</v>
      </c>
      <c r="B264" s="588">
        <v>7411009901</v>
      </c>
      <c r="C264" s="604" t="s">
        <v>493</v>
      </c>
      <c r="D264" s="588" t="s">
        <v>1059</v>
      </c>
      <c r="F264"/>
    </row>
    <row r="265" spans="1:6" x14ac:dyDescent="0.25">
      <c r="A265" s="603" t="s">
        <v>1294</v>
      </c>
      <c r="B265" s="588">
        <v>6623083253</v>
      </c>
      <c r="C265" s="604" t="s">
        <v>497</v>
      </c>
      <c r="D265" s="588" t="s">
        <v>1059</v>
      </c>
      <c r="F265"/>
    </row>
    <row r="266" spans="1:6" x14ac:dyDescent="0.25">
      <c r="A266" s="603" t="s">
        <v>1295</v>
      </c>
      <c r="B266" s="588">
        <v>7726700943</v>
      </c>
      <c r="C266" s="604" t="s">
        <v>500</v>
      </c>
      <c r="D266" s="588" t="s">
        <v>1059</v>
      </c>
      <c r="F266"/>
    </row>
    <row r="267" spans="1:6" x14ac:dyDescent="0.25">
      <c r="A267" s="603" t="s">
        <v>1296</v>
      </c>
      <c r="B267" s="588">
        <v>7806469104</v>
      </c>
      <c r="C267" s="604" t="s">
        <v>503</v>
      </c>
      <c r="D267" s="588" t="s">
        <v>1059</v>
      </c>
      <c r="F267"/>
    </row>
    <row r="268" spans="1:6" x14ac:dyDescent="0.25">
      <c r="A268" s="603" t="s">
        <v>1297</v>
      </c>
      <c r="B268" s="588">
        <v>5908051070</v>
      </c>
      <c r="C268" s="604" t="s">
        <v>507</v>
      </c>
      <c r="D268" s="588" t="s">
        <v>1059</v>
      </c>
      <c r="F268"/>
    </row>
    <row r="269" spans="1:6" x14ac:dyDescent="0.25">
      <c r="A269" s="603" t="s">
        <v>1298</v>
      </c>
      <c r="B269" s="588">
        <v>5406695419</v>
      </c>
      <c r="C269" s="604" t="s">
        <v>510</v>
      </c>
      <c r="D269" s="588" t="s">
        <v>1059</v>
      </c>
      <c r="F269"/>
    </row>
    <row r="270" spans="1:6" x14ac:dyDescent="0.25">
      <c r="A270" s="603" t="s">
        <v>1299</v>
      </c>
      <c r="B270" s="588">
        <v>5042120394</v>
      </c>
      <c r="C270" s="604" t="s">
        <v>516</v>
      </c>
      <c r="D270" s="588" t="s">
        <v>1059</v>
      </c>
      <c r="F270"/>
    </row>
    <row r="271" spans="1:6" x14ac:dyDescent="0.25">
      <c r="A271" s="603" t="s">
        <v>1300</v>
      </c>
      <c r="B271" s="588">
        <v>3334017070</v>
      </c>
      <c r="C271" s="604" t="s">
        <v>520</v>
      </c>
      <c r="D271" s="588" t="s">
        <v>1059</v>
      </c>
      <c r="F271"/>
    </row>
    <row r="272" spans="1:6" x14ac:dyDescent="0.25">
      <c r="A272" s="603" t="s">
        <v>1301</v>
      </c>
      <c r="B272" s="588">
        <v>5012071164</v>
      </c>
      <c r="C272" s="604" t="s">
        <v>524</v>
      </c>
      <c r="D272" s="588" t="s">
        <v>1059</v>
      </c>
      <c r="F272"/>
    </row>
    <row r="273" spans="1:6" x14ac:dyDescent="0.25">
      <c r="A273" s="603" t="s">
        <v>1302</v>
      </c>
      <c r="B273" s="588">
        <v>1648032420</v>
      </c>
      <c r="C273" s="604" t="s">
        <v>531</v>
      </c>
      <c r="D273" s="588" t="s">
        <v>1059</v>
      </c>
      <c r="F273"/>
    </row>
    <row r="274" spans="1:6" x14ac:dyDescent="0.25">
      <c r="A274" s="603" t="s">
        <v>1303</v>
      </c>
      <c r="B274" s="588">
        <v>7743867685</v>
      </c>
      <c r="C274" s="604" t="s">
        <v>535</v>
      </c>
      <c r="D274" s="588" t="s">
        <v>1059</v>
      </c>
      <c r="F274"/>
    </row>
    <row r="275" spans="1:6" x14ac:dyDescent="0.25">
      <c r="A275" s="603" t="s">
        <v>1304</v>
      </c>
      <c r="B275" s="588">
        <v>6681000827</v>
      </c>
      <c r="C275" s="604" t="s">
        <v>539</v>
      </c>
      <c r="D275" s="588" t="s">
        <v>1059</v>
      </c>
      <c r="F275"/>
    </row>
    <row r="276" spans="1:6" x14ac:dyDescent="0.25">
      <c r="A276" s="603" t="s">
        <v>1305</v>
      </c>
      <c r="B276" s="588">
        <v>6680000479</v>
      </c>
      <c r="C276" s="604" t="s">
        <v>543</v>
      </c>
      <c r="D276" s="588" t="s">
        <v>1059</v>
      </c>
      <c r="F276"/>
    </row>
    <row r="277" spans="1:6" x14ac:dyDescent="0.25">
      <c r="A277" s="603" t="s">
        <v>1306</v>
      </c>
      <c r="B277" s="588">
        <v>7801566094</v>
      </c>
      <c r="C277" s="604" t="s">
        <v>547</v>
      </c>
      <c r="D277" s="588" t="s">
        <v>1059</v>
      </c>
      <c r="F277"/>
    </row>
    <row r="278" spans="1:6" x14ac:dyDescent="0.25">
      <c r="A278" s="603" t="s">
        <v>1307</v>
      </c>
      <c r="B278" s="588">
        <v>7105517367</v>
      </c>
      <c r="C278" s="604" t="s">
        <v>554</v>
      </c>
      <c r="D278" s="588" t="s">
        <v>1059</v>
      </c>
      <c r="F278"/>
    </row>
    <row r="279" spans="1:6" x14ac:dyDescent="0.25">
      <c r="A279" s="603" t="s">
        <v>1308</v>
      </c>
      <c r="B279" s="588">
        <v>5827901321</v>
      </c>
      <c r="C279" s="604" t="s">
        <v>558</v>
      </c>
      <c r="D279" s="588" t="s">
        <v>1059</v>
      </c>
      <c r="F279"/>
    </row>
    <row r="280" spans="1:6" x14ac:dyDescent="0.25">
      <c r="A280" s="603" t="s">
        <v>1309</v>
      </c>
      <c r="B280" s="588">
        <v>7449105883</v>
      </c>
      <c r="C280" s="604" t="s">
        <v>562</v>
      </c>
      <c r="D280" s="588" t="s">
        <v>1059</v>
      </c>
      <c r="F280"/>
    </row>
    <row r="281" spans="1:6" x14ac:dyDescent="0.25">
      <c r="A281" s="603" t="s">
        <v>1310</v>
      </c>
      <c r="B281" s="588">
        <v>7719830028</v>
      </c>
      <c r="C281" s="604" t="s">
        <v>566</v>
      </c>
      <c r="D281" s="588" t="s">
        <v>1059</v>
      </c>
      <c r="F281"/>
    </row>
    <row r="282" spans="1:6" x14ac:dyDescent="0.25">
      <c r="A282" s="603" t="s">
        <v>1311</v>
      </c>
      <c r="B282" s="588">
        <v>5919015877</v>
      </c>
      <c r="C282" s="604" t="s">
        <v>570</v>
      </c>
      <c r="D282" s="588" t="s">
        <v>1059</v>
      </c>
      <c r="F282"/>
    </row>
    <row r="283" spans="1:6" x14ac:dyDescent="0.25">
      <c r="A283" s="603" t="s">
        <v>1312</v>
      </c>
      <c r="B283" s="588">
        <v>4345029946</v>
      </c>
      <c r="C283" s="604" t="s">
        <v>573</v>
      </c>
      <c r="D283" s="588" t="s">
        <v>1059</v>
      </c>
      <c r="F283"/>
    </row>
    <row r="284" spans="1:6" x14ac:dyDescent="0.25">
      <c r="A284" s="603" t="s">
        <v>1313</v>
      </c>
      <c r="B284" s="588">
        <v>4345029953</v>
      </c>
      <c r="C284" s="604" t="s">
        <v>576</v>
      </c>
      <c r="D284" s="588" t="s">
        <v>1059</v>
      </c>
      <c r="F284"/>
    </row>
    <row r="285" spans="1:6" x14ac:dyDescent="0.25">
      <c r="A285" s="603" t="s">
        <v>1314</v>
      </c>
      <c r="B285" s="588">
        <v>4703142849</v>
      </c>
      <c r="C285" s="604" t="s">
        <v>580</v>
      </c>
      <c r="D285" s="588" t="s">
        <v>1059</v>
      </c>
      <c r="F285"/>
    </row>
    <row r="286" spans="1:6" x14ac:dyDescent="0.25">
      <c r="A286" s="603" t="s">
        <v>1315</v>
      </c>
      <c r="B286" s="588">
        <v>7111504768</v>
      </c>
      <c r="C286" s="604" t="s">
        <v>582</v>
      </c>
      <c r="D286" s="588" t="s">
        <v>1059</v>
      </c>
      <c r="F286"/>
    </row>
    <row r="287" spans="1:6" x14ac:dyDescent="0.25">
      <c r="A287" s="603" t="s">
        <v>1316</v>
      </c>
      <c r="B287" s="588">
        <v>5042126251</v>
      </c>
      <c r="C287" s="604" t="s">
        <v>585</v>
      </c>
      <c r="D287" s="588" t="s">
        <v>1059</v>
      </c>
      <c r="F287"/>
    </row>
    <row r="288" spans="1:6" x14ac:dyDescent="0.25">
      <c r="A288" s="603" t="s">
        <v>1317</v>
      </c>
      <c r="B288" s="588">
        <v>6621001262</v>
      </c>
      <c r="C288" s="604" t="s">
        <v>690</v>
      </c>
      <c r="D288" s="588" t="s">
        <v>1059</v>
      </c>
      <c r="F288"/>
    </row>
    <row r="289" spans="1:6" x14ac:dyDescent="0.25">
      <c r="A289" s="603" t="s">
        <v>1318</v>
      </c>
      <c r="B289" s="588">
        <v>6731017748</v>
      </c>
      <c r="C289" s="604" t="s">
        <v>720</v>
      </c>
      <c r="D289" s="588" t="s">
        <v>1059</v>
      </c>
      <c r="F289"/>
    </row>
    <row r="290" spans="1:6" x14ac:dyDescent="0.25">
      <c r="A290" s="603" t="s">
        <v>1319</v>
      </c>
      <c r="B290" s="588">
        <v>4825005871</v>
      </c>
      <c r="C290" s="604" t="s">
        <v>721</v>
      </c>
      <c r="D290" s="588" t="s">
        <v>1059</v>
      </c>
      <c r="F290"/>
    </row>
    <row r="291" spans="1:6" x14ac:dyDescent="0.25">
      <c r="A291" s="601" t="s">
        <v>616</v>
      </c>
      <c r="B291" s="591">
        <v>7703801737</v>
      </c>
      <c r="C291" s="602" t="s">
        <v>331</v>
      </c>
      <c r="D291" s="591" t="s">
        <v>616</v>
      </c>
      <c r="F291"/>
    </row>
    <row r="292" spans="1:6" x14ac:dyDescent="0.25">
      <c r="A292" s="603" t="s">
        <v>1320</v>
      </c>
      <c r="B292" s="587">
        <v>7704730729</v>
      </c>
      <c r="C292" s="604" t="s">
        <v>344</v>
      </c>
      <c r="D292" s="588" t="s">
        <v>616</v>
      </c>
      <c r="F292"/>
    </row>
    <row r="293" spans="1:6" x14ac:dyDescent="0.25">
      <c r="A293" s="603" t="s">
        <v>1321</v>
      </c>
      <c r="B293" s="587">
        <v>7709648355</v>
      </c>
      <c r="C293" s="604" t="s">
        <v>367</v>
      </c>
      <c r="D293" s="588" t="s">
        <v>616</v>
      </c>
      <c r="F293"/>
    </row>
    <row r="294" spans="1:6" x14ac:dyDescent="0.25">
      <c r="A294" s="603" t="s">
        <v>1322</v>
      </c>
      <c r="B294" s="587">
        <v>7801133686</v>
      </c>
      <c r="C294" s="604" t="s">
        <v>387</v>
      </c>
      <c r="D294" s="588" t="s">
        <v>616</v>
      </c>
      <c r="F294"/>
    </row>
    <row r="295" spans="1:6" x14ac:dyDescent="0.25">
      <c r="A295" s="603" t="s">
        <v>1323</v>
      </c>
      <c r="B295" s="587">
        <v>5075017709</v>
      </c>
      <c r="C295" s="604" t="s">
        <v>396</v>
      </c>
      <c r="D295" s="588" t="s">
        <v>616</v>
      </c>
      <c r="F295"/>
    </row>
    <row r="296" spans="1:6" x14ac:dyDescent="0.25">
      <c r="A296" s="603" t="s">
        <v>1324</v>
      </c>
      <c r="B296" s="587">
        <v>7722292838</v>
      </c>
      <c r="C296" s="604" t="s">
        <v>680</v>
      </c>
      <c r="D296" s="588" t="s">
        <v>616</v>
      </c>
      <c r="F296"/>
    </row>
    <row r="297" spans="1:6" x14ac:dyDescent="0.25">
      <c r="A297" s="603" t="s">
        <v>1325</v>
      </c>
      <c r="B297" s="587">
        <v>7709489056</v>
      </c>
      <c r="C297" s="604" t="s">
        <v>815</v>
      </c>
      <c r="D297" s="588" t="s">
        <v>616</v>
      </c>
      <c r="F297"/>
    </row>
    <row r="298" spans="1:6" x14ac:dyDescent="0.25">
      <c r="A298" s="601" t="s">
        <v>618</v>
      </c>
      <c r="B298" s="591">
        <v>7717671799</v>
      </c>
      <c r="C298" s="602" t="s">
        <v>332</v>
      </c>
      <c r="D298" s="591" t="s">
        <v>618</v>
      </c>
      <c r="F298"/>
    </row>
    <row r="299" spans="1:6" x14ac:dyDescent="0.25">
      <c r="A299" s="603" t="s">
        <v>1326</v>
      </c>
      <c r="B299" s="587">
        <v>7801591397</v>
      </c>
      <c r="C299" s="604" t="s">
        <v>345</v>
      </c>
      <c r="D299" s="588" t="s">
        <v>618</v>
      </c>
      <c r="F299"/>
    </row>
    <row r="300" spans="1:6" x14ac:dyDescent="0.25">
      <c r="A300" s="603" t="s">
        <v>1327</v>
      </c>
      <c r="B300" s="587">
        <v>5042010793</v>
      </c>
      <c r="C300" s="604" t="s">
        <v>358</v>
      </c>
      <c r="D300" s="588" t="s">
        <v>618</v>
      </c>
      <c r="F300"/>
    </row>
    <row r="301" spans="1:6" x14ac:dyDescent="0.25">
      <c r="A301" s="603" t="s">
        <v>1328</v>
      </c>
      <c r="B301" s="587">
        <v>7733826256</v>
      </c>
      <c r="C301" s="604" t="s">
        <v>368</v>
      </c>
      <c r="D301" s="588" t="s">
        <v>618</v>
      </c>
      <c r="F301"/>
    </row>
    <row r="302" spans="1:6" x14ac:dyDescent="0.25">
      <c r="A302" s="603" t="s">
        <v>1329</v>
      </c>
      <c r="B302" s="587">
        <v>7728816598</v>
      </c>
      <c r="C302" s="604" t="s">
        <v>378</v>
      </c>
      <c r="D302" s="588" t="s">
        <v>618</v>
      </c>
      <c r="F302"/>
    </row>
    <row r="303" spans="1:6" x14ac:dyDescent="0.25">
      <c r="A303" s="603" t="s">
        <v>1330</v>
      </c>
      <c r="B303" s="587">
        <v>7811483834</v>
      </c>
      <c r="C303" s="604" t="s">
        <v>388</v>
      </c>
      <c r="D303" s="588" t="s">
        <v>618</v>
      </c>
      <c r="F303"/>
    </row>
    <row r="304" spans="1:6" x14ac:dyDescent="0.25">
      <c r="A304" s="603" t="s">
        <v>1331</v>
      </c>
      <c r="B304" s="587">
        <v>1660147185</v>
      </c>
      <c r="C304" s="604" t="s">
        <v>397</v>
      </c>
      <c r="D304" s="588" t="s">
        <v>618</v>
      </c>
      <c r="F304"/>
    </row>
    <row r="305" spans="1:6" x14ac:dyDescent="0.25">
      <c r="A305" s="603" t="s">
        <v>1332</v>
      </c>
      <c r="B305" s="587">
        <v>7715909132</v>
      </c>
      <c r="C305" s="604" t="s">
        <v>406</v>
      </c>
      <c r="D305" s="588" t="s">
        <v>618</v>
      </c>
      <c r="F305"/>
    </row>
    <row r="306" spans="1:6" x14ac:dyDescent="0.25">
      <c r="A306" s="603" t="s">
        <v>1333</v>
      </c>
      <c r="B306" s="587">
        <v>6672315362</v>
      </c>
      <c r="C306" s="604" t="s">
        <v>415</v>
      </c>
      <c r="D306" s="588" t="s">
        <v>618</v>
      </c>
      <c r="F306"/>
    </row>
    <row r="307" spans="1:6" x14ac:dyDescent="0.25">
      <c r="A307" s="603" t="s">
        <v>1334</v>
      </c>
      <c r="B307" s="587">
        <v>7733759899</v>
      </c>
      <c r="C307" s="604" t="s">
        <v>423</v>
      </c>
      <c r="D307" s="588" t="s">
        <v>618</v>
      </c>
      <c r="F307"/>
    </row>
    <row r="308" spans="1:6" x14ac:dyDescent="0.25">
      <c r="A308" s="603" t="s">
        <v>1335</v>
      </c>
      <c r="B308" s="587">
        <v>5402534361</v>
      </c>
      <c r="C308" s="604" t="s">
        <v>431</v>
      </c>
      <c r="D308" s="588" t="s">
        <v>618</v>
      </c>
      <c r="F308"/>
    </row>
    <row r="309" spans="1:6" x14ac:dyDescent="0.25">
      <c r="A309" s="603" t="s">
        <v>1336</v>
      </c>
      <c r="B309" s="587">
        <v>1660141553</v>
      </c>
      <c r="C309" s="604" t="s">
        <v>447</v>
      </c>
      <c r="D309" s="588" t="s">
        <v>618</v>
      </c>
      <c r="F309"/>
    </row>
    <row r="310" spans="1:6" x14ac:dyDescent="0.25">
      <c r="A310" s="603" t="s">
        <v>1337</v>
      </c>
      <c r="B310" s="587">
        <v>7720706473</v>
      </c>
      <c r="C310" s="604" t="s">
        <v>454</v>
      </c>
      <c r="D310" s="588" t="s">
        <v>618</v>
      </c>
      <c r="F310"/>
    </row>
    <row r="311" spans="1:6" x14ac:dyDescent="0.25">
      <c r="A311" s="603" t="s">
        <v>1338</v>
      </c>
      <c r="B311" s="587">
        <v>7726014172</v>
      </c>
      <c r="C311" s="604" t="s">
        <v>463</v>
      </c>
      <c r="D311" s="588" t="s">
        <v>618</v>
      </c>
      <c r="F311"/>
    </row>
    <row r="312" spans="1:6" x14ac:dyDescent="0.25">
      <c r="A312" s="603" t="s">
        <v>1339</v>
      </c>
      <c r="B312" s="587">
        <v>3525023010</v>
      </c>
      <c r="C312" s="604" t="s">
        <v>681</v>
      </c>
      <c r="D312" s="588" t="s">
        <v>618</v>
      </c>
      <c r="F312"/>
    </row>
    <row r="313" spans="1:6" x14ac:dyDescent="0.25">
      <c r="A313" s="596" t="s">
        <v>1340</v>
      </c>
      <c r="B313" s="587">
        <v>6685045931</v>
      </c>
      <c r="C313" s="604" t="s">
        <v>682</v>
      </c>
      <c r="D313" s="588" t="s">
        <v>618</v>
      </c>
      <c r="F313"/>
    </row>
    <row r="314" spans="1:6" x14ac:dyDescent="0.25">
      <c r="A314" s="596" t="s">
        <v>1341</v>
      </c>
      <c r="B314" s="587">
        <v>6685039310</v>
      </c>
      <c r="C314" s="604" t="s">
        <v>683</v>
      </c>
      <c r="D314" s="588" t="s">
        <v>618</v>
      </c>
      <c r="F314"/>
    </row>
    <row r="315" spans="1:6" x14ac:dyDescent="0.25">
      <c r="A315" s="596" t="s">
        <v>1342</v>
      </c>
      <c r="B315" s="587">
        <v>6685056764</v>
      </c>
      <c r="C315" s="604" t="s">
        <v>684</v>
      </c>
      <c r="D315" s="588" t="s">
        <v>618</v>
      </c>
      <c r="F315"/>
    </row>
    <row r="316" spans="1:6" x14ac:dyDescent="0.25">
      <c r="A316" s="596" t="s">
        <v>1343</v>
      </c>
      <c r="B316" s="587">
        <v>6685045836</v>
      </c>
      <c r="C316" s="604" t="s">
        <v>685</v>
      </c>
      <c r="D316" s="588" t="s">
        <v>618</v>
      </c>
      <c r="F316"/>
    </row>
    <row r="317" spans="1:6" x14ac:dyDescent="0.25">
      <c r="A317" s="596" t="s">
        <v>1344</v>
      </c>
      <c r="B317" s="587">
        <v>6163132766</v>
      </c>
      <c r="C317" s="604" t="s">
        <v>687</v>
      </c>
      <c r="D317" s="588" t="s">
        <v>618</v>
      </c>
      <c r="F317"/>
    </row>
    <row r="318" spans="1:6" x14ac:dyDescent="0.25">
      <c r="A318" s="603" t="s">
        <v>1345</v>
      </c>
      <c r="B318" s="587">
        <v>5042080504</v>
      </c>
      <c r="C318" s="604" t="s">
        <v>688</v>
      </c>
      <c r="D318" s="588" t="s">
        <v>618</v>
      </c>
      <c r="F318"/>
    </row>
    <row r="319" spans="1:6" x14ac:dyDescent="0.25">
      <c r="A319" s="596" t="s">
        <v>1346</v>
      </c>
      <c r="B319" s="587">
        <v>7717768215</v>
      </c>
      <c r="C319" s="604" t="s">
        <v>689</v>
      </c>
      <c r="D319" s="588" t="s">
        <v>618</v>
      </c>
      <c r="F319"/>
    </row>
    <row r="320" spans="1:6" x14ac:dyDescent="0.25">
      <c r="A320" s="596" t="s">
        <v>1347</v>
      </c>
      <c r="B320" s="587">
        <v>1660195319</v>
      </c>
      <c r="C320" s="604" t="s">
        <v>789</v>
      </c>
      <c r="D320" s="588" t="s">
        <v>618</v>
      </c>
      <c r="F320"/>
    </row>
    <row r="321" spans="1:6" x14ac:dyDescent="0.25">
      <c r="A321" s="596" t="s">
        <v>1348</v>
      </c>
      <c r="B321" s="606">
        <v>7801618930</v>
      </c>
      <c r="C321" s="604" t="s">
        <v>790</v>
      </c>
      <c r="D321" s="588" t="s">
        <v>618</v>
      </c>
      <c r="F321"/>
    </row>
    <row r="322" spans="1:6" x14ac:dyDescent="0.25">
      <c r="A322" s="596" t="s">
        <v>1349</v>
      </c>
      <c r="B322" s="587">
        <v>2460250476</v>
      </c>
      <c r="C322" s="604" t="s">
        <v>791</v>
      </c>
      <c r="D322" s="588" t="s">
        <v>618</v>
      </c>
      <c r="F322"/>
    </row>
    <row r="323" spans="1:6" x14ac:dyDescent="0.25">
      <c r="A323" s="596" t="s">
        <v>1350</v>
      </c>
      <c r="B323" s="587">
        <v>3811174042</v>
      </c>
      <c r="C323" s="604" t="s">
        <v>792</v>
      </c>
      <c r="D323" s="588" t="s">
        <v>618</v>
      </c>
      <c r="F323"/>
    </row>
    <row r="324" spans="1:6" x14ac:dyDescent="0.25">
      <c r="A324" s="596" t="s">
        <v>1351</v>
      </c>
      <c r="B324" s="587">
        <v>7717772525</v>
      </c>
      <c r="C324" s="604" t="s">
        <v>793</v>
      </c>
      <c r="D324" s="588" t="s">
        <v>618</v>
      </c>
      <c r="F324"/>
    </row>
    <row r="325" spans="1:6" x14ac:dyDescent="0.25">
      <c r="A325" s="596" t="s">
        <v>1352</v>
      </c>
      <c r="B325" s="587">
        <v>6672336228</v>
      </c>
      <c r="C325" s="604" t="s">
        <v>794</v>
      </c>
      <c r="D325" s="588" t="s">
        <v>618</v>
      </c>
      <c r="F325"/>
    </row>
    <row r="326" spans="1:6" x14ac:dyDescent="0.25">
      <c r="A326" s="596" t="s">
        <v>1353</v>
      </c>
      <c r="B326" s="587">
        <v>5905301236</v>
      </c>
      <c r="C326" s="607" t="s">
        <v>795</v>
      </c>
      <c r="D326" s="588" t="s">
        <v>618</v>
      </c>
      <c r="F326"/>
    </row>
    <row r="327" spans="1:6" x14ac:dyDescent="0.25">
      <c r="A327" s="596" t="s">
        <v>1354</v>
      </c>
      <c r="B327" s="587">
        <v>6319176994</v>
      </c>
      <c r="C327" s="607" t="s">
        <v>796</v>
      </c>
      <c r="D327" s="588" t="s">
        <v>618</v>
      </c>
      <c r="F327"/>
    </row>
    <row r="328" spans="1:6" x14ac:dyDescent="0.25">
      <c r="A328" s="611" t="s">
        <v>1355</v>
      </c>
      <c r="B328" s="587">
        <v>3444210421</v>
      </c>
      <c r="C328" s="607" t="s">
        <v>797</v>
      </c>
      <c r="D328" s="588" t="s">
        <v>618</v>
      </c>
      <c r="F328"/>
    </row>
    <row r="329" spans="1:6" x14ac:dyDescent="0.25">
      <c r="A329" s="603" t="s">
        <v>1356</v>
      </c>
      <c r="B329" s="587">
        <v>5026000300</v>
      </c>
      <c r="C329" s="604" t="s">
        <v>801</v>
      </c>
      <c r="D329" s="588" t="s">
        <v>618</v>
      </c>
      <c r="F329"/>
    </row>
    <row r="330" spans="1:6" x14ac:dyDescent="0.25">
      <c r="A330" s="603" t="s">
        <v>1357</v>
      </c>
      <c r="B330" s="587">
        <v>5024022965</v>
      </c>
      <c r="C330" s="604">
        <v>1043</v>
      </c>
      <c r="D330" s="588" t="s">
        <v>618</v>
      </c>
      <c r="F330"/>
    </row>
    <row r="331" spans="1:6" x14ac:dyDescent="0.25">
      <c r="A331" s="603" t="s">
        <v>1358</v>
      </c>
      <c r="B331" s="587">
        <v>7720770380</v>
      </c>
      <c r="C331" s="604">
        <v>1044</v>
      </c>
      <c r="D331" s="588" t="s">
        <v>618</v>
      </c>
      <c r="F331"/>
    </row>
    <row r="332" spans="1:6" x14ac:dyDescent="0.25">
      <c r="A332" s="601" t="s">
        <v>321</v>
      </c>
      <c r="B332" s="591">
        <v>7719265496</v>
      </c>
      <c r="C332" s="602" t="s">
        <v>333</v>
      </c>
      <c r="D332" s="591" t="s">
        <v>321</v>
      </c>
      <c r="F332"/>
    </row>
    <row r="333" spans="1:6" x14ac:dyDescent="0.25">
      <c r="A333" s="603" t="s">
        <v>1359</v>
      </c>
      <c r="B333" s="587" t="s">
        <v>1360</v>
      </c>
      <c r="C333" s="604" t="s">
        <v>346</v>
      </c>
      <c r="D333" s="588" t="s">
        <v>321</v>
      </c>
      <c r="F333"/>
    </row>
    <row r="334" spans="1:6" x14ac:dyDescent="0.25">
      <c r="A334" s="603" t="s">
        <v>1361</v>
      </c>
      <c r="B334" s="587" t="s">
        <v>1362</v>
      </c>
      <c r="C334" s="604" t="s">
        <v>359</v>
      </c>
      <c r="D334" s="588" t="s">
        <v>321</v>
      </c>
      <c r="F334"/>
    </row>
    <row r="335" spans="1:6" x14ac:dyDescent="0.25">
      <c r="A335" s="603" t="s">
        <v>1363</v>
      </c>
      <c r="B335" s="587" t="s">
        <v>1364</v>
      </c>
      <c r="C335" s="604" t="s">
        <v>369</v>
      </c>
      <c r="D335" s="588" t="s">
        <v>321</v>
      </c>
      <c r="F335"/>
    </row>
    <row r="336" spans="1:6" x14ac:dyDescent="0.25">
      <c r="A336" s="603" t="s">
        <v>1365</v>
      </c>
      <c r="B336" s="587">
        <v>3810033881</v>
      </c>
      <c r="C336" s="604" t="s">
        <v>379</v>
      </c>
      <c r="D336" s="588" t="s">
        <v>321</v>
      </c>
      <c r="F336"/>
    </row>
    <row r="337" spans="1:6" x14ac:dyDescent="0.25">
      <c r="A337" s="603" t="s">
        <v>1366</v>
      </c>
      <c r="B337" s="587">
        <v>5034050231</v>
      </c>
      <c r="C337" s="604" t="s">
        <v>389</v>
      </c>
      <c r="D337" s="588" t="s">
        <v>321</v>
      </c>
      <c r="F337"/>
    </row>
    <row r="338" spans="1:6" x14ac:dyDescent="0.25">
      <c r="A338" s="603" t="s">
        <v>1367</v>
      </c>
      <c r="B338" s="587" t="s">
        <v>1368</v>
      </c>
      <c r="C338" s="604" t="s">
        <v>398</v>
      </c>
      <c r="D338" s="588" t="s">
        <v>321</v>
      </c>
      <c r="F338"/>
    </row>
    <row r="339" spans="1:6" x14ac:dyDescent="0.25">
      <c r="A339" s="603" t="s">
        <v>1369</v>
      </c>
      <c r="B339" s="587">
        <v>4345000922</v>
      </c>
      <c r="C339" s="604" t="s">
        <v>407</v>
      </c>
      <c r="D339" s="588" t="s">
        <v>321</v>
      </c>
      <c r="F339"/>
    </row>
    <row r="340" spans="1:6" x14ac:dyDescent="0.25">
      <c r="A340" s="603" t="s">
        <v>1370</v>
      </c>
      <c r="B340" s="587">
        <v>7328046337</v>
      </c>
      <c r="C340" s="604" t="s">
        <v>416</v>
      </c>
      <c r="D340" s="588" t="s">
        <v>321</v>
      </c>
      <c r="F340"/>
    </row>
    <row r="341" spans="1:6" x14ac:dyDescent="0.25">
      <c r="A341" s="603" t="s">
        <v>1371</v>
      </c>
      <c r="B341" s="587">
        <v>7719130844</v>
      </c>
      <c r="C341" s="604" t="s">
        <v>424</v>
      </c>
      <c r="D341" s="588" t="s">
        <v>321</v>
      </c>
      <c r="F341"/>
    </row>
    <row r="342" spans="1:6" x14ac:dyDescent="0.25">
      <c r="A342" s="603" t="s">
        <v>1372</v>
      </c>
      <c r="B342" s="587">
        <v>7719600458</v>
      </c>
      <c r="C342" s="604" t="s">
        <v>432</v>
      </c>
      <c r="D342" s="588" t="s">
        <v>321</v>
      </c>
      <c r="F342"/>
    </row>
    <row r="343" spans="1:6" x14ac:dyDescent="0.25">
      <c r="A343" s="603" t="s">
        <v>1373</v>
      </c>
      <c r="B343" s="587">
        <v>7814558904</v>
      </c>
      <c r="C343" s="604" t="s">
        <v>440</v>
      </c>
      <c r="D343" s="588" t="s">
        <v>321</v>
      </c>
      <c r="F343"/>
    </row>
    <row r="344" spans="1:6" x14ac:dyDescent="0.25">
      <c r="A344" s="603" t="s">
        <v>1374</v>
      </c>
      <c r="B344" s="587">
        <v>7718922861</v>
      </c>
      <c r="C344" s="604" t="s">
        <v>448</v>
      </c>
      <c r="D344" s="588" t="s">
        <v>321</v>
      </c>
      <c r="F344"/>
    </row>
    <row r="345" spans="1:6" x14ac:dyDescent="0.25">
      <c r="A345" s="603" t="s">
        <v>1375</v>
      </c>
      <c r="B345" s="587">
        <v>7705913563</v>
      </c>
      <c r="C345" s="604" t="s">
        <v>455</v>
      </c>
      <c r="D345" s="588" t="s">
        <v>321</v>
      </c>
      <c r="F345"/>
    </row>
    <row r="346" spans="1:6" x14ac:dyDescent="0.25">
      <c r="A346" s="603" t="s">
        <v>1376</v>
      </c>
      <c r="B346" s="587">
        <v>2904021840</v>
      </c>
      <c r="C346" s="604" t="s">
        <v>464</v>
      </c>
      <c r="D346" s="588" t="s">
        <v>321</v>
      </c>
      <c r="F346"/>
    </row>
    <row r="347" spans="1:6" x14ac:dyDescent="0.25">
      <c r="A347" s="603" t="s">
        <v>1377</v>
      </c>
      <c r="B347" s="587">
        <v>6319031396</v>
      </c>
      <c r="C347" s="604" t="s">
        <v>470</v>
      </c>
      <c r="D347" s="588" t="s">
        <v>321</v>
      </c>
      <c r="F347"/>
    </row>
    <row r="348" spans="1:6" x14ac:dyDescent="0.25">
      <c r="A348" s="603" t="s">
        <v>1378</v>
      </c>
      <c r="B348" s="587">
        <v>7719024042</v>
      </c>
      <c r="C348" s="604" t="s">
        <v>474</v>
      </c>
      <c r="D348" s="588" t="s">
        <v>321</v>
      </c>
      <c r="F348"/>
    </row>
    <row r="349" spans="1:6" x14ac:dyDescent="0.25">
      <c r="A349" s="603" t="s">
        <v>1379</v>
      </c>
      <c r="B349" s="587">
        <v>6662054224</v>
      </c>
      <c r="C349" s="604" t="s">
        <v>479</v>
      </c>
      <c r="D349" s="588" t="s">
        <v>321</v>
      </c>
      <c r="F349"/>
    </row>
    <row r="350" spans="1:6" x14ac:dyDescent="0.25">
      <c r="A350" s="603" t="s">
        <v>1380</v>
      </c>
      <c r="B350" s="587">
        <v>7715069525</v>
      </c>
      <c r="C350" s="604" t="s">
        <v>802</v>
      </c>
      <c r="D350" s="588" t="s">
        <v>321</v>
      </c>
      <c r="F350"/>
    </row>
    <row r="351" spans="1:6" x14ac:dyDescent="0.25">
      <c r="A351" s="603" t="s">
        <v>1381</v>
      </c>
      <c r="B351" s="587">
        <v>7715995332</v>
      </c>
      <c r="C351" s="604" t="s">
        <v>486</v>
      </c>
      <c r="D351" s="588" t="s">
        <v>321</v>
      </c>
      <c r="F351"/>
    </row>
    <row r="352" spans="1:6" x14ac:dyDescent="0.25">
      <c r="A352" s="601" t="s">
        <v>611</v>
      </c>
      <c r="B352" s="591">
        <v>7703695246</v>
      </c>
      <c r="C352" s="602" t="s">
        <v>334</v>
      </c>
      <c r="D352" s="591" t="s">
        <v>611</v>
      </c>
      <c r="F352"/>
    </row>
    <row r="353" spans="1:6" x14ac:dyDescent="0.25">
      <c r="A353" s="603" t="s">
        <v>1382</v>
      </c>
      <c r="B353" s="587">
        <v>5321151441</v>
      </c>
      <c r="C353" s="608" t="s">
        <v>347</v>
      </c>
      <c r="D353" s="588" t="s">
        <v>611</v>
      </c>
      <c r="F353"/>
    </row>
    <row r="354" spans="1:6" x14ac:dyDescent="0.25">
      <c r="A354" s="603" t="s">
        <v>1383</v>
      </c>
      <c r="B354" s="587">
        <v>3255517577</v>
      </c>
      <c r="C354" s="608" t="s">
        <v>360</v>
      </c>
      <c r="D354" s="588" t="s">
        <v>611</v>
      </c>
      <c r="F354"/>
    </row>
    <row r="355" spans="1:6" x14ac:dyDescent="0.25">
      <c r="A355" s="603" t="s">
        <v>1384</v>
      </c>
      <c r="B355" s="587">
        <v>6163111477</v>
      </c>
      <c r="C355" s="608" t="s">
        <v>370</v>
      </c>
      <c r="D355" s="588" t="s">
        <v>611</v>
      </c>
      <c r="F355"/>
    </row>
    <row r="356" spans="1:6" x14ac:dyDescent="0.25">
      <c r="A356" s="603" t="s">
        <v>1385</v>
      </c>
      <c r="B356" s="587">
        <v>4007017378</v>
      </c>
      <c r="C356" s="608" t="s">
        <v>399</v>
      </c>
      <c r="D356" s="588" t="s">
        <v>611</v>
      </c>
      <c r="F356"/>
    </row>
    <row r="357" spans="1:6" x14ac:dyDescent="0.25">
      <c r="A357" s="603" t="s">
        <v>1386</v>
      </c>
      <c r="B357" s="587">
        <v>6319169796</v>
      </c>
      <c r="C357" s="608" t="s">
        <v>408</v>
      </c>
      <c r="D357" s="588" t="s">
        <v>611</v>
      </c>
      <c r="F357"/>
    </row>
    <row r="358" spans="1:6" x14ac:dyDescent="0.25">
      <c r="A358" s="603" t="s">
        <v>1387</v>
      </c>
      <c r="B358" s="587">
        <v>6163129940</v>
      </c>
      <c r="C358" s="608" t="s">
        <v>417</v>
      </c>
      <c r="D358" s="588" t="s">
        <v>611</v>
      </c>
      <c r="F358"/>
    </row>
    <row r="359" spans="1:6" x14ac:dyDescent="0.25">
      <c r="A359" s="603" t="s">
        <v>1388</v>
      </c>
      <c r="B359" s="587">
        <v>7813183628</v>
      </c>
      <c r="C359" s="608" t="s">
        <v>425</v>
      </c>
      <c r="D359" s="588" t="s">
        <v>611</v>
      </c>
      <c r="F359"/>
    </row>
    <row r="360" spans="1:6" x14ac:dyDescent="0.25">
      <c r="A360" s="603" t="s">
        <v>1389</v>
      </c>
      <c r="B360" s="587">
        <v>3232001722</v>
      </c>
      <c r="C360" s="608" t="s">
        <v>433</v>
      </c>
      <c r="D360" s="588" t="s">
        <v>611</v>
      </c>
      <c r="F360"/>
    </row>
    <row r="361" spans="1:6" x14ac:dyDescent="0.25">
      <c r="A361" s="603" t="s">
        <v>1390</v>
      </c>
      <c r="B361" s="587">
        <v>5321094698</v>
      </c>
      <c r="C361" s="608" t="s">
        <v>441</v>
      </c>
      <c r="D361" s="588" t="s">
        <v>611</v>
      </c>
      <c r="F361"/>
    </row>
    <row r="362" spans="1:6" x14ac:dyDescent="0.25">
      <c r="A362" s="603" t="s">
        <v>1391</v>
      </c>
      <c r="B362" s="587">
        <v>1660155764</v>
      </c>
      <c r="C362" s="608" t="s">
        <v>449</v>
      </c>
      <c r="D362" s="588" t="s">
        <v>611</v>
      </c>
      <c r="F362"/>
    </row>
    <row r="363" spans="1:6" x14ac:dyDescent="0.25">
      <c r="A363" s="603" t="s">
        <v>1392</v>
      </c>
      <c r="B363" s="587">
        <v>1660151791</v>
      </c>
      <c r="C363" s="608" t="s">
        <v>456</v>
      </c>
      <c r="D363" s="588" t="s">
        <v>611</v>
      </c>
      <c r="F363"/>
    </row>
    <row r="364" spans="1:6" x14ac:dyDescent="0.25">
      <c r="A364" s="603" t="s">
        <v>1393</v>
      </c>
      <c r="B364" s="587">
        <v>1660155757</v>
      </c>
      <c r="C364" s="608" t="s">
        <v>465</v>
      </c>
      <c r="D364" s="588" t="s">
        <v>611</v>
      </c>
      <c r="F364"/>
    </row>
    <row r="365" spans="1:6" x14ac:dyDescent="0.25">
      <c r="A365" s="603" t="s">
        <v>1394</v>
      </c>
      <c r="B365" s="587">
        <v>7706607880</v>
      </c>
      <c r="C365" s="608" t="s">
        <v>471</v>
      </c>
      <c r="D365" s="588" t="s">
        <v>611</v>
      </c>
      <c r="F365"/>
    </row>
    <row r="366" spans="1:6" x14ac:dyDescent="0.25">
      <c r="A366" s="603" t="s">
        <v>1395</v>
      </c>
      <c r="B366" s="587">
        <v>2536236724</v>
      </c>
      <c r="C366" s="608" t="s">
        <v>475</v>
      </c>
      <c r="D366" s="588" t="s">
        <v>611</v>
      </c>
      <c r="F366"/>
    </row>
    <row r="367" spans="1:6" x14ac:dyDescent="0.25">
      <c r="A367" s="603" t="s">
        <v>1396</v>
      </c>
      <c r="B367" s="587">
        <v>7731631438</v>
      </c>
      <c r="C367" s="608" t="s">
        <v>487</v>
      </c>
      <c r="D367" s="588" t="s">
        <v>611</v>
      </c>
      <c r="F367"/>
    </row>
    <row r="368" spans="1:6" x14ac:dyDescent="0.25">
      <c r="A368" s="603" t="s">
        <v>1397</v>
      </c>
      <c r="B368" s="587">
        <v>7743774590</v>
      </c>
      <c r="C368" s="608" t="s">
        <v>490</v>
      </c>
      <c r="D368" s="588" t="s">
        <v>611</v>
      </c>
      <c r="F368"/>
    </row>
    <row r="369" spans="1:6" x14ac:dyDescent="0.25">
      <c r="A369" s="603" t="s">
        <v>1398</v>
      </c>
      <c r="B369" s="587">
        <v>5261077695</v>
      </c>
      <c r="C369" s="608" t="s">
        <v>494</v>
      </c>
      <c r="D369" s="588" t="s">
        <v>611</v>
      </c>
      <c r="F369"/>
    </row>
    <row r="370" spans="1:6" x14ac:dyDescent="0.25">
      <c r="A370" s="603" t="s">
        <v>1399</v>
      </c>
      <c r="B370" s="587">
        <v>4632154549</v>
      </c>
      <c r="C370" s="608" t="s">
        <v>504</v>
      </c>
      <c r="D370" s="588" t="s">
        <v>611</v>
      </c>
      <c r="F370"/>
    </row>
    <row r="371" spans="1:6" x14ac:dyDescent="0.25">
      <c r="A371" s="603" t="s">
        <v>1400</v>
      </c>
      <c r="B371" s="587">
        <v>7325118135</v>
      </c>
      <c r="C371" s="608" t="s">
        <v>807</v>
      </c>
      <c r="D371" s="588" t="s">
        <v>611</v>
      </c>
      <c r="F371"/>
    </row>
    <row r="372" spans="1:6" x14ac:dyDescent="0.25">
      <c r="A372" s="603" t="s">
        <v>1401</v>
      </c>
      <c r="B372" s="587">
        <v>7804349411</v>
      </c>
      <c r="C372" s="608" t="s">
        <v>511</v>
      </c>
      <c r="D372" s="588" t="s">
        <v>611</v>
      </c>
      <c r="F372"/>
    </row>
    <row r="373" spans="1:6" x14ac:dyDescent="0.25">
      <c r="A373" s="603" t="s">
        <v>1402</v>
      </c>
      <c r="B373" s="587">
        <v>7820308010</v>
      </c>
      <c r="C373" s="608" t="s">
        <v>808</v>
      </c>
      <c r="D373" s="588" t="s">
        <v>611</v>
      </c>
      <c r="F373"/>
    </row>
    <row r="374" spans="1:6" x14ac:dyDescent="0.25">
      <c r="A374" s="603" t="s">
        <v>1403</v>
      </c>
      <c r="B374" s="587">
        <v>2311016712</v>
      </c>
      <c r="C374" s="608" t="s">
        <v>517</v>
      </c>
      <c r="D374" s="588" t="s">
        <v>611</v>
      </c>
      <c r="F374"/>
    </row>
    <row r="375" spans="1:6" x14ac:dyDescent="0.25">
      <c r="A375" s="603" t="s">
        <v>1404</v>
      </c>
      <c r="B375" s="587">
        <v>7704729515</v>
      </c>
      <c r="C375" s="608" t="s">
        <v>521</v>
      </c>
      <c r="D375" s="588" t="s">
        <v>611</v>
      </c>
      <c r="F375"/>
    </row>
    <row r="376" spans="1:6" x14ac:dyDescent="0.25">
      <c r="A376" s="603" t="s">
        <v>1405</v>
      </c>
      <c r="B376" s="587">
        <v>5040106669</v>
      </c>
      <c r="C376" s="608" t="s">
        <v>525</v>
      </c>
      <c r="D376" s="588" t="s">
        <v>611</v>
      </c>
      <c r="F376"/>
    </row>
    <row r="377" spans="1:6" x14ac:dyDescent="0.25">
      <c r="A377" s="603" t="s">
        <v>1406</v>
      </c>
      <c r="B377" s="587">
        <v>3022001050</v>
      </c>
      <c r="C377" s="608" t="s">
        <v>528</v>
      </c>
      <c r="D377" s="588" t="s">
        <v>611</v>
      </c>
      <c r="F377"/>
    </row>
    <row r="378" spans="1:6" x14ac:dyDescent="0.25">
      <c r="A378" s="603" t="s">
        <v>1407</v>
      </c>
      <c r="B378" s="587">
        <v>6234098539</v>
      </c>
      <c r="C378" s="608" t="s">
        <v>532</v>
      </c>
      <c r="D378" s="588" t="s">
        <v>611</v>
      </c>
      <c r="F378"/>
    </row>
    <row r="379" spans="1:6" x14ac:dyDescent="0.25">
      <c r="A379" s="603" t="s">
        <v>1408</v>
      </c>
      <c r="B379" s="587">
        <v>7805326230</v>
      </c>
      <c r="C379" s="608" t="s">
        <v>536</v>
      </c>
      <c r="D379" s="588" t="s">
        <v>611</v>
      </c>
      <c r="F379"/>
    </row>
    <row r="380" spans="1:6" x14ac:dyDescent="0.25">
      <c r="A380" s="603" t="s">
        <v>1409</v>
      </c>
      <c r="B380" s="587" t="s">
        <v>1410</v>
      </c>
      <c r="C380" s="608" t="s">
        <v>540</v>
      </c>
      <c r="D380" s="588" t="s">
        <v>611</v>
      </c>
      <c r="F380"/>
    </row>
    <row r="381" spans="1:6" x14ac:dyDescent="0.25">
      <c r="A381" s="603" t="s">
        <v>1411</v>
      </c>
      <c r="B381" s="587">
        <v>6345012304</v>
      </c>
      <c r="C381" s="608" t="s">
        <v>544</v>
      </c>
      <c r="D381" s="588" t="s">
        <v>611</v>
      </c>
      <c r="F381"/>
    </row>
    <row r="382" spans="1:6" x14ac:dyDescent="0.25">
      <c r="A382" s="603" t="s">
        <v>1412</v>
      </c>
      <c r="B382" s="587">
        <v>5040043401</v>
      </c>
      <c r="C382" s="608" t="s">
        <v>548</v>
      </c>
      <c r="D382" s="588" t="s">
        <v>611</v>
      </c>
      <c r="F382"/>
    </row>
    <row r="383" spans="1:6" x14ac:dyDescent="0.25">
      <c r="A383" s="603" t="s">
        <v>1413</v>
      </c>
      <c r="B383" s="587">
        <v>7813132895</v>
      </c>
      <c r="C383" s="608" t="s">
        <v>551</v>
      </c>
      <c r="D383" s="588" t="s">
        <v>611</v>
      </c>
      <c r="F383"/>
    </row>
    <row r="384" spans="1:6" x14ac:dyDescent="0.25">
      <c r="A384" s="603" t="s">
        <v>1414</v>
      </c>
      <c r="B384" s="587">
        <v>5027106028</v>
      </c>
      <c r="C384" s="608" t="s">
        <v>555</v>
      </c>
      <c r="D384" s="588" t="s">
        <v>611</v>
      </c>
      <c r="F384"/>
    </row>
    <row r="385" spans="1:6" x14ac:dyDescent="0.25">
      <c r="A385" s="603" t="s">
        <v>1415</v>
      </c>
      <c r="B385" s="587">
        <v>6312125101</v>
      </c>
      <c r="C385" s="608" t="s">
        <v>559</v>
      </c>
      <c r="D385" s="588" t="s">
        <v>611</v>
      </c>
      <c r="F385"/>
    </row>
    <row r="386" spans="1:6" x14ac:dyDescent="0.25">
      <c r="A386" s="603" t="s">
        <v>1416</v>
      </c>
      <c r="B386" s="587">
        <v>7713012481</v>
      </c>
      <c r="C386" s="608" t="s">
        <v>563</v>
      </c>
      <c r="D386" s="588" t="s">
        <v>611</v>
      </c>
      <c r="F386"/>
    </row>
    <row r="387" spans="1:6" x14ac:dyDescent="0.25">
      <c r="A387" s="603" t="s">
        <v>1417</v>
      </c>
      <c r="B387" s="587">
        <v>7726648228</v>
      </c>
      <c r="C387" s="608" t="s">
        <v>567</v>
      </c>
      <c r="D387" s="588" t="s">
        <v>611</v>
      </c>
      <c r="F387"/>
    </row>
    <row r="388" spans="1:6" x14ac:dyDescent="0.25">
      <c r="A388" s="603" t="s">
        <v>1418</v>
      </c>
      <c r="B388" s="587">
        <v>7726650234</v>
      </c>
      <c r="C388" s="608" t="s">
        <v>571</v>
      </c>
      <c r="D388" s="588" t="s">
        <v>611</v>
      </c>
      <c r="F388"/>
    </row>
    <row r="389" spans="1:6" x14ac:dyDescent="0.25">
      <c r="A389" s="603" t="s">
        <v>1419</v>
      </c>
      <c r="B389" s="587">
        <v>6731036814</v>
      </c>
      <c r="C389" s="608" t="s">
        <v>733</v>
      </c>
      <c r="D389" s="588" t="s">
        <v>611</v>
      </c>
      <c r="F389"/>
    </row>
    <row r="390" spans="1:6" x14ac:dyDescent="0.25">
      <c r="A390" s="603" t="s">
        <v>1420</v>
      </c>
      <c r="B390" s="587">
        <v>1644018390</v>
      </c>
      <c r="C390" s="608" t="s">
        <v>734</v>
      </c>
      <c r="D390" s="588" t="s">
        <v>611</v>
      </c>
      <c r="F390"/>
    </row>
    <row r="391" spans="1:6" x14ac:dyDescent="0.25">
      <c r="A391" s="603" t="s">
        <v>1421</v>
      </c>
      <c r="B391" s="587">
        <v>6731052069</v>
      </c>
      <c r="C391" s="608" t="s">
        <v>735</v>
      </c>
      <c r="D391" s="588" t="s">
        <v>611</v>
      </c>
      <c r="F391"/>
    </row>
    <row r="392" spans="1:6" x14ac:dyDescent="0.25">
      <c r="A392" s="603" t="s">
        <v>1422</v>
      </c>
      <c r="B392" s="587">
        <v>7705415783</v>
      </c>
      <c r="C392" s="608" t="s">
        <v>736</v>
      </c>
      <c r="D392" s="588" t="s">
        <v>611</v>
      </c>
      <c r="F392"/>
    </row>
    <row r="393" spans="1:6" x14ac:dyDescent="0.25">
      <c r="A393" s="603" t="s">
        <v>1423</v>
      </c>
      <c r="B393" s="587">
        <v>6231005127</v>
      </c>
      <c r="C393" s="608" t="s">
        <v>737</v>
      </c>
      <c r="D393" s="588" t="s">
        <v>611</v>
      </c>
      <c r="F393"/>
    </row>
    <row r="394" spans="1:6" x14ac:dyDescent="0.25">
      <c r="A394" s="603" t="s">
        <v>1424</v>
      </c>
      <c r="B394" s="587">
        <v>5040001426</v>
      </c>
      <c r="C394" s="608" t="s">
        <v>809</v>
      </c>
      <c r="D394" s="588" t="s">
        <v>611</v>
      </c>
      <c r="F394"/>
    </row>
    <row r="395" spans="1:6" x14ac:dyDescent="0.25">
      <c r="A395" s="603" t="s">
        <v>1425</v>
      </c>
      <c r="B395" s="587">
        <v>6660000400</v>
      </c>
      <c r="C395" s="608" t="s">
        <v>810</v>
      </c>
      <c r="D395" s="588" t="s">
        <v>611</v>
      </c>
      <c r="F395"/>
    </row>
    <row r="396" spans="1:6" x14ac:dyDescent="0.25">
      <c r="A396" s="603" t="s">
        <v>1426</v>
      </c>
      <c r="B396" s="587">
        <v>1659034109</v>
      </c>
      <c r="C396" s="608" t="s">
        <v>811</v>
      </c>
      <c r="D396" s="588" t="s">
        <v>611</v>
      </c>
      <c r="F396"/>
    </row>
    <row r="397" spans="1:6" x14ac:dyDescent="0.25">
      <c r="A397" s="603" t="s">
        <v>1427</v>
      </c>
      <c r="B397" s="587">
        <v>6154573235</v>
      </c>
      <c r="C397" s="608" t="s">
        <v>812</v>
      </c>
      <c r="D397" s="588" t="s">
        <v>611</v>
      </c>
      <c r="F397"/>
    </row>
    <row r="398" spans="1:6" x14ac:dyDescent="0.25">
      <c r="A398" s="603" t="s">
        <v>1428</v>
      </c>
      <c r="B398" s="587">
        <v>7705489560</v>
      </c>
      <c r="C398" s="608" t="s">
        <v>813</v>
      </c>
      <c r="D398" s="588" t="s">
        <v>611</v>
      </c>
      <c r="F398"/>
    </row>
    <row r="399" spans="1:6" x14ac:dyDescent="0.25">
      <c r="A399" s="601" t="s">
        <v>703</v>
      </c>
      <c r="B399" s="591">
        <v>7704833788</v>
      </c>
      <c r="C399" s="602" t="s">
        <v>335</v>
      </c>
      <c r="D399" s="591" t="s">
        <v>703</v>
      </c>
      <c r="F399"/>
    </row>
    <row r="400" spans="1:6" x14ac:dyDescent="0.25">
      <c r="A400" s="603" t="s">
        <v>1429</v>
      </c>
      <c r="B400" s="587">
        <v>7704759968</v>
      </c>
      <c r="C400" s="604" t="s">
        <v>348</v>
      </c>
      <c r="D400" s="588" t="s">
        <v>703</v>
      </c>
      <c r="F400"/>
    </row>
    <row r="401" spans="1:6" x14ac:dyDescent="0.25">
      <c r="A401" s="603" t="s">
        <v>1430</v>
      </c>
      <c r="B401" s="587">
        <v>7704867113</v>
      </c>
      <c r="C401" s="604" t="s">
        <v>361</v>
      </c>
      <c r="D401" s="588" t="s">
        <v>703</v>
      </c>
      <c r="F401"/>
    </row>
    <row r="402" spans="1:6" x14ac:dyDescent="0.25">
      <c r="A402" s="603" t="s">
        <v>1431</v>
      </c>
      <c r="B402" s="587">
        <v>7733225576</v>
      </c>
      <c r="C402" s="604" t="s">
        <v>380</v>
      </c>
      <c r="D402" s="588" t="s">
        <v>703</v>
      </c>
      <c r="F402"/>
    </row>
    <row r="403" spans="1:6" x14ac:dyDescent="0.25">
      <c r="A403" s="601" t="s">
        <v>604</v>
      </c>
      <c r="B403" s="591">
        <v>7731559044</v>
      </c>
      <c r="C403" s="602" t="s">
        <v>336</v>
      </c>
      <c r="D403" s="591" t="s">
        <v>604</v>
      </c>
      <c r="F403"/>
    </row>
    <row r="404" spans="1:6" x14ac:dyDescent="0.25">
      <c r="A404" s="603" t="s">
        <v>1432</v>
      </c>
      <c r="B404" s="587">
        <v>7718016666</v>
      </c>
      <c r="C404" s="604" t="s">
        <v>349</v>
      </c>
      <c r="D404" s="588" t="s">
        <v>604</v>
      </c>
      <c r="F404"/>
    </row>
    <row r="405" spans="1:6" x14ac:dyDescent="0.25">
      <c r="A405" s="603" t="s">
        <v>1433</v>
      </c>
      <c r="B405" s="587">
        <v>5027033274</v>
      </c>
      <c r="C405" s="604" t="s">
        <v>362</v>
      </c>
      <c r="D405" s="588" t="s">
        <v>604</v>
      </c>
      <c r="F405"/>
    </row>
    <row r="406" spans="1:6" x14ac:dyDescent="0.25">
      <c r="A406" s="603" t="s">
        <v>1434</v>
      </c>
      <c r="B406" s="587">
        <v>5045001885</v>
      </c>
      <c r="C406" s="604" t="s">
        <v>371</v>
      </c>
      <c r="D406" s="588" t="s">
        <v>604</v>
      </c>
      <c r="F406"/>
    </row>
    <row r="407" spans="1:6" x14ac:dyDescent="0.25">
      <c r="A407" s="603" t="s">
        <v>1435</v>
      </c>
      <c r="B407" s="587">
        <v>5948017501</v>
      </c>
      <c r="C407" s="604" t="s">
        <v>381</v>
      </c>
      <c r="D407" s="588" t="s">
        <v>604</v>
      </c>
      <c r="F407"/>
    </row>
    <row r="408" spans="1:6" x14ac:dyDescent="0.25">
      <c r="A408" s="603" t="s">
        <v>1436</v>
      </c>
      <c r="B408" s="587">
        <v>7704252960</v>
      </c>
      <c r="C408" s="604" t="s">
        <v>390</v>
      </c>
      <c r="D408" s="588" t="s">
        <v>604</v>
      </c>
      <c r="F408"/>
    </row>
    <row r="409" spans="1:6" x14ac:dyDescent="0.25">
      <c r="A409" s="603" t="s">
        <v>1437</v>
      </c>
      <c r="B409" s="587">
        <v>6161021690</v>
      </c>
      <c r="C409" s="604" t="s">
        <v>400</v>
      </c>
      <c r="D409" s="588" t="s">
        <v>604</v>
      </c>
      <c r="F409"/>
    </row>
    <row r="410" spans="1:6" x14ac:dyDescent="0.25">
      <c r="A410" s="603" t="s">
        <v>1438</v>
      </c>
      <c r="B410" s="587">
        <v>7731636010</v>
      </c>
      <c r="C410" s="604" t="s">
        <v>409</v>
      </c>
      <c r="D410" s="588" t="s">
        <v>604</v>
      </c>
      <c r="F410"/>
    </row>
    <row r="411" spans="1:6" x14ac:dyDescent="0.25">
      <c r="A411" s="603" t="s">
        <v>1439</v>
      </c>
      <c r="B411" s="587">
        <v>5402112867</v>
      </c>
      <c r="C411" s="604" t="s">
        <v>418</v>
      </c>
      <c r="D411" s="588" t="s">
        <v>604</v>
      </c>
      <c r="F411"/>
    </row>
    <row r="412" spans="1:6" x14ac:dyDescent="0.25">
      <c r="A412" s="603" t="s">
        <v>1440</v>
      </c>
      <c r="B412" s="587">
        <v>6449042335</v>
      </c>
      <c r="C412" s="604" t="s">
        <v>426</v>
      </c>
      <c r="D412" s="588" t="s">
        <v>604</v>
      </c>
      <c r="F412"/>
    </row>
    <row r="413" spans="1:6" x14ac:dyDescent="0.25">
      <c r="A413" s="603" t="s">
        <v>1441</v>
      </c>
      <c r="B413" s="587">
        <v>7807343496</v>
      </c>
      <c r="C413" s="604" t="s">
        <v>434</v>
      </c>
      <c r="D413" s="588" t="s">
        <v>604</v>
      </c>
      <c r="F413"/>
    </row>
    <row r="414" spans="1:6" x14ac:dyDescent="0.25">
      <c r="A414" s="603" t="s">
        <v>1442</v>
      </c>
      <c r="B414" s="587">
        <v>7536080716</v>
      </c>
      <c r="C414" s="604" t="s">
        <v>442</v>
      </c>
      <c r="D414" s="588" t="s">
        <v>604</v>
      </c>
      <c r="F414"/>
    </row>
    <row r="415" spans="1:6" x14ac:dyDescent="0.25">
      <c r="A415" s="603" t="s">
        <v>1443</v>
      </c>
      <c r="B415" s="587">
        <v>2724110523</v>
      </c>
      <c r="C415" s="604" t="s">
        <v>450</v>
      </c>
      <c r="D415" s="588" t="s">
        <v>604</v>
      </c>
      <c r="F415"/>
    </row>
    <row r="416" spans="1:6" x14ac:dyDescent="0.25">
      <c r="A416" s="603" t="s">
        <v>1444</v>
      </c>
      <c r="B416" s="587">
        <v>3913501370</v>
      </c>
      <c r="C416" s="604" t="s">
        <v>457</v>
      </c>
      <c r="D416" s="588" t="s">
        <v>604</v>
      </c>
      <c r="F416"/>
    </row>
    <row r="417" spans="1:6" x14ac:dyDescent="0.25">
      <c r="A417" s="603" t="s">
        <v>1445</v>
      </c>
      <c r="B417" s="587">
        <v>7751520180</v>
      </c>
      <c r="C417" s="604" t="s">
        <v>466</v>
      </c>
      <c r="D417" s="588" t="s">
        <v>604</v>
      </c>
      <c r="F417"/>
    </row>
    <row r="418" spans="1:6" x14ac:dyDescent="0.25">
      <c r="A418" s="603" t="s">
        <v>1446</v>
      </c>
      <c r="B418" s="587" t="s">
        <v>1447</v>
      </c>
      <c r="C418" s="604" t="s">
        <v>596</v>
      </c>
      <c r="D418" s="588" t="s">
        <v>604</v>
      </c>
      <c r="F418"/>
    </row>
    <row r="419" spans="1:6" x14ac:dyDescent="0.25">
      <c r="A419" s="603" t="s">
        <v>1448</v>
      </c>
      <c r="B419" s="587">
        <v>1656002652</v>
      </c>
      <c r="C419" s="604" t="s">
        <v>597</v>
      </c>
      <c r="D419" s="588" t="s">
        <v>604</v>
      </c>
      <c r="F419"/>
    </row>
    <row r="420" spans="1:6" x14ac:dyDescent="0.25">
      <c r="A420" s="603" t="s">
        <v>1449</v>
      </c>
      <c r="B420" s="587" t="s">
        <v>1450</v>
      </c>
      <c r="C420" s="604" t="s">
        <v>598</v>
      </c>
      <c r="D420" s="588" t="s">
        <v>604</v>
      </c>
      <c r="F420"/>
    </row>
    <row r="421" spans="1:6" x14ac:dyDescent="0.25">
      <c r="A421" s="603" t="s">
        <v>1451</v>
      </c>
      <c r="B421" s="587">
        <v>2501002394</v>
      </c>
      <c r="C421" s="604" t="s">
        <v>599</v>
      </c>
      <c r="D421" s="588" t="s">
        <v>604</v>
      </c>
      <c r="F421"/>
    </row>
    <row r="422" spans="1:6" x14ac:dyDescent="0.25">
      <c r="A422" s="603" t="s">
        <v>1452</v>
      </c>
      <c r="B422" s="587">
        <v>7731439205</v>
      </c>
      <c r="C422" s="604" t="s">
        <v>631</v>
      </c>
      <c r="D422" s="588" t="s">
        <v>604</v>
      </c>
      <c r="F422"/>
    </row>
    <row r="423" spans="1:6" x14ac:dyDescent="0.25">
      <c r="A423" s="601" t="s">
        <v>610</v>
      </c>
      <c r="B423" s="591">
        <v>7731644035</v>
      </c>
      <c r="C423" s="602">
        <v>1700</v>
      </c>
      <c r="D423" s="591" t="s">
        <v>610</v>
      </c>
      <c r="F423"/>
    </row>
    <row r="424" spans="1:6" x14ac:dyDescent="0.25">
      <c r="A424" s="603" t="s">
        <v>1453</v>
      </c>
      <c r="B424" s="587">
        <v>5904000620</v>
      </c>
      <c r="C424" s="609">
        <v>1701</v>
      </c>
      <c r="D424" s="588" t="s">
        <v>610</v>
      </c>
      <c r="F424"/>
    </row>
    <row r="425" spans="1:6" x14ac:dyDescent="0.25">
      <c r="A425" s="603" t="s">
        <v>1454</v>
      </c>
      <c r="B425" s="587">
        <v>7802375335</v>
      </c>
      <c r="C425" s="605">
        <v>1702</v>
      </c>
      <c r="D425" s="588" t="s">
        <v>610</v>
      </c>
      <c r="F425"/>
    </row>
    <row r="426" spans="1:6" x14ac:dyDescent="0.25">
      <c r="A426" s="603" t="s">
        <v>1455</v>
      </c>
      <c r="B426" s="587">
        <v>6319033379</v>
      </c>
      <c r="C426" s="604" t="s">
        <v>664</v>
      </c>
      <c r="D426" s="588" t="s">
        <v>610</v>
      </c>
      <c r="F426"/>
    </row>
    <row r="427" spans="1:6" x14ac:dyDescent="0.25">
      <c r="A427" s="603" t="s">
        <v>1456</v>
      </c>
      <c r="B427" s="587">
        <v>7610052644</v>
      </c>
      <c r="C427" s="604" t="s">
        <v>665</v>
      </c>
      <c r="D427" s="588" t="s">
        <v>610</v>
      </c>
      <c r="F427"/>
    </row>
    <row r="428" spans="1:6" x14ac:dyDescent="0.25">
      <c r="A428" s="603" t="s">
        <v>1457</v>
      </c>
      <c r="B428" s="587">
        <v>5904100329</v>
      </c>
      <c r="C428" s="605">
        <v>1705</v>
      </c>
      <c r="D428" s="588" t="s">
        <v>610</v>
      </c>
      <c r="F428"/>
    </row>
    <row r="429" spans="1:6" x14ac:dyDescent="0.25">
      <c r="A429" s="603" t="s">
        <v>1458</v>
      </c>
      <c r="B429" s="587" t="s">
        <v>1459</v>
      </c>
      <c r="C429" s="609">
        <v>1706</v>
      </c>
      <c r="D429" s="588" t="s">
        <v>610</v>
      </c>
      <c r="F429"/>
    </row>
    <row r="430" spans="1:6" x14ac:dyDescent="0.25">
      <c r="A430" s="603" t="s">
        <v>1460</v>
      </c>
      <c r="B430" s="587">
        <v>7733018650</v>
      </c>
      <c r="C430" s="605">
        <v>1707</v>
      </c>
      <c r="D430" s="588" t="s">
        <v>610</v>
      </c>
      <c r="F430"/>
    </row>
    <row r="431" spans="1:6" x14ac:dyDescent="0.25">
      <c r="A431" s="603" t="s">
        <v>1461</v>
      </c>
      <c r="B431" s="587">
        <v>7610070114</v>
      </c>
      <c r="C431" s="604" t="s">
        <v>666</v>
      </c>
      <c r="D431" s="588" t="s">
        <v>610</v>
      </c>
      <c r="F431"/>
    </row>
    <row r="432" spans="1:6" x14ac:dyDescent="0.25">
      <c r="A432" s="603" t="s">
        <v>1462</v>
      </c>
      <c r="B432" s="587">
        <v>5904007390</v>
      </c>
      <c r="C432" s="609">
        <v>1712</v>
      </c>
      <c r="D432" s="588" t="s">
        <v>610</v>
      </c>
      <c r="F432"/>
    </row>
    <row r="433" spans="1:6" x14ac:dyDescent="0.25">
      <c r="A433" s="603" t="s">
        <v>1463</v>
      </c>
      <c r="B433" s="587">
        <v>5904007312</v>
      </c>
      <c r="C433" s="605" t="s">
        <v>667</v>
      </c>
      <c r="D433" s="588" t="s">
        <v>610</v>
      </c>
      <c r="F433"/>
    </row>
    <row r="434" spans="1:6" x14ac:dyDescent="0.25">
      <c r="A434" s="603" t="s">
        <v>1464</v>
      </c>
      <c r="B434" s="587">
        <v>2306030214</v>
      </c>
      <c r="C434" s="604">
        <v>1716</v>
      </c>
      <c r="D434" s="588" t="s">
        <v>610</v>
      </c>
      <c r="F434"/>
    </row>
    <row r="435" spans="1:6" x14ac:dyDescent="0.25">
      <c r="A435" s="603" t="s">
        <v>1465</v>
      </c>
      <c r="B435" s="587">
        <v>4705036363</v>
      </c>
      <c r="C435" s="604">
        <v>1717</v>
      </c>
      <c r="D435" s="588" t="s">
        <v>610</v>
      </c>
      <c r="F435"/>
    </row>
    <row r="436" spans="1:6" x14ac:dyDescent="0.25">
      <c r="A436" s="603" t="s">
        <v>1466</v>
      </c>
      <c r="B436" s="587">
        <v>7448099531</v>
      </c>
      <c r="C436" s="605" t="s">
        <v>668</v>
      </c>
      <c r="D436" s="588" t="s">
        <v>610</v>
      </c>
      <c r="F436"/>
    </row>
    <row r="437" spans="1:6" x14ac:dyDescent="0.25">
      <c r="A437" s="603" t="s">
        <v>1467</v>
      </c>
      <c r="B437" s="587">
        <v>6652022897</v>
      </c>
      <c r="C437" s="609" t="s">
        <v>686</v>
      </c>
      <c r="D437" s="588" t="s">
        <v>610</v>
      </c>
      <c r="F437"/>
    </row>
    <row r="438" spans="1:6" x14ac:dyDescent="0.25">
      <c r="A438" s="603" t="s">
        <v>1468</v>
      </c>
      <c r="B438" s="587">
        <v>7719409437</v>
      </c>
      <c r="C438" s="605" t="s">
        <v>704</v>
      </c>
      <c r="D438" s="588" t="s">
        <v>610</v>
      </c>
      <c r="F438"/>
    </row>
    <row r="439" spans="1:6" x14ac:dyDescent="0.25">
      <c r="A439" s="603" t="s">
        <v>1469</v>
      </c>
      <c r="B439" s="587">
        <v>7610090537</v>
      </c>
      <c r="C439" s="605">
        <v>1721</v>
      </c>
      <c r="D439" s="588" t="s">
        <v>610</v>
      </c>
      <c r="F439"/>
    </row>
    <row r="440" spans="1:6" x14ac:dyDescent="0.25">
      <c r="A440" s="603" t="s">
        <v>1470</v>
      </c>
      <c r="B440" s="587">
        <v>5030007588</v>
      </c>
      <c r="C440" s="604" t="s">
        <v>762</v>
      </c>
      <c r="D440" s="588" t="s">
        <v>610</v>
      </c>
      <c r="F440"/>
    </row>
    <row r="441" spans="1:6" x14ac:dyDescent="0.25">
      <c r="A441" s="603" t="s">
        <v>1471</v>
      </c>
      <c r="B441" s="587" t="s">
        <v>1472</v>
      </c>
      <c r="C441" s="605">
        <v>1723</v>
      </c>
      <c r="D441" s="588" t="s">
        <v>610</v>
      </c>
      <c r="F441"/>
    </row>
    <row r="442" spans="1:6" x14ac:dyDescent="0.25">
      <c r="A442" s="603" t="s">
        <v>1473</v>
      </c>
      <c r="B442" s="587">
        <v>2318027449</v>
      </c>
      <c r="C442" s="604" t="s">
        <v>798</v>
      </c>
      <c r="D442" s="588" t="s">
        <v>610</v>
      </c>
      <c r="F442"/>
    </row>
    <row r="443" spans="1:6" x14ac:dyDescent="0.25">
      <c r="A443" s="603" t="s">
        <v>1474</v>
      </c>
      <c r="B443" s="587">
        <v>7719633686</v>
      </c>
      <c r="C443" s="605">
        <v>1725</v>
      </c>
      <c r="D443" s="588" t="s">
        <v>610</v>
      </c>
      <c r="F443"/>
    </row>
    <row r="444" spans="1:6" x14ac:dyDescent="0.25">
      <c r="A444" s="603" t="s">
        <v>1475</v>
      </c>
      <c r="B444" s="587" t="s">
        <v>1476</v>
      </c>
      <c r="C444" s="604" t="s">
        <v>799</v>
      </c>
      <c r="D444" s="588" t="s">
        <v>610</v>
      </c>
      <c r="F444"/>
    </row>
    <row r="445" spans="1:6" x14ac:dyDescent="0.25">
      <c r="A445" s="603" t="s">
        <v>1477</v>
      </c>
      <c r="B445" s="587" t="s">
        <v>1478</v>
      </c>
      <c r="C445" s="605">
        <v>1727</v>
      </c>
      <c r="D445" s="588" t="s">
        <v>610</v>
      </c>
      <c r="F445"/>
    </row>
    <row r="446" spans="1:6" x14ac:dyDescent="0.25">
      <c r="A446" s="603" t="s">
        <v>1479</v>
      </c>
      <c r="B446" s="587" t="s">
        <v>1480</v>
      </c>
      <c r="C446" s="604" t="s">
        <v>800</v>
      </c>
      <c r="D446" s="588" t="s">
        <v>610</v>
      </c>
      <c r="F446"/>
    </row>
    <row r="447" spans="1:6" x14ac:dyDescent="0.25">
      <c r="A447" s="603" t="s">
        <v>1481</v>
      </c>
      <c r="B447" s="587">
        <v>5904007369</v>
      </c>
      <c r="C447" s="604" t="s">
        <v>805</v>
      </c>
      <c r="D447" s="588" t="s">
        <v>610</v>
      </c>
      <c r="F447"/>
    </row>
    <row r="448" spans="1:6" x14ac:dyDescent="0.25">
      <c r="A448" s="601" t="s">
        <v>608</v>
      </c>
      <c r="B448" s="591">
        <v>7704861136</v>
      </c>
      <c r="C448" s="602">
        <v>1800</v>
      </c>
      <c r="D448" s="591" t="s">
        <v>608</v>
      </c>
      <c r="F448"/>
    </row>
    <row r="449" spans="1:6" x14ac:dyDescent="0.25">
      <c r="A449" s="603" t="s">
        <v>1482</v>
      </c>
      <c r="B449" s="587">
        <v>7708784387</v>
      </c>
      <c r="C449" s="604" t="s">
        <v>662</v>
      </c>
      <c r="D449" s="588" t="s">
        <v>608</v>
      </c>
      <c r="F449"/>
    </row>
    <row r="450" spans="1:6" x14ac:dyDescent="0.25">
      <c r="A450" s="603" t="s">
        <v>1483</v>
      </c>
      <c r="B450" s="587">
        <v>7709811643</v>
      </c>
      <c r="C450" s="604" t="s">
        <v>663</v>
      </c>
      <c r="D450" s="588" t="s">
        <v>608</v>
      </c>
      <c r="F450"/>
    </row>
    <row r="451" spans="1:6" x14ac:dyDescent="0.25">
      <c r="A451" s="603" t="s">
        <v>1484</v>
      </c>
      <c r="B451" s="587">
        <v>7717750345</v>
      </c>
      <c r="C451" s="604">
        <v>1804</v>
      </c>
      <c r="D451" s="588" t="s">
        <v>608</v>
      </c>
      <c r="F451"/>
    </row>
    <row r="452" spans="1:6" x14ac:dyDescent="0.25">
      <c r="A452" s="603" t="s">
        <v>1485</v>
      </c>
      <c r="B452" s="587">
        <v>3123281533</v>
      </c>
      <c r="C452" s="604">
        <v>1805</v>
      </c>
      <c r="D452" s="588" t="s">
        <v>608</v>
      </c>
      <c r="F452"/>
    </row>
    <row r="453" spans="1:6" x14ac:dyDescent="0.25">
      <c r="A453" s="603" t="s">
        <v>1486</v>
      </c>
      <c r="B453" s="587">
        <v>7717798611</v>
      </c>
      <c r="C453" s="604">
        <v>1806</v>
      </c>
      <c r="D453" s="588" t="s">
        <v>608</v>
      </c>
      <c r="F453"/>
    </row>
    <row r="454" spans="1:6" x14ac:dyDescent="0.25">
      <c r="A454" s="603" t="s">
        <v>1487</v>
      </c>
      <c r="B454" s="587">
        <v>9717017050</v>
      </c>
      <c r="C454" s="604">
        <v>1807</v>
      </c>
      <c r="D454" s="588" t="s">
        <v>608</v>
      </c>
      <c r="F454"/>
    </row>
    <row r="455" spans="1:6" x14ac:dyDescent="0.25">
      <c r="A455" s="603" t="s">
        <v>1488</v>
      </c>
      <c r="B455" s="587">
        <v>9717019146</v>
      </c>
      <c r="C455" s="604">
        <v>1808</v>
      </c>
      <c r="D455" s="588" t="s">
        <v>608</v>
      </c>
      <c r="F455"/>
    </row>
    <row r="456" spans="1:6" x14ac:dyDescent="0.25">
      <c r="A456" s="603" t="s">
        <v>1489</v>
      </c>
      <c r="B456" s="587">
        <v>9717026175</v>
      </c>
      <c r="C456" s="604">
        <v>1809</v>
      </c>
      <c r="D456" s="588" t="s">
        <v>608</v>
      </c>
      <c r="F456"/>
    </row>
    <row r="457" spans="1:6" x14ac:dyDescent="0.25">
      <c r="A457" s="601" t="s">
        <v>617</v>
      </c>
      <c r="B457" s="591">
        <v>7734613934</v>
      </c>
      <c r="C457" s="602">
        <v>1900</v>
      </c>
      <c r="D457" s="591" t="s">
        <v>617</v>
      </c>
      <c r="F457"/>
    </row>
    <row r="458" spans="1:6" x14ac:dyDescent="0.25">
      <c r="A458" s="603" t="s">
        <v>1490</v>
      </c>
      <c r="B458" s="587">
        <v>7727059017</v>
      </c>
      <c r="C458" s="604" t="s">
        <v>739</v>
      </c>
      <c r="D458" s="588" t="s">
        <v>617</v>
      </c>
      <c r="F458"/>
    </row>
    <row r="459" spans="1:6" x14ac:dyDescent="0.25">
      <c r="A459" s="603" t="s">
        <v>1491</v>
      </c>
      <c r="B459" s="587">
        <v>6678005832</v>
      </c>
      <c r="C459" s="604" t="s">
        <v>722</v>
      </c>
      <c r="D459" s="588" t="s">
        <v>617</v>
      </c>
      <c r="F459"/>
    </row>
    <row r="460" spans="1:6" x14ac:dyDescent="0.25">
      <c r="A460" s="603" t="s">
        <v>1492</v>
      </c>
      <c r="B460" s="587">
        <v>6671385737</v>
      </c>
      <c r="C460" s="604" t="s">
        <v>723</v>
      </c>
      <c r="D460" s="588" t="s">
        <v>617</v>
      </c>
      <c r="F460"/>
    </row>
    <row r="461" spans="1:6" x14ac:dyDescent="0.25">
      <c r="A461" s="603" t="s">
        <v>1493</v>
      </c>
      <c r="B461" s="587">
        <v>4025431260</v>
      </c>
      <c r="C461" s="604" t="s">
        <v>724</v>
      </c>
      <c r="D461" s="588" t="s">
        <v>617</v>
      </c>
      <c r="F461"/>
    </row>
    <row r="462" spans="1:6" x14ac:dyDescent="0.25">
      <c r="A462" s="603" t="s">
        <v>1494</v>
      </c>
      <c r="B462" s="587">
        <v>7728767622</v>
      </c>
      <c r="C462" s="604" t="s">
        <v>725</v>
      </c>
      <c r="D462" s="588" t="s">
        <v>617</v>
      </c>
      <c r="F462"/>
    </row>
    <row r="463" spans="1:6" x14ac:dyDescent="0.25">
      <c r="A463" s="603" t="s">
        <v>1495</v>
      </c>
      <c r="B463" s="587">
        <v>7720303065</v>
      </c>
      <c r="C463" s="604" t="s">
        <v>726</v>
      </c>
      <c r="D463" s="588" t="s">
        <v>617</v>
      </c>
      <c r="F463"/>
    </row>
    <row r="464" spans="1:6" x14ac:dyDescent="0.25">
      <c r="A464" s="603" t="s">
        <v>1496</v>
      </c>
      <c r="B464" s="587">
        <v>6950161416</v>
      </c>
      <c r="C464" s="604" t="s">
        <v>727</v>
      </c>
      <c r="D464" s="588" t="s">
        <v>617</v>
      </c>
      <c r="F464"/>
    </row>
    <row r="465" spans="1:6" x14ac:dyDescent="0.25">
      <c r="A465" s="603" t="s">
        <v>1497</v>
      </c>
      <c r="B465" s="587">
        <v>7802559371</v>
      </c>
      <c r="C465" s="604" t="s">
        <v>728</v>
      </c>
      <c r="D465" s="588" t="s">
        <v>617</v>
      </c>
      <c r="F465"/>
    </row>
    <row r="466" spans="1:6" x14ac:dyDescent="0.25">
      <c r="A466" s="603" t="s">
        <v>1498</v>
      </c>
      <c r="B466" s="587">
        <v>7727795497</v>
      </c>
      <c r="C466" s="604" t="s">
        <v>729</v>
      </c>
      <c r="D466" s="588" t="s">
        <v>617</v>
      </c>
      <c r="F466"/>
    </row>
    <row r="467" spans="1:6" x14ac:dyDescent="0.25">
      <c r="A467" s="603" t="s">
        <v>1499</v>
      </c>
      <c r="B467" s="587">
        <v>7842452586</v>
      </c>
      <c r="C467" s="604" t="s">
        <v>730</v>
      </c>
      <c r="D467" s="588" t="s">
        <v>617</v>
      </c>
      <c r="F467"/>
    </row>
    <row r="468" spans="1:6" x14ac:dyDescent="0.25">
      <c r="A468" s="601" t="s">
        <v>1064</v>
      </c>
      <c r="B468" s="591">
        <v>7105515987</v>
      </c>
      <c r="C468" s="602">
        <v>2000</v>
      </c>
      <c r="D468" s="591" t="s">
        <v>1064</v>
      </c>
      <c r="F468"/>
    </row>
    <row r="469" spans="1:6" x14ac:dyDescent="0.25">
      <c r="A469" s="603" t="s">
        <v>1500</v>
      </c>
      <c r="B469" s="587">
        <v>5446013327</v>
      </c>
      <c r="C469" s="604" t="s">
        <v>731</v>
      </c>
      <c r="D469" s="588" t="s">
        <v>1064</v>
      </c>
      <c r="F469"/>
    </row>
    <row r="470" spans="1:6" x14ac:dyDescent="0.25">
      <c r="A470" s="603" t="s">
        <v>1501</v>
      </c>
      <c r="B470" s="587">
        <v>3255517496</v>
      </c>
      <c r="C470" s="604" t="s">
        <v>732</v>
      </c>
      <c r="D470" s="588" t="s">
        <v>1064</v>
      </c>
      <c r="F470"/>
    </row>
    <row r="471" spans="1:6" x14ac:dyDescent="0.25">
      <c r="A471" s="601" t="s">
        <v>1547</v>
      </c>
      <c r="B471" s="591" t="s">
        <v>1523</v>
      </c>
      <c r="C471" s="602">
        <v>2100</v>
      </c>
      <c r="D471" s="591" t="s">
        <v>1547</v>
      </c>
      <c r="F471"/>
    </row>
    <row r="472" spans="1:6" x14ac:dyDescent="0.25">
      <c r="A472" s="603" t="s">
        <v>1552</v>
      </c>
      <c r="B472" s="587">
        <v>3307000983</v>
      </c>
      <c r="C472" s="604">
        <v>2101</v>
      </c>
      <c r="D472" s="588" t="s">
        <v>1547</v>
      </c>
    </row>
    <row r="473" spans="1:6" x14ac:dyDescent="0.25">
      <c r="A473" s="603" t="s">
        <v>1553</v>
      </c>
      <c r="B473" s="587" t="s">
        <v>1524</v>
      </c>
      <c r="C473" s="604">
        <v>2102</v>
      </c>
      <c r="D473" s="588" t="s">
        <v>1547</v>
      </c>
    </row>
    <row r="474" spans="1:6" x14ac:dyDescent="0.25">
      <c r="A474" s="603" t="s">
        <v>1554</v>
      </c>
      <c r="B474" s="587">
        <v>6623049453</v>
      </c>
      <c r="C474" s="604">
        <v>2103</v>
      </c>
      <c r="D474" s="588" t="s">
        <v>1547</v>
      </c>
    </row>
    <row r="475" spans="1:6" x14ac:dyDescent="0.25">
      <c r="A475" s="603" t="s">
        <v>1555</v>
      </c>
      <c r="B475" s="587" t="s">
        <v>1525</v>
      </c>
      <c r="C475" s="604">
        <v>2104</v>
      </c>
      <c r="D475" s="588" t="s">
        <v>1547</v>
      </c>
    </row>
    <row r="476" spans="1:6" x14ac:dyDescent="0.25">
      <c r="A476" s="603" t="s">
        <v>1556</v>
      </c>
      <c r="B476" s="587">
        <v>7707696113</v>
      </c>
      <c r="C476" s="604">
        <v>2105</v>
      </c>
      <c r="D476" s="588" t="s">
        <v>1547</v>
      </c>
    </row>
    <row r="477" spans="1:6" x14ac:dyDescent="0.25">
      <c r="A477" s="603" t="s">
        <v>1557</v>
      </c>
      <c r="B477" s="587" t="s">
        <v>1526</v>
      </c>
      <c r="C477" s="604">
        <v>2106</v>
      </c>
      <c r="D477" s="588" t="s">
        <v>1547</v>
      </c>
    </row>
    <row r="478" spans="1:6" x14ac:dyDescent="0.25">
      <c r="A478" s="603" t="s">
        <v>1558</v>
      </c>
      <c r="B478" s="587" t="s">
        <v>1527</v>
      </c>
      <c r="C478" s="604">
        <v>2107</v>
      </c>
      <c r="D478" s="588" t="s">
        <v>1547</v>
      </c>
    </row>
    <row r="479" spans="1:6" x14ac:dyDescent="0.25">
      <c r="A479" s="603" t="s">
        <v>1559</v>
      </c>
      <c r="B479" s="587" t="s">
        <v>1528</v>
      </c>
      <c r="C479" s="604">
        <v>2108</v>
      </c>
      <c r="D479" s="588" t="s">
        <v>1547</v>
      </c>
    </row>
    <row r="480" spans="1:6" x14ac:dyDescent="0.25">
      <c r="A480" s="603" t="s">
        <v>1560</v>
      </c>
      <c r="B480" s="587" t="s">
        <v>1529</v>
      </c>
      <c r="C480" s="604">
        <v>2109</v>
      </c>
      <c r="D480" s="588" t="s">
        <v>1547</v>
      </c>
    </row>
    <row r="481" spans="1:4" x14ac:dyDescent="0.25">
      <c r="A481" s="603" t="s">
        <v>1561</v>
      </c>
      <c r="B481" s="587">
        <v>7807019443</v>
      </c>
      <c r="C481" s="604">
        <v>2110</v>
      </c>
      <c r="D481" s="588" t="s">
        <v>1547</v>
      </c>
    </row>
    <row r="482" spans="1:4" x14ac:dyDescent="0.25">
      <c r="A482" s="603" t="s">
        <v>1562</v>
      </c>
      <c r="B482" s="587" t="s">
        <v>1530</v>
      </c>
      <c r="C482" s="604">
        <v>2111</v>
      </c>
      <c r="D482" s="588" t="s">
        <v>1547</v>
      </c>
    </row>
    <row r="483" spans="1:4" x14ac:dyDescent="0.25">
      <c r="A483" s="603" t="s">
        <v>1563</v>
      </c>
      <c r="B483" s="587">
        <v>6614005361</v>
      </c>
      <c r="C483" s="604">
        <v>2112</v>
      </c>
      <c r="D483" s="588" t="s">
        <v>1547</v>
      </c>
    </row>
    <row r="484" spans="1:4" x14ac:dyDescent="0.25">
      <c r="A484" s="603" t="s">
        <v>1564</v>
      </c>
      <c r="B484" s="587">
        <v>6614005146</v>
      </c>
      <c r="C484" s="604">
        <v>2113</v>
      </c>
      <c r="D484" s="588" t="s">
        <v>1547</v>
      </c>
    </row>
    <row r="485" spans="1:4" x14ac:dyDescent="0.25">
      <c r="A485" s="603" t="s">
        <v>1565</v>
      </c>
      <c r="B485" s="587">
        <v>7709835066</v>
      </c>
      <c r="C485" s="604">
        <v>2114</v>
      </c>
      <c r="D485" s="588" t="s">
        <v>1547</v>
      </c>
    </row>
    <row r="486" spans="1:4" x14ac:dyDescent="0.25">
      <c r="A486" s="603" t="s">
        <v>1566</v>
      </c>
      <c r="B486" s="587" t="s">
        <v>1531</v>
      </c>
      <c r="C486" s="604">
        <v>2115</v>
      </c>
      <c r="D486" s="588" t="s">
        <v>1547</v>
      </c>
    </row>
    <row r="487" spans="1:4" x14ac:dyDescent="0.25">
      <c r="A487" s="603" t="s">
        <v>1551</v>
      </c>
      <c r="B487" s="587">
        <v>6623009965</v>
      </c>
      <c r="C487" s="604">
        <v>2116</v>
      </c>
      <c r="D487" s="588" t="s">
        <v>1547</v>
      </c>
    </row>
    <row r="488" spans="1:4" x14ac:dyDescent="0.25">
      <c r="A488" s="603" t="s">
        <v>1567</v>
      </c>
      <c r="B488" s="587">
        <v>6623025131</v>
      </c>
      <c r="C488" s="604">
        <v>2117</v>
      </c>
      <c r="D488" s="588" t="s">
        <v>1547</v>
      </c>
    </row>
    <row r="489" spans="1:4" x14ac:dyDescent="0.25">
      <c r="A489" s="603" t="s">
        <v>1521</v>
      </c>
      <c r="B489" s="587">
        <v>6623072830</v>
      </c>
      <c r="C489" s="604">
        <v>2118</v>
      </c>
      <c r="D489" s="588" t="s">
        <v>1547</v>
      </c>
    </row>
    <row r="490" spans="1:4" x14ac:dyDescent="0.25">
      <c r="A490" s="603" t="s">
        <v>1568</v>
      </c>
      <c r="B490" s="587">
        <v>6623038589</v>
      </c>
      <c r="C490" s="604">
        <v>2119</v>
      </c>
      <c r="D490" s="588" t="s">
        <v>1547</v>
      </c>
    </row>
    <row r="491" spans="1:4" x14ac:dyDescent="0.25">
      <c r="A491" s="603" t="s">
        <v>1569</v>
      </c>
      <c r="B491" s="587">
        <v>6674321266</v>
      </c>
      <c r="C491" s="604">
        <v>2120</v>
      </c>
      <c r="D491" s="588" t="s">
        <v>1547</v>
      </c>
    </row>
    <row r="492" spans="1:4" x14ac:dyDescent="0.25">
      <c r="A492" s="603" t="s">
        <v>1522</v>
      </c>
      <c r="B492" s="587">
        <v>6667002727</v>
      </c>
      <c r="C492" s="604">
        <v>2121</v>
      </c>
      <c r="D492" s="588" t="s">
        <v>1547</v>
      </c>
    </row>
    <row r="493" spans="1:4" x14ac:dyDescent="0.25">
      <c r="A493" s="603" t="s">
        <v>1550</v>
      </c>
      <c r="B493" s="587" t="s">
        <v>1532</v>
      </c>
      <c r="C493" s="604">
        <v>2122</v>
      </c>
      <c r="D493" s="588" t="s">
        <v>1547</v>
      </c>
    </row>
    <row r="494" spans="1:4" x14ac:dyDescent="0.25">
      <c r="A494" s="603" t="s">
        <v>1570</v>
      </c>
      <c r="B494" s="587">
        <v>7706430865</v>
      </c>
      <c r="C494" s="604">
        <v>2123</v>
      </c>
      <c r="D494" s="588" t="s">
        <v>1547</v>
      </c>
    </row>
    <row r="495" spans="1:4" x14ac:dyDescent="0.25">
      <c r="A495" s="603" t="s">
        <v>1571</v>
      </c>
      <c r="B495" s="587" t="s">
        <v>1533</v>
      </c>
      <c r="C495" s="604">
        <v>2124</v>
      </c>
      <c r="D495" s="588" t="s">
        <v>1547</v>
      </c>
    </row>
    <row r="496" spans="1:4" x14ac:dyDescent="0.25">
      <c r="A496" s="603" t="s">
        <v>1572</v>
      </c>
      <c r="B496" s="587" t="s">
        <v>1534</v>
      </c>
      <c r="C496" s="604">
        <v>2125</v>
      </c>
      <c r="D496" s="588" t="s">
        <v>1547</v>
      </c>
    </row>
    <row r="497" spans="1:4" x14ac:dyDescent="0.25">
      <c r="A497" s="603" t="s">
        <v>1573</v>
      </c>
      <c r="B497" s="587" t="s">
        <v>1535</v>
      </c>
      <c r="C497" s="604">
        <v>2126</v>
      </c>
      <c r="D497" s="588" t="s">
        <v>1547</v>
      </c>
    </row>
    <row r="498" spans="1:4" x14ac:dyDescent="0.25">
      <c r="A498" s="603" t="s">
        <v>1574</v>
      </c>
      <c r="B498" s="587" t="s">
        <v>1536</v>
      </c>
      <c r="C498" s="604">
        <v>2127</v>
      </c>
      <c r="D498" s="588" t="s">
        <v>1547</v>
      </c>
    </row>
    <row r="499" spans="1:4" x14ac:dyDescent="0.25">
      <c r="A499" s="603" t="s">
        <v>1575</v>
      </c>
      <c r="B499" s="587" t="s">
        <v>1537</v>
      </c>
      <c r="C499" s="604">
        <v>2128</v>
      </c>
      <c r="D499" s="588" t="s">
        <v>1547</v>
      </c>
    </row>
    <row r="500" spans="1:4" x14ac:dyDescent="0.25">
      <c r="A500" s="603" t="s">
        <v>1576</v>
      </c>
      <c r="B500" s="587" t="s">
        <v>1538</v>
      </c>
      <c r="C500" s="604">
        <v>2129</v>
      </c>
      <c r="D500" s="588" t="s">
        <v>1547</v>
      </c>
    </row>
    <row r="501" spans="1:4" x14ac:dyDescent="0.25">
      <c r="A501" s="603" t="s">
        <v>1577</v>
      </c>
      <c r="B501" s="587" t="s">
        <v>1539</v>
      </c>
      <c r="C501" s="604">
        <v>2130</v>
      </c>
      <c r="D501" s="588" t="s">
        <v>1547</v>
      </c>
    </row>
    <row r="502" spans="1:4" x14ac:dyDescent="0.25">
      <c r="A502" s="603" t="s">
        <v>1578</v>
      </c>
      <c r="B502" s="587" t="s">
        <v>1540</v>
      </c>
      <c r="C502" s="604">
        <v>2131</v>
      </c>
      <c r="D502" s="588" t="s">
        <v>1547</v>
      </c>
    </row>
    <row r="503" spans="1:4" x14ac:dyDescent="0.25">
      <c r="A503" s="603" t="s">
        <v>1579</v>
      </c>
      <c r="B503" s="587">
        <v>6623074298</v>
      </c>
      <c r="C503" s="604">
        <v>2132</v>
      </c>
      <c r="D503" s="588" t="s">
        <v>1547</v>
      </c>
    </row>
    <row r="504" spans="1:4" x14ac:dyDescent="0.25">
      <c r="A504" s="603" t="s">
        <v>1580</v>
      </c>
      <c r="B504" s="587">
        <v>7452027843</v>
      </c>
      <c r="C504" s="604">
        <v>2133</v>
      </c>
      <c r="D504" s="588" t="s">
        <v>1547</v>
      </c>
    </row>
    <row r="505" spans="1:4" x14ac:dyDescent="0.25">
      <c r="A505" s="603" t="s">
        <v>1581</v>
      </c>
      <c r="B505" s="587" t="s">
        <v>1541</v>
      </c>
      <c r="C505" s="604">
        <v>2134</v>
      </c>
      <c r="D505" s="588" t="s">
        <v>1547</v>
      </c>
    </row>
    <row r="506" spans="1:4" x14ac:dyDescent="0.25">
      <c r="A506" s="603" t="s">
        <v>1582</v>
      </c>
      <c r="B506" s="587" t="s">
        <v>1542</v>
      </c>
      <c r="C506" s="604">
        <v>2135</v>
      </c>
      <c r="D506" s="588" t="s">
        <v>1547</v>
      </c>
    </row>
    <row r="507" spans="1:4" x14ac:dyDescent="0.25">
      <c r="A507" s="603" t="s">
        <v>1583</v>
      </c>
      <c r="B507" s="587">
        <v>7452046148</v>
      </c>
      <c r="C507" s="604">
        <v>2136</v>
      </c>
      <c r="D507" s="588" t="s">
        <v>1547</v>
      </c>
    </row>
    <row r="508" spans="1:4" x14ac:dyDescent="0.25">
      <c r="A508" s="603" t="s">
        <v>1584</v>
      </c>
      <c r="B508" s="587">
        <v>7449130449</v>
      </c>
      <c r="C508" s="604">
        <v>2137</v>
      </c>
      <c r="D508" s="588" t="s">
        <v>1547</v>
      </c>
    </row>
    <row r="509" spans="1:4" x14ac:dyDescent="0.25">
      <c r="A509" s="603" t="s">
        <v>1543</v>
      </c>
      <c r="B509" s="587">
        <v>4230020425</v>
      </c>
      <c r="C509" s="604">
        <v>2138</v>
      </c>
      <c r="D509" s="588" t="s">
        <v>1547</v>
      </c>
    </row>
    <row r="510" spans="1:4" x14ac:dyDescent="0.25">
      <c r="A510" s="603" t="s">
        <v>1585</v>
      </c>
      <c r="B510" s="587">
        <v>7705945830</v>
      </c>
      <c r="C510" s="604">
        <v>2139</v>
      </c>
      <c r="D510" s="588" t="s">
        <v>1547</v>
      </c>
    </row>
    <row r="511" spans="1:4" x14ac:dyDescent="0.25">
      <c r="A511" s="603" t="s">
        <v>1586</v>
      </c>
      <c r="B511" s="587">
        <v>6623117174</v>
      </c>
      <c r="C511" s="604">
        <v>2140</v>
      </c>
      <c r="D511" s="588" t="s">
        <v>1547</v>
      </c>
    </row>
    <row r="512" spans="1:4" x14ac:dyDescent="0.25">
      <c r="A512" s="603" t="s">
        <v>1544</v>
      </c>
      <c r="B512" s="587">
        <v>6623083084</v>
      </c>
      <c r="C512" s="604">
        <v>2141</v>
      </c>
      <c r="D512" s="588" t="s">
        <v>1547</v>
      </c>
    </row>
    <row r="513" spans="1:4" x14ac:dyDescent="0.25">
      <c r="A513" s="603" t="s">
        <v>1587</v>
      </c>
      <c r="B513" s="587">
        <v>6617025687</v>
      </c>
      <c r="C513" s="604">
        <v>2142</v>
      </c>
      <c r="D513" s="588" t="s">
        <v>1547</v>
      </c>
    </row>
    <row r="514" spans="1:4" x14ac:dyDescent="0.25">
      <c r="A514" s="603" t="s">
        <v>1588</v>
      </c>
      <c r="B514" s="587">
        <v>6623107225</v>
      </c>
      <c r="C514" s="604">
        <v>2143</v>
      </c>
      <c r="D514" s="588" t="s">
        <v>1547</v>
      </c>
    </row>
    <row r="515" spans="1:4" x14ac:dyDescent="0.25">
      <c r="A515" s="603" t="s">
        <v>1589</v>
      </c>
      <c r="B515" s="587" t="s">
        <v>1545</v>
      </c>
      <c r="C515" s="604">
        <v>2144</v>
      </c>
      <c r="D515" s="588" t="s">
        <v>1547</v>
      </c>
    </row>
    <row r="516" spans="1:4" x14ac:dyDescent="0.25">
      <c r="A516" s="603" t="s">
        <v>1548</v>
      </c>
      <c r="B516" s="587">
        <v>6623033566</v>
      </c>
      <c r="C516" s="604">
        <v>2145</v>
      </c>
      <c r="D516" s="588" t="s">
        <v>1547</v>
      </c>
    </row>
    <row r="517" spans="1:4" x14ac:dyDescent="0.25">
      <c r="A517" s="603" t="s">
        <v>1549</v>
      </c>
      <c r="B517" s="587">
        <v>6623090363</v>
      </c>
      <c r="C517" s="604">
        <v>2146</v>
      </c>
      <c r="D517" s="588" t="s">
        <v>1547</v>
      </c>
    </row>
    <row r="518" spans="1:4" x14ac:dyDescent="0.25">
      <c r="A518" s="603" t="s">
        <v>1590</v>
      </c>
      <c r="B518" s="587">
        <v>6623070230</v>
      </c>
      <c r="C518" s="604">
        <v>2147</v>
      </c>
      <c r="D518" s="588" t="s">
        <v>1547</v>
      </c>
    </row>
    <row r="519" spans="1:4" x14ac:dyDescent="0.25">
      <c r="A519" s="603" t="s">
        <v>1591</v>
      </c>
      <c r="B519" s="587">
        <v>6623116999</v>
      </c>
      <c r="C519" s="604">
        <v>2148</v>
      </c>
      <c r="D519" s="588" t="s">
        <v>1547</v>
      </c>
    </row>
    <row r="520" spans="1:4" x14ac:dyDescent="0.25">
      <c r="A520" s="603" t="s">
        <v>1592</v>
      </c>
      <c r="B520" s="587">
        <v>7453276761</v>
      </c>
      <c r="C520" s="604">
        <v>2149</v>
      </c>
      <c r="D520" s="588" t="s">
        <v>1547</v>
      </c>
    </row>
    <row r="521" spans="1:4" x14ac:dyDescent="0.25">
      <c r="A521" s="603" t="s">
        <v>1593</v>
      </c>
      <c r="B521" s="587">
        <v>7452112175</v>
      </c>
      <c r="C521" s="604">
        <v>2150</v>
      </c>
      <c r="D521" s="588" t="s">
        <v>1547</v>
      </c>
    </row>
    <row r="522" spans="1:4" x14ac:dyDescent="0.25">
      <c r="A522" s="603" t="s">
        <v>1594</v>
      </c>
      <c r="B522" s="587" t="s">
        <v>1546</v>
      </c>
      <c r="C522" s="604">
        <v>2151</v>
      </c>
      <c r="D522" s="588" t="s">
        <v>1547</v>
      </c>
    </row>
  </sheetData>
  <autoFilter ref="A1:D470"/>
  <mergeCells count="1">
    <mergeCell ref="F1:G1"/>
  </mergeCells>
  <conditionalFormatting sqref="C1:C470 C523:C1048576">
    <cfRule type="duplicateValues" dxfId="8" priority="9"/>
  </conditionalFormatting>
  <conditionalFormatting sqref="B1:B470 B523:B1048576">
    <cfRule type="duplicateValues" dxfId="7" priority="8"/>
  </conditionalFormatting>
  <conditionalFormatting sqref="A1:A470 A523:A1048576">
    <cfRule type="duplicateValues" dxfId="6" priority="7"/>
  </conditionalFormatting>
  <conditionalFormatting sqref="C471">
    <cfRule type="duplicateValues" dxfId="5" priority="6"/>
  </conditionalFormatting>
  <conditionalFormatting sqref="B471">
    <cfRule type="duplicateValues" dxfId="4" priority="5"/>
  </conditionalFormatting>
  <conditionalFormatting sqref="A471">
    <cfRule type="duplicateValues" dxfId="3" priority="4"/>
  </conditionalFormatting>
  <conditionalFormatting sqref="C472:C522">
    <cfRule type="duplicateValues" dxfId="2" priority="3"/>
  </conditionalFormatting>
  <conditionalFormatting sqref="B472:B522">
    <cfRule type="duplicateValues" dxfId="1" priority="2"/>
  </conditionalFormatting>
  <conditionalFormatting sqref="A472:A5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2:O100"/>
  <sheetViews>
    <sheetView topLeftCell="B1" workbookViewId="0">
      <selection activeCell="L11" sqref="L11"/>
    </sheetView>
  </sheetViews>
  <sheetFormatPr defaultRowHeight="15" x14ac:dyDescent="0.25"/>
  <cols>
    <col min="1" max="1" width="9.140625" style="1"/>
    <col min="2" max="2" width="68" style="1" customWidth="1"/>
    <col min="3" max="3" width="10" style="1" customWidth="1"/>
    <col min="4" max="4" width="5.42578125" style="1" customWidth="1"/>
    <col min="5" max="5" width="32.7109375" style="1" bestFit="1" customWidth="1"/>
    <col min="6" max="6" width="5.85546875" style="1" customWidth="1"/>
    <col min="7" max="7" width="16.140625" style="1" customWidth="1"/>
    <col min="8" max="8" width="9.140625" style="1"/>
    <col min="9" max="9" width="9.7109375" style="1" customWidth="1"/>
    <col min="10" max="10" width="9.140625" style="1"/>
    <col min="11" max="11" width="8.7109375" style="1" customWidth="1"/>
    <col min="12" max="12" width="59.7109375" style="1" customWidth="1"/>
    <col min="13" max="13" width="9.140625" style="1"/>
    <col min="14" max="14" width="11.28515625" style="1" customWidth="1"/>
    <col min="15" max="15" width="11.140625" style="1" customWidth="1"/>
    <col min="16" max="16384" width="9.140625" style="1"/>
  </cols>
  <sheetData>
    <row r="2" spans="2:15" ht="25.5" x14ac:dyDescent="0.25">
      <c r="B2" s="45" t="s">
        <v>41</v>
      </c>
      <c r="C2" s="45" t="s">
        <v>42</v>
      </c>
      <c r="D2" s="46"/>
      <c r="E2" s="45" t="s">
        <v>43</v>
      </c>
      <c r="F2" s="46"/>
      <c r="G2" s="45" t="s">
        <v>708</v>
      </c>
      <c r="I2" s="45" t="s">
        <v>304</v>
      </c>
      <c r="K2" s="45" t="s">
        <v>868</v>
      </c>
      <c r="L2" s="45" t="s">
        <v>713</v>
      </c>
      <c r="N2" s="45" t="s">
        <v>1046</v>
      </c>
    </row>
    <row r="3" spans="2:15" ht="38.25" x14ac:dyDescent="0.25">
      <c r="B3" s="47" t="s">
        <v>44</v>
      </c>
      <c r="C3" s="48" t="s">
        <v>45</v>
      </c>
      <c r="D3" s="49"/>
      <c r="E3" s="50" t="s">
        <v>47</v>
      </c>
      <c r="F3" s="49"/>
      <c r="G3" s="50" t="s">
        <v>64</v>
      </c>
      <c r="I3" s="50" t="s">
        <v>305</v>
      </c>
      <c r="K3" s="47" t="s">
        <v>869</v>
      </c>
      <c r="L3" s="50" t="s">
        <v>763</v>
      </c>
      <c r="N3" s="50" t="s">
        <v>833</v>
      </c>
      <c r="O3" s="282"/>
    </row>
    <row r="4" spans="2:15" ht="25.5" x14ac:dyDescent="0.25">
      <c r="B4" s="47" t="s">
        <v>48</v>
      </c>
      <c r="C4" s="48" t="s">
        <v>49</v>
      </c>
      <c r="D4" s="49"/>
      <c r="E4" s="252" t="s">
        <v>46</v>
      </c>
      <c r="F4" s="49"/>
      <c r="G4" s="50" t="s">
        <v>65</v>
      </c>
      <c r="I4" s="50" t="s">
        <v>306</v>
      </c>
      <c r="K4" s="47" t="s">
        <v>870</v>
      </c>
      <c r="L4" s="50" t="s">
        <v>764</v>
      </c>
      <c r="N4" s="50" t="s">
        <v>834</v>
      </c>
    </row>
    <row r="5" spans="2:15" ht="25.5" x14ac:dyDescent="0.25">
      <c r="B5" s="47" t="s">
        <v>50</v>
      </c>
      <c r="C5" s="48" t="s">
        <v>51</v>
      </c>
      <c r="D5" s="49"/>
      <c r="E5" s="252" t="s">
        <v>675</v>
      </c>
      <c r="F5" s="49"/>
      <c r="G5" s="50" t="s">
        <v>66</v>
      </c>
      <c r="I5" s="50" t="s">
        <v>307</v>
      </c>
      <c r="K5" s="47" t="s">
        <v>871</v>
      </c>
      <c r="L5" s="50" t="s">
        <v>872</v>
      </c>
      <c r="N5" s="50" t="s">
        <v>835</v>
      </c>
    </row>
    <row r="6" spans="2:15" ht="38.25" x14ac:dyDescent="0.25">
      <c r="B6" s="47" t="s">
        <v>53</v>
      </c>
      <c r="C6" s="48" t="s">
        <v>54</v>
      </c>
      <c r="D6" s="49"/>
      <c r="E6" s="50" t="s">
        <v>52</v>
      </c>
      <c r="F6" s="49"/>
      <c r="G6" s="50" t="s">
        <v>67</v>
      </c>
      <c r="I6" s="50" t="s">
        <v>308</v>
      </c>
      <c r="K6" s="47" t="s">
        <v>873</v>
      </c>
      <c r="L6" s="50" t="s">
        <v>874</v>
      </c>
      <c r="N6" s="50" t="s">
        <v>836</v>
      </c>
    </row>
    <row r="7" spans="2:15" ht="38.25" x14ac:dyDescent="0.25">
      <c r="B7" s="47" t="s">
        <v>55</v>
      </c>
      <c r="C7" s="48" t="s">
        <v>56</v>
      </c>
      <c r="D7" s="49"/>
      <c r="E7" s="50" t="s">
        <v>62</v>
      </c>
      <c r="F7" s="49"/>
      <c r="G7" s="50" t="s">
        <v>68</v>
      </c>
      <c r="I7" s="50" t="s">
        <v>309</v>
      </c>
      <c r="K7" s="47" t="s">
        <v>875</v>
      </c>
      <c r="L7" s="50" t="s">
        <v>876</v>
      </c>
      <c r="N7" s="50" t="s">
        <v>837</v>
      </c>
    </row>
    <row r="8" spans="2:15" ht="25.5" x14ac:dyDescent="0.25">
      <c r="B8" s="47" t="s">
        <v>57</v>
      </c>
      <c r="C8" s="48" t="s">
        <v>58</v>
      </c>
      <c r="D8" s="49"/>
      <c r="E8" s="50" t="s">
        <v>59</v>
      </c>
      <c r="F8" s="49"/>
      <c r="G8" s="50" t="s">
        <v>69</v>
      </c>
      <c r="I8" s="50" t="s">
        <v>310</v>
      </c>
      <c r="K8" s="47" t="s">
        <v>877</v>
      </c>
      <c r="L8" s="50" t="s">
        <v>878</v>
      </c>
      <c r="N8" s="50" t="s">
        <v>838</v>
      </c>
    </row>
    <row r="9" spans="2:15" ht="38.25" x14ac:dyDescent="0.25">
      <c r="B9" s="47" t="s">
        <v>746</v>
      </c>
      <c r="C9" s="48" t="s">
        <v>747</v>
      </c>
      <c r="D9" s="49"/>
      <c r="E9" s="50" t="s">
        <v>60</v>
      </c>
      <c r="F9" s="49"/>
      <c r="G9" s="50" t="s">
        <v>70</v>
      </c>
      <c r="I9" s="50" t="s">
        <v>311</v>
      </c>
      <c r="K9" s="47" t="s">
        <v>879</v>
      </c>
      <c r="L9" s="50" t="s">
        <v>880</v>
      </c>
      <c r="N9" s="50" t="s">
        <v>839</v>
      </c>
    </row>
    <row r="10" spans="2:15" ht="25.5" x14ac:dyDescent="0.25">
      <c r="B10" s="418"/>
      <c r="C10" s="49"/>
      <c r="D10" s="49"/>
      <c r="E10" s="50" t="s">
        <v>61</v>
      </c>
      <c r="F10" s="49"/>
      <c r="G10" s="50" t="s">
        <v>71</v>
      </c>
      <c r="I10" s="50" t="s">
        <v>312</v>
      </c>
      <c r="K10" s="47" t="s">
        <v>881</v>
      </c>
      <c r="L10" s="50" t="s">
        <v>882</v>
      </c>
      <c r="N10" s="50" t="s">
        <v>840</v>
      </c>
    </row>
    <row r="11" spans="2:15" ht="38.25" x14ac:dyDescent="0.25">
      <c r="B11" s="45" t="s">
        <v>707</v>
      </c>
      <c r="C11" s="45" t="s">
        <v>42</v>
      </c>
      <c r="D11" s="49"/>
      <c r="E11" s="50" t="s">
        <v>1597</v>
      </c>
      <c r="F11" s="49"/>
      <c r="G11" s="50" t="s">
        <v>267</v>
      </c>
      <c r="I11" s="50" t="s">
        <v>313</v>
      </c>
      <c r="K11" s="47" t="s">
        <v>883</v>
      </c>
      <c r="L11" s="50" t="s">
        <v>884</v>
      </c>
      <c r="N11" s="50" t="s">
        <v>841</v>
      </c>
    </row>
    <row r="12" spans="2:15" ht="38.25" x14ac:dyDescent="0.25">
      <c r="B12" s="47" t="s">
        <v>99</v>
      </c>
      <c r="C12" s="48" t="s">
        <v>100</v>
      </c>
      <c r="D12" s="49"/>
      <c r="F12" s="49"/>
      <c r="G12" s="50" t="s">
        <v>72</v>
      </c>
      <c r="I12" s="50" t="s">
        <v>314</v>
      </c>
      <c r="K12" s="47" t="s">
        <v>885</v>
      </c>
      <c r="L12" s="50" t="s">
        <v>886</v>
      </c>
      <c r="N12" s="50" t="s">
        <v>842</v>
      </c>
    </row>
    <row r="13" spans="2:15" ht="38.25" x14ac:dyDescent="0.25">
      <c r="B13" s="47" t="s">
        <v>171</v>
      </c>
      <c r="C13" s="48" t="s">
        <v>172</v>
      </c>
      <c r="D13" s="49"/>
      <c r="F13" s="49"/>
      <c r="G13" s="50" t="s">
        <v>73</v>
      </c>
      <c r="I13" s="50" t="s">
        <v>315</v>
      </c>
      <c r="K13" s="47" t="s">
        <v>887</v>
      </c>
      <c r="L13" s="50" t="s">
        <v>765</v>
      </c>
      <c r="N13" s="50" t="s">
        <v>843</v>
      </c>
    </row>
    <row r="14" spans="2:15" ht="25.5" x14ac:dyDescent="0.25">
      <c r="B14" s="47" t="s">
        <v>101</v>
      </c>
      <c r="C14" s="48" t="s">
        <v>102</v>
      </c>
      <c r="D14" s="49"/>
      <c r="E14" s="46"/>
      <c r="F14" s="49"/>
      <c r="G14" s="50" t="s">
        <v>74</v>
      </c>
      <c r="I14" s="50" t="s">
        <v>316</v>
      </c>
      <c r="K14" s="47" t="s">
        <v>888</v>
      </c>
      <c r="L14" s="50" t="s">
        <v>889</v>
      </c>
      <c r="N14" s="50" t="s">
        <v>844</v>
      </c>
    </row>
    <row r="15" spans="2:15" ht="38.25" x14ac:dyDescent="0.25">
      <c r="B15" s="47" t="s">
        <v>175</v>
      </c>
      <c r="C15" s="48" t="s">
        <v>173</v>
      </c>
      <c r="D15" s="49"/>
      <c r="E15" s="45" t="s">
        <v>111</v>
      </c>
      <c r="F15" s="49"/>
      <c r="G15" s="50" t="s">
        <v>75</v>
      </c>
      <c r="K15" s="47" t="s">
        <v>890</v>
      </c>
      <c r="L15" s="50" t="s">
        <v>891</v>
      </c>
      <c r="N15" s="50" t="s">
        <v>845</v>
      </c>
    </row>
    <row r="16" spans="2:15" ht="25.5" x14ac:dyDescent="0.25">
      <c r="B16" s="47" t="s">
        <v>103</v>
      </c>
      <c r="C16" s="48" t="s">
        <v>104</v>
      </c>
      <c r="D16" s="49"/>
      <c r="E16" s="48" t="s">
        <v>112</v>
      </c>
      <c r="F16" s="49"/>
      <c r="G16" s="50" t="s">
        <v>76</v>
      </c>
      <c r="K16" s="47" t="s">
        <v>892</v>
      </c>
      <c r="L16" s="50" t="s">
        <v>893</v>
      </c>
      <c r="N16" s="50" t="s">
        <v>846</v>
      </c>
    </row>
    <row r="17" spans="2:14" ht="38.25" x14ac:dyDescent="0.25">
      <c r="B17" s="47" t="s">
        <v>176</v>
      </c>
      <c r="C17" s="48" t="s">
        <v>174</v>
      </c>
      <c r="D17" s="49"/>
      <c r="E17" s="48" t="s">
        <v>113</v>
      </c>
      <c r="F17" s="49"/>
      <c r="G17" s="50" t="s">
        <v>77</v>
      </c>
      <c r="K17" s="47" t="s">
        <v>894</v>
      </c>
      <c r="L17" s="50" t="s">
        <v>895</v>
      </c>
      <c r="N17" s="50" t="s">
        <v>847</v>
      </c>
    </row>
    <row r="18" spans="2:14" ht="25.5" x14ac:dyDescent="0.25">
      <c r="B18" s="47" t="s">
        <v>105</v>
      </c>
      <c r="C18" s="48" t="s">
        <v>106</v>
      </c>
      <c r="D18" s="49"/>
      <c r="E18" s="48" t="s">
        <v>98</v>
      </c>
      <c r="F18" s="49"/>
      <c r="G18" s="50" t="s">
        <v>78</v>
      </c>
      <c r="K18" s="47" t="s">
        <v>896</v>
      </c>
      <c r="L18" s="50" t="s">
        <v>897</v>
      </c>
      <c r="N18" s="50" t="s">
        <v>848</v>
      </c>
    </row>
    <row r="19" spans="2:14" ht="25.5" x14ac:dyDescent="0.25">
      <c r="B19" s="47" t="s">
        <v>177</v>
      </c>
      <c r="C19" s="48" t="s">
        <v>178</v>
      </c>
      <c r="D19" s="49"/>
      <c r="E19" s="49"/>
      <c r="F19" s="49"/>
      <c r="G19" s="50" t="s">
        <v>79</v>
      </c>
      <c r="K19" s="47" t="s">
        <v>898</v>
      </c>
      <c r="L19" s="50" t="s">
        <v>899</v>
      </c>
      <c r="N19" s="50" t="s">
        <v>849</v>
      </c>
    </row>
    <row r="20" spans="2:14" ht="25.5" x14ac:dyDescent="0.25">
      <c r="B20" s="47" t="s">
        <v>107</v>
      </c>
      <c r="C20" s="48" t="s">
        <v>108</v>
      </c>
      <c r="D20" s="49"/>
      <c r="E20" s="45" t="s">
        <v>198</v>
      </c>
      <c r="F20" s="49"/>
      <c r="G20" s="50" t="s">
        <v>80</v>
      </c>
      <c r="K20" s="47" t="s">
        <v>900</v>
      </c>
      <c r="L20" s="50" t="s">
        <v>901</v>
      </c>
      <c r="N20" s="50" t="s">
        <v>850</v>
      </c>
    </row>
    <row r="21" spans="2:14" ht="25.5" x14ac:dyDescent="0.25">
      <c r="B21" s="47" t="s">
        <v>180</v>
      </c>
      <c r="C21" s="48" t="s">
        <v>179</v>
      </c>
      <c r="D21" s="49"/>
      <c r="E21" s="217" t="s">
        <v>264</v>
      </c>
      <c r="F21" s="49"/>
      <c r="G21" s="50" t="s">
        <v>81</v>
      </c>
      <c r="K21" s="47" t="s">
        <v>902</v>
      </c>
      <c r="L21" s="50" t="s">
        <v>903</v>
      </c>
      <c r="N21" s="50" t="s">
        <v>851</v>
      </c>
    </row>
    <row r="22" spans="2:14" ht="25.5" x14ac:dyDescent="0.25">
      <c r="B22" s="47" t="s">
        <v>166</v>
      </c>
      <c r="C22" s="48" t="s">
        <v>186</v>
      </c>
      <c r="D22" s="49"/>
      <c r="E22" s="217" t="s">
        <v>608</v>
      </c>
      <c r="F22" s="49"/>
      <c r="G22" s="50" t="s">
        <v>82</v>
      </c>
      <c r="K22" s="47" t="s">
        <v>904</v>
      </c>
      <c r="L22" s="50" t="s">
        <v>905</v>
      </c>
      <c r="N22" s="50" t="s">
        <v>852</v>
      </c>
    </row>
    <row r="23" spans="2:14" ht="25.5" x14ac:dyDescent="0.25">
      <c r="B23" s="47" t="s">
        <v>181</v>
      </c>
      <c r="C23" s="48" t="s">
        <v>187</v>
      </c>
      <c r="D23" s="49"/>
      <c r="E23" s="217" t="s">
        <v>743</v>
      </c>
      <c r="F23" s="49"/>
      <c r="G23" s="50" t="s">
        <v>83</v>
      </c>
      <c r="K23" s="47" t="s">
        <v>906</v>
      </c>
      <c r="L23" s="50" t="s">
        <v>907</v>
      </c>
      <c r="N23" s="50" t="s">
        <v>853</v>
      </c>
    </row>
    <row r="24" spans="2:14" ht="25.5" x14ac:dyDescent="0.25">
      <c r="B24" s="47" t="s">
        <v>167</v>
      </c>
      <c r="C24" s="48" t="s">
        <v>188</v>
      </c>
      <c r="D24" s="49"/>
      <c r="E24" s="217" t="s">
        <v>199</v>
      </c>
      <c r="F24" s="49"/>
      <c r="G24" s="50" t="s">
        <v>84</v>
      </c>
      <c r="K24" s="47" t="s">
        <v>908</v>
      </c>
      <c r="L24" s="50" t="s">
        <v>909</v>
      </c>
      <c r="N24" s="50" t="s">
        <v>854</v>
      </c>
    </row>
    <row r="25" spans="2:14" ht="25.5" x14ac:dyDescent="0.25">
      <c r="B25" s="47" t="s">
        <v>182</v>
      </c>
      <c r="C25" s="48" t="s">
        <v>189</v>
      </c>
      <c r="D25" s="49"/>
      <c r="E25" s="217" t="s">
        <v>200</v>
      </c>
      <c r="F25" s="49"/>
      <c r="G25" s="50" t="s">
        <v>85</v>
      </c>
      <c r="K25" s="47" t="s">
        <v>910</v>
      </c>
      <c r="L25" s="50" t="s">
        <v>911</v>
      </c>
      <c r="N25" s="50" t="s">
        <v>855</v>
      </c>
    </row>
    <row r="26" spans="2:14" ht="25.5" x14ac:dyDescent="0.25">
      <c r="B26" s="47" t="s">
        <v>168</v>
      </c>
      <c r="C26" s="48" t="s">
        <v>191</v>
      </c>
      <c r="D26" s="49"/>
      <c r="E26" s="217" t="s">
        <v>609</v>
      </c>
      <c r="F26" s="49"/>
      <c r="G26" s="50" t="s">
        <v>86</v>
      </c>
      <c r="K26" s="47" t="s">
        <v>912</v>
      </c>
      <c r="L26" s="50" t="s">
        <v>913</v>
      </c>
      <c r="N26" s="50" t="s">
        <v>856</v>
      </c>
    </row>
    <row r="27" spans="2:14" ht="25.5" x14ac:dyDescent="0.25">
      <c r="B27" s="47" t="s">
        <v>183</v>
      </c>
      <c r="C27" s="48" t="s">
        <v>190</v>
      </c>
      <c r="D27" s="49"/>
      <c r="E27" s="217" t="s">
        <v>605</v>
      </c>
      <c r="F27" s="49"/>
      <c r="G27" s="50" t="s">
        <v>87</v>
      </c>
      <c r="K27" s="47" t="s">
        <v>914</v>
      </c>
      <c r="L27" s="50" t="s">
        <v>915</v>
      </c>
      <c r="N27" s="50" t="s">
        <v>857</v>
      </c>
    </row>
    <row r="28" spans="2:14" ht="38.25" x14ac:dyDescent="0.25">
      <c r="B28" s="47" t="s">
        <v>169</v>
      </c>
      <c r="C28" s="48" t="s">
        <v>192</v>
      </c>
      <c r="D28" s="49"/>
      <c r="E28" s="217" t="s">
        <v>703</v>
      </c>
      <c r="F28" s="49"/>
      <c r="G28" s="50" t="s">
        <v>88</v>
      </c>
      <c r="K28" s="47" t="s">
        <v>916</v>
      </c>
      <c r="L28" s="50" t="s">
        <v>917</v>
      </c>
      <c r="N28" s="50" t="s">
        <v>858</v>
      </c>
    </row>
    <row r="29" spans="2:14" ht="25.5" x14ac:dyDescent="0.25">
      <c r="B29" s="47" t="s">
        <v>184</v>
      </c>
      <c r="C29" s="48" t="s">
        <v>193</v>
      </c>
      <c r="D29" s="49"/>
      <c r="E29" s="217" t="s">
        <v>610</v>
      </c>
      <c r="F29" s="49"/>
      <c r="G29" s="50" t="s">
        <v>89</v>
      </c>
      <c r="K29" s="47" t="s">
        <v>918</v>
      </c>
      <c r="L29" s="50" t="s">
        <v>919</v>
      </c>
      <c r="N29" s="50" t="s">
        <v>859</v>
      </c>
    </row>
    <row r="30" spans="2:14" ht="25.5" x14ac:dyDescent="0.25">
      <c r="B30" s="47" t="s">
        <v>170</v>
      </c>
      <c r="C30" s="48" t="s">
        <v>195</v>
      </c>
      <c r="D30" s="49"/>
      <c r="E30" s="217" t="s">
        <v>201</v>
      </c>
      <c r="F30" s="49"/>
      <c r="G30" s="50" t="s">
        <v>90</v>
      </c>
      <c r="K30" s="47" t="s">
        <v>920</v>
      </c>
      <c r="L30" s="50" t="s">
        <v>921</v>
      </c>
      <c r="N30" s="50" t="s">
        <v>860</v>
      </c>
    </row>
    <row r="31" spans="2:14" ht="25.5" x14ac:dyDescent="0.25">
      <c r="B31" s="47" t="s">
        <v>185</v>
      </c>
      <c r="C31" s="48" t="s">
        <v>194</v>
      </c>
      <c r="D31" s="49"/>
      <c r="E31" s="217" t="s">
        <v>202</v>
      </c>
      <c r="F31" s="49"/>
      <c r="G31" s="50" t="s">
        <v>91</v>
      </c>
      <c r="K31" s="47" t="s">
        <v>922</v>
      </c>
      <c r="L31" s="50" t="s">
        <v>923</v>
      </c>
      <c r="N31" s="50" t="s">
        <v>861</v>
      </c>
    </row>
    <row r="32" spans="2:14" ht="25.5" x14ac:dyDescent="0.25">
      <c r="B32" s="47" t="s">
        <v>196</v>
      </c>
      <c r="C32" s="48" t="s">
        <v>197</v>
      </c>
      <c r="D32" s="49"/>
      <c r="E32" s="217" t="s">
        <v>203</v>
      </c>
      <c r="F32" s="49"/>
      <c r="G32" s="50" t="s">
        <v>92</v>
      </c>
      <c r="K32" s="47" t="s">
        <v>924</v>
      </c>
      <c r="L32" s="50" t="s">
        <v>925</v>
      </c>
    </row>
    <row r="33" spans="2:12" ht="25.5" x14ac:dyDescent="0.25">
      <c r="B33" s="47" t="s">
        <v>109</v>
      </c>
      <c r="C33" s="48" t="s">
        <v>110</v>
      </c>
      <c r="D33" s="49"/>
      <c r="E33" s="217" t="s">
        <v>606</v>
      </c>
      <c r="F33" s="49"/>
      <c r="G33" s="50" t="s">
        <v>265</v>
      </c>
      <c r="K33" s="47" t="s">
        <v>926</v>
      </c>
      <c r="L33" s="50" t="s">
        <v>927</v>
      </c>
    </row>
    <row r="34" spans="2:12" ht="38.25" x14ac:dyDescent="0.25">
      <c r="B34" s="47" t="s">
        <v>1595</v>
      </c>
      <c r="C34" s="48" t="s">
        <v>1596</v>
      </c>
      <c r="D34" s="49"/>
      <c r="E34" s="217" t="s">
        <v>611</v>
      </c>
      <c r="F34" s="49"/>
      <c r="G34" s="50" t="s">
        <v>93</v>
      </c>
      <c r="K34" s="47" t="s">
        <v>928</v>
      </c>
      <c r="L34" s="50" t="s">
        <v>929</v>
      </c>
    </row>
    <row r="35" spans="2:12" ht="25.5" x14ac:dyDescent="0.25">
      <c r="B35" s="47" t="s">
        <v>98</v>
      </c>
      <c r="C35" s="48"/>
      <c r="D35" s="49"/>
      <c r="E35" s="217" t="s">
        <v>612</v>
      </c>
      <c r="F35" s="49"/>
      <c r="G35" s="50" t="s">
        <v>94</v>
      </c>
      <c r="K35" s="47" t="s">
        <v>930</v>
      </c>
      <c r="L35" s="50" t="s">
        <v>931</v>
      </c>
    </row>
    <row r="36" spans="2:12" ht="25.5" x14ac:dyDescent="0.25">
      <c r="B36" s="49"/>
      <c r="C36" s="49"/>
      <c r="D36" s="49"/>
      <c r="E36" s="217" t="s">
        <v>607</v>
      </c>
      <c r="F36" s="49"/>
      <c r="G36" s="50" t="s">
        <v>95</v>
      </c>
      <c r="K36" s="47" t="s">
        <v>932</v>
      </c>
      <c r="L36" s="50" t="s">
        <v>933</v>
      </c>
    </row>
    <row r="37" spans="2:12" ht="25.5" x14ac:dyDescent="0.25">
      <c r="B37" s="45" t="s">
        <v>148</v>
      </c>
      <c r="C37" s="45" t="s">
        <v>42</v>
      </c>
      <c r="D37" s="49"/>
      <c r="E37" s="217" t="s">
        <v>613</v>
      </c>
      <c r="F37" s="49"/>
      <c r="G37" s="50" t="s">
        <v>266</v>
      </c>
      <c r="K37" s="47" t="s">
        <v>934</v>
      </c>
      <c r="L37" s="50" t="s">
        <v>935</v>
      </c>
    </row>
    <row r="38" spans="2:12" ht="25.5" x14ac:dyDescent="0.25">
      <c r="B38" s="47" t="s">
        <v>147</v>
      </c>
      <c r="C38" s="50" t="s">
        <v>162</v>
      </c>
      <c r="D38" s="49"/>
      <c r="E38" s="217" t="s">
        <v>614</v>
      </c>
      <c r="F38" s="49"/>
      <c r="G38" s="50" t="s">
        <v>96</v>
      </c>
      <c r="K38" s="47" t="s">
        <v>936</v>
      </c>
      <c r="L38" s="50" t="s">
        <v>937</v>
      </c>
    </row>
    <row r="39" spans="2:12" ht="25.5" x14ac:dyDescent="0.25">
      <c r="B39" s="47" t="s">
        <v>149</v>
      </c>
      <c r="C39" s="50" t="s">
        <v>163</v>
      </c>
      <c r="D39" s="49"/>
      <c r="E39" s="217" t="s">
        <v>615</v>
      </c>
      <c r="F39" s="49"/>
      <c r="G39" s="50" t="s">
        <v>97</v>
      </c>
      <c r="K39" s="47" t="s">
        <v>938</v>
      </c>
      <c r="L39" s="50" t="s">
        <v>939</v>
      </c>
    </row>
    <row r="40" spans="2:12" ht="32.25" customHeight="1" x14ac:dyDescent="0.25">
      <c r="B40" s="47" t="s">
        <v>150</v>
      </c>
      <c r="C40" s="50" t="s">
        <v>164</v>
      </c>
      <c r="D40" s="49"/>
      <c r="E40" s="217" t="s">
        <v>616</v>
      </c>
      <c r="F40" s="49"/>
      <c r="G40" s="50" t="s">
        <v>619</v>
      </c>
      <c r="K40" s="47" t="s">
        <v>940</v>
      </c>
      <c r="L40" s="50" t="s">
        <v>941</v>
      </c>
    </row>
    <row r="41" spans="2:12" ht="25.5" x14ac:dyDescent="0.25">
      <c r="B41" s="49"/>
      <c r="C41" s="49"/>
      <c r="D41" s="49"/>
      <c r="E41" s="217" t="s">
        <v>617</v>
      </c>
      <c r="F41" s="49"/>
      <c r="G41" s="50" t="s">
        <v>620</v>
      </c>
      <c r="K41" s="47" t="s">
        <v>942</v>
      </c>
      <c r="L41" s="50" t="s">
        <v>943</v>
      </c>
    </row>
    <row r="42" spans="2:12" ht="25.5" x14ac:dyDescent="0.25">
      <c r="B42" s="49"/>
      <c r="C42" s="49"/>
      <c r="D42" s="49"/>
      <c r="E42" s="217" t="s">
        <v>321</v>
      </c>
      <c r="F42" s="49"/>
      <c r="G42" s="50" t="s">
        <v>621</v>
      </c>
      <c r="K42" s="47" t="s">
        <v>944</v>
      </c>
      <c r="L42" s="50" t="s">
        <v>945</v>
      </c>
    </row>
    <row r="43" spans="2:12" ht="38.25" x14ac:dyDescent="0.25">
      <c r="B43" s="49"/>
      <c r="C43" s="49"/>
      <c r="D43" s="49"/>
      <c r="E43" s="217" t="s">
        <v>618</v>
      </c>
      <c r="F43" s="49"/>
      <c r="G43" s="50" t="s">
        <v>622</v>
      </c>
      <c r="K43" s="47" t="s">
        <v>946</v>
      </c>
      <c r="L43" s="50" t="s">
        <v>947</v>
      </c>
    </row>
    <row r="44" spans="2:12" ht="38.25" x14ac:dyDescent="0.25">
      <c r="B44" s="49"/>
      <c r="C44" s="49"/>
      <c r="D44" s="49"/>
      <c r="E44" s="217" t="s">
        <v>604</v>
      </c>
      <c r="F44" s="49"/>
      <c r="G44" s="50" t="s">
        <v>623</v>
      </c>
      <c r="K44" s="47" t="s">
        <v>948</v>
      </c>
      <c r="L44" s="50" t="s">
        <v>949</v>
      </c>
    </row>
    <row r="45" spans="2:12" ht="25.5" x14ac:dyDescent="0.25">
      <c r="B45" s="49"/>
      <c r="C45" s="49"/>
      <c r="D45" s="49"/>
      <c r="E45" s="51" t="s">
        <v>263</v>
      </c>
      <c r="F45" s="49"/>
      <c r="G45" s="50" t="s">
        <v>624</v>
      </c>
      <c r="K45" s="47" t="s">
        <v>950</v>
      </c>
      <c r="L45" s="50" t="s">
        <v>951</v>
      </c>
    </row>
    <row r="46" spans="2:12" ht="25.5" x14ac:dyDescent="0.25">
      <c r="B46" s="49"/>
      <c r="C46" s="49"/>
      <c r="D46" s="49"/>
      <c r="F46" s="49"/>
      <c r="G46" s="50" t="s">
        <v>625</v>
      </c>
      <c r="K46" s="47" t="s">
        <v>952</v>
      </c>
      <c r="L46" s="50" t="s">
        <v>953</v>
      </c>
    </row>
    <row r="47" spans="2:12" ht="25.5" x14ac:dyDescent="0.25">
      <c r="B47" s="49"/>
      <c r="C47" s="49"/>
      <c r="D47" s="49"/>
      <c r="E47" s="49"/>
      <c r="F47" s="49"/>
      <c r="G47" s="50" t="s">
        <v>626</v>
      </c>
      <c r="K47" s="47" t="s">
        <v>954</v>
      </c>
      <c r="L47" s="50" t="s">
        <v>955</v>
      </c>
    </row>
    <row r="48" spans="2:12" ht="25.5" x14ac:dyDescent="0.25">
      <c r="B48" s="49"/>
      <c r="C48" s="49"/>
      <c r="D48" s="49"/>
      <c r="E48" s="49"/>
      <c r="F48" s="49"/>
      <c r="G48" s="50" t="s">
        <v>627</v>
      </c>
      <c r="K48" s="47" t="s">
        <v>956</v>
      </c>
      <c r="L48" s="50" t="s">
        <v>957</v>
      </c>
    </row>
    <row r="49" spans="2:12" ht="25.5" x14ac:dyDescent="0.25">
      <c r="B49" s="49"/>
      <c r="C49" s="49"/>
      <c r="D49" s="49"/>
      <c r="E49" s="49"/>
      <c r="F49" s="49"/>
      <c r="G49" s="50" t="s">
        <v>628</v>
      </c>
      <c r="K49" s="47" t="s">
        <v>958</v>
      </c>
      <c r="L49" s="50" t="s">
        <v>959</v>
      </c>
    </row>
    <row r="50" spans="2:12" ht="25.5" x14ac:dyDescent="0.25">
      <c r="B50" s="49"/>
      <c r="C50" s="49"/>
      <c r="D50" s="49"/>
      <c r="E50" s="49"/>
      <c r="F50" s="49"/>
      <c r="G50" s="50" t="s">
        <v>629</v>
      </c>
      <c r="K50" s="47" t="s">
        <v>960</v>
      </c>
      <c r="L50" s="50" t="s">
        <v>961</v>
      </c>
    </row>
    <row r="51" spans="2:12" ht="25.5" x14ac:dyDescent="0.25">
      <c r="B51" s="49"/>
      <c r="C51" s="49"/>
      <c r="D51" s="49"/>
      <c r="E51" s="49"/>
      <c r="F51" s="49"/>
      <c r="G51" s="50" t="s">
        <v>630</v>
      </c>
      <c r="K51" s="47" t="s">
        <v>962</v>
      </c>
      <c r="L51" s="50" t="s">
        <v>963</v>
      </c>
    </row>
    <row r="52" spans="2:12" ht="25.5" x14ac:dyDescent="0.25">
      <c r="B52" s="49"/>
      <c r="C52" s="49"/>
      <c r="D52" s="49"/>
      <c r="E52" s="49"/>
      <c r="F52" s="49"/>
      <c r="G52" s="50" t="s">
        <v>817</v>
      </c>
      <c r="K52" s="47" t="s">
        <v>964</v>
      </c>
      <c r="L52" s="50" t="s">
        <v>965</v>
      </c>
    </row>
    <row r="53" spans="2:12" ht="25.5" x14ac:dyDescent="0.25">
      <c r="B53" s="49"/>
      <c r="C53" s="49"/>
      <c r="E53" s="49"/>
      <c r="G53" s="50" t="s">
        <v>818</v>
      </c>
      <c r="K53" s="47" t="s">
        <v>966</v>
      </c>
      <c r="L53" s="50" t="s">
        <v>967</v>
      </c>
    </row>
    <row r="54" spans="2:12" ht="38.25" x14ac:dyDescent="0.25">
      <c r="E54" s="49"/>
      <c r="G54" s="50" t="s">
        <v>819</v>
      </c>
      <c r="K54" s="47" t="s">
        <v>968</v>
      </c>
      <c r="L54" s="50" t="s">
        <v>969</v>
      </c>
    </row>
    <row r="55" spans="2:12" ht="25.5" x14ac:dyDescent="0.25">
      <c r="E55" s="49"/>
      <c r="G55" s="50" t="s">
        <v>820</v>
      </c>
      <c r="K55" s="47" t="s">
        <v>970</v>
      </c>
      <c r="L55" s="50" t="s">
        <v>971</v>
      </c>
    </row>
    <row r="56" spans="2:12" ht="40.5" customHeight="1" x14ac:dyDescent="0.25">
      <c r="B56" s="808" t="s">
        <v>706</v>
      </c>
      <c r="C56" s="808"/>
      <c r="D56" s="808"/>
      <c r="E56" s="808"/>
      <c r="F56" s="808"/>
      <c r="G56" s="50" t="s">
        <v>821</v>
      </c>
      <c r="K56" s="47" t="s">
        <v>972</v>
      </c>
      <c r="L56" s="50" t="s">
        <v>973</v>
      </c>
    </row>
    <row r="57" spans="2:12" ht="31.5" customHeight="1" x14ac:dyDescent="0.25">
      <c r="B57" s="808" t="s">
        <v>710</v>
      </c>
      <c r="C57" s="808"/>
      <c r="D57" s="808"/>
      <c r="E57" s="808"/>
      <c r="F57" s="808"/>
      <c r="G57" s="50" t="s">
        <v>822</v>
      </c>
      <c r="K57" s="47" t="s">
        <v>974</v>
      </c>
      <c r="L57" s="50" t="s">
        <v>975</v>
      </c>
    </row>
    <row r="58" spans="2:12" ht="25.5" x14ac:dyDescent="0.25">
      <c r="E58" s="49"/>
      <c r="G58" s="50" t="s">
        <v>823</v>
      </c>
      <c r="K58" s="47" t="s">
        <v>976</v>
      </c>
      <c r="L58" s="50" t="s">
        <v>714</v>
      </c>
    </row>
    <row r="59" spans="2:12" ht="38.25" x14ac:dyDescent="0.25">
      <c r="G59" s="50" t="s">
        <v>824</v>
      </c>
      <c r="K59" s="47" t="s">
        <v>977</v>
      </c>
      <c r="L59" s="50" t="s">
        <v>766</v>
      </c>
    </row>
    <row r="60" spans="2:12" ht="38.25" x14ac:dyDescent="0.25">
      <c r="G60" s="50" t="s">
        <v>825</v>
      </c>
      <c r="K60" s="47" t="s">
        <v>978</v>
      </c>
      <c r="L60" s="50" t="s">
        <v>979</v>
      </c>
    </row>
    <row r="61" spans="2:12" ht="38.25" x14ac:dyDescent="0.25">
      <c r="G61" s="50" t="s">
        <v>826</v>
      </c>
      <c r="K61" s="47" t="s">
        <v>980</v>
      </c>
      <c r="L61" s="50" t="s">
        <v>767</v>
      </c>
    </row>
    <row r="62" spans="2:12" ht="38.25" x14ac:dyDescent="0.25">
      <c r="G62" s="50" t="s">
        <v>98</v>
      </c>
      <c r="K62" s="47" t="s">
        <v>981</v>
      </c>
      <c r="L62" s="50" t="s">
        <v>768</v>
      </c>
    </row>
    <row r="63" spans="2:12" ht="25.5" x14ac:dyDescent="0.25">
      <c r="G63" s="50" t="s">
        <v>709</v>
      </c>
      <c r="K63" s="47" t="s">
        <v>982</v>
      </c>
      <c r="L63" s="50" t="s">
        <v>769</v>
      </c>
    </row>
    <row r="64" spans="2:12" ht="25.5" x14ac:dyDescent="0.25">
      <c r="K64" s="47" t="s">
        <v>983</v>
      </c>
      <c r="L64" s="50" t="s">
        <v>770</v>
      </c>
    </row>
    <row r="65" spans="11:12" ht="25.5" x14ac:dyDescent="0.25">
      <c r="K65" s="47" t="s">
        <v>984</v>
      </c>
      <c r="L65" s="50" t="s">
        <v>771</v>
      </c>
    </row>
    <row r="66" spans="11:12" ht="38.25" x14ac:dyDescent="0.25">
      <c r="K66" s="47" t="s">
        <v>985</v>
      </c>
      <c r="L66" s="50" t="s">
        <v>772</v>
      </c>
    </row>
    <row r="67" spans="11:12" ht="25.5" x14ac:dyDescent="0.25">
      <c r="K67" s="47" t="s">
        <v>986</v>
      </c>
      <c r="L67" s="50" t="s">
        <v>773</v>
      </c>
    </row>
    <row r="68" spans="11:12" ht="38.25" x14ac:dyDescent="0.25">
      <c r="K68" s="47" t="s">
        <v>987</v>
      </c>
      <c r="L68" s="50" t="s">
        <v>774</v>
      </c>
    </row>
    <row r="69" spans="11:12" ht="25.5" x14ac:dyDescent="0.25">
      <c r="K69" s="47" t="s">
        <v>988</v>
      </c>
      <c r="L69" s="50" t="s">
        <v>775</v>
      </c>
    </row>
    <row r="70" spans="11:12" x14ac:dyDescent="0.25">
      <c r="K70" s="47" t="s">
        <v>989</v>
      </c>
      <c r="L70" s="50" t="s">
        <v>776</v>
      </c>
    </row>
    <row r="71" spans="11:12" x14ac:dyDescent="0.25">
      <c r="K71" s="47" t="s">
        <v>990</v>
      </c>
      <c r="L71" s="50" t="s">
        <v>777</v>
      </c>
    </row>
    <row r="72" spans="11:12" x14ac:dyDescent="0.25">
      <c r="K72" s="47" t="s">
        <v>991</v>
      </c>
      <c r="L72" s="50" t="s">
        <v>778</v>
      </c>
    </row>
    <row r="73" spans="11:12" x14ac:dyDescent="0.25">
      <c r="K73" s="47" t="s">
        <v>992</v>
      </c>
      <c r="L73" s="50" t="s">
        <v>779</v>
      </c>
    </row>
    <row r="74" spans="11:12" ht="25.5" x14ac:dyDescent="0.25">
      <c r="K74" s="47" t="s">
        <v>993</v>
      </c>
      <c r="L74" s="50" t="s">
        <v>994</v>
      </c>
    </row>
    <row r="75" spans="11:12" ht="25.5" x14ac:dyDescent="0.25">
      <c r="K75" s="47" t="s">
        <v>995</v>
      </c>
      <c r="L75" s="50" t="s">
        <v>780</v>
      </c>
    </row>
    <row r="76" spans="11:12" x14ac:dyDescent="0.25">
      <c r="K76" s="47" t="s">
        <v>996</v>
      </c>
      <c r="L76" s="50" t="s">
        <v>781</v>
      </c>
    </row>
    <row r="77" spans="11:12" x14ac:dyDescent="0.25">
      <c r="K77" s="47" t="s">
        <v>997</v>
      </c>
      <c r="L77" s="50" t="s">
        <v>782</v>
      </c>
    </row>
    <row r="78" spans="11:12" ht="25.5" x14ac:dyDescent="0.25">
      <c r="K78" s="47" t="s">
        <v>998</v>
      </c>
      <c r="L78" s="50" t="s">
        <v>783</v>
      </c>
    </row>
    <row r="79" spans="11:12" ht="25.5" x14ac:dyDescent="0.25">
      <c r="K79" s="47" t="s">
        <v>999</v>
      </c>
      <c r="L79" s="50" t="s">
        <v>784</v>
      </c>
    </row>
    <row r="80" spans="11:12" x14ac:dyDescent="0.25">
      <c r="K80" s="47" t="s">
        <v>1000</v>
      </c>
      <c r="L80" s="50" t="s">
        <v>785</v>
      </c>
    </row>
    <row r="81" spans="11:12" ht="38.25" x14ac:dyDescent="0.25">
      <c r="K81" s="47" t="s">
        <v>1001</v>
      </c>
      <c r="L81" s="50" t="s">
        <v>1002</v>
      </c>
    </row>
    <row r="82" spans="11:12" ht="38.25" x14ac:dyDescent="0.25">
      <c r="K82" s="47" t="s">
        <v>1003</v>
      </c>
      <c r="L82" s="50" t="s">
        <v>1004</v>
      </c>
    </row>
    <row r="83" spans="11:12" ht="38.25" x14ac:dyDescent="0.25">
      <c r="K83" s="47" t="s">
        <v>1005</v>
      </c>
      <c r="L83" s="50" t="s">
        <v>1006</v>
      </c>
    </row>
    <row r="84" spans="11:12" ht="38.25" x14ac:dyDescent="0.25">
      <c r="K84" s="47" t="s">
        <v>1007</v>
      </c>
      <c r="L84" s="50" t="s">
        <v>1008</v>
      </c>
    </row>
    <row r="85" spans="11:12" ht="38.25" x14ac:dyDescent="0.25">
      <c r="K85" s="47" t="s">
        <v>1009</v>
      </c>
      <c r="L85" s="50" t="s">
        <v>1010</v>
      </c>
    </row>
    <row r="86" spans="11:12" ht="25.5" x14ac:dyDescent="0.25">
      <c r="K86" s="47" t="s">
        <v>1011</v>
      </c>
      <c r="L86" s="50" t="s">
        <v>1012</v>
      </c>
    </row>
    <row r="87" spans="11:12" ht="38.25" x14ac:dyDescent="0.25">
      <c r="K87" s="47" t="s">
        <v>1013</v>
      </c>
      <c r="L87" s="50" t="s">
        <v>1014</v>
      </c>
    </row>
    <row r="88" spans="11:12" ht="25.5" x14ac:dyDescent="0.25">
      <c r="K88" s="47" t="s">
        <v>1015</v>
      </c>
      <c r="L88" s="50" t="s">
        <v>1016</v>
      </c>
    </row>
    <row r="89" spans="11:12" ht="38.25" x14ac:dyDescent="0.25">
      <c r="K89" s="47" t="s">
        <v>1017</v>
      </c>
      <c r="L89" s="50" t="s">
        <v>1018</v>
      </c>
    </row>
    <row r="90" spans="11:12" ht="38.25" x14ac:dyDescent="0.25">
      <c r="K90" s="47" t="s">
        <v>1019</v>
      </c>
      <c r="L90" s="50" t="s">
        <v>1020</v>
      </c>
    </row>
    <row r="91" spans="11:12" ht="38.25" x14ac:dyDescent="0.25">
      <c r="K91" s="47" t="s">
        <v>1021</v>
      </c>
      <c r="L91" s="50" t="s">
        <v>1022</v>
      </c>
    </row>
    <row r="92" spans="11:12" ht="38.25" x14ac:dyDescent="0.25">
      <c r="K92" s="47" t="s">
        <v>1023</v>
      </c>
      <c r="L92" s="50" t="s">
        <v>1024</v>
      </c>
    </row>
    <row r="93" spans="11:12" ht="38.25" x14ac:dyDescent="0.25">
      <c r="K93" s="47" t="s">
        <v>1025</v>
      </c>
      <c r="L93" s="50" t="s">
        <v>1026</v>
      </c>
    </row>
    <row r="94" spans="11:12" ht="38.25" x14ac:dyDescent="0.25">
      <c r="K94" s="47" t="s">
        <v>1027</v>
      </c>
      <c r="L94" s="50" t="s">
        <v>1028</v>
      </c>
    </row>
    <row r="95" spans="11:12" ht="38.25" x14ac:dyDescent="0.25">
      <c r="K95" s="47" t="s">
        <v>1029</v>
      </c>
      <c r="L95" s="50" t="s">
        <v>1030</v>
      </c>
    </row>
    <row r="96" spans="11:12" ht="38.25" x14ac:dyDescent="0.25">
      <c r="K96" s="47" t="s">
        <v>1031</v>
      </c>
      <c r="L96" s="50" t="s">
        <v>1032</v>
      </c>
    </row>
    <row r="97" spans="11:12" ht="38.25" x14ac:dyDescent="0.25">
      <c r="K97" s="47" t="s">
        <v>1033</v>
      </c>
      <c r="L97" s="50" t="s">
        <v>1034</v>
      </c>
    </row>
    <row r="98" spans="11:12" ht="38.25" x14ac:dyDescent="0.25">
      <c r="K98" s="47" t="s">
        <v>1035</v>
      </c>
      <c r="L98" s="50" t="s">
        <v>1036</v>
      </c>
    </row>
    <row r="99" spans="11:12" ht="38.25" x14ac:dyDescent="0.25">
      <c r="K99" s="47" t="s">
        <v>1037</v>
      </c>
      <c r="L99" s="50" t="s">
        <v>1038</v>
      </c>
    </row>
    <row r="100" spans="11:12" ht="38.25" x14ac:dyDescent="0.25">
      <c r="K100" s="47" t="s">
        <v>1039</v>
      </c>
      <c r="L100" s="50" t="s">
        <v>1040</v>
      </c>
    </row>
  </sheetData>
  <mergeCells count="2">
    <mergeCell ref="B56:F56"/>
    <mergeCell ref="B57:F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РПЗ</vt:lpstr>
      <vt:lpstr>РПЦЗ</vt:lpstr>
      <vt:lpstr>ПП</vt:lpstr>
      <vt:lpstr>Отчет РПЗ(ПЗ)_ПЗИП</vt:lpstr>
      <vt:lpstr>Закупки до 100-500т.р.</vt:lpstr>
      <vt:lpstr>Отчет о ПП</vt:lpstr>
      <vt:lpstr>Коды заказчиков</vt:lpstr>
      <vt:lpstr>Справочно</vt:lpstr>
      <vt:lpstr>Диапазон1</vt:lpstr>
      <vt:lpstr>Источник_112</vt:lpstr>
      <vt:lpstr>п7_1352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Аксенов Илья Олегович</dc:creator>
  <cp:lastModifiedBy>Калимуллина Энже Рафаиловна</cp:lastModifiedBy>
  <cp:lastPrinted>2016-11-28T08:40:29Z</cp:lastPrinted>
  <dcterms:created xsi:type="dcterms:W3CDTF">2015-04-27T08:46:38Z</dcterms:created>
  <dcterms:modified xsi:type="dcterms:W3CDTF">2017-09-15T11:46:14Z</dcterms:modified>
</cp:coreProperties>
</file>