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olta\Nextcloud\School\MECH-390\Data\"/>
    </mc:Choice>
  </mc:AlternateContent>
  <xr:revisionPtr revIDLastSave="0" documentId="13_ncr:1_{90292362-45DD-414C-BACC-791C789187FD}" xr6:coauthVersionLast="47" xr6:coauthVersionMax="47" xr10:uidLastSave="{00000000-0000-0000-0000-000000000000}"/>
  <bookViews>
    <workbookView xWindow="3840" yWindow="2448" windowWidth="23232" windowHeight="12576" xr2:uid="{00000000-000D-0000-FFFF-FFFF00000000}"/>
  </bookViews>
  <sheets>
    <sheet name="2-Stage" sheetId="4" r:id="rId1"/>
    <sheet name="3-Stage" sheetId="5" r:id="rId2"/>
    <sheet name="Gears (obsolete)" sheetId="1" r:id="rId3"/>
    <sheet name="Results" sheetId="3" r:id="rId4"/>
    <sheet name="Here Be Dragons" sheetId="6" r:id="rId5"/>
  </sheets>
  <functionGroups builtInGroupCount="19"/>
  <definedNames>
    <definedName name="_xleta.COS" hidden="1" xlm="1">#NAME?</definedName>
    <definedName name="_xleta.FORECAST.LINEAR" hidden="1" xlm="1">#NAME?</definedName>
    <definedName name="_xleta.PI" hidden="1" xlm="1">#NAME?</definedName>
    <definedName name="_xleta.SQRT" hidden="1" xlm="1">#NAME?</definedName>
    <definedName name="B">'Here Be Dragons'!$W$11</definedName>
    <definedName name="C_">'Here Be Dragons'!$W$12</definedName>
    <definedName name="F">'2-Stage'!$I$11</definedName>
    <definedName name="gear_values">'Here Be Dragons'!$G$58:$G$63</definedName>
    <definedName name="gear1">'Here Be Dragons'!$E$60</definedName>
    <definedName name="Helix">'2-Stage'!$D$10</definedName>
    <definedName name="J">'2-Stage'!$I$12</definedName>
    <definedName name="Kb">'2-Stage'!$T$8</definedName>
    <definedName name="Km">'2-Stage'!$T$9</definedName>
    <definedName name="Ko">'2-Stage'!$T$6</definedName>
    <definedName name="Kr">'2-Stage'!$T$14</definedName>
    <definedName name="Ks">'2-Stage'!$T$7</definedName>
    <definedName name="Kv">'2-Stage'!$T$10</definedName>
    <definedName name="P">'2-Stage'!$D$5</definedName>
    <definedName name="Pd">'2-Stage'!$D$12</definedName>
    <definedName name="pinion_values">'Here Be Dragons'!$H$57:$M$57</definedName>
    <definedName name="pinion1">'Here Be Dragons'!$J$55</definedName>
    <definedName name="SF">'2-Stage'!$T$13</definedName>
    <definedName name="st1_">'2-Stage'!$I$14</definedName>
    <definedName name="vt">'Here Be Dragons'!$W$10</definedName>
    <definedName name="vt1_">'2-Stage'!$I$8</definedName>
    <definedName name="wf">'2-Stage'!$D$6</definedName>
    <definedName name="wp">'2-Stage'!$D$4</definedName>
    <definedName name="Wt1_">'2-Stage'!$I$9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5" i="4" l="1"/>
  <c r="I5" i="4"/>
  <c r="N28" i="6"/>
  <c r="W11" i="6"/>
  <c r="W12" i="6" s="1"/>
  <c r="I18" i="4" l="1"/>
  <c r="I17" i="4" s="1"/>
  <c r="T14" i="4"/>
  <c r="T6" i="4"/>
  <c r="W36" i="6"/>
  <c r="W39" i="6" s="1"/>
  <c r="D6" i="4"/>
  <c r="D7" i="4" s="1"/>
  <c r="D9" i="4" s="1"/>
  <c r="D5" i="4"/>
  <c r="I4" i="4" s="1"/>
  <c r="D12" i="4"/>
  <c r="T18" i="4"/>
  <c r="T17" i="4"/>
  <c r="I46" i="6"/>
  <c r="I31" i="6"/>
  <c r="I39" i="6"/>
  <c r="J39" i="6" s="1"/>
  <c r="I38" i="6"/>
  <c r="J38" i="6" s="1"/>
  <c r="I32" i="6"/>
  <c r="I33" i="6"/>
  <c r="W24" i="6"/>
  <c r="W28" i="6" s="1"/>
  <c r="H49" i="1"/>
  <c r="H48" i="1"/>
  <c r="H50" i="1" s="1"/>
  <c r="H47" i="1"/>
  <c r="A5" i="3"/>
  <c r="A6" i="3"/>
  <c r="A7" i="3"/>
  <c r="A8" i="3"/>
  <c r="A9" i="3" s="1"/>
  <c r="A10" i="3" s="1"/>
  <c r="A11" i="3" s="1"/>
  <c r="A12" i="3" s="1"/>
  <c r="A13" i="3" s="1"/>
  <c r="A14" i="3" s="1"/>
  <c r="A15" i="3" s="1"/>
  <c r="A4" i="3"/>
  <c r="D41" i="1"/>
  <c r="D53" i="1"/>
  <c r="D52" i="1"/>
  <c r="H42" i="1" s="1"/>
  <c r="H44" i="1" s="1"/>
  <c r="H40" i="1"/>
  <c r="D56" i="1"/>
  <c r="H41" i="1"/>
  <c r="D9" i="1"/>
  <c r="I7" i="4" l="1"/>
  <c r="I10" i="4"/>
  <c r="W30" i="6"/>
  <c r="T11" i="4" s="1"/>
  <c r="I16" i="4"/>
  <c r="I40" i="6"/>
  <c r="I34" i="6"/>
  <c r="W29" i="6"/>
  <c r="W40" i="6"/>
  <c r="W41" i="6"/>
  <c r="T12" i="4" s="1"/>
  <c r="I11" i="4"/>
  <c r="I6" i="4"/>
  <c r="I36" i="6" s="1"/>
  <c r="H46" i="1"/>
  <c r="D46" i="1" s="1"/>
  <c r="H51" i="1" s="1"/>
  <c r="H54" i="1" s="1"/>
  <c r="H43" i="1"/>
  <c r="I12" i="4" l="1"/>
  <c r="M20" i="6"/>
  <c r="I8" i="4"/>
  <c r="J17" i="6"/>
  <c r="I42" i="6"/>
  <c r="I43" i="6" s="1"/>
  <c r="I37" i="6"/>
  <c r="I35" i="6"/>
  <c r="J18" i="6"/>
  <c r="J23" i="6" s="1"/>
  <c r="H52" i="1"/>
  <c r="H55" i="1" s="1"/>
  <c r="I9" i="4" l="1"/>
  <c r="W10" i="6"/>
  <c r="W13" i="6" s="1"/>
  <c r="T10" i="4" s="1"/>
  <c r="K20" i="6"/>
  <c r="J19" i="6"/>
  <c r="I41" i="6"/>
  <c r="I44" i="6" s="1"/>
  <c r="I45" i="6" s="1"/>
  <c r="I13" i="4" s="1"/>
  <c r="K21" i="6"/>
  <c r="J20" i="6" s="1"/>
  <c r="T9" i="4" l="1"/>
  <c r="I14" i="4" s="1"/>
  <c r="I19" i="4" s="1"/>
  <c r="H31" i="4" s="1"/>
  <c r="J31" i="4" s="1"/>
  <c r="I15" i="4"/>
  <c r="I20" i="4" s="1"/>
  <c r="H32" i="4" s="1"/>
  <c r="J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Antony Monir</author>
  </authors>
  <commentList>
    <comment ref="C40" authorId="0" shapeId="0" xr:uid="{D7782A97-C9C3-4D0F-AA04-72CCE320FAEC}">
      <text>
        <r>
          <rPr>
            <b/>
            <sz val="9"/>
            <color indexed="81"/>
            <rFont val="Tahoma"/>
            <family val="2"/>
          </rPr>
          <t>Antony Monir:</t>
        </r>
        <r>
          <rPr>
            <sz val="9"/>
            <color indexed="81"/>
            <rFont val="Tahoma"/>
            <family val="2"/>
          </rPr>
          <t xml:space="preserve">
Pd here is assumed to be the normal diametral pitch
</t>
        </r>
      </text>
    </comment>
    <comment ref="D58" authorId="0" shapeId="0" xr:uid="{81976301-9A2B-4B36-A3E2-09208B0B387D}">
      <text>
        <r>
          <rPr>
            <b/>
            <sz val="9"/>
            <color indexed="81"/>
            <rFont val="Tahoma"/>
            <family val="2"/>
          </rPr>
          <t>Antony Monir:</t>
        </r>
        <r>
          <rPr>
            <sz val="9"/>
            <color indexed="81"/>
            <rFont val="Tahoma"/>
            <family val="2"/>
          </rPr>
          <t xml:space="preserve">
dependencies on pinion and gear teeth number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A716E8-7B9F-45D5-8A9B-6042154DF9A1}" keepAlive="1" name="Query - all_combinations" description="Connection to the 'all_combinations' query in the workbook." type="5" refreshedVersion="8" background="1" saveData="1">
    <dbPr connection="Provider=Microsoft.Mashup.OleDb.1;Data Source=$Workbook$;Location=all_combinations;Extended Properties=&quot;&quot;" command="SELECT * FROM [all_combinations]"/>
  </connection>
</connections>
</file>

<file path=xl/sharedStrings.xml><?xml version="1.0" encoding="utf-8"?>
<sst xmlns="http://schemas.openxmlformats.org/spreadsheetml/2006/main" count="364" uniqueCount="291">
  <si>
    <t>Important Values</t>
  </si>
  <si>
    <t>Intermediary Calculations 1</t>
  </si>
  <si>
    <t>Intermediary Calculations 2</t>
  </si>
  <si>
    <t>Constants</t>
  </si>
  <si>
    <t>RPM Input</t>
  </si>
  <si>
    <t>Name</t>
  </si>
  <si>
    <t>Variable</t>
  </si>
  <si>
    <t>Value</t>
  </si>
  <si>
    <t>Notes</t>
  </si>
  <si>
    <t>Input Speed</t>
  </si>
  <si>
    <t>ωp</t>
  </si>
  <si>
    <t>Choose with left slider. Value in RPM. Nominal = 2250</t>
  </si>
  <si>
    <t>Torque</t>
  </si>
  <si>
    <t>T</t>
  </si>
  <si>
    <t>Units lb*in</t>
  </si>
  <si>
    <t>Pressure Angle</t>
  </si>
  <si>
    <t>φ</t>
  </si>
  <si>
    <t>Units °. Fixed value</t>
  </si>
  <si>
    <t>Power</t>
  </si>
  <si>
    <t>P</t>
  </si>
  <si>
    <t>Value in HP. Linear interpolation</t>
  </si>
  <si>
    <t>Gear 1 Teeth Number</t>
  </si>
  <si>
    <t>Ng1</t>
  </si>
  <si>
    <t>Ideally between 20~500</t>
  </si>
  <si>
    <t xml:space="preserve">Elastic Coefficient </t>
  </si>
  <si>
    <t>Cp</t>
  </si>
  <si>
    <t>Steel-Steel</t>
  </si>
  <si>
    <t>Output Speed</t>
  </si>
  <si>
    <t>ωf</t>
  </si>
  <si>
    <t>Value in RPM. Linear interpolation</t>
  </si>
  <si>
    <t>Gear 1 Pitch Diameter</t>
  </si>
  <si>
    <t>Dg1</t>
  </si>
  <si>
    <t>Gear 1 Diametral Pitch</t>
  </si>
  <si>
    <t>Overload Factor</t>
  </si>
  <si>
    <t>Ko</t>
  </si>
  <si>
    <t>Light/Light</t>
  </si>
  <si>
    <t>Gear Ratio</t>
  </si>
  <si>
    <t>n</t>
  </si>
  <si>
    <t>Total Gear Ratio</t>
  </si>
  <si>
    <t>Pinion 1 Pitch Diameter</t>
  </si>
  <si>
    <t>Dp1</t>
  </si>
  <si>
    <t>Pinion 1 Diametral Pitch</t>
  </si>
  <si>
    <t>Size Factor</t>
  </si>
  <si>
    <t>Ks</t>
  </si>
  <si>
    <t>Assume Pd always &gt; 5</t>
  </si>
  <si>
    <t>Stage 1 Ratio</t>
  </si>
  <si>
    <t>n1</t>
  </si>
  <si>
    <t>Choose with left slider</t>
  </si>
  <si>
    <t>Pitch line speed 1</t>
  </si>
  <si>
    <t>vt1</t>
  </si>
  <si>
    <t>Units ft/min</t>
  </si>
  <si>
    <t>Rim Thickness Factor</t>
  </si>
  <si>
    <t>Kb</t>
  </si>
  <si>
    <t>Assume solid gears</t>
  </si>
  <si>
    <t>Stage 2 Ratio</t>
  </si>
  <si>
    <t>n2</t>
  </si>
  <si>
    <t>Tangential force 1</t>
  </si>
  <si>
    <t>Wt1</t>
  </si>
  <si>
    <t>Units lbs</t>
  </si>
  <si>
    <t>Load distribution Factor</t>
  </si>
  <si>
    <t>Km</t>
  </si>
  <si>
    <t>Commercial enclosed gears</t>
  </si>
  <si>
    <t>Helix angle</t>
  </si>
  <si>
    <t>ψ</t>
  </si>
  <si>
    <t>Units °. Choose from drop-down menu</t>
  </si>
  <si>
    <t>Axial pitch</t>
  </si>
  <si>
    <t>Px</t>
  </si>
  <si>
    <t>Dynamic Factor</t>
  </si>
  <si>
    <t>Kv</t>
  </si>
  <si>
    <t>Av7</t>
  </si>
  <si>
    <t>Normal Diametral Pitch</t>
  </si>
  <si>
    <t>Pnd</t>
  </si>
  <si>
    <t>Minimum 5 for simplicity</t>
  </si>
  <si>
    <t>Face width 1</t>
  </si>
  <si>
    <t>F</t>
  </si>
  <si>
    <t>Units in. Rounded up to nearest .25</t>
  </si>
  <si>
    <t>Geometry Factor</t>
  </si>
  <si>
    <t>J_base</t>
  </si>
  <si>
    <t>Interpolation Based on Graph Data</t>
  </si>
  <si>
    <t>Stage 1 Input</t>
  </si>
  <si>
    <t>Diametral Pitch</t>
  </si>
  <si>
    <t>Pd</t>
  </si>
  <si>
    <t>Pd=Pnd * cos(ψ) (this is the important one)</t>
  </si>
  <si>
    <t>Geometry Factor 1</t>
  </si>
  <si>
    <t>J</t>
  </si>
  <si>
    <t>Modifying Factor</t>
  </si>
  <si>
    <t>K</t>
  </si>
  <si>
    <t>Pinion 1 Teeth Number</t>
  </si>
  <si>
    <t>Np1</t>
  </si>
  <si>
    <t>Minimum 10, ideally 20+</t>
  </si>
  <si>
    <t>Pitting Resistance Factor 1</t>
  </si>
  <si>
    <t>I</t>
  </si>
  <si>
    <t xml:space="preserve">Cursed Equation </t>
  </si>
  <si>
    <t>Service Factor</t>
  </si>
  <si>
    <t>SF</t>
  </si>
  <si>
    <t>Pick value between 1~1.5</t>
  </si>
  <si>
    <t>Pinion 1 Bending stress</t>
  </si>
  <si>
    <t>st1</t>
  </si>
  <si>
    <t>Units psi</t>
  </si>
  <si>
    <t>Reliability Factor</t>
  </si>
  <si>
    <t>Kr</t>
  </si>
  <si>
    <t>Pinion 1 Pitting Stress</t>
  </si>
  <si>
    <t>sc1</t>
  </si>
  <si>
    <t>Design Life</t>
  </si>
  <si>
    <t>L</t>
  </si>
  <si>
    <t>Electric motors, industrial blowers, general industrial machines</t>
  </si>
  <si>
    <t>Bending cycle factor 1</t>
  </si>
  <si>
    <t>Yn1</t>
  </si>
  <si>
    <t>Brinell Hardness</t>
  </si>
  <si>
    <t>HB</t>
  </si>
  <si>
    <t>AISI 4140 Q&amp;T</t>
  </si>
  <si>
    <t>Pitting cycle factor 1</t>
  </si>
  <si>
    <t>Zn1</t>
  </si>
  <si>
    <t>Allowable Bending</t>
  </si>
  <si>
    <t>sat</t>
  </si>
  <si>
    <t>Units ksi. Grade 1 Steel</t>
  </si>
  <si>
    <t>Number of cycles 1</t>
  </si>
  <si>
    <t>Nc1</t>
  </si>
  <si>
    <t>Allowable Pitting</t>
  </si>
  <si>
    <t>sac</t>
  </si>
  <si>
    <t>Actual bending 1</t>
  </si>
  <si>
    <t>st'1</t>
  </si>
  <si>
    <t>Units ksi</t>
  </si>
  <si>
    <t>Pdn Input</t>
  </si>
  <si>
    <t>Actual pitting 1</t>
  </si>
  <si>
    <t>sc'1</t>
  </si>
  <si>
    <t>Units Ksi</t>
  </si>
  <si>
    <t>Pinion 1 Teeth Number Input</t>
  </si>
  <si>
    <t>Summary</t>
  </si>
  <si>
    <t>% diff</t>
  </si>
  <si>
    <t>Pinion 1 Bending</t>
  </si>
  <si>
    <t>ksi</t>
  </si>
  <si>
    <t>%</t>
  </si>
  <si>
    <t>Pinion 1 Pitting</t>
  </si>
  <si>
    <t xml:space="preserve">Pinion 2 Bending </t>
  </si>
  <si>
    <t>Pinion 2 Pitting</t>
  </si>
  <si>
    <t>X-size</t>
  </si>
  <si>
    <t>in</t>
  </si>
  <si>
    <t>Y-size</t>
  </si>
  <si>
    <t>Z-size</t>
  </si>
  <si>
    <t>Pinion 2 Teeth Number Input</t>
  </si>
  <si>
    <t>Volume</t>
  </si>
  <si>
    <t>cu-in</t>
  </si>
  <si>
    <t>Specs:</t>
  </si>
  <si>
    <t>Power (Hp)</t>
  </si>
  <si>
    <t>Input rpm</t>
  </si>
  <si>
    <t>Output rpm</t>
  </si>
  <si>
    <t>helix angle</t>
  </si>
  <si>
    <t>15-25</t>
  </si>
  <si>
    <t>pressure angle</t>
  </si>
  <si>
    <t>total gear ratio</t>
  </si>
  <si>
    <t>K_o=1.4</t>
  </si>
  <si>
    <t>K_b = 1.0</t>
  </si>
  <si>
    <t>(most likely)</t>
  </si>
  <si>
    <t>Assumptions:</t>
  </si>
  <si>
    <t>Gear ratios:</t>
  </si>
  <si>
    <t>set 1: 3:1</t>
  </si>
  <si>
    <t>set 2: 2:1</t>
  </si>
  <si>
    <t>set 3: 1.5:1</t>
  </si>
  <si>
    <t>F=12/Pd</t>
  </si>
  <si>
    <t>SF=1</t>
  </si>
  <si>
    <t>Pdn=12</t>
  </si>
  <si>
    <t>Np (initial) = 30</t>
  </si>
  <si>
    <t>Bending</t>
  </si>
  <si>
    <t>Pitting</t>
  </si>
  <si>
    <t>Inputs</t>
  </si>
  <si>
    <t>Calculated values</t>
  </si>
  <si>
    <t>Assump.</t>
  </si>
  <si>
    <t>Pdn</t>
  </si>
  <si>
    <t>Ng</t>
  </si>
  <si>
    <t>face width, rounded</t>
  </si>
  <si>
    <t>wg</t>
  </si>
  <si>
    <t>Np</t>
  </si>
  <si>
    <t>Dp</t>
  </si>
  <si>
    <t>Select</t>
  </si>
  <si>
    <t>ratio G:P</t>
  </si>
  <si>
    <t>Dg</t>
  </si>
  <si>
    <t>kjhk</t>
  </si>
  <si>
    <t>light/light</t>
  </si>
  <si>
    <t>Wt</t>
  </si>
  <si>
    <t>Pd &gt; 8</t>
  </si>
  <si>
    <t>F/Dp &lt; 0.5</t>
  </si>
  <si>
    <t>Cpf</t>
  </si>
  <si>
    <t>1+Cpf+Cma</t>
  </si>
  <si>
    <t>Commercial gearing</t>
  </si>
  <si>
    <t>Cma</t>
  </si>
  <si>
    <t>pitch line vel. (ft/min)</t>
  </si>
  <si>
    <t>vt</t>
  </si>
  <si>
    <t>A7</t>
  </si>
  <si>
    <t>cycles</t>
  </si>
  <si>
    <t>Nc</t>
  </si>
  <si>
    <t>input RPM</t>
  </si>
  <si>
    <t>wp</t>
  </si>
  <si>
    <t>pitting cycles</t>
  </si>
  <si>
    <t>Zn</t>
  </si>
  <si>
    <t>input HP</t>
  </si>
  <si>
    <t>bending cycles</t>
  </si>
  <si>
    <t>Yn</t>
  </si>
  <si>
    <t>psi</t>
  </si>
  <si>
    <t>bending stress</t>
  </si>
  <si>
    <t>st</t>
  </si>
  <si>
    <t>trans. Pitch</t>
  </si>
  <si>
    <t>pitting stress</t>
  </si>
  <si>
    <t>sc</t>
  </si>
  <si>
    <t>axial pitch</t>
  </si>
  <si>
    <t>geometry factor</t>
  </si>
  <si>
    <t>actual bending</t>
  </si>
  <si>
    <t>s_at</t>
  </si>
  <si>
    <t>Max S_at</t>
  </si>
  <si>
    <t xml:space="preserve">28 ksi </t>
  </si>
  <si>
    <t>Mod. Factor</t>
  </si>
  <si>
    <t>actual pitting</t>
  </si>
  <si>
    <t>s_ac</t>
  </si>
  <si>
    <t>Max S_ac</t>
  </si>
  <si>
    <t>92.5 ksi</t>
  </si>
  <si>
    <t>pitting geom. Fact.</t>
  </si>
  <si>
    <t>0.999 reliability</t>
  </si>
  <si>
    <t>10k hours</t>
  </si>
  <si>
    <t>service factor</t>
  </si>
  <si>
    <t>Stuff we can change</t>
  </si>
  <si>
    <t>Fixed values</t>
  </si>
  <si>
    <t>speeds</t>
  </si>
  <si>
    <t>power</t>
  </si>
  <si>
    <t>(torque/loads/etc)</t>
  </si>
  <si>
    <t>Ratios</t>
  </si>
  <si>
    <t>Teeth number</t>
  </si>
  <si>
    <t>Gear size</t>
  </si>
  <si>
    <t>Grade 1</t>
  </si>
  <si>
    <t>Helix</t>
  </si>
  <si>
    <t>Helix Angle Menu</t>
  </si>
  <si>
    <t>Ko menu</t>
  </si>
  <si>
    <t>Kv Menu</t>
  </si>
  <si>
    <t>Uniform/Uniform</t>
  </si>
  <si>
    <t>Av6</t>
  </si>
  <si>
    <t>Uniform/Light</t>
  </si>
  <si>
    <t>Uniform/Moderate</t>
  </si>
  <si>
    <t>Av8</t>
  </si>
  <si>
    <t>Uniform/Heavy</t>
  </si>
  <si>
    <t>Av9</t>
  </si>
  <si>
    <t>Light/Uniform</t>
  </si>
  <si>
    <t>Av10</t>
  </si>
  <si>
    <t>Av11</t>
  </si>
  <si>
    <t>Light/Medium</t>
  </si>
  <si>
    <t>Av12</t>
  </si>
  <si>
    <t>Light/Heavy</t>
  </si>
  <si>
    <t>Medium/Uniform</t>
  </si>
  <si>
    <t>B</t>
  </si>
  <si>
    <t>Medium/Light</t>
  </si>
  <si>
    <t>C</t>
  </si>
  <si>
    <t>Medium/Medium</t>
  </si>
  <si>
    <t>Medium/Heavy</t>
  </si>
  <si>
    <t>Km calculation</t>
  </si>
  <si>
    <t>Boolean</t>
  </si>
  <si>
    <t>F&gt;1</t>
  </si>
  <si>
    <t>(F&lt;1)</t>
  </si>
  <si>
    <t>Geometry Factor (J_base)</t>
  </si>
  <si>
    <t>Lookup Table</t>
  </si>
  <si>
    <t>Pinion Teeth</t>
  </si>
  <si>
    <t>Angle</t>
  </si>
  <si>
    <t>Pitting Resistance Factor</t>
  </si>
  <si>
    <t>pn</t>
  </si>
  <si>
    <t>a</t>
  </si>
  <si>
    <t>rp</t>
  </si>
  <si>
    <t>rbp</t>
  </si>
  <si>
    <t>rg</t>
  </si>
  <si>
    <t>Gear Teeth</t>
  </si>
  <si>
    <t>rbg</t>
  </si>
  <si>
    <t>pressure</t>
  </si>
  <si>
    <t>helix</t>
  </si>
  <si>
    <t>Tpressure</t>
  </si>
  <si>
    <t>Z</t>
  </si>
  <si>
    <t>cP</t>
  </si>
  <si>
    <t>pN</t>
  </si>
  <si>
    <t>mN</t>
  </si>
  <si>
    <t>Application</t>
  </si>
  <si>
    <t xml:space="preserve">Life </t>
  </si>
  <si>
    <t>mG</t>
  </si>
  <si>
    <t>Domestic</t>
  </si>
  <si>
    <t>Aircraft Engines</t>
  </si>
  <si>
    <t>Automotive</t>
  </si>
  <si>
    <t>Agricultural Equipment</t>
  </si>
  <si>
    <t>Elevators, industrial fans, multipurpose gearing</t>
  </si>
  <si>
    <t>Pumps and compressors</t>
  </si>
  <si>
    <t>Critical equipment in continuous 24-h operation</t>
  </si>
  <si>
    <t>|</t>
  </si>
  <si>
    <t>p</t>
  </si>
  <si>
    <t>Light</t>
  </si>
  <si>
    <t>Medium</t>
  </si>
  <si>
    <t>Heavy</t>
  </si>
  <si>
    <t>input</t>
  </si>
  <si>
    <t>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</si>
</sst>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7" formatCode="0.000"/>
  </numFmts>
  <fonts count="13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FF000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 tint="4.9989318521683403E-2"/>
      <name val="Aptos Narrow"/>
      <family val="2"/>
      <scheme val="minor"/>
    </font>
    <font>
      <sz val="8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indexed="64"/>
      </bottom>
      <diagonal/>
    </border>
  </borders>
  <cellStyleXfs count="11">
    <xf numFmtId="0" fontId="0" fillId="0" borderId="0"/>
    <xf numFmtId="0" fontId="1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14" borderId="0" applyNumberFormat="0" applyBorder="0" applyAlignment="0" applyProtection="0"/>
    <xf numFmtId="0" fontId="6" fillId="15" borderId="0" applyNumberFormat="0" applyBorder="0" applyAlignment="0" applyProtection="0"/>
    <xf numFmtId="0" fontId="8" fillId="16" borderId="0" applyNumberFormat="0" applyBorder="0" applyAlignment="0" applyProtection="0"/>
    <xf numFmtId="0" fontId="6" fillId="17" borderId="0" applyNumberFormat="0" applyBorder="0" applyAlignment="0" applyProtection="0"/>
    <xf numFmtId="0" fontId="8" fillId="18" borderId="0" applyNumberFormat="0" applyBorder="0" applyAlignment="0" applyProtection="0"/>
    <xf numFmtId="0" fontId="6" fillId="19" borderId="0" applyNumberFormat="0" applyBorder="0" applyAlignment="0" applyProtection="0"/>
    <xf numFmtId="0" fontId="8" fillId="20" borderId="0" applyNumberFormat="0" applyBorder="0" applyAlignment="0" applyProtection="0"/>
    <xf numFmtId="0" fontId="6" fillId="21" borderId="0" applyNumberFormat="0" applyBorder="0" applyAlignment="0" applyProtection="0"/>
  </cellStyleXfs>
  <cellXfs count="57">
    <xf numFmtId="0" fontId="0" fillId="0" borderId="0" xfId="0"/>
    <xf numFmtId="0" fontId="2" fillId="0" borderId="0" xfId="0" applyFont="1"/>
    <xf numFmtId="2" fontId="0" fillId="0" borderId="0" xfId="0" applyNumberFormat="1"/>
    <xf numFmtId="0" fontId="0" fillId="2" borderId="0" xfId="0" applyFill="1"/>
    <xf numFmtId="0" fontId="0" fillId="3" borderId="0" xfId="0" applyFill="1"/>
    <xf numFmtId="2" fontId="0" fillId="4" borderId="0" xfId="0" applyNumberFormat="1" applyFill="1"/>
    <xf numFmtId="0" fontId="0" fillId="6" borderId="0" xfId="0" applyFill="1"/>
    <xf numFmtId="0" fontId="0" fillId="7" borderId="0" xfId="0" applyFill="1"/>
    <xf numFmtId="164" fontId="0" fillId="5" borderId="0" xfId="0" applyNumberFormat="1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11" fontId="0" fillId="0" borderId="0" xfId="0" applyNumberFormat="1"/>
    <xf numFmtId="0" fontId="1" fillId="0" borderId="0" xfId="1"/>
    <xf numFmtId="0" fontId="5" fillId="0" borderId="0" xfId="1" applyFont="1"/>
    <xf numFmtId="0" fontId="0" fillId="13" borderId="0" xfId="0" applyFill="1"/>
    <xf numFmtId="0" fontId="0" fillId="0" borderId="0" xfId="0" applyAlignment="1">
      <alignment horizontal="center"/>
    </xf>
    <xf numFmtId="0" fontId="8" fillId="14" borderId="0" xfId="3" applyAlignment="1">
      <alignment horizontal="center"/>
    </xf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8" fillId="16" borderId="0" xfId="5" applyAlignment="1">
      <alignment horizontal="center"/>
    </xf>
    <xf numFmtId="0" fontId="6" fillId="15" borderId="0" xfId="4" applyAlignment="1">
      <alignment horizontal="center"/>
    </xf>
    <xf numFmtId="0" fontId="6" fillId="17" borderId="0" xfId="6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8" fillId="18" borderId="0" xfId="7" applyAlignment="1">
      <alignment horizontal="center"/>
    </xf>
    <xf numFmtId="0" fontId="6" fillId="19" borderId="0" xfId="8"/>
    <xf numFmtId="0" fontId="6" fillId="19" borderId="0" xfId="8" applyAlignment="1">
      <alignment horizontal="center"/>
    </xf>
    <xf numFmtId="1" fontId="9" fillId="11" borderId="0" xfId="0" applyNumberFormat="1" applyFont="1" applyFill="1" applyAlignment="1">
      <alignment horizontal="center"/>
    </xf>
    <xf numFmtId="0" fontId="0" fillId="0" borderId="0" xfId="0" applyAlignment="1">
      <alignment wrapText="1"/>
    </xf>
    <xf numFmtId="0" fontId="6" fillId="21" borderId="0" xfId="10" applyAlignment="1">
      <alignment horizontal="center"/>
    </xf>
    <xf numFmtId="0" fontId="8" fillId="20" borderId="0" xfId="9" applyAlignment="1">
      <alignment horizontal="center" wrapText="1"/>
    </xf>
    <xf numFmtId="0" fontId="6" fillId="21" borderId="0" xfId="10"/>
    <xf numFmtId="0" fontId="0" fillId="0" borderId="0" xfId="0" quotePrefix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" wrapText="1"/>
    </xf>
    <xf numFmtId="1" fontId="0" fillId="0" borderId="0" xfId="0" applyNumberFormat="1"/>
    <xf numFmtId="0" fontId="0" fillId="0" borderId="0" xfId="0" applyAlignment="1">
      <alignment horizontal="right"/>
    </xf>
    <xf numFmtId="0" fontId="0" fillId="11" borderId="0" xfId="0" applyFill="1" applyAlignment="1">
      <alignment horizontal="left"/>
    </xf>
    <xf numFmtId="0" fontId="0" fillId="11" borderId="0" xfId="0" applyFill="1" applyAlignment="1">
      <alignment wrapText="1"/>
    </xf>
    <xf numFmtId="0" fontId="11" fillId="0" borderId="0" xfId="0" applyFont="1"/>
    <xf numFmtId="164" fontId="11" fillId="0" borderId="0" xfId="0" applyNumberFormat="1" applyFont="1"/>
    <xf numFmtId="0" fontId="12" fillId="0" borderId="0" xfId="0" applyFont="1"/>
    <xf numFmtId="0" fontId="12" fillId="0" borderId="0" xfId="0" applyFont="1" applyAlignment="1">
      <alignment horizontal="center"/>
    </xf>
    <xf numFmtId="2" fontId="11" fillId="0" borderId="0" xfId="0" applyNumberFormat="1" applyFont="1"/>
    <xf numFmtId="164" fontId="11" fillId="9" borderId="0" xfId="0" applyNumberFormat="1" applyFont="1" applyFill="1"/>
    <xf numFmtId="0" fontId="12" fillId="0" borderId="0" xfId="0" applyFont="1" applyAlignment="1">
      <alignment horizontal="center"/>
    </xf>
    <xf numFmtId="0" fontId="6" fillId="15" borderId="0" xfId="4" applyAlignment="1">
      <alignment horizontal="center"/>
    </xf>
    <xf numFmtId="0" fontId="6" fillId="17" borderId="0" xfId="6" applyAlignment="1">
      <alignment horizontal="center"/>
    </xf>
    <xf numFmtId="0" fontId="7" fillId="0" borderId="1" xfId="2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67" fontId="0" fillId="0" borderId="0" xfId="0" applyNumberFormat="1" applyAlignment="1">
      <alignment horizontal="center"/>
    </xf>
  </cellXfs>
  <cellStyles count="11">
    <cellStyle name="20% - Accent1" xfId="4" builtinId="30"/>
    <cellStyle name="20% - Accent2" xfId="6" builtinId="34"/>
    <cellStyle name="20% - Accent3" xfId="8" builtinId="38"/>
    <cellStyle name="20% - Accent5" xfId="10" builtinId="46"/>
    <cellStyle name="Accent1" xfId="3" builtinId="29"/>
    <cellStyle name="Accent2" xfId="5" builtinId="33"/>
    <cellStyle name="Accent3" xfId="7" builtinId="37"/>
    <cellStyle name="Accent5" xfId="9" builtinId="45"/>
    <cellStyle name="Heading 2" xfId="2" builtinId="17"/>
    <cellStyle name="Normal" xfId="0" builtinId="0"/>
    <cellStyle name="Warning Text" xfId="1" builtinId="1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Scroll" dx="26" fmlaLink="$D$4" inc="4" max="3600" min="1200" page="10" val="3400"/>
</file>

<file path=xl/ctrlProps/ctrlProp2.xml><?xml version="1.0" encoding="utf-8"?>
<formControlPr xmlns="http://schemas.microsoft.com/office/spreadsheetml/2009/9/main" objectType="Scroll" dx="26" fmlaLink="$D$8" max="9" min="1" page="0"/>
</file>

<file path=xl/ctrlProps/ctrlProp3.xml><?xml version="1.0" encoding="utf-8"?>
<formControlPr xmlns="http://schemas.microsoft.com/office/spreadsheetml/2009/9/main" objectType="Scroll" dx="26" fmlaLink="$D$11" max="25" min="5" page="10" val="10"/>
</file>

<file path=xl/ctrlProps/ctrlProp4.xml><?xml version="1.0" encoding="utf-8"?>
<formControlPr xmlns="http://schemas.microsoft.com/office/spreadsheetml/2009/9/main" objectType="Scroll" dx="26" fmlaLink="$D$13" max="100" min="10" page="2" val="20"/>
</file>

<file path=xl/ctrlProps/ctrlProp5.xml><?xml version="1.0" encoding="utf-8"?>
<formControlPr xmlns="http://schemas.microsoft.com/office/spreadsheetml/2009/9/main" objectType="Scroll" dx="22" max="100" page="10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2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1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3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</xdr:colOff>
          <xdr:row>3</xdr:row>
          <xdr:rowOff>0</xdr:rowOff>
        </xdr:from>
        <xdr:to>
          <xdr:col>0</xdr:col>
          <xdr:colOff>516255</xdr:colOff>
          <xdr:row>10</xdr:row>
          <xdr:rowOff>171450</xdr:rowOff>
        </xdr:to>
        <xdr:sp macro="" textlink="">
          <xdr:nvSpPr>
            <xdr:cNvPr id="2051" name="Input Speed Scroll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403860</xdr:colOff>
          <xdr:row>12</xdr:row>
          <xdr:rowOff>7620</xdr:rowOff>
        </xdr:from>
        <xdr:to>
          <xdr:col>0</xdr:col>
          <xdr:colOff>533400</xdr:colOff>
          <xdr:row>18</xdr:row>
          <xdr:rowOff>135255</xdr:rowOff>
        </xdr:to>
        <xdr:sp macro="" textlink="">
          <xdr:nvSpPr>
            <xdr:cNvPr id="2052" name="Scroll Bar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5</xdr:col>
      <xdr:colOff>591097</xdr:colOff>
      <xdr:row>23</xdr:row>
      <xdr:rowOff>91937</xdr:rowOff>
    </xdr:from>
    <xdr:to>
      <xdr:col>8</xdr:col>
      <xdr:colOff>739463</xdr:colOff>
      <xdr:row>27</xdr:row>
      <xdr:rowOff>93035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6490" y="4357777"/>
          <a:ext cx="3701191" cy="763098"/>
        </a:xfrm>
        <a:prstGeom prst="rect">
          <a:avLst/>
        </a:prstGeom>
      </xdr:spPr>
    </xdr:pic>
    <xdr:clientData/>
  </xdr:twoCellAnchor>
  <xdr:twoCellAnchor editAs="oneCell">
    <xdr:from>
      <xdr:col>9</xdr:col>
      <xdr:colOff>1267394</xdr:colOff>
      <xdr:row>23</xdr:row>
      <xdr:rowOff>136269</xdr:rowOff>
    </xdr:from>
    <xdr:to>
      <xdr:col>12</xdr:col>
      <xdr:colOff>589249</xdr:colOff>
      <xdr:row>27</xdr:row>
      <xdr:rowOff>53519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438984" y="4402109"/>
          <a:ext cx="2851820" cy="68687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6</xdr:row>
      <xdr:rowOff>0</xdr:rowOff>
    </xdr:from>
    <xdr:to>
      <xdr:col>24</xdr:col>
      <xdr:colOff>304800</xdr:colOff>
      <xdr:row>7</xdr:row>
      <xdr:rowOff>133351</xdr:rowOff>
    </xdr:to>
    <xdr:sp macro="" textlink="">
      <xdr:nvSpPr>
        <xdr:cNvPr id="2054" name="AutoShape 6" descr="Homer Simpson's Back Fat Meme Template — Kapwing">
          <a:extLs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SpPr>
          <a:spLocks noChangeAspect="1" noChangeArrowheads="1"/>
        </xdr:cNvSpPr>
      </xdr:nvSpPr>
      <xdr:spPr bwMode="auto">
        <a:xfrm>
          <a:off x="17000220" y="10972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20</xdr:row>
          <xdr:rowOff>0</xdr:rowOff>
        </xdr:from>
        <xdr:to>
          <xdr:col>0</xdr:col>
          <xdr:colOff>533400</xdr:colOff>
          <xdr:row>28</xdr:row>
          <xdr:rowOff>0</xdr:rowOff>
        </xdr:to>
        <xdr:sp macro="" textlink="">
          <xdr:nvSpPr>
            <xdr:cNvPr id="2056" name="Scroll Bar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29</xdr:row>
          <xdr:rowOff>0</xdr:rowOff>
        </xdr:from>
        <xdr:to>
          <xdr:col>0</xdr:col>
          <xdr:colOff>548640</xdr:colOff>
          <xdr:row>37</xdr:row>
          <xdr:rowOff>0</xdr:rowOff>
        </xdr:to>
        <xdr:sp macro="" textlink="">
          <xdr:nvSpPr>
            <xdr:cNvPr id="2058" name="Scroll Bar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259080</xdr:colOff>
          <xdr:row>41</xdr:row>
          <xdr:rowOff>99060</xdr:rowOff>
        </xdr:from>
        <xdr:to>
          <xdr:col>0</xdr:col>
          <xdr:colOff>590550</xdr:colOff>
          <xdr:row>53</xdr:row>
          <xdr:rowOff>15240</xdr:rowOff>
        </xdr:to>
        <xdr:sp macro="" textlink="">
          <xdr:nvSpPr>
            <xdr:cNvPr id="2060" name="Scroll Bar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700715</xdr:colOff>
      <xdr:row>65</xdr:row>
      <xdr:rowOff>151298</xdr:rowOff>
    </xdr:from>
    <xdr:to>
      <xdr:col>17</xdr:col>
      <xdr:colOff>17336</xdr:colOff>
      <xdr:row>75</xdr:row>
      <xdr:rowOff>134673</xdr:rowOff>
    </xdr:to>
    <xdr:pic>
      <xdr:nvPicPr>
        <xdr:cNvPr id="24" name="Picture 1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-8433" b="1"/>
        <a:stretch>
          <a:fillRect/>
        </a:stretch>
      </xdr:blipFill>
      <xdr:spPr>
        <a:xfrm>
          <a:off x="7212351" y="11858389"/>
          <a:ext cx="5662003" cy="1784466"/>
        </a:xfrm>
        <a:prstGeom prst="rect">
          <a:avLst/>
        </a:prstGeom>
      </xdr:spPr>
    </xdr:pic>
    <xdr:clientData/>
  </xdr:twoCellAnchor>
  <xdr:twoCellAnchor editAs="oneCell">
    <xdr:from>
      <xdr:col>1</xdr:col>
      <xdr:colOff>605367</xdr:colOff>
      <xdr:row>33</xdr:row>
      <xdr:rowOff>50800</xdr:rowOff>
    </xdr:from>
    <xdr:to>
      <xdr:col>5</xdr:col>
      <xdr:colOff>31360</xdr:colOff>
      <xdr:row>37</xdr:row>
      <xdr:rowOff>4193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4967" y="5994400"/>
          <a:ext cx="2878686" cy="673829"/>
        </a:xfrm>
        <a:prstGeom prst="rect">
          <a:avLst/>
        </a:prstGeom>
      </xdr:spPr>
    </xdr:pic>
    <xdr:clientData/>
  </xdr:twoCellAnchor>
  <xdr:twoCellAnchor editAs="oneCell">
    <xdr:from>
      <xdr:col>6</xdr:col>
      <xdr:colOff>674915</xdr:colOff>
      <xdr:row>33</xdr:row>
      <xdr:rowOff>10885</xdr:rowOff>
    </xdr:from>
    <xdr:to>
      <xdr:col>10</xdr:col>
      <xdr:colOff>586945</xdr:colOff>
      <xdr:row>36</xdr:row>
      <xdr:rowOff>142600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93229" y="6117771"/>
          <a:ext cx="2644950" cy="686886"/>
        </a:xfrm>
        <a:prstGeom prst="rect">
          <a:avLst/>
        </a:prstGeom>
      </xdr:spPr>
    </xdr:pic>
    <xdr:clientData/>
  </xdr:twoCellAnchor>
  <xdr:twoCellAnchor editAs="oneCell">
    <xdr:from>
      <xdr:col>14</xdr:col>
      <xdr:colOff>61576</xdr:colOff>
      <xdr:row>3</xdr:row>
      <xdr:rowOff>92364</xdr:rowOff>
    </xdr:from>
    <xdr:to>
      <xdr:col>16</xdr:col>
      <xdr:colOff>579247</xdr:colOff>
      <xdr:row>5</xdr:row>
      <xdr:rowOff>103963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036849" y="646546"/>
          <a:ext cx="1733792" cy="381053"/>
        </a:xfrm>
        <a:prstGeom prst="rect">
          <a:avLst/>
        </a:prstGeom>
      </xdr:spPr>
    </xdr:pic>
    <xdr:clientData/>
  </xdr:twoCellAnchor>
  <xdr:twoCellAnchor editAs="oneCell">
    <xdr:from>
      <xdr:col>16</xdr:col>
      <xdr:colOff>515697</xdr:colOff>
      <xdr:row>3</xdr:row>
      <xdr:rowOff>177031</xdr:rowOff>
    </xdr:from>
    <xdr:to>
      <xdr:col>18</xdr:col>
      <xdr:colOff>576103</xdr:colOff>
      <xdr:row>5</xdr:row>
      <xdr:rowOff>140999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707091" y="731213"/>
          <a:ext cx="1276528" cy="333422"/>
        </a:xfrm>
        <a:prstGeom prst="rect">
          <a:avLst/>
        </a:prstGeom>
      </xdr:spPr>
    </xdr:pic>
    <xdr:clientData/>
  </xdr:twoCellAnchor>
  <xdr:twoCellAnchor editAs="oneCell">
    <xdr:from>
      <xdr:col>14</xdr:col>
      <xdr:colOff>237605</xdr:colOff>
      <xdr:row>1</xdr:row>
      <xdr:rowOff>24169</xdr:rowOff>
    </xdr:from>
    <xdr:to>
      <xdr:col>19</xdr:col>
      <xdr:colOff>426728</xdr:colOff>
      <xdr:row>2</xdr:row>
      <xdr:rowOff>94805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227425" y="207049"/>
          <a:ext cx="3237123" cy="253516"/>
        </a:xfrm>
        <a:prstGeom prst="rect">
          <a:avLst/>
        </a:prstGeom>
      </xdr:spPr>
    </xdr:pic>
    <xdr:clientData/>
  </xdr:twoCellAnchor>
  <xdr:twoCellAnchor editAs="oneCell">
    <xdr:from>
      <xdr:col>18</xdr:col>
      <xdr:colOff>515697</xdr:colOff>
      <xdr:row>4</xdr:row>
      <xdr:rowOff>61576</xdr:rowOff>
    </xdr:from>
    <xdr:to>
      <xdr:col>23</xdr:col>
      <xdr:colOff>104663</xdr:colOff>
      <xdr:row>11</xdr:row>
      <xdr:rowOff>121224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923212" y="800485"/>
          <a:ext cx="2629267" cy="1352739"/>
        </a:xfrm>
        <a:prstGeom prst="rect">
          <a:avLst/>
        </a:prstGeom>
      </xdr:spPr>
    </xdr:pic>
    <xdr:clientData/>
  </xdr:twoCellAnchor>
  <xdr:twoCellAnchor editAs="oneCell">
    <xdr:from>
      <xdr:col>18</xdr:col>
      <xdr:colOff>532263</xdr:colOff>
      <xdr:row>13</xdr:row>
      <xdr:rowOff>84850</xdr:rowOff>
    </xdr:from>
    <xdr:to>
      <xdr:col>23</xdr:col>
      <xdr:colOff>196677</xdr:colOff>
      <xdr:row>20</xdr:row>
      <xdr:rowOff>168150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  <a:ext uri="{147F2762-F138-4A5C-976F-8EAC2B608ADB}">
              <a16:predDERef xmlns:a16="http://schemas.microsoft.com/office/drawing/2014/main" pred="{124CBC5A-76F5-73E9-DB35-BC51A31AC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819638" y="2437525"/>
          <a:ext cx="2712414" cy="1350125"/>
        </a:xfrm>
        <a:prstGeom prst="rect">
          <a:avLst/>
        </a:prstGeom>
      </xdr:spPr>
    </xdr:pic>
    <xdr:clientData/>
  </xdr:twoCellAnchor>
  <xdr:twoCellAnchor editAs="oneCell">
    <xdr:from>
      <xdr:col>13</xdr:col>
      <xdr:colOff>579120</xdr:colOff>
      <xdr:row>21</xdr:row>
      <xdr:rowOff>83820</xdr:rowOff>
    </xdr:from>
    <xdr:to>
      <xdr:col>25</xdr:col>
      <xdr:colOff>181685</xdr:colOff>
      <xdr:row>34</xdr:row>
      <xdr:rowOff>21278</xdr:rowOff>
    </xdr:to>
    <xdr:pic>
      <xdr:nvPicPr>
        <xdr:cNvPr id="17" name="Picture 11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959340" y="3924300"/>
          <a:ext cx="6878010" cy="2314898"/>
        </a:xfrm>
        <a:prstGeom prst="rect">
          <a:avLst/>
        </a:prstGeom>
      </xdr:spPr>
    </xdr:pic>
    <xdr:clientData/>
  </xdr:twoCellAnchor>
  <xdr:twoCellAnchor editAs="oneCell">
    <xdr:from>
      <xdr:col>16</xdr:col>
      <xdr:colOff>373380</xdr:colOff>
      <xdr:row>34</xdr:row>
      <xdr:rowOff>144780</xdr:rowOff>
    </xdr:from>
    <xdr:to>
      <xdr:col>24</xdr:col>
      <xdr:colOff>574114</xdr:colOff>
      <xdr:row>44</xdr:row>
      <xdr:rowOff>129579</xdr:rowOff>
    </xdr:to>
    <xdr:pic>
      <xdr:nvPicPr>
        <xdr:cNvPr id="23" name="Picture 1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070080" y="6362700"/>
          <a:ext cx="5077534" cy="1889799"/>
        </a:xfrm>
        <a:prstGeom prst="rect">
          <a:avLst/>
        </a:prstGeom>
      </xdr:spPr>
    </xdr:pic>
    <xdr:clientData/>
  </xdr:twoCellAnchor>
  <xdr:twoCellAnchor editAs="oneCell">
    <xdr:from>
      <xdr:col>13</xdr:col>
      <xdr:colOff>457200</xdr:colOff>
      <xdr:row>34</xdr:row>
      <xdr:rowOff>45720</xdr:rowOff>
    </xdr:from>
    <xdr:to>
      <xdr:col>16</xdr:col>
      <xdr:colOff>362192</xdr:colOff>
      <xdr:row>35</xdr:row>
      <xdr:rowOff>45747</xdr:rowOff>
    </xdr:to>
    <xdr:pic>
      <xdr:nvPicPr>
        <xdr:cNvPr id="12" name="Picture 13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325100" y="6263640"/>
          <a:ext cx="1733792" cy="190527"/>
        </a:xfrm>
        <a:prstGeom prst="rect">
          <a:avLst/>
        </a:prstGeom>
      </xdr:spPr>
    </xdr:pic>
    <xdr:clientData/>
  </xdr:twoCellAnchor>
  <xdr:twoCellAnchor editAs="oneCell">
    <xdr:from>
      <xdr:col>23</xdr:col>
      <xdr:colOff>223216</xdr:colOff>
      <xdr:row>3</xdr:row>
      <xdr:rowOff>114300</xdr:rowOff>
    </xdr:from>
    <xdr:to>
      <xdr:col>28</xdr:col>
      <xdr:colOff>21591</xdr:colOff>
      <xdr:row>11</xdr:row>
      <xdr:rowOff>30480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699436" y="662940"/>
          <a:ext cx="2846377" cy="1379220"/>
        </a:xfrm>
        <a:prstGeom prst="rect">
          <a:avLst/>
        </a:prstGeom>
      </xdr:spPr>
    </xdr:pic>
    <xdr:clientData/>
  </xdr:twoCellAnchor>
  <xdr:twoCellAnchor editAs="oneCell">
    <xdr:from>
      <xdr:col>16</xdr:col>
      <xdr:colOff>411923</xdr:colOff>
      <xdr:row>45</xdr:row>
      <xdr:rowOff>22860</xdr:rowOff>
    </xdr:from>
    <xdr:to>
      <xdr:col>22</xdr:col>
      <xdr:colOff>473482</xdr:colOff>
      <xdr:row>55</xdr:row>
      <xdr:rowOff>129540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620943" y="8252460"/>
          <a:ext cx="3719159" cy="1935480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16</xdr:row>
      <xdr:rowOff>0</xdr:rowOff>
    </xdr:from>
    <xdr:to>
      <xdr:col>35</xdr:col>
      <xdr:colOff>62290</xdr:colOff>
      <xdr:row>34</xdr:row>
      <xdr:rowOff>93942</xdr:rowOff>
    </xdr:to>
    <xdr:pic>
      <xdr:nvPicPr>
        <xdr:cNvPr id="18" name="Picture 5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084524" y="3144762"/>
          <a:ext cx="5548690" cy="3385782"/>
        </a:xfrm>
        <a:prstGeom prst="rect">
          <a:avLst/>
        </a:prstGeom>
      </xdr:spPr>
    </xdr:pic>
    <xdr:clientData/>
  </xdr:twoCellAnchor>
  <xdr:twoCellAnchor editAs="oneCell">
    <xdr:from>
      <xdr:col>14</xdr:col>
      <xdr:colOff>243840</xdr:colOff>
      <xdr:row>10</xdr:row>
      <xdr:rowOff>0</xdr:rowOff>
    </xdr:from>
    <xdr:to>
      <xdr:col>16</xdr:col>
      <xdr:colOff>72536</xdr:colOff>
      <xdr:row>13</xdr:row>
      <xdr:rowOff>108677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233660" y="1828800"/>
          <a:ext cx="1047896" cy="657317"/>
        </a:xfrm>
        <a:prstGeom prst="rect">
          <a:avLst/>
        </a:prstGeom>
      </xdr:spPr>
    </xdr:pic>
    <xdr:clientData/>
  </xdr:twoCellAnchor>
  <xdr:twoCellAnchor editAs="oneCell">
    <xdr:from>
      <xdr:col>26</xdr:col>
      <xdr:colOff>304801</xdr:colOff>
      <xdr:row>36</xdr:row>
      <xdr:rowOff>11295</xdr:rowOff>
    </xdr:from>
    <xdr:to>
      <xdr:col>35</xdr:col>
      <xdr:colOff>67409</xdr:colOff>
      <xdr:row>78</xdr:row>
      <xdr:rowOff>96356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9619844" y="6571121"/>
          <a:ext cx="5577000" cy="7738192"/>
        </a:xfrm>
        <a:prstGeom prst="rect">
          <a:avLst/>
        </a:prstGeom>
      </xdr:spPr>
    </xdr:pic>
    <xdr:clientData/>
  </xdr:twoCellAnchor>
  <xdr:twoCellAnchor editAs="oneCell">
    <xdr:from>
      <xdr:col>5</xdr:col>
      <xdr:colOff>857953</xdr:colOff>
      <xdr:row>112</xdr:row>
      <xdr:rowOff>34888</xdr:rowOff>
    </xdr:from>
    <xdr:to>
      <xdr:col>14</xdr:col>
      <xdr:colOff>96974</xdr:colOff>
      <xdr:row>135</xdr:row>
      <xdr:rowOff>79169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5407093" y="20517448"/>
          <a:ext cx="5731261" cy="4250521"/>
        </a:xfrm>
        <a:prstGeom prst="rect">
          <a:avLst/>
        </a:prstGeom>
      </xdr:spPr>
    </xdr:pic>
    <xdr:clientData/>
  </xdr:twoCellAnchor>
  <xdr:twoCellAnchor editAs="oneCell">
    <xdr:from>
      <xdr:col>5</xdr:col>
      <xdr:colOff>903518</xdr:colOff>
      <xdr:row>75</xdr:row>
      <xdr:rowOff>108857</xdr:rowOff>
    </xdr:from>
    <xdr:to>
      <xdr:col>7</xdr:col>
      <xdr:colOff>724153</xdr:colOff>
      <xdr:row>80</xdr:row>
      <xdr:rowOff>31415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5464632" y="13988143"/>
          <a:ext cx="1790950" cy="847843"/>
        </a:xfrm>
        <a:prstGeom prst="rect">
          <a:avLst/>
        </a:prstGeom>
      </xdr:spPr>
    </xdr:pic>
    <xdr:clientData/>
  </xdr:twoCellAnchor>
  <xdr:twoCellAnchor editAs="oneCell">
    <xdr:from>
      <xdr:col>8</xdr:col>
      <xdr:colOff>362455</xdr:colOff>
      <xdr:row>47</xdr:row>
      <xdr:rowOff>65315</xdr:rowOff>
    </xdr:from>
    <xdr:to>
      <xdr:col>17</xdr:col>
      <xdr:colOff>380652</xdr:colOff>
      <xdr:row>50</xdr:row>
      <xdr:rowOff>8430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721198" y="8763001"/>
          <a:ext cx="5537254" cy="498286"/>
        </a:xfrm>
        <a:prstGeom prst="rect">
          <a:avLst/>
        </a:prstGeom>
      </xdr:spPr>
    </xdr:pic>
    <xdr:clientData/>
  </xdr:twoCellAnchor>
  <xdr:twoCellAnchor editAs="oneCell">
    <xdr:from>
      <xdr:col>8</xdr:col>
      <xdr:colOff>438319</xdr:colOff>
      <xdr:row>50</xdr:row>
      <xdr:rowOff>25352</xdr:rowOff>
    </xdr:from>
    <xdr:to>
      <xdr:col>16</xdr:col>
      <xdr:colOff>564756</xdr:colOff>
      <xdr:row>51</xdr:row>
      <xdr:rowOff>64783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7611571" y="9718936"/>
          <a:ext cx="4990088" cy="233303"/>
        </a:xfrm>
        <a:prstGeom prst="rect">
          <a:avLst/>
        </a:prstGeom>
      </xdr:spPr>
    </xdr:pic>
    <xdr:clientData/>
  </xdr:twoCellAnchor>
  <xdr:twoCellAnchor editAs="oneCell">
    <xdr:from>
      <xdr:col>1</xdr:col>
      <xdr:colOff>1087826</xdr:colOff>
      <xdr:row>81</xdr:row>
      <xdr:rowOff>111325</xdr:rowOff>
    </xdr:from>
    <xdr:to>
      <xdr:col>9</xdr:col>
      <xdr:colOff>295047</xdr:colOff>
      <xdr:row>110</xdr:row>
      <xdr:rowOff>170328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697426" y="14700161"/>
          <a:ext cx="6550130" cy="5282167"/>
        </a:xfrm>
        <a:prstGeom prst="rect">
          <a:avLst/>
        </a:prstGeom>
      </xdr:spPr>
    </xdr:pic>
    <xdr:clientData/>
  </xdr:twoCellAnchor>
  <xdr:twoCellAnchor editAs="oneCell">
    <xdr:from>
      <xdr:col>9</xdr:col>
      <xdr:colOff>193963</xdr:colOff>
      <xdr:row>81</xdr:row>
      <xdr:rowOff>99753</xdr:rowOff>
    </xdr:from>
    <xdr:to>
      <xdr:col>19</xdr:col>
      <xdr:colOff>538632</xdr:colOff>
      <xdr:row>110</xdr:row>
      <xdr:rowOff>43626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8146472" y="14688589"/>
          <a:ext cx="6468378" cy="516703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609599</xdr:colOff>
      <xdr:row>1</xdr:row>
      <xdr:rowOff>22860</xdr:rowOff>
    </xdr:from>
    <xdr:to>
      <xdr:col>5</xdr:col>
      <xdr:colOff>440542</xdr:colOff>
      <xdr:row>23</xdr:row>
      <xdr:rowOff>129540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599" y="205740"/>
          <a:ext cx="3682517" cy="413766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F53BB-6EF8-40DD-BECA-EF3C5421B444}">
  <sheetPr codeName="Sheet1"/>
  <dimension ref="A1:U42"/>
  <sheetViews>
    <sheetView tabSelected="1" topLeftCell="B11" zoomScale="130" zoomScaleNormal="130" workbookViewId="0">
      <selection activeCell="J31" sqref="J31"/>
    </sheetView>
  </sheetViews>
  <sheetFormatPr defaultRowHeight="14.4" x14ac:dyDescent="0.3"/>
  <cols>
    <col min="1" max="1" width="13.6640625" customWidth="1"/>
    <col min="2" max="2" width="20.33203125" style="18" bestFit="1" customWidth="1"/>
    <col min="3" max="4" width="12" style="18" bestFit="1" customWidth="1"/>
    <col min="5" max="5" width="45.6640625" style="22" bestFit="1" customWidth="1"/>
    <col min="6" max="6" width="11.33203125" bestFit="1" customWidth="1"/>
    <col min="7" max="7" width="23.109375" bestFit="1" customWidth="1"/>
    <col min="8" max="8" width="19" bestFit="1" customWidth="1"/>
    <col min="9" max="9" width="13.33203125" bestFit="1" customWidth="1"/>
    <col min="10" max="10" width="34.44140625" bestFit="1" customWidth="1"/>
    <col min="13" max="13" width="23.109375" bestFit="1" customWidth="1"/>
    <col min="15" max="15" width="13.109375" bestFit="1" customWidth="1"/>
    <col min="16" max="16" width="8" style="18" customWidth="1"/>
    <col min="17" max="17" width="8.88671875" style="18"/>
    <col min="18" max="18" width="21.33203125" style="18" bestFit="1" customWidth="1"/>
    <col min="19" max="20" width="8.88671875" style="18"/>
    <col min="21" max="21" width="54.33203125" bestFit="1" customWidth="1"/>
  </cols>
  <sheetData>
    <row r="1" spans="1:21" ht="18" thickBot="1" x14ac:dyDescent="0.4">
      <c r="B1" s="53" t="s">
        <v>0</v>
      </c>
      <c r="C1" s="53"/>
      <c r="D1" s="53"/>
      <c r="E1" s="53"/>
      <c r="G1" s="53" t="s">
        <v>1</v>
      </c>
      <c r="H1" s="53"/>
      <c r="I1" s="53"/>
      <c r="J1" s="53"/>
      <c r="M1" s="53" t="s">
        <v>2</v>
      </c>
      <c r="N1" s="53"/>
      <c r="O1" s="53"/>
      <c r="P1" s="53"/>
      <c r="R1" s="53" t="s">
        <v>3</v>
      </c>
      <c r="S1" s="53"/>
      <c r="T1" s="53"/>
      <c r="U1" s="53"/>
    </row>
    <row r="2" spans="1:21" ht="15" thickTop="1" x14ac:dyDescent="0.3">
      <c r="P2"/>
    </row>
    <row r="3" spans="1:21" ht="15" thickBot="1" x14ac:dyDescent="0.35">
      <c r="A3" s="19" t="s">
        <v>4</v>
      </c>
      <c r="B3" s="38" t="s">
        <v>5</v>
      </c>
      <c r="C3" s="38" t="s">
        <v>6</v>
      </c>
      <c r="D3" s="38" t="s">
        <v>7</v>
      </c>
      <c r="E3" s="39" t="s">
        <v>8</v>
      </c>
      <c r="F3" s="20"/>
      <c r="G3" s="38" t="s">
        <v>5</v>
      </c>
      <c r="H3" s="38" t="s">
        <v>6</v>
      </c>
      <c r="I3" s="38" t="s">
        <v>7</v>
      </c>
      <c r="J3" s="39" t="s">
        <v>8</v>
      </c>
      <c r="M3" s="38" t="s">
        <v>5</v>
      </c>
      <c r="N3" s="38" t="s">
        <v>6</v>
      </c>
      <c r="O3" s="38" t="s">
        <v>7</v>
      </c>
      <c r="P3" s="39" t="s">
        <v>8</v>
      </c>
      <c r="R3" s="38" t="s">
        <v>5</v>
      </c>
      <c r="S3" s="38" t="s">
        <v>6</v>
      </c>
      <c r="T3" s="38" t="s">
        <v>7</v>
      </c>
      <c r="U3" s="39" t="s">
        <v>8</v>
      </c>
    </row>
    <row r="4" spans="1:21" x14ac:dyDescent="0.3">
      <c r="A4" s="51"/>
      <c r="B4" s="24" t="s">
        <v>9</v>
      </c>
      <c r="C4" s="18" t="s">
        <v>10</v>
      </c>
      <c r="D4" s="28">
        <v>3400</v>
      </c>
      <c r="E4" s="21" t="s">
        <v>11</v>
      </c>
      <c r="G4" t="s">
        <v>12</v>
      </c>
      <c r="H4" t="s">
        <v>13</v>
      </c>
      <c r="I4">
        <f>63000*P/wp</f>
        <v>262.5</v>
      </c>
      <c r="J4" t="s">
        <v>14</v>
      </c>
      <c r="M4" t="s">
        <v>12</v>
      </c>
      <c r="N4" t="s">
        <v>13</v>
      </c>
      <c r="P4" t="s">
        <v>14</v>
      </c>
      <c r="R4" s="18" t="s">
        <v>15</v>
      </c>
      <c r="S4" s="18" t="s">
        <v>16</v>
      </c>
      <c r="T4" s="18">
        <v>20</v>
      </c>
      <c r="U4" t="s">
        <v>17</v>
      </c>
    </row>
    <row r="5" spans="1:21" x14ac:dyDescent="0.3">
      <c r="A5" s="51"/>
      <c r="B5" s="18" t="s">
        <v>18</v>
      </c>
      <c r="C5" s="18" t="s">
        <v>19</v>
      </c>
      <c r="D5" s="26">
        <f>D4/240</f>
        <v>14.166666666666666</v>
      </c>
      <c r="E5" s="22" t="s">
        <v>20</v>
      </c>
      <c r="G5" t="s">
        <v>21</v>
      </c>
      <c r="H5" t="s">
        <v>22</v>
      </c>
      <c r="I5">
        <f>D13*D8</f>
        <v>20</v>
      </c>
      <c r="J5" t="s">
        <v>23</v>
      </c>
      <c r="M5" t="s">
        <v>21</v>
      </c>
      <c r="N5" t="s">
        <v>22</v>
      </c>
      <c r="P5"/>
      <c r="R5" s="18" t="s">
        <v>24</v>
      </c>
      <c r="S5" s="18" t="s">
        <v>25</v>
      </c>
      <c r="T5" s="18">
        <v>2300</v>
      </c>
      <c r="U5" t="s">
        <v>26</v>
      </c>
    </row>
    <row r="6" spans="1:21" x14ac:dyDescent="0.3">
      <c r="A6" s="51"/>
      <c r="B6" s="18" t="s">
        <v>27</v>
      </c>
      <c r="C6" s="18" t="s">
        <v>28</v>
      </c>
      <c r="D6" s="26">
        <f>D4/12+100</f>
        <v>383.33333333333331</v>
      </c>
      <c r="E6" s="22" t="s">
        <v>29</v>
      </c>
      <c r="G6" t="s">
        <v>30</v>
      </c>
      <c r="H6" t="s">
        <v>31</v>
      </c>
      <c r="I6">
        <f>I5/D12</f>
        <v>2.2067558379249839</v>
      </c>
      <c r="M6" t="s">
        <v>32</v>
      </c>
      <c r="N6" t="s">
        <v>31</v>
      </c>
      <c r="P6"/>
      <c r="R6" s="18" t="s">
        <v>33</v>
      </c>
      <c r="S6" s="18" t="s">
        <v>34</v>
      </c>
      <c r="T6" s="18">
        <f>_xlfn.XLOOKUP(U6,'Here Be Dragons'!Q3:Q14,'Here Be Dragons'!R3:R14)</f>
        <v>1.4</v>
      </c>
      <c r="U6" s="12" t="s">
        <v>35</v>
      </c>
    </row>
    <row r="7" spans="1:21" x14ac:dyDescent="0.3">
      <c r="A7" s="51"/>
      <c r="B7" s="18" t="s">
        <v>36</v>
      </c>
      <c r="C7" s="18" t="s">
        <v>37</v>
      </c>
      <c r="D7" s="26">
        <f>D4/D6</f>
        <v>8.8695652173913047</v>
      </c>
      <c r="E7" s="22" t="s">
        <v>38</v>
      </c>
      <c r="G7" t="s">
        <v>39</v>
      </c>
      <c r="H7" t="s">
        <v>40</v>
      </c>
      <c r="I7">
        <f>D13/D12</f>
        <v>2.2067558379249839</v>
      </c>
      <c r="M7" t="s">
        <v>41</v>
      </c>
      <c r="N7" t="s">
        <v>40</v>
      </c>
      <c r="P7"/>
      <c r="R7" s="18" t="s">
        <v>42</v>
      </c>
      <c r="S7" s="18" t="s">
        <v>43</v>
      </c>
      <c r="T7" s="18">
        <v>1</v>
      </c>
      <c r="U7" s="21" t="s">
        <v>44</v>
      </c>
    </row>
    <row r="8" spans="1:21" x14ac:dyDescent="0.3">
      <c r="A8" s="51"/>
      <c r="B8" s="25" t="s">
        <v>45</v>
      </c>
      <c r="C8" s="18" t="s">
        <v>46</v>
      </c>
      <c r="D8" s="26">
        <v>1</v>
      </c>
      <c r="E8" s="22" t="s">
        <v>47</v>
      </c>
      <c r="G8" t="s">
        <v>48</v>
      </c>
      <c r="H8" t="s">
        <v>49</v>
      </c>
      <c r="I8">
        <f>PI()*I7*D4/12</f>
        <v>1964.2729131292633</v>
      </c>
      <c r="J8" t="s">
        <v>50</v>
      </c>
      <c r="M8" t="s">
        <v>48</v>
      </c>
      <c r="N8" t="s">
        <v>49</v>
      </c>
      <c r="P8" t="s">
        <v>50</v>
      </c>
      <c r="R8" s="18" t="s">
        <v>51</v>
      </c>
      <c r="S8" s="18" t="s">
        <v>52</v>
      </c>
      <c r="T8" s="18">
        <v>1</v>
      </c>
      <c r="U8" s="21" t="s">
        <v>53</v>
      </c>
    </row>
    <row r="9" spans="1:21" x14ac:dyDescent="0.3">
      <c r="A9" s="51"/>
      <c r="B9" s="18" t="s">
        <v>54</v>
      </c>
      <c r="C9" s="18" t="s">
        <v>55</v>
      </c>
      <c r="D9" s="26">
        <f>D7/D8</f>
        <v>8.8695652173913047</v>
      </c>
      <c r="G9" t="s">
        <v>56</v>
      </c>
      <c r="H9" t="s">
        <v>57</v>
      </c>
      <c r="I9">
        <f xml:space="preserve"> 33000*D5/I8</f>
        <v>238.00155104477335</v>
      </c>
      <c r="J9" t="s">
        <v>58</v>
      </c>
      <c r="R9" s="18" t="s">
        <v>59</v>
      </c>
      <c r="S9" s="18" t="s">
        <v>60</v>
      </c>
      <c r="T9" s="18">
        <f>1+'Here Be Dragons'!J19+'Here Be Dragons'!J20</f>
        <v>1.1996771590277489</v>
      </c>
      <c r="U9" s="21" t="s">
        <v>61</v>
      </c>
    </row>
    <row r="10" spans="1:21" x14ac:dyDescent="0.3">
      <c r="A10" s="51"/>
      <c r="B10" s="18" t="s">
        <v>62</v>
      </c>
      <c r="C10" s="18" t="s">
        <v>63</v>
      </c>
      <c r="D10" s="32">
        <v>25</v>
      </c>
      <c r="E10" s="22" t="s">
        <v>64</v>
      </c>
      <c r="G10" t="s">
        <v>65</v>
      </c>
      <c r="H10" t="s">
        <v>66</v>
      </c>
      <c r="I10">
        <f>PI()/(D12*TAN((PI()/180)*D10))</f>
        <v>0.74336415105444287</v>
      </c>
      <c r="R10" s="18" t="s">
        <v>67</v>
      </c>
      <c r="S10" s="18" t="s">
        <v>68</v>
      </c>
      <c r="T10" s="18">
        <f>'Here Be Dragons'!W13</f>
        <v>1.1836027634170414</v>
      </c>
      <c r="U10" s="12" t="s">
        <v>69</v>
      </c>
    </row>
    <row r="11" spans="1:21" x14ac:dyDescent="0.3">
      <c r="A11" s="51"/>
      <c r="B11" s="31" t="s">
        <v>70</v>
      </c>
      <c r="C11" s="18" t="s">
        <v>71</v>
      </c>
      <c r="D11" s="28">
        <v>10</v>
      </c>
      <c r="E11" s="22" t="s">
        <v>72</v>
      </c>
      <c r="G11" t="s">
        <v>73</v>
      </c>
      <c r="H11" t="s">
        <v>74</v>
      </c>
      <c r="I11">
        <f>0.25*(ROUNDUP((2*I10/0.25),0))</f>
        <v>1.5</v>
      </c>
      <c r="J11" t="s">
        <v>75</v>
      </c>
      <c r="R11" s="18" t="s">
        <v>76</v>
      </c>
      <c r="S11" s="18" t="s">
        <v>77</v>
      </c>
      <c r="T11" s="56">
        <f>IF(D13&lt;20,0.4,_xlfn.XLOOKUP(Helix,'Here Be Dragons'!V28:V30,'Here Be Dragons'!W28:W30))</f>
        <v>0.43999999999999995</v>
      </c>
      <c r="U11" s="21" t="s">
        <v>78</v>
      </c>
    </row>
    <row r="12" spans="1:21" x14ac:dyDescent="0.3">
      <c r="A12" s="23" t="s">
        <v>79</v>
      </c>
      <c r="B12" s="18" t="s">
        <v>80</v>
      </c>
      <c r="C12" s="18" t="s">
        <v>81</v>
      </c>
      <c r="D12" s="27">
        <f>D11*COS((PI()/180)*D10)</f>
        <v>9.0630778703664987</v>
      </c>
      <c r="E12" s="22" t="s">
        <v>82</v>
      </c>
      <c r="G12" t="s">
        <v>83</v>
      </c>
      <c r="H12" t="s">
        <v>84</v>
      </c>
      <c r="I12">
        <f>T12*T11</f>
        <v>0.41359999999999986</v>
      </c>
      <c r="R12" s="18" t="s">
        <v>85</v>
      </c>
      <c r="S12" s="18" t="s">
        <v>86</v>
      </c>
      <c r="T12" s="18">
        <f>IF( OR(I5&gt;500,I5&lt;20),1.04,_xlfn.XLOOKUP(Helix,'Here Be Dragons'!V39:V41,'Here Be Dragons'!W39:W41))</f>
        <v>0.93999999999999984</v>
      </c>
      <c r="U12" s="21" t="s">
        <v>78</v>
      </c>
    </row>
    <row r="13" spans="1:21" x14ac:dyDescent="0.3">
      <c r="A13" s="52"/>
      <c r="B13" s="34" t="s">
        <v>87</v>
      </c>
      <c r="C13" s="18" t="s">
        <v>88</v>
      </c>
      <c r="D13" s="28">
        <v>20</v>
      </c>
      <c r="E13" s="22" t="s">
        <v>89</v>
      </c>
      <c r="G13" t="s">
        <v>90</v>
      </c>
      <c r="H13" t="s">
        <v>91</v>
      </c>
      <c r="I13">
        <f>'Here Be Dragons'!I45</f>
        <v>0.11148452464680064</v>
      </c>
      <c r="J13" t="s">
        <v>92</v>
      </c>
      <c r="R13" s="18" t="s">
        <v>93</v>
      </c>
      <c r="S13" s="18" t="s">
        <v>94</v>
      </c>
      <c r="T13" s="18">
        <v>1</v>
      </c>
      <c r="U13" s="21" t="s">
        <v>95</v>
      </c>
    </row>
    <row r="14" spans="1:21" x14ac:dyDescent="0.3">
      <c r="A14" s="52"/>
      <c r="B14" s="37"/>
      <c r="D14" s="28"/>
      <c r="G14" t="s">
        <v>96</v>
      </c>
      <c r="H14" t="s">
        <v>97</v>
      </c>
      <c r="I14">
        <f>Ko*Ks*Kb*Km*Kv*Wt1_*Pd/(F*J)</f>
        <v>6911.6558626260949</v>
      </c>
      <c r="J14" t="s">
        <v>98</v>
      </c>
      <c r="R14" s="18" t="s">
        <v>99</v>
      </c>
      <c r="S14" s="18" t="s">
        <v>100</v>
      </c>
      <c r="T14" s="18">
        <f>_xlfn.XLOOKUP(U14,'Here Be Dragons'!B34:B37,'Here Be Dragons'!C34:C37)</f>
        <v>1.25</v>
      </c>
      <c r="U14" s="42">
        <v>0.999</v>
      </c>
    </row>
    <row r="15" spans="1:21" x14ac:dyDescent="0.3">
      <c r="A15" s="52"/>
      <c r="D15" s="28"/>
      <c r="G15" t="s">
        <v>101</v>
      </c>
      <c r="H15" t="s">
        <v>102</v>
      </c>
      <c r="I15">
        <f>'2-Stage'!T5* SQRT(('2-Stage'!I9*'2-Stage'!T6*'2-Stage'!T7*'2-Stage'!T9*'2-Stage'!T10)/('2-Stage'!I11*'2-Stage'!I7*'2-Stage'!I13))</f>
        <v>82354.410547436855</v>
      </c>
      <c r="J15" t="s">
        <v>98</v>
      </c>
      <c r="R15" s="18" t="s">
        <v>103</v>
      </c>
      <c r="S15" s="18" t="s">
        <v>104</v>
      </c>
      <c r="T15" s="18">
        <f>_xlfn.XLOOKUP(U15,'Here Be Dragons'!B47:B54,'Here Be Dragons'!C47:C54)</f>
        <v>25000</v>
      </c>
      <c r="U15" s="43" t="s">
        <v>105</v>
      </c>
    </row>
    <row r="16" spans="1:21" x14ac:dyDescent="0.3">
      <c r="A16" s="52"/>
      <c r="D16" s="28"/>
      <c r="G16" t="s">
        <v>106</v>
      </c>
      <c r="H16" t="s">
        <v>107</v>
      </c>
      <c r="I16" s="2">
        <f>1.3558*I18^-0.0178</f>
        <v>0.91075356614273006</v>
      </c>
      <c r="R16" s="18" t="s">
        <v>108</v>
      </c>
      <c r="S16" s="18" t="s">
        <v>109</v>
      </c>
      <c r="T16" s="18">
        <v>311</v>
      </c>
      <c r="U16" s="21" t="s">
        <v>110</v>
      </c>
    </row>
    <row r="17" spans="1:21" x14ac:dyDescent="0.3">
      <c r="A17" s="52"/>
      <c r="D17" s="28"/>
      <c r="G17" t="s">
        <v>111</v>
      </c>
      <c r="H17" t="s">
        <v>112</v>
      </c>
      <c r="I17" s="2">
        <f>1.4488*I18^-0.023</f>
        <v>0.86643167981838964</v>
      </c>
      <c r="R17" s="18" t="s">
        <v>113</v>
      </c>
      <c r="S17" s="18" t="s">
        <v>114</v>
      </c>
      <c r="T17" s="18">
        <f>0.0773*T16+12.8</f>
        <v>36.840299999999999</v>
      </c>
      <c r="U17" s="21" t="s">
        <v>115</v>
      </c>
    </row>
    <row r="18" spans="1:21" x14ac:dyDescent="0.3">
      <c r="A18" s="52"/>
      <c r="D18" s="28"/>
      <c r="G18" t="s">
        <v>116</v>
      </c>
      <c r="H18" t="s">
        <v>117</v>
      </c>
      <c r="I18" s="14">
        <f>60*T15*D4</f>
        <v>5100000000</v>
      </c>
      <c r="R18" s="18" t="s">
        <v>118</v>
      </c>
      <c r="S18" s="18" t="s">
        <v>119</v>
      </c>
      <c r="T18" s="18">
        <f>0.322*T16+29.1</f>
        <v>129.24199999999999</v>
      </c>
      <c r="U18" s="21" t="s">
        <v>115</v>
      </c>
    </row>
    <row r="19" spans="1:21" x14ac:dyDescent="0.3">
      <c r="A19" s="52"/>
      <c r="D19" s="28"/>
      <c r="G19" t="s">
        <v>120</v>
      </c>
      <c r="H19" t="s">
        <v>121</v>
      </c>
      <c r="I19">
        <f>st1_*SF*Kr/(1000*I16)</f>
        <v>9.4861773255232631</v>
      </c>
      <c r="J19" t="s">
        <v>122</v>
      </c>
    </row>
    <row r="20" spans="1:21" x14ac:dyDescent="0.3">
      <c r="A20" s="29" t="s">
        <v>123</v>
      </c>
      <c r="D20" s="28"/>
      <c r="G20" t="s">
        <v>124</v>
      </c>
      <c r="H20" t="s">
        <v>125</v>
      </c>
      <c r="I20">
        <f>I15*T13*T14/(1000*I17)</f>
        <v>118.81261452244414</v>
      </c>
      <c r="J20" t="s">
        <v>126</v>
      </c>
    </row>
    <row r="21" spans="1:21" x14ac:dyDescent="0.3">
      <c r="A21" s="30"/>
      <c r="D21" s="28"/>
    </row>
    <row r="22" spans="1:21" x14ac:dyDescent="0.3">
      <c r="A22" s="30"/>
      <c r="D22" s="28"/>
    </row>
    <row r="23" spans="1:21" x14ac:dyDescent="0.3">
      <c r="A23" s="30"/>
      <c r="D23" s="28"/>
    </row>
    <row r="24" spans="1:21" x14ac:dyDescent="0.3">
      <c r="A24" s="30"/>
      <c r="D24" s="28"/>
    </row>
    <row r="25" spans="1:21" x14ac:dyDescent="0.3">
      <c r="A25" s="30"/>
      <c r="D25" s="28"/>
    </row>
    <row r="26" spans="1:21" x14ac:dyDescent="0.3">
      <c r="A26" s="30"/>
      <c r="D26" s="28"/>
    </row>
    <row r="27" spans="1:21" x14ac:dyDescent="0.3">
      <c r="A27" s="30"/>
    </row>
    <row r="28" spans="1:21" x14ac:dyDescent="0.3">
      <c r="A28" s="30"/>
    </row>
    <row r="29" spans="1:21" ht="28.8" x14ac:dyDescent="0.3">
      <c r="A29" s="35" t="s">
        <v>127</v>
      </c>
    </row>
    <row r="30" spans="1:21" ht="21" x14ac:dyDescent="0.4">
      <c r="A30" s="36"/>
      <c r="G30" s="50" t="s">
        <v>128</v>
      </c>
      <c r="H30" s="50"/>
      <c r="I30" s="50"/>
      <c r="J30" s="47" t="s">
        <v>129</v>
      </c>
    </row>
    <row r="31" spans="1:21" ht="21" x14ac:dyDescent="0.4">
      <c r="A31" s="36"/>
      <c r="G31" s="46" t="s">
        <v>130</v>
      </c>
      <c r="H31" s="49">
        <f>I19</f>
        <v>9.4861773255232631</v>
      </c>
      <c r="I31" s="44" t="s">
        <v>131</v>
      </c>
      <c r="J31" s="48">
        <f>H31/T17*100</f>
        <v>25.749457321257601</v>
      </c>
      <c r="K31" s="48" t="s">
        <v>132</v>
      </c>
    </row>
    <row r="32" spans="1:21" ht="21" x14ac:dyDescent="0.4">
      <c r="A32" s="36"/>
      <c r="G32" s="46" t="s">
        <v>133</v>
      </c>
      <c r="H32" s="49">
        <f>I20</f>
        <v>118.81261452244414</v>
      </c>
      <c r="I32" s="44" t="s">
        <v>131</v>
      </c>
      <c r="J32" s="48">
        <f>H32/T18*100</f>
        <v>91.930343481564918</v>
      </c>
      <c r="K32" s="48" t="s">
        <v>132</v>
      </c>
    </row>
    <row r="33" spans="1:9" ht="21" x14ac:dyDescent="0.4">
      <c r="A33" s="36"/>
      <c r="G33" s="46" t="s">
        <v>134</v>
      </c>
      <c r="H33" s="45"/>
      <c r="I33" s="44"/>
    </row>
    <row r="34" spans="1:9" ht="21" x14ac:dyDescent="0.4">
      <c r="A34" s="36"/>
      <c r="G34" s="46" t="s">
        <v>135</v>
      </c>
      <c r="H34" s="45"/>
      <c r="I34" s="44"/>
    </row>
    <row r="35" spans="1:9" ht="21" x14ac:dyDescent="0.4">
      <c r="A35" s="36"/>
      <c r="G35" s="46" t="s">
        <v>136</v>
      </c>
      <c r="I35" s="44" t="s">
        <v>137</v>
      </c>
    </row>
    <row r="36" spans="1:9" ht="21" x14ac:dyDescent="0.4">
      <c r="A36" s="36"/>
      <c r="G36" s="46" t="s">
        <v>138</v>
      </c>
      <c r="I36" s="44" t="s">
        <v>137</v>
      </c>
    </row>
    <row r="37" spans="1:9" ht="21" x14ac:dyDescent="0.4">
      <c r="A37" s="36"/>
      <c r="G37" s="46" t="s">
        <v>139</v>
      </c>
      <c r="I37" s="44" t="s">
        <v>137</v>
      </c>
    </row>
    <row r="38" spans="1:9" ht="21" x14ac:dyDescent="0.4">
      <c r="A38" t="s">
        <v>140</v>
      </c>
      <c r="G38" s="46" t="s">
        <v>141</v>
      </c>
      <c r="I38" s="44" t="s">
        <v>142</v>
      </c>
    </row>
    <row r="42" spans="1:9" x14ac:dyDescent="0.3">
      <c r="G42" t="s">
        <v>285</v>
      </c>
    </row>
  </sheetData>
  <mergeCells count="7">
    <mergeCell ref="G30:I30"/>
    <mergeCell ref="A4:A11"/>
    <mergeCell ref="A13:A19"/>
    <mergeCell ref="R1:U1"/>
    <mergeCell ref="B1:E1"/>
    <mergeCell ref="G1:J1"/>
    <mergeCell ref="M1:P1"/>
  </mergeCells>
  <conditionalFormatting sqref="H31">
    <cfRule type="cellIs" dxfId="1" priority="2" operator="greaterThan">
      <formula>$T$17</formula>
    </cfRule>
  </conditionalFormatting>
  <conditionalFormatting sqref="H32">
    <cfRule type="cellIs" dxfId="0" priority="1" operator="greaterThan">
      <formula>$T$18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Input Speed Scroll">
              <controlPr defaultSize="0" autoPict="0">
                <anchor moveWithCells="1">
                  <from>
                    <xdr:col>0</xdr:col>
                    <xdr:colOff>220980</xdr:colOff>
                    <xdr:row>3</xdr:row>
                    <xdr:rowOff>0</xdr:rowOff>
                  </from>
                  <to>
                    <xdr:col>0</xdr:col>
                    <xdr:colOff>525780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Scroll Bar 4">
              <controlPr defaultSize="0" autoPict="0">
                <anchor moveWithCells="1">
                  <from>
                    <xdr:col>0</xdr:col>
                    <xdr:colOff>403860</xdr:colOff>
                    <xdr:row>12</xdr:row>
                    <xdr:rowOff>7620</xdr:rowOff>
                  </from>
                  <to>
                    <xdr:col>0</xdr:col>
                    <xdr:colOff>533400</xdr:colOff>
                    <xdr:row>18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Scroll Bar 8">
              <controlPr defaultSize="0" autoPict="0">
                <anchor moveWithCells="1">
                  <from>
                    <xdr:col>0</xdr:col>
                    <xdr:colOff>182880</xdr:colOff>
                    <xdr:row>20</xdr:row>
                    <xdr:rowOff>0</xdr:rowOff>
                  </from>
                  <to>
                    <xdr:col>0</xdr:col>
                    <xdr:colOff>533400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" name="Scroll Bar 10">
              <controlPr defaultSize="0" autoPict="0">
                <anchor moveWithCells="1">
                  <from>
                    <xdr:col>0</xdr:col>
                    <xdr:colOff>182880</xdr:colOff>
                    <xdr:row>29</xdr:row>
                    <xdr:rowOff>0</xdr:rowOff>
                  </from>
                  <to>
                    <xdr:col>0</xdr:col>
                    <xdr:colOff>556260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Scroll Bar 12">
              <controlPr defaultSize="0" autoPict="0">
                <anchor moveWithCells="1">
                  <from>
                    <xdr:col>0</xdr:col>
                    <xdr:colOff>259080</xdr:colOff>
                    <xdr:row>41</xdr:row>
                    <xdr:rowOff>99060</xdr:rowOff>
                  </from>
                  <to>
                    <xdr:col>0</xdr:col>
                    <xdr:colOff>579120</xdr:colOff>
                    <xdr:row>53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840E0677-DD30-4CD9-ADB5-8657A3476838}">
          <x14:formula1>
            <xm:f>'Here Be Dragons'!$I$3:$I$5</xm:f>
          </x14:formula1>
          <xm:sqref>D10</xm:sqref>
        </x14:dataValidation>
        <x14:dataValidation type="list" allowBlank="1" showInputMessage="1" showErrorMessage="1" xr:uid="{F79B6A09-4432-40B4-803C-7E2DBE0C1041}">
          <x14:formula1>
            <xm:f>'Here Be Dragons'!$R$3:$R$14</xm:f>
          </x14:formula1>
          <xm:sqref>T6</xm:sqref>
        </x14:dataValidation>
        <x14:dataValidation type="list" allowBlank="1" showInputMessage="1" showErrorMessage="1" xr:uid="{86A51DFF-9628-47A2-AD1B-2C8A019BB10F}">
          <x14:formula1>
            <xm:f>'Here Be Dragons'!$Q$3:$Q$14</xm:f>
          </x14:formula1>
          <xm:sqref>U6</xm:sqref>
        </x14:dataValidation>
        <x14:dataValidation type="list" allowBlank="1" showInputMessage="1" showErrorMessage="1" xr:uid="{DF319B06-CECA-468C-83DA-9A76D4524A2F}">
          <x14:formula1>
            <xm:f>'Here Be Dragons'!$V$3:$V$9</xm:f>
          </x14:formula1>
          <xm:sqref>U10</xm:sqref>
        </x14:dataValidation>
        <x14:dataValidation type="list" allowBlank="1" showInputMessage="1" showErrorMessage="1" xr:uid="{DD7D34DE-6088-48F7-ADF9-188F6CDFB6BB}">
          <x14:formula1>
            <xm:f>'Here Be Dragons'!$B$34:$B$37</xm:f>
          </x14:formula1>
          <xm:sqref>U14</xm:sqref>
        </x14:dataValidation>
        <x14:dataValidation type="list" allowBlank="1" showInputMessage="1" showErrorMessage="1" xr:uid="{D52175FB-B9DD-4217-BB0C-BD06B83A2852}">
          <x14:formula1>
            <xm:f>'Here Be Dragons'!$B$47:$B$54</xm:f>
          </x14:formula1>
          <xm:sqref>U15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CD8EB-EDC7-4813-9502-C457CE230F02}">
  <sheetPr codeName="Sheet2"/>
  <dimension ref="A1"/>
  <sheetViews>
    <sheetView zoomScale="70" zoomScaleNormal="70"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3:AK81"/>
  <sheetViews>
    <sheetView topLeftCell="A28" zoomScale="70" zoomScaleNormal="70" workbookViewId="0">
      <selection activeCell="L82" sqref="L82"/>
    </sheetView>
  </sheetViews>
  <sheetFormatPr defaultRowHeight="14.4" x14ac:dyDescent="0.3"/>
  <cols>
    <col min="2" max="2" width="18.6640625" bestFit="1" customWidth="1"/>
    <col min="3" max="3" width="16.44140625" customWidth="1"/>
    <col min="4" max="4" width="13.44140625" customWidth="1"/>
    <col min="6" max="6" width="18.44140625" customWidth="1"/>
    <col min="7" max="7" width="10.33203125" customWidth="1"/>
    <col min="8" max="8" width="12.109375" bestFit="1" customWidth="1"/>
    <col min="10" max="10" width="9.33203125" bestFit="1" customWidth="1"/>
  </cols>
  <sheetData>
    <row r="3" spans="3:26" x14ac:dyDescent="0.3">
      <c r="C3" t="s">
        <v>143</v>
      </c>
    </row>
    <row r="4" spans="3:26" x14ac:dyDescent="0.3">
      <c r="C4" t="s">
        <v>144</v>
      </c>
      <c r="D4">
        <v>10</v>
      </c>
    </row>
    <row r="5" spans="3:26" x14ac:dyDescent="0.3">
      <c r="C5" t="s">
        <v>145</v>
      </c>
      <c r="D5">
        <v>2250</v>
      </c>
    </row>
    <row r="6" spans="3:26" x14ac:dyDescent="0.3">
      <c r="C6" t="s">
        <v>146</v>
      </c>
      <c r="D6">
        <v>250</v>
      </c>
    </row>
    <row r="7" spans="3:26" x14ac:dyDescent="0.3">
      <c r="C7" t="s">
        <v>147</v>
      </c>
      <c r="D7" t="s">
        <v>148</v>
      </c>
    </row>
    <row r="8" spans="3:26" x14ac:dyDescent="0.3">
      <c r="C8" t="s">
        <v>149</v>
      </c>
      <c r="D8">
        <v>20</v>
      </c>
    </row>
    <row r="9" spans="3:26" x14ac:dyDescent="0.3">
      <c r="C9" t="s">
        <v>150</v>
      </c>
      <c r="D9">
        <f>D5/D6</f>
        <v>9</v>
      </c>
    </row>
    <row r="13" spans="3:26" x14ac:dyDescent="0.3">
      <c r="T13" t="s">
        <v>151</v>
      </c>
      <c r="Y13" t="s">
        <v>152</v>
      </c>
      <c r="Z13" t="s">
        <v>153</v>
      </c>
    </row>
    <row r="23" spans="3:3" x14ac:dyDescent="0.3">
      <c r="C23" t="s">
        <v>154</v>
      </c>
    </row>
    <row r="24" spans="3:3" x14ac:dyDescent="0.3">
      <c r="C24" t="s">
        <v>155</v>
      </c>
    </row>
    <row r="25" spans="3:3" x14ac:dyDescent="0.3">
      <c r="C25" t="s">
        <v>156</v>
      </c>
    </row>
    <row r="26" spans="3:3" x14ac:dyDescent="0.3">
      <c r="C26" t="s">
        <v>157</v>
      </c>
    </row>
    <row r="27" spans="3:3" x14ac:dyDescent="0.3">
      <c r="C27" t="s">
        <v>158</v>
      </c>
    </row>
    <row r="28" spans="3:3" x14ac:dyDescent="0.3">
      <c r="C28" t="s">
        <v>159</v>
      </c>
    </row>
    <row r="29" spans="3:3" x14ac:dyDescent="0.3">
      <c r="C29" t="s">
        <v>160</v>
      </c>
    </row>
    <row r="30" spans="3:3" x14ac:dyDescent="0.3">
      <c r="C30" t="s">
        <v>161</v>
      </c>
    </row>
    <row r="31" spans="3:3" x14ac:dyDescent="0.3">
      <c r="C31" t="s">
        <v>162</v>
      </c>
    </row>
    <row r="33" spans="2:37" x14ac:dyDescent="0.3">
      <c r="C33" t="s">
        <v>163</v>
      </c>
      <c r="H33" t="s">
        <v>164</v>
      </c>
    </row>
    <row r="39" spans="2:37" x14ac:dyDescent="0.3">
      <c r="B39" t="s">
        <v>8</v>
      </c>
      <c r="C39" s="1" t="s">
        <v>165</v>
      </c>
      <c r="F39" t="s">
        <v>8</v>
      </c>
      <c r="G39" s="1" t="s">
        <v>166</v>
      </c>
    </row>
    <row r="40" spans="2:37" x14ac:dyDescent="0.3">
      <c r="B40" t="s">
        <v>167</v>
      </c>
      <c r="C40" t="s">
        <v>168</v>
      </c>
      <c r="D40" s="4">
        <v>12</v>
      </c>
      <c r="G40" t="s">
        <v>169</v>
      </c>
      <c r="H40" s="12">
        <f>D42*D43</f>
        <v>90</v>
      </c>
    </row>
    <row r="41" spans="2:37" x14ac:dyDescent="0.3">
      <c r="B41" t="s">
        <v>170</v>
      </c>
      <c r="C41" t="s">
        <v>74</v>
      </c>
      <c r="D41" s="8">
        <f>ROUNDUP(2*D53,2)</f>
        <v>2.0299999999999998</v>
      </c>
      <c r="G41" t="s">
        <v>171</v>
      </c>
      <c r="H41">
        <f>D49/D43</f>
        <v>750</v>
      </c>
    </row>
    <row r="42" spans="2:37" x14ac:dyDescent="0.3">
      <c r="B42" t="s">
        <v>167</v>
      </c>
      <c r="C42" t="s">
        <v>172</v>
      </c>
      <c r="D42" s="7">
        <v>30</v>
      </c>
      <c r="G42" t="s">
        <v>173</v>
      </c>
      <c r="H42">
        <f>D42/D52</f>
        <v>2.5881904510252074</v>
      </c>
    </row>
    <row r="43" spans="2:37" x14ac:dyDescent="0.3">
      <c r="B43" t="s">
        <v>174</v>
      </c>
      <c r="C43" t="s">
        <v>175</v>
      </c>
      <c r="D43">
        <v>3</v>
      </c>
      <c r="G43" t="s">
        <v>176</v>
      </c>
      <c r="H43">
        <f>H40/D52</f>
        <v>7.7645713530756222</v>
      </c>
      <c r="AK43" t="s">
        <v>177</v>
      </c>
    </row>
    <row r="44" spans="2:37" x14ac:dyDescent="0.3">
      <c r="B44" t="s">
        <v>178</v>
      </c>
      <c r="C44" t="s">
        <v>34</v>
      </c>
      <c r="D44">
        <v>1.4</v>
      </c>
      <c r="G44" t="s">
        <v>179</v>
      </c>
      <c r="H44">
        <f>33000*D50/H47</f>
        <v>216.45447283895234</v>
      </c>
    </row>
    <row r="45" spans="2:37" x14ac:dyDescent="0.3">
      <c r="B45" t="s">
        <v>180</v>
      </c>
      <c r="C45" t="s">
        <v>43</v>
      </c>
      <c r="D45" s="3">
        <v>1</v>
      </c>
      <c r="F45" t="s">
        <v>181</v>
      </c>
      <c r="G45" t="s">
        <v>182</v>
      </c>
      <c r="H45" s="2">
        <v>0.01</v>
      </c>
    </row>
    <row r="46" spans="2:37" x14ac:dyDescent="0.3">
      <c r="B46" t="s">
        <v>183</v>
      </c>
      <c r="C46" t="s">
        <v>60</v>
      </c>
      <c r="D46" s="5">
        <f>1+H46+H45</f>
        <v>1.16862358563</v>
      </c>
      <c r="F46" t="s">
        <v>184</v>
      </c>
      <c r="G46" t="s">
        <v>185</v>
      </c>
      <c r="H46">
        <f>0.127+0.0158*D41-1.093*(10^-4)*D41*D41</f>
        <v>0.15862358562999998</v>
      </c>
    </row>
    <row r="47" spans="2:37" x14ac:dyDescent="0.3">
      <c r="B47" t="s">
        <v>167</v>
      </c>
      <c r="C47" t="s">
        <v>52</v>
      </c>
      <c r="D47">
        <v>1</v>
      </c>
      <c r="F47" t="s">
        <v>186</v>
      </c>
      <c r="G47" t="s">
        <v>187</v>
      </c>
      <c r="H47">
        <f>PI()*H42*D49/12</f>
        <v>1524.5700200685085</v>
      </c>
    </row>
    <row r="48" spans="2:37" x14ac:dyDescent="0.3">
      <c r="B48" t="s">
        <v>188</v>
      </c>
      <c r="C48" t="s">
        <v>68</v>
      </c>
      <c r="D48" s="6">
        <v>1.2</v>
      </c>
      <c r="F48" t="s">
        <v>189</v>
      </c>
      <c r="G48" t="s">
        <v>190</v>
      </c>
      <c r="H48" s="14">
        <f>60*D60*D49*60</f>
        <v>81000000000</v>
      </c>
    </row>
    <row r="49" spans="2:11" x14ac:dyDescent="0.3">
      <c r="B49" t="s">
        <v>191</v>
      </c>
      <c r="C49" t="s">
        <v>192</v>
      </c>
      <c r="D49">
        <v>2250</v>
      </c>
      <c r="F49" t="s">
        <v>193</v>
      </c>
      <c r="G49" t="s">
        <v>194</v>
      </c>
      <c r="H49" s="14">
        <f>1.4488*H48^(-0.023)</f>
        <v>0.81304256346424775</v>
      </c>
    </row>
    <row r="50" spans="2:11" x14ac:dyDescent="0.3">
      <c r="B50" t="s">
        <v>195</v>
      </c>
      <c r="C50" t="s">
        <v>19</v>
      </c>
      <c r="D50">
        <v>10</v>
      </c>
      <c r="F50" t="s">
        <v>196</v>
      </c>
      <c r="G50" t="s">
        <v>197</v>
      </c>
      <c r="H50">
        <f>1.3558*H48^(-0.0178)</f>
        <v>0.86701097747338984</v>
      </c>
    </row>
    <row r="51" spans="2:11" x14ac:dyDescent="0.3">
      <c r="B51" t="s">
        <v>62</v>
      </c>
      <c r="C51" t="s">
        <v>198</v>
      </c>
      <c r="D51" s="10">
        <v>15</v>
      </c>
      <c r="F51" t="s">
        <v>199</v>
      </c>
      <c r="G51" t="s">
        <v>200</v>
      </c>
      <c r="H51">
        <f>H44*D52*D44*D45*D46*D47*D48/(D41*D56)</f>
        <v>5005.1473618006066</v>
      </c>
    </row>
    <row r="52" spans="2:11" x14ac:dyDescent="0.3">
      <c r="B52" t="s">
        <v>201</v>
      </c>
      <c r="C52" t="s">
        <v>81</v>
      </c>
      <c r="D52">
        <f>D40*COS(D51*PI()/180)</f>
        <v>11.59110991546882</v>
      </c>
      <c r="F52" t="s">
        <v>202</v>
      </c>
      <c r="G52" t="s">
        <v>203</v>
      </c>
      <c r="H52">
        <f>D57*SQRT(H44*D44*D45*D46*D48/(D41*H42*D58))</f>
        <v>44714.673281613672</v>
      </c>
    </row>
    <row r="53" spans="2:11" x14ac:dyDescent="0.3">
      <c r="B53" t="s">
        <v>204</v>
      </c>
      <c r="C53" t="s">
        <v>66</v>
      </c>
      <c r="D53">
        <f>PI()/(D52*TAN(D51*PI()/180))</f>
        <v>1.0115151599274625</v>
      </c>
    </row>
    <row r="54" spans="2:11" x14ac:dyDescent="0.3">
      <c r="B54" t="s">
        <v>205</v>
      </c>
      <c r="C54" t="s">
        <v>77</v>
      </c>
      <c r="D54" s="9">
        <v>0.48</v>
      </c>
      <c r="F54" s="15" t="s">
        <v>206</v>
      </c>
      <c r="G54" s="15" t="s">
        <v>207</v>
      </c>
      <c r="H54" s="15">
        <f>H51*D61*D59/H50</f>
        <v>7216.0957182837737</v>
      </c>
      <c r="J54" t="s">
        <v>208</v>
      </c>
      <c r="K54" s="15" t="s">
        <v>209</v>
      </c>
    </row>
    <row r="55" spans="2:11" x14ac:dyDescent="0.3">
      <c r="B55" t="s">
        <v>210</v>
      </c>
      <c r="C55" t="s">
        <v>86</v>
      </c>
      <c r="D55" s="11">
        <v>1.01</v>
      </c>
      <c r="F55" s="16" t="s">
        <v>211</v>
      </c>
      <c r="G55" s="16" t="s">
        <v>212</v>
      </c>
      <c r="H55" s="16">
        <f>H52*D61*D59/H49</f>
        <v>68745.898571243641</v>
      </c>
      <c r="J55" t="s">
        <v>213</v>
      </c>
      <c r="K55" s="15" t="s">
        <v>214</v>
      </c>
    </row>
    <row r="56" spans="2:11" x14ac:dyDescent="0.3">
      <c r="C56" t="s">
        <v>84</v>
      </c>
      <c r="D56">
        <f>D54*D55</f>
        <v>0.48480000000000001</v>
      </c>
    </row>
    <row r="57" spans="2:11" x14ac:dyDescent="0.3">
      <c r="C57" t="s">
        <v>25</v>
      </c>
      <c r="D57">
        <v>2300</v>
      </c>
    </row>
    <row r="58" spans="2:11" x14ac:dyDescent="0.3">
      <c r="B58" t="s">
        <v>215</v>
      </c>
      <c r="C58" t="s">
        <v>91</v>
      </c>
      <c r="D58" s="13">
        <v>0.214</v>
      </c>
    </row>
    <row r="59" spans="2:11" x14ac:dyDescent="0.3">
      <c r="B59" t="s">
        <v>216</v>
      </c>
      <c r="C59" t="s">
        <v>100</v>
      </c>
      <c r="D59">
        <v>1.25</v>
      </c>
    </row>
    <row r="60" spans="2:11" x14ac:dyDescent="0.3">
      <c r="B60" t="s">
        <v>217</v>
      </c>
      <c r="C60" t="s">
        <v>104</v>
      </c>
      <c r="D60">
        <v>10000</v>
      </c>
    </row>
    <row r="61" spans="2:11" x14ac:dyDescent="0.3">
      <c r="B61" t="s">
        <v>218</v>
      </c>
      <c r="C61" t="s">
        <v>94</v>
      </c>
      <c r="D61">
        <v>1</v>
      </c>
    </row>
    <row r="71" spans="3:6" x14ac:dyDescent="0.3">
      <c r="C71" t="s">
        <v>219</v>
      </c>
      <c r="E71" t="s">
        <v>220</v>
      </c>
    </row>
    <row r="72" spans="3:6" x14ac:dyDescent="0.3">
      <c r="C72" t="s">
        <v>34</v>
      </c>
      <c r="E72" t="s">
        <v>221</v>
      </c>
    </row>
    <row r="73" spans="3:6" x14ac:dyDescent="0.3">
      <c r="C73" t="s">
        <v>81</v>
      </c>
      <c r="E73" t="s">
        <v>222</v>
      </c>
      <c r="F73" t="s">
        <v>223</v>
      </c>
    </row>
    <row r="74" spans="3:6" x14ac:dyDescent="0.3">
      <c r="C74" t="s">
        <v>224</v>
      </c>
    </row>
    <row r="75" spans="3:6" x14ac:dyDescent="0.3">
      <c r="C75" t="s">
        <v>225</v>
      </c>
    </row>
    <row r="76" spans="3:6" x14ac:dyDescent="0.3">
      <c r="C76" t="s">
        <v>226</v>
      </c>
    </row>
    <row r="81" spans="10:12" x14ac:dyDescent="0.3">
      <c r="J81" t="s">
        <v>227</v>
      </c>
      <c r="L81">
        <v>311</v>
      </c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DAD7E-9EBF-4C25-9749-967F5E32F80F}">
  <sheetPr codeName="Sheet4"/>
  <dimension ref="A3:S32"/>
  <sheetViews>
    <sheetView zoomScale="70" workbookViewId="0">
      <selection activeCell="C9" sqref="C9"/>
    </sheetView>
  </sheetViews>
  <sheetFormatPr defaultRowHeight="14.4" x14ac:dyDescent="0.3"/>
  <sheetData>
    <row r="3" spans="1:19" x14ac:dyDescent="0.3">
      <c r="A3">
        <v>1</v>
      </c>
      <c r="B3" s="13"/>
      <c r="C3" s="13"/>
      <c r="D3" s="13"/>
      <c r="E3" s="13"/>
      <c r="F3" s="13"/>
      <c r="N3" s="17"/>
      <c r="O3" s="17"/>
      <c r="P3" s="17"/>
      <c r="Q3" s="17"/>
      <c r="R3" s="17"/>
      <c r="S3" s="17"/>
    </row>
    <row r="4" spans="1:19" x14ac:dyDescent="0.3">
      <c r="A4">
        <f>A3+1</f>
        <v>2</v>
      </c>
      <c r="B4" s="13"/>
      <c r="N4" s="17"/>
      <c r="O4" s="17"/>
      <c r="P4" s="17"/>
      <c r="Q4" s="17"/>
      <c r="R4" s="17"/>
      <c r="S4" s="17"/>
    </row>
    <row r="5" spans="1:19" x14ac:dyDescent="0.3">
      <c r="A5">
        <f t="shared" ref="A5:A15" si="0">A4+1</f>
        <v>3</v>
      </c>
      <c r="B5" s="13"/>
      <c r="N5" s="17"/>
      <c r="O5" s="17"/>
      <c r="P5" s="17"/>
      <c r="Q5" s="17"/>
      <c r="R5" s="17"/>
      <c r="S5" s="17"/>
    </row>
    <row r="6" spans="1:19" x14ac:dyDescent="0.3">
      <c r="A6">
        <f t="shared" si="0"/>
        <v>4</v>
      </c>
      <c r="B6" s="13"/>
      <c r="N6" s="17"/>
      <c r="O6" s="17"/>
      <c r="P6" s="17"/>
      <c r="Q6" s="17"/>
      <c r="R6" s="17"/>
      <c r="S6" s="17"/>
    </row>
    <row r="7" spans="1:19" x14ac:dyDescent="0.3">
      <c r="A7">
        <f t="shared" si="0"/>
        <v>5</v>
      </c>
      <c r="B7" s="13"/>
      <c r="N7" s="17"/>
      <c r="O7" s="17"/>
      <c r="P7" s="17"/>
      <c r="Q7" s="17"/>
      <c r="R7" s="17"/>
      <c r="S7" s="17"/>
    </row>
    <row r="8" spans="1:19" x14ac:dyDescent="0.3">
      <c r="A8">
        <f t="shared" si="0"/>
        <v>6</v>
      </c>
      <c r="B8" s="13"/>
      <c r="N8" s="17"/>
      <c r="O8" s="17"/>
      <c r="P8" s="17"/>
      <c r="Q8" s="17"/>
      <c r="R8" s="17"/>
      <c r="S8" s="17"/>
    </row>
    <row r="9" spans="1:19" x14ac:dyDescent="0.3">
      <c r="A9">
        <f t="shared" si="0"/>
        <v>7</v>
      </c>
      <c r="B9" s="13"/>
      <c r="N9" s="17"/>
      <c r="O9" s="17"/>
      <c r="P9" s="17"/>
      <c r="Q9" s="17"/>
      <c r="R9" s="17"/>
      <c r="S9" s="17"/>
    </row>
    <row r="10" spans="1:19" x14ac:dyDescent="0.3">
      <c r="A10">
        <f t="shared" si="0"/>
        <v>8</v>
      </c>
      <c r="B10" s="13"/>
      <c r="N10" s="17"/>
      <c r="O10" s="17"/>
      <c r="P10" s="17"/>
      <c r="Q10" s="17"/>
      <c r="R10" s="17"/>
      <c r="S10" s="17"/>
    </row>
    <row r="11" spans="1:19" x14ac:dyDescent="0.3">
      <c r="A11">
        <f t="shared" si="0"/>
        <v>9</v>
      </c>
      <c r="B11" s="13"/>
      <c r="N11" s="17"/>
      <c r="O11" s="17"/>
      <c r="P11" s="17"/>
      <c r="Q11" s="17"/>
      <c r="R11" s="17"/>
      <c r="S11" s="17"/>
    </row>
    <row r="12" spans="1:19" x14ac:dyDescent="0.3">
      <c r="A12">
        <f t="shared" si="0"/>
        <v>10</v>
      </c>
      <c r="B12" s="13"/>
      <c r="N12" s="17"/>
      <c r="O12" s="17"/>
      <c r="P12" s="17"/>
      <c r="Q12" s="17"/>
      <c r="R12" s="17"/>
      <c r="S12" s="17"/>
    </row>
    <row r="13" spans="1:19" x14ac:dyDescent="0.3">
      <c r="A13">
        <f t="shared" si="0"/>
        <v>11</v>
      </c>
      <c r="B13" s="13"/>
      <c r="N13" s="17"/>
      <c r="O13" s="17"/>
      <c r="P13" s="17"/>
      <c r="Q13" s="17"/>
      <c r="R13" s="17"/>
      <c r="S13" s="17"/>
    </row>
    <row r="14" spans="1:19" x14ac:dyDescent="0.3">
      <c r="A14">
        <f t="shared" si="0"/>
        <v>12</v>
      </c>
      <c r="B14" s="13"/>
      <c r="N14" s="17"/>
      <c r="O14" s="17"/>
      <c r="P14" s="17"/>
      <c r="Q14" s="17"/>
      <c r="R14" s="17"/>
      <c r="S14" s="17"/>
    </row>
    <row r="15" spans="1:19" x14ac:dyDescent="0.3">
      <c r="A15">
        <f t="shared" si="0"/>
        <v>13</v>
      </c>
      <c r="B15" s="13"/>
      <c r="N15" s="17"/>
      <c r="O15" s="17"/>
      <c r="P15" s="17"/>
      <c r="Q15" s="17"/>
      <c r="R15" s="17"/>
      <c r="S15" s="17"/>
    </row>
    <row r="16" spans="1:19" x14ac:dyDescent="0.3">
      <c r="B16" s="13"/>
      <c r="N16" s="17"/>
      <c r="O16" s="17"/>
      <c r="P16" s="17"/>
      <c r="Q16" s="17"/>
      <c r="R16" s="17"/>
      <c r="S16" s="17"/>
    </row>
    <row r="17" spans="2:19" x14ac:dyDescent="0.3">
      <c r="B17" s="13"/>
      <c r="N17" s="17"/>
      <c r="O17" s="17"/>
      <c r="P17" s="17"/>
      <c r="Q17" s="17"/>
      <c r="R17" s="17"/>
      <c r="S17" s="17"/>
    </row>
    <row r="18" spans="2:19" x14ac:dyDescent="0.3">
      <c r="B18" s="13"/>
      <c r="N18" s="17"/>
      <c r="O18" s="17"/>
      <c r="P18" s="17"/>
      <c r="Q18" s="17"/>
      <c r="R18" s="17"/>
      <c r="S18" s="17"/>
    </row>
    <row r="19" spans="2:19" x14ac:dyDescent="0.3">
      <c r="B19" s="13"/>
      <c r="N19" s="17"/>
      <c r="O19" s="17"/>
      <c r="P19" s="17"/>
      <c r="Q19" s="17"/>
      <c r="R19" s="17"/>
      <c r="S19" s="17"/>
    </row>
    <row r="20" spans="2:19" x14ac:dyDescent="0.3">
      <c r="B20" s="13"/>
      <c r="N20" s="17"/>
      <c r="O20" s="17"/>
      <c r="P20" s="17"/>
      <c r="Q20" s="17"/>
      <c r="R20" s="17"/>
      <c r="S20" s="17"/>
    </row>
    <row r="21" spans="2:19" x14ac:dyDescent="0.3">
      <c r="B21" s="13"/>
      <c r="N21" s="17"/>
      <c r="O21" s="17"/>
      <c r="P21" s="17"/>
      <c r="Q21" s="17"/>
      <c r="R21" s="17"/>
      <c r="S21" s="17"/>
    </row>
    <row r="22" spans="2:19" x14ac:dyDescent="0.3">
      <c r="B22" s="13"/>
      <c r="N22" s="17"/>
      <c r="O22" s="17"/>
      <c r="P22" s="17"/>
      <c r="Q22" s="17"/>
      <c r="R22" s="17"/>
      <c r="S22" s="17"/>
    </row>
    <row r="23" spans="2:19" x14ac:dyDescent="0.3">
      <c r="B23" s="13"/>
      <c r="N23" s="17"/>
      <c r="O23" s="17"/>
      <c r="P23" s="17"/>
      <c r="Q23" s="17"/>
      <c r="R23" s="17"/>
      <c r="S23" s="17"/>
    </row>
    <row r="24" spans="2:19" x14ac:dyDescent="0.3">
      <c r="B24" s="13"/>
      <c r="N24" s="17"/>
      <c r="O24" s="17"/>
      <c r="P24" s="17"/>
      <c r="Q24" s="17"/>
      <c r="R24" s="17"/>
      <c r="S24" s="17"/>
    </row>
    <row r="25" spans="2:19" x14ac:dyDescent="0.3">
      <c r="B25" s="13"/>
      <c r="N25" s="17"/>
      <c r="O25" s="17"/>
      <c r="P25" s="17"/>
      <c r="Q25" s="17"/>
      <c r="R25" s="17"/>
      <c r="S25" s="17"/>
    </row>
    <row r="26" spans="2:19" x14ac:dyDescent="0.3">
      <c r="B26" s="13"/>
      <c r="N26" s="17"/>
      <c r="O26" s="17"/>
      <c r="P26" s="17"/>
      <c r="Q26" s="17"/>
      <c r="R26" s="17"/>
      <c r="S26" s="17"/>
    </row>
    <row r="27" spans="2:19" x14ac:dyDescent="0.3">
      <c r="B27" s="13"/>
      <c r="N27" s="17"/>
      <c r="O27" s="17"/>
      <c r="P27" s="17"/>
      <c r="Q27" s="17"/>
      <c r="R27" s="17"/>
      <c r="S27" s="17"/>
    </row>
    <row r="28" spans="2:19" x14ac:dyDescent="0.3">
      <c r="B28" s="13"/>
    </row>
    <row r="29" spans="2:19" x14ac:dyDescent="0.3">
      <c r="B29" s="13"/>
    </row>
    <row r="30" spans="2:19" x14ac:dyDescent="0.3">
      <c r="B30" s="13"/>
    </row>
    <row r="31" spans="2:19" x14ac:dyDescent="0.3">
      <c r="B31" s="13"/>
    </row>
    <row r="32" spans="2:19" x14ac:dyDescent="0.3">
      <c r="B3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644B-9F63-4158-83C6-AA46D2B30B48}">
  <sheetPr codeName="Sheet5">
    <tabColor rgb="FFFF0000"/>
  </sheetPr>
  <dimension ref="B2:AD1048576"/>
  <sheetViews>
    <sheetView zoomScale="130" zoomScaleNormal="130" workbookViewId="0">
      <selection activeCell="J20" sqref="J20"/>
    </sheetView>
  </sheetViews>
  <sheetFormatPr defaultRowHeight="14.4" x14ac:dyDescent="0.3"/>
  <cols>
    <col min="2" max="2" width="20.5546875" bestFit="1" customWidth="1"/>
    <col min="9" max="9" width="14.6640625" bestFit="1" customWidth="1"/>
    <col min="17" max="17" width="16.5546875" bestFit="1" customWidth="1"/>
  </cols>
  <sheetData>
    <row r="2" spans="9:28" x14ac:dyDescent="0.3">
      <c r="I2" s="1" t="s">
        <v>229</v>
      </c>
      <c r="Q2" s="54" t="s">
        <v>230</v>
      </c>
      <c r="R2" s="54"/>
      <c r="V2" s="54" t="s">
        <v>231</v>
      </c>
      <c r="W2" s="54"/>
    </row>
    <row r="3" spans="9:28" x14ac:dyDescent="0.3">
      <c r="I3">
        <v>15</v>
      </c>
      <c r="Q3" t="s">
        <v>232</v>
      </c>
      <c r="R3">
        <v>1</v>
      </c>
      <c r="V3" t="s">
        <v>233</v>
      </c>
      <c r="W3">
        <v>6</v>
      </c>
    </row>
    <row r="4" spans="9:28" x14ac:dyDescent="0.3">
      <c r="I4">
        <v>20</v>
      </c>
      <c r="Q4" t="s">
        <v>234</v>
      </c>
      <c r="R4">
        <v>1.25</v>
      </c>
      <c r="V4" t="s">
        <v>69</v>
      </c>
      <c r="W4">
        <v>7</v>
      </c>
    </row>
    <row r="5" spans="9:28" x14ac:dyDescent="0.3">
      <c r="I5">
        <v>25</v>
      </c>
      <c r="Q5" t="s">
        <v>235</v>
      </c>
      <c r="R5">
        <v>1.5</v>
      </c>
      <c r="V5" t="s">
        <v>236</v>
      </c>
      <c r="W5">
        <v>8</v>
      </c>
    </row>
    <row r="6" spans="9:28" x14ac:dyDescent="0.3">
      <c r="Q6" t="s">
        <v>237</v>
      </c>
      <c r="R6">
        <v>1.75</v>
      </c>
      <c r="V6" t="s">
        <v>238</v>
      </c>
      <c r="W6">
        <v>9</v>
      </c>
    </row>
    <row r="7" spans="9:28" x14ac:dyDescent="0.3">
      <c r="Q7" t="s">
        <v>239</v>
      </c>
      <c r="R7">
        <v>1.2</v>
      </c>
      <c r="V7" t="s">
        <v>240</v>
      </c>
      <c r="W7">
        <v>10</v>
      </c>
    </row>
    <row r="8" spans="9:28" x14ac:dyDescent="0.3">
      <c r="Q8" t="s">
        <v>35</v>
      </c>
      <c r="R8">
        <v>1.4</v>
      </c>
      <c r="V8" t="s">
        <v>241</v>
      </c>
      <c r="W8">
        <v>11</v>
      </c>
    </row>
    <row r="9" spans="9:28" x14ac:dyDescent="0.3">
      <c r="Q9" t="s">
        <v>242</v>
      </c>
      <c r="R9">
        <v>1.75</v>
      </c>
      <c r="V9" t="s">
        <v>243</v>
      </c>
      <c r="W9">
        <v>12</v>
      </c>
    </row>
    <row r="10" spans="9:28" x14ac:dyDescent="0.3">
      <c r="Q10" t="s">
        <v>244</v>
      </c>
      <c r="R10">
        <v>2.25</v>
      </c>
      <c r="V10" t="s">
        <v>187</v>
      </c>
      <c r="W10">
        <f>vt1_</f>
        <v>1964.2729131292633</v>
      </c>
    </row>
    <row r="11" spans="9:28" x14ac:dyDescent="0.3">
      <c r="Q11" t="s">
        <v>245</v>
      </c>
      <c r="R11">
        <v>1.3</v>
      </c>
      <c r="V11" t="s">
        <v>246</v>
      </c>
      <c r="W11" s="2">
        <f>0.25*(_xlfn.XLOOKUP('2-Stage'!U10,'Here Be Dragons'!V3:V9,'Here Be Dragons'!W3:W9)-5)^0.667</f>
        <v>0.39694196546582622</v>
      </c>
    </row>
    <row r="12" spans="9:28" x14ac:dyDescent="0.3">
      <c r="Q12" t="s">
        <v>247</v>
      </c>
      <c r="R12">
        <v>1.7</v>
      </c>
      <c r="V12" t="s">
        <v>248</v>
      </c>
      <c r="W12">
        <f>50+56*(1-B)</f>
        <v>83.771249933913737</v>
      </c>
    </row>
    <row r="13" spans="9:28" x14ac:dyDescent="0.3">
      <c r="Q13" t="s">
        <v>249</v>
      </c>
      <c r="R13">
        <v>2</v>
      </c>
      <c r="V13" t="s">
        <v>68</v>
      </c>
      <c r="W13">
        <f>(C_/(C_+SQRT(vt)))^(-B)</f>
        <v>1.1836027634170414</v>
      </c>
      <c r="Z13" s="55" t="s">
        <v>290</v>
      </c>
      <c r="AA13" s="55"/>
      <c r="AB13" s="55"/>
    </row>
    <row r="14" spans="9:28" x14ac:dyDescent="0.3">
      <c r="Q14" t="s">
        <v>250</v>
      </c>
      <c r="R14">
        <v>2.75</v>
      </c>
      <c r="Z14" t="s">
        <v>286</v>
      </c>
      <c r="AA14" t="s">
        <v>287</v>
      </c>
      <c r="AB14" t="s">
        <v>288</v>
      </c>
    </row>
    <row r="15" spans="9:28" x14ac:dyDescent="0.3">
      <c r="X15" s="55" t="s">
        <v>289</v>
      </c>
      <c r="Y15" t="s">
        <v>286</v>
      </c>
      <c r="Z15">
        <v>1.4</v>
      </c>
    </row>
    <row r="16" spans="9:28" x14ac:dyDescent="0.3">
      <c r="I16" s="54" t="s">
        <v>251</v>
      </c>
      <c r="J16" s="54"/>
      <c r="K16" s="54"/>
      <c r="L16" s="54"/>
      <c r="M16" s="54"/>
      <c r="X16" s="55"/>
      <c r="Y16" t="s">
        <v>287</v>
      </c>
    </row>
    <row r="17" spans="8:25" x14ac:dyDescent="0.3">
      <c r="I17" t="s">
        <v>40</v>
      </c>
      <c r="J17">
        <f>'2-Stage'!I7</f>
        <v>2.2067558379249839</v>
      </c>
      <c r="X17" s="55"/>
      <c r="Y17" t="s">
        <v>288</v>
      </c>
    </row>
    <row r="18" spans="8:25" x14ac:dyDescent="0.3">
      <c r="I18" t="s">
        <v>74</v>
      </c>
      <c r="J18">
        <f>'2-Stage'!I11</f>
        <v>1.5</v>
      </c>
    </row>
    <row r="19" spans="8:25" x14ac:dyDescent="0.3">
      <c r="I19" t="s">
        <v>185</v>
      </c>
      <c r="J19">
        <f>0.127+0.0158*J18-1.093*(10^-4)*J18*J18</f>
        <v>0.15045407499999999</v>
      </c>
      <c r="L19" s="55" t="s">
        <v>252</v>
      </c>
      <c r="M19" s="55"/>
    </row>
    <row r="20" spans="8:25" x14ac:dyDescent="0.3">
      <c r="I20" t="s">
        <v>182</v>
      </c>
      <c r="J20">
        <f>(1-M20)*K21+K20*M20</f>
        <v>4.9223084027748741E-2</v>
      </c>
      <c r="K20">
        <f>J18/(10*J17)-0.0375+0.0125*J18</f>
        <v>4.9223084027748741E-2</v>
      </c>
      <c r="L20" t="s">
        <v>253</v>
      </c>
      <c r="M20">
        <f>IF('2-Stage'!$I$11&gt;1,1,0)</f>
        <v>1</v>
      </c>
    </row>
    <row r="21" spans="8:25" x14ac:dyDescent="0.3">
      <c r="K21">
        <f>J18/(10*J17)-0.025</f>
        <v>4.2973084027748736E-2</v>
      </c>
      <c r="L21" t="s">
        <v>254</v>
      </c>
    </row>
    <row r="23" spans="8:25" x14ac:dyDescent="0.3">
      <c r="J23">
        <f>IF('2-Stage'!$I$11&gt;1,J18/(10*J17)-0.0375+0.0125*J18,J18/(10*J17)-0.025)</f>
        <v>4.9223084027748741E-2</v>
      </c>
      <c r="Q23" s="54" t="s">
        <v>255</v>
      </c>
      <c r="R23" s="54"/>
      <c r="S23" s="54"/>
      <c r="T23" s="54"/>
      <c r="V23" s="54" t="s">
        <v>256</v>
      </c>
      <c r="W23" s="54"/>
    </row>
    <row r="24" spans="8:25" x14ac:dyDescent="0.3">
      <c r="S24" t="s">
        <v>228</v>
      </c>
      <c r="V24" s="41" t="s">
        <v>172</v>
      </c>
      <c r="W24" s="40">
        <f>'2-Stage'!D13</f>
        <v>20</v>
      </c>
    </row>
    <row r="25" spans="8:25" x14ac:dyDescent="0.3">
      <c r="Q25" t="s">
        <v>257</v>
      </c>
      <c r="R25">
        <v>15</v>
      </c>
      <c r="S25">
        <v>20</v>
      </c>
      <c r="T25">
        <v>25</v>
      </c>
    </row>
    <row r="26" spans="8:25" x14ac:dyDescent="0.3">
      <c r="M26">
        <v>20</v>
      </c>
      <c r="N26">
        <v>7.5</v>
      </c>
      <c r="Q26">
        <v>20</v>
      </c>
      <c r="R26">
        <v>0.46</v>
      </c>
      <c r="S26">
        <v>0.46</v>
      </c>
      <c r="T26">
        <v>0.44</v>
      </c>
    </row>
    <row r="27" spans="8:25" x14ac:dyDescent="0.3">
      <c r="M27">
        <v>30</v>
      </c>
      <c r="N27">
        <v>8.5</v>
      </c>
      <c r="Q27">
        <v>30</v>
      </c>
      <c r="R27">
        <v>0.5</v>
      </c>
      <c r="S27">
        <v>0.49</v>
      </c>
      <c r="T27">
        <v>0.47</v>
      </c>
      <c r="V27" t="s">
        <v>258</v>
      </c>
    </row>
    <row r="28" spans="8:25" x14ac:dyDescent="0.3">
      <c r="N28">
        <f>_xlfn.FORECAST.LINEAR(7.9,M26:M27,N26:N27)</f>
        <v>24</v>
      </c>
      <c r="Q28">
        <v>60</v>
      </c>
      <c r="R28">
        <v>0.54100000000000004</v>
      </c>
      <c r="S28">
        <v>0.53</v>
      </c>
      <c r="T28">
        <v>0.51</v>
      </c>
      <c r="V28">
        <v>15</v>
      </c>
      <c r="W28">
        <f>FORECAST(W24,INDEX(R26:R30,MATCH(W24,Q26:Q30,1)):INDEX(R26:R30,MATCH(W24,Q26:Q30,1)+1),INDEX(Q26:Q30,MATCH(W24,Q26:Q30,1)):INDEX(Q26:Q30,MATCH(W24,Q26:Q30,1)+1))</f>
        <v>0.45999999999999996</v>
      </c>
    </row>
    <row r="29" spans="8:25" x14ac:dyDescent="0.3">
      <c r="Q29">
        <v>150</v>
      </c>
      <c r="R29">
        <v>0.57999999999999996</v>
      </c>
      <c r="S29">
        <v>0.56000000000000005</v>
      </c>
      <c r="T29">
        <v>0.54</v>
      </c>
      <c r="V29">
        <v>20</v>
      </c>
      <c r="W29">
        <f>FORECAST(W24,INDEX(S26:S30,MATCH(W24,Q26:Q30,1)):INDEX(S26:S30,MATCH(W24,Q26:Q30,1)+1),INDEX(Q26:Q30,MATCH(W24,Q26:Q30,1)):INDEX(Q26:Q30,MATCH(W24,Q26:Q30,1)+1))</f>
        <v>0.45999999999999996</v>
      </c>
    </row>
    <row r="30" spans="8:25" x14ac:dyDescent="0.3">
      <c r="H30" s="54" t="s">
        <v>259</v>
      </c>
      <c r="I30" s="54"/>
      <c r="J30" s="54"/>
      <c r="Q30">
        <v>500</v>
      </c>
      <c r="R30">
        <v>0.59499999999999997</v>
      </c>
      <c r="S30">
        <v>0.57999999999999996</v>
      </c>
      <c r="T30">
        <v>0.55000000000000004</v>
      </c>
      <c r="V30">
        <v>25</v>
      </c>
      <c r="W30">
        <f>FORECAST(W24,INDEX(T26:T30,MATCH(W24,Q26:Q30,1)):INDEX(T26:T30,MATCH(W24,Q26:Q30,1)+1),INDEX(Q26:Q30,MATCH(W24,Q26:Q30,1)):INDEX(Q26:Q30,MATCH(W24,Q26:Q30,1)+1))</f>
        <v>0.43999999999999995</v>
      </c>
    </row>
    <row r="31" spans="8:25" x14ac:dyDescent="0.3">
      <c r="H31" t="s">
        <v>88</v>
      </c>
      <c r="I31" s="40">
        <f>'2-Stage'!D13</f>
        <v>20</v>
      </c>
    </row>
    <row r="32" spans="8:25" x14ac:dyDescent="0.3">
      <c r="H32" t="s">
        <v>260</v>
      </c>
      <c r="I32" s="40">
        <f>'2-Stage'!D11</f>
        <v>10</v>
      </c>
    </row>
    <row r="33" spans="2:30" x14ac:dyDescent="0.3">
      <c r="B33" s="54" t="s">
        <v>99</v>
      </c>
      <c r="C33" s="54"/>
      <c r="H33" t="s">
        <v>261</v>
      </c>
      <c r="I33">
        <f>1/'2-Stage'!D11</f>
        <v>0.1</v>
      </c>
    </row>
    <row r="34" spans="2:30" x14ac:dyDescent="0.3">
      <c r="B34">
        <v>0.9</v>
      </c>
      <c r="C34">
        <v>0.85</v>
      </c>
      <c r="H34" t="s">
        <v>262</v>
      </c>
      <c r="I34">
        <f>'2-Stage'!I7/2</f>
        <v>1.1033779189624919</v>
      </c>
    </row>
    <row r="35" spans="2:30" x14ac:dyDescent="0.3">
      <c r="B35">
        <v>0.99</v>
      </c>
      <c r="C35">
        <v>1</v>
      </c>
      <c r="H35" t="s">
        <v>263</v>
      </c>
      <c r="I35">
        <f>I34*COS(I40)</f>
        <v>1.0238959596084738</v>
      </c>
      <c r="R35" s="54" t="s">
        <v>85</v>
      </c>
      <c r="S35" s="54"/>
    </row>
    <row r="36" spans="2:30" x14ac:dyDescent="0.3">
      <c r="B36">
        <v>0.999</v>
      </c>
      <c r="C36">
        <v>1.25</v>
      </c>
      <c r="H36" t="s">
        <v>264</v>
      </c>
      <c r="I36">
        <f>'2-Stage'!I6/2</f>
        <v>1.1033779189624919</v>
      </c>
      <c r="Q36" t="s">
        <v>265</v>
      </c>
      <c r="R36">
        <v>15</v>
      </c>
      <c r="S36">
        <v>20</v>
      </c>
      <c r="T36">
        <v>25</v>
      </c>
      <c r="V36" s="41" t="s">
        <v>169</v>
      </c>
      <c r="W36">
        <f>'2-Stage'!I5</f>
        <v>20</v>
      </c>
    </row>
    <row r="37" spans="2:30" x14ac:dyDescent="0.3">
      <c r="B37">
        <v>0.99990000000000001</v>
      </c>
      <c r="C37">
        <v>1.5</v>
      </c>
      <c r="H37" t="s">
        <v>266</v>
      </c>
      <c r="I37">
        <f>I36*COS(I40)</f>
        <v>1.0238959596084738</v>
      </c>
      <c r="Q37">
        <v>20</v>
      </c>
      <c r="R37">
        <v>0.93</v>
      </c>
      <c r="S37">
        <v>0.93500000000000005</v>
      </c>
      <c r="T37">
        <v>0.94</v>
      </c>
    </row>
    <row r="38" spans="2:30" x14ac:dyDescent="0.3">
      <c r="H38" t="s">
        <v>267</v>
      </c>
      <c r="I38">
        <f>'2-Stage'!T4</f>
        <v>20</v>
      </c>
      <c r="J38">
        <f>PI()/180*I38</f>
        <v>0.3490658503988659</v>
      </c>
      <c r="Q38">
        <v>30</v>
      </c>
      <c r="R38">
        <v>0.95499999999999996</v>
      </c>
      <c r="S38">
        <v>0.96</v>
      </c>
      <c r="T38">
        <v>0.96099999999999997</v>
      </c>
      <c r="V38" t="s">
        <v>258</v>
      </c>
    </row>
    <row r="39" spans="2:30" x14ac:dyDescent="0.3">
      <c r="H39" t="s">
        <v>268</v>
      </c>
      <c r="I39" s="40">
        <f>'2-Stage'!D10</f>
        <v>25</v>
      </c>
      <c r="J39">
        <f>I39*PI()/180</f>
        <v>0.43633231299858238</v>
      </c>
      <c r="Q39">
        <v>50</v>
      </c>
      <c r="R39">
        <v>0.98199999999999998</v>
      </c>
      <c r="S39">
        <v>0.98299999999999998</v>
      </c>
      <c r="T39">
        <v>0.98499999999999999</v>
      </c>
      <c r="V39">
        <v>15</v>
      </c>
      <c r="W39">
        <f>FORECAST(W36,INDEX(R37:R42,MATCH(W36,Q37:Q42,1)):INDEX(R37:R42,MATCH(W36,Q37:Q42,1)+1),INDEX(Q37:Q42,MATCH(W36,Q37:Q42,1)):INDEX(Q37:Q42,MATCH(W36,Q37:Q42,1)+1))</f>
        <v>0.93</v>
      </c>
    </row>
    <row r="40" spans="2:30" x14ac:dyDescent="0.3">
      <c r="H40" t="s">
        <v>269</v>
      </c>
      <c r="I40">
        <f>ATAN((TAN(J38)/COS(J39)))</f>
        <v>0.38188210123590871</v>
      </c>
      <c r="Q40">
        <v>75</v>
      </c>
      <c r="R40">
        <v>1</v>
      </c>
      <c r="S40">
        <v>1</v>
      </c>
      <c r="T40">
        <v>1</v>
      </c>
      <c r="V40">
        <v>20</v>
      </c>
      <c r="W40">
        <f>FORECAST(W36,INDEX(S37:S42,MATCH(W36,Q37:Q42,1)):INDEX(S37:S42,MATCH(W36,Q37:Q42,1)+1),INDEX(Q37:Q42,MATCH(W36,Q37:Q42,1)):INDEX(Q37:Q42,MATCH(W36,Q37:Q42,1)+1))</f>
        <v>0.93500000000000005</v>
      </c>
    </row>
    <row r="41" spans="2:30" x14ac:dyDescent="0.3">
      <c r="H41" t="s">
        <v>270</v>
      </c>
      <c r="I41">
        <f>SQRT((I34+I33)^2-I35*I35)+SQRT((I36+I33)^2-I37*I37)-(I34+I36)*SIN(I40)</f>
        <v>0.44213786721123305</v>
      </c>
      <c r="Q41">
        <v>150</v>
      </c>
      <c r="R41">
        <v>1.02</v>
      </c>
      <c r="S41">
        <v>1.02</v>
      </c>
      <c r="T41">
        <v>1.0149999999999999</v>
      </c>
      <c r="V41">
        <v>25</v>
      </c>
      <c r="W41">
        <f>FORECAST(W36,INDEX(T37:T42,MATCH(W36,Q37:Q42,1)):INDEX(T37:T42,MATCH(W36,Q37:Q42,1)+1),INDEX(Q37:Q42,MATCH(W36,Q37:Q42,1)):INDEX(Q37:Q42,MATCH(W36,Q37:Q42,1)+1))</f>
        <v>0.93999999999999984</v>
      </c>
    </row>
    <row r="42" spans="2:30" x14ac:dyDescent="0.3">
      <c r="H42" t="s">
        <v>271</v>
      </c>
      <c r="I42">
        <f>PI()*2*I34/I31</f>
        <v>0.34663639643457589</v>
      </c>
      <c r="Q42">
        <v>500</v>
      </c>
      <c r="R42">
        <v>1.0349999999999999</v>
      </c>
      <c r="S42">
        <v>1.032</v>
      </c>
      <c r="T42">
        <v>1.03</v>
      </c>
    </row>
    <row r="43" spans="2:30" x14ac:dyDescent="0.3">
      <c r="H43" t="s">
        <v>272</v>
      </c>
      <c r="I43">
        <f>I42*COS(J38)</f>
        <v>0.32573166382538976</v>
      </c>
      <c r="AD43" s="21"/>
    </row>
    <row r="44" spans="2:30" x14ac:dyDescent="0.3">
      <c r="H44" t="s">
        <v>273</v>
      </c>
      <c r="I44">
        <f>I43/(0.95*I41)</f>
        <v>0.77549438994752151</v>
      </c>
    </row>
    <row r="45" spans="2:30" x14ac:dyDescent="0.3">
      <c r="B45" s="54" t="s">
        <v>103</v>
      </c>
      <c r="C45" s="54"/>
      <c r="H45" t="s">
        <v>91</v>
      </c>
      <c r="I45">
        <f>(COS(I40)*SIN(I40)*I46)/(2*I44*(I46+1))</f>
        <v>0.11148452464680064</v>
      </c>
    </row>
    <row r="46" spans="2:30" x14ac:dyDescent="0.3">
      <c r="B46" t="s">
        <v>274</v>
      </c>
      <c r="C46" t="s">
        <v>275</v>
      </c>
      <c r="H46" t="s">
        <v>276</v>
      </c>
      <c r="I46">
        <f>'2-Stage'!D8</f>
        <v>1</v>
      </c>
    </row>
    <row r="47" spans="2:30" x14ac:dyDescent="0.3">
      <c r="B47" t="s">
        <v>277</v>
      </c>
      <c r="C47">
        <v>1500</v>
      </c>
    </row>
    <row r="48" spans="2:30" x14ac:dyDescent="0.3">
      <c r="B48" t="s">
        <v>278</v>
      </c>
      <c r="C48">
        <v>3000</v>
      </c>
    </row>
    <row r="49" spans="2:10" x14ac:dyDescent="0.3">
      <c r="B49" t="s">
        <v>279</v>
      </c>
      <c r="C49">
        <v>3500</v>
      </c>
    </row>
    <row r="50" spans="2:10" x14ac:dyDescent="0.3">
      <c r="B50" t="s">
        <v>280</v>
      </c>
      <c r="C50">
        <v>5000</v>
      </c>
    </row>
    <row r="51" spans="2:10" ht="43.2" x14ac:dyDescent="0.3">
      <c r="B51" s="33" t="s">
        <v>281</v>
      </c>
      <c r="C51">
        <v>12000</v>
      </c>
    </row>
    <row r="52" spans="2:10" ht="57.6" x14ac:dyDescent="0.3">
      <c r="B52" s="33" t="s">
        <v>105</v>
      </c>
      <c r="C52">
        <v>25000</v>
      </c>
    </row>
    <row r="53" spans="2:10" x14ac:dyDescent="0.3">
      <c r="B53" t="s">
        <v>282</v>
      </c>
      <c r="C53">
        <v>50000</v>
      </c>
    </row>
    <row r="54" spans="2:10" ht="43.2" x14ac:dyDescent="0.3">
      <c r="B54" s="33" t="s">
        <v>283</v>
      </c>
      <c r="C54">
        <v>150000</v>
      </c>
    </row>
    <row r="55" spans="2:10" x14ac:dyDescent="0.3">
      <c r="B55" s="33"/>
      <c r="J55" s="40"/>
    </row>
    <row r="56" spans="2:10" x14ac:dyDescent="0.3">
      <c r="J56" s="1"/>
    </row>
    <row r="60" spans="2:10" x14ac:dyDescent="0.3">
      <c r="F60" s="1"/>
    </row>
    <row r="1048576" spans="12:12" x14ac:dyDescent="0.3">
      <c r="L1048576" t="s">
        <v>284</v>
      </c>
    </row>
  </sheetData>
  <mergeCells count="12">
    <mergeCell ref="X15:X17"/>
    <mergeCell ref="Z13:AB13"/>
    <mergeCell ref="B33:C33"/>
    <mergeCell ref="B45:C45"/>
    <mergeCell ref="L19:M19"/>
    <mergeCell ref="Q2:R2"/>
    <mergeCell ref="I16:M16"/>
    <mergeCell ref="V2:W2"/>
    <mergeCell ref="Q23:T23"/>
    <mergeCell ref="R35:S35"/>
    <mergeCell ref="V23:W23"/>
    <mergeCell ref="H30:J30"/>
  </mergeCells>
  <phoneticPr fontId="10" type="noConversion"/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scriptIds xmlns="http://schemas.microsoft.com/office/extensibility/maker/v1.0" id="script-ids-node-id">
  <scriptId id="ms-officescript%3A%2F%2Fonedrive_business_itemlink%2F01ZUSB2Y3JQW7IPISTTJE3F6XX5NQ7WHG7:ms-officescript%3A%2F%2Fonedrive_business_sharinglink%2Fu!aHR0cHM6Ly9saXZlY29uY29yZGlhLW15LnNoYXJlcG9pbnQuY29tLzp1Oi9nL3BlcnNvbmFsL2tfaG91bWFuX2xpdmVfY29uY29yZGlhX2NhL0VXbUZ2b2VpVTVwSnN2cjM2Mkg3SE44QkMzMFRWeU9TcGsyWl9fcWVfZXhqNGc"/>
  <scriptId xmlns="" id="ms-officescript%3A%2F%2Fonedrive_business_itemlink%2F01ZUSB2Y5OSOJ3HEBXZNE3QHXYAX6ACYJM:ms-officescript%3A%2F%2Fonedrive_business_sharinglink%2Fu!aHR0cHM6Ly9saXZlY29uY29yZGlhLW15LnNoYXJlcG9pbnQuY29tLzp1Oi9nL3BlcnNvbmFsL2tfaG91bWFuX2xpdmVfY29uY29yZGlhX2NhL0VhNlRrN09RTjh0SnVCNzRCZndCWVN3QkdfTDJVYjNJamxpajhONXhxSi1yZ0E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2A905B4C8E2A479A6B1881C20B3688" ma:contentTypeVersion="3" ma:contentTypeDescription="Create a new document." ma:contentTypeScope="" ma:versionID="b4009c9f8a42a93ac0fae2637bd5a1a7">
  <xsd:schema xmlns:xsd="http://www.w3.org/2001/XMLSchema" xmlns:xs="http://www.w3.org/2001/XMLSchema" xmlns:p="http://schemas.microsoft.com/office/2006/metadata/properties" xmlns:ns2="63d10873-e779-4c05-b670-80fa1ce4d15d" targetNamespace="http://schemas.microsoft.com/office/2006/metadata/properties" ma:root="true" ma:fieldsID="e42795995b634174757654c5baf48dc7" ns2:_="">
    <xsd:import namespace="63d10873-e779-4c05-b670-80fa1ce4d15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d10873-e779-4c05-b670-80fa1ce4d15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�� 
</file>

<file path=customXml/itemProps1.xml><?xml version="1.0" encoding="utf-8"?>
<ds:datastoreItem xmlns:ds="http://schemas.openxmlformats.org/officeDocument/2006/customXml" ds:itemID="{1B87558B-9B4A-4238-9FD8-3DB4D94A8921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dcmitype/"/>
    <ds:schemaRef ds:uri="http://purl.org/dc/terms/"/>
    <ds:schemaRef ds:uri="http://www.w3.org/XML/1998/namespace"/>
    <ds:schemaRef ds:uri="63d10873-e779-4c05-b670-80fa1ce4d15d"/>
    <ds:schemaRef ds:uri="http://schemas.microsoft.com/office/infopath/2007/PartnerControl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1F61F1D9-E764-43F8-83BD-15012A3B59C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BDDFC05-7F41-4AE5-9F26-FCCAD8659617}">
  <ds:schemaRefs>
    <ds:schemaRef ds:uri="http://schemas.microsoft.com/office/extensibility/maker/v1.0"/>
    <ds:schemaRef ds:uri=""/>
  </ds:schemaRefs>
</ds:datastoreItem>
</file>

<file path=customXml/itemProps4.xml><?xml version="1.0" encoding="utf-8"?>
<ds:datastoreItem xmlns:ds="http://schemas.openxmlformats.org/officeDocument/2006/customXml" ds:itemID="{C68D17A2-8E46-43BF-99B2-A5D7BD96A62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3d10873-e779-4c05-b670-80fa1ce4d15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32E477C1-5D10-455B-BA9F-C8A302EC53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2-Stage</vt:lpstr>
      <vt:lpstr>3-Stage</vt:lpstr>
      <vt:lpstr>Gears (obsolete)</vt:lpstr>
      <vt:lpstr>Results</vt:lpstr>
      <vt:lpstr>Here Be Dragons</vt:lpstr>
      <vt:lpstr>B</vt:lpstr>
      <vt:lpstr>C_</vt:lpstr>
      <vt:lpstr>F</vt:lpstr>
      <vt:lpstr>gear_values</vt:lpstr>
      <vt:lpstr>gear1</vt:lpstr>
      <vt:lpstr>Helix</vt:lpstr>
      <vt:lpstr>J</vt:lpstr>
      <vt:lpstr>Kb</vt:lpstr>
      <vt:lpstr>Km</vt:lpstr>
      <vt:lpstr>Ko</vt:lpstr>
      <vt:lpstr>Kr</vt:lpstr>
      <vt:lpstr>Ks</vt:lpstr>
      <vt:lpstr>Kv</vt:lpstr>
      <vt:lpstr>P</vt:lpstr>
      <vt:lpstr>Pd</vt:lpstr>
      <vt:lpstr>pinion_values</vt:lpstr>
      <vt:lpstr>pinion1</vt:lpstr>
      <vt:lpstr>SF</vt:lpstr>
      <vt:lpstr>st1_</vt:lpstr>
      <vt:lpstr>vt</vt:lpstr>
      <vt:lpstr>vt1_</vt:lpstr>
      <vt:lpstr>wf</vt:lpstr>
      <vt:lpstr>wp</vt:lpstr>
      <vt:lpstr>Wt1_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Zoltan Hegyi</dc:creator>
  <cp:keywords/>
  <dc:description/>
  <cp:lastModifiedBy>Zoltan Hegyi</cp:lastModifiedBy>
  <cp:revision/>
  <dcterms:created xsi:type="dcterms:W3CDTF">2025-09-18T20:50:28Z</dcterms:created>
  <dcterms:modified xsi:type="dcterms:W3CDTF">2025-10-04T07:05:32Z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0x0101002C2A905B4C8E2A479A6B1881C20B3688</vt:lpwstr>
  </property>
</Properties>
</file>