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<sst xmlns="http://schemas.openxmlformats.org/spreadsheetml/2006/main" count="166" uniqueCount="154">
  <si>
    <t xml:space="preserve">Name</t>
  </si>
  <si>
    <t xml:space="preserve">SID</t>
  </si>
  <si>
    <t xml:space="preserve">Email</t>
  </si>
  <si>
    <t xml:space="preserve">Lab Type</t>
  </si>
  <si>
    <t xml:space="preserve">Checkpoint 1 Points (HW1-2, TA1-4, ALPoC1, OLPoC1, Exam 1)</t>
  </si>
  <si>
    <t xml:space="preserve">Checkpoint 1 </t>
  </si>
  <si>
    <t xml:space="preserve">Checkpoint 2 Points (HW1-6, TA1-9, ALPoC1-3, OLPoC1-3, OLPM1, OLPres1, Exam 2)</t>
  </si>
  <si>
    <t xml:space="preserve">Checkpoint 2 </t>
  </si>
  <si>
    <t xml:space="preserve">Checkpoint 3 Points (All But Final)</t>
  </si>
  <si>
    <t xml:space="preserve">Checkpoint 3  </t>
  </si>
  <si>
    <t xml:space="preserve">Final Grade Points</t>
  </si>
  <si>
    <t xml:space="preserve">Final Grade</t>
  </si>
  <si>
    <t xml:space="preserve">HW01</t>
  </si>
  <si>
    <t xml:space="preserve">HW02</t>
  </si>
  <si>
    <t xml:space="preserve">HW03</t>
  </si>
  <si>
    <t xml:space="preserve">HW04</t>
  </si>
  <si>
    <t xml:space="preserve">HW05</t>
  </si>
  <si>
    <t xml:space="preserve">HW06</t>
  </si>
  <si>
    <t xml:space="preserve">HW07_08</t>
  </si>
  <si>
    <t xml:space="preserve">HW09</t>
  </si>
  <si>
    <t xml:space="preserve">HWAVG</t>
  </si>
  <si>
    <t xml:space="preserve">Team Assignment 1</t>
  </si>
  <si>
    <t xml:space="preserve">Team Assignment 2</t>
  </si>
  <si>
    <t xml:space="preserve">Team Assignment 3</t>
  </si>
  <si>
    <t xml:space="preserve">Team Assignment 4</t>
  </si>
  <si>
    <t xml:space="preserve">Team Assignment 5</t>
  </si>
  <si>
    <t xml:space="preserve">Team Assignment 6</t>
  </si>
  <si>
    <t xml:space="preserve">Team Assignment 7</t>
  </si>
  <si>
    <t xml:space="preserve">Team Assignment 8</t>
  </si>
  <si>
    <t xml:space="preserve">Team Assignment 9</t>
  </si>
  <si>
    <t xml:space="preserve">Team Assignment 10</t>
  </si>
  <si>
    <t xml:space="preserve">Team Assignment 11</t>
  </si>
  <si>
    <t xml:space="preserve">Team Assignment 12</t>
  </si>
  <si>
    <t xml:space="preserve">Team Assignment AVG</t>
  </si>
  <si>
    <t xml:space="preserve">Omega Lab Proof of Concepts 1</t>
  </si>
  <si>
    <t xml:space="preserve">Omega Lab Proof of Concepts 2</t>
  </si>
  <si>
    <t xml:space="preserve">Omega Lab Proof of Concepts 3</t>
  </si>
  <si>
    <t xml:space="preserve">Omega Lab Proof of Concepts 4</t>
  </si>
  <si>
    <t xml:space="preserve">Omega Lab Proof of Concepts 5</t>
  </si>
  <si>
    <t xml:space="preserve">Omega Lab Proof of Concepts 6</t>
  </si>
  <si>
    <t xml:space="preserve">Omega Lab PoC average</t>
  </si>
  <si>
    <t xml:space="preserve">Omega Lab MS1  Project Manual</t>
  </si>
  <si>
    <t xml:space="preserve">Omega Lab PM AVERAGE</t>
  </si>
  <si>
    <t xml:space="preserve">Alpha Lab 01 Section 1</t>
  </si>
  <si>
    <t xml:space="preserve">Alpha Lab 01 Section 2</t>
  </si>
  <si>
    <t xml:space="preserve">Omega Lab MS1  Project Plan (signature page)</t>
  </si>
  <si>
    <t xml:space="preserve">Omega Lab MS2 Project Plan (signature page)</t>
  </si>
  <si>
    <t xml:space="preserve">Omega Lab MS3 Project Plan (signature page)</t>
  </si>
  <si>
    <t xml:space="preserve">Omega Lab Presentation MS1</t>
  </si>
  <si>
    <t xml:space="preserve">Omega Lab Presentation MS2</t>
  </si>
  <si>
    <t xml:space="preserve">Omega Lab Presentation MS3</t>
  </si>
  <si>
    <t xml:space="preserve">Omega Lab Presentation Average</t>
  </si>
  <si>
    <t xml:space="preserve">Omega Lab Total</t>
  </si>
  <si>
    <t xml:space="preserve">Lab Check-in 1 </t>
  </si>
  <si>
    <t xml:space="preserve">Lab Check-in 2 all</t>
  </si>
  <si>
    <t xml:space="preserve"> Lab Check-in 3 all</t>
  </si>
  <si>
    <t xml:space="preserve">Lab Check-in 4 all</t>
  </si>
  <si>
    <t xml:space="preserve"> Lab Check-in 5 all</t>
  </si>
  <si>
    <t xml:space="preserve">Lab Check-in 6 all</t>
  </si>
  <si>
    <t xml:space="preserve">Lab Check In total</t>
  </si>
  <si>
    <t xml:space="preserve">Alpha Lab  Proof of Concepts 1</t>
  </si>
  <si>
    <t xml:space="preserve">Alpha Lab  Proof of Concepts 2</t>
  </si>
  <si>
    <t xml:space="preserve">Alpha Lab  Proof of Concepts 3</t>
  </si>
  <si>
    <t xml:space="preserve">Alpha Lab  Proof of Concepts 4</t>
  </si>
  <si>
    <t xml:space="preserve">Alpha Lab  Proof of Concepts 5</t>
  </si>
  <si>
    <t xml:space="preserve">Alpha Lab  Proof of Concepts 6</t>
  </si>
  <si>
    <t xml:space="preserve">Alpha Lab  Proof of Concepts 7</t>
  </si>
  <si>
    <t xml:space="preserve">Alpha Lab  Proof of Concepts 8</t>
  </si>
  <si>
    <t xml:space="preserve">Alpha Lab  Proof of Concepts 9</t>
  </si>
  <si>
    <t xml:space="preserve">Alpha Lab  Proof of Concepts 10</t>
  </si>
  <si>
    <t xml:space="preserve">Alpha Lab  Proof of Concepts 11</t>
  </si>
  <si>
    <t xml:space="preserve">Alpha Lab  Proof of Concepts 12</t>
  </si>
  <si>
    <t xml:space="preserve">Alpha Lab AVERAGE</t>
  </si>
  <si>
    <t xml:space="preserve">Alpha Lab Grade</t>
  </si>
  <si>
    <t xml:space="preserve">LAB GRADE MAX Omega or Alpha</t>
  </si>
  <si>
    <t xml:space="preserve">Exam 1 </t>
  </si>
  <si>
    <t xml:space="preserve">Exam 2 </t>
  </si>
  <si>
    <t xml:space="preserve">Exam 3</t>
  </si>
  <si>
    <t xml:space="preserve">Final Exam</t>
  </si>
  <si>
    <t xml:space="preserve">HF </t>
  </si>
  <si>
    <t xml:space="preserve">O</t>
  </si>
  <si>
    <t xml:space="preserve">AA_OmegaSawyerTest</t>
  </si>
  <si>
    <t xml:space="preserve">O/A/O</t>
  </si>
  <si>
    <t xml:space="preserve">OmegaAlphaSawyerTest</t>
  </si>
  <si>
    <t xml:space="preserve">O/A</t>
  </si>
  <si>
    <t xml:space="preserve">TA</t>
  </si>
  <si>
    <t xml:space="preserve">HW</t>
  </si>
  <si>
    <t xml:space="preserve">If you switched from Alpha to Omega or vice versa, I took the score from you Omega Labs PoC for example and brought them to your Alpha section as the same ratio, shown in red</t>
  </si>
  <si>
    <t xml:space="preserve">These grades are not binding but a good estimate of the grade you will get to keep track of your progress.</t>
  </si>
  <si>
    <t xml:space="preserve">These grades also are dependent on academic integrity held throughout the course.</t>
  </si>
  <si>
    <t xml:space="preserve">both ungraded, second late</t>
  </si>
  <si>
    <t xml:space="preserve">1/10 needs to be fixed</t>
  </si>
  <si>
    <t xml:space="preserve">not happened yet</t>
  </si>
  <si>
    <t xml:space="preserve">can do optimization</t>
  </si>
  <si>
    <t xml:space="preserve">never turned in? Have an optimization?</t>
  </si>
  <si>
    <t xml:space="preserve">ungraded</t>
  </si>
  <si>
    <t xml:space="preserve">ungraded/guess</t>
  </si>
  <si>
    <t xml:space="preserve">Estimated Average</t>
  </si>
  <si>
    <t xml:space="preserve">grade portion</t>
  </si>
  <si>
    <t xml:space="preserve">future/guess</t>
  </si>
  <si>
    <t xml:space="preserve">Cutoffs</t>
  </si>
  <si>
    <t xml:space="preserve">pos</t>
  </si>
  <si>
    <t xml:space="preserve">Analytical</t>
  </si>
  <si>
    <t xml:space="preserve">simulation</t>
  </si>
  <si>
    <t xml:space="preserve">experiment</t>
  </si>
  <si>
    <t xml:space="preserve">help</t>
  </si>
  <si>
    <t xml:space="preserve">   F</t>
  </si>
  <si>
    <t xml:space="preserve">alpha</t>
  </si>
  <si>
    <t xml:space="preserve">F</t>
  </si>
  <si>
    <t xml:space="preserve">   D-</t>
  </si>
  <si>
    <t xml:space="preserve">omege</t>
  </si>
  <si>
    <t xml:space="preserve">signature</t>
  </si>
  <si>
    <t xml:space="preserve">PoC</t>
  </si>
  <si>
    <t xml:space="preserve">present vid</t>
  </si>
  <si>
    <t xml:space="preserve">proj man</t>
  </si>
  <si>
    <t xml:space="preserve">got</t>
  </si>
  <si>
    <t xml:space="preserve">for sum</t>
  </si>
  <si>
    <t xml:space="preserve">   D</t>
  </si>
  <si>
    <t xml:space="preserve">PoS est</t>
  </si>
  <si>
    <t xml:space="preserve">   D+</t>
  </si>
  <si>
    <t xml:space="preserve">points from</t>
  </si>
  <si>
    <t xml:space="preserve">need for D</t>
  </si>
  <si>
    <t xml:space="preserve">Report 1</t>
  </si>
  <si>
    <t xml:space="preserve">   C-</t>
  </si>
  <si>
    <t xml:space="preserve">total (est)</t>
  </si>
  <si>
    <t xml:space="preserve">Check in 1</t>
  </si>
  <si>
    <t xml:space="preserve">   C</t>
  </si>
  <si>
    <t xml:space="preserve">exams (est)</t>
  </si>
  <si>
    <t xml:space="preserve">Report 2</t>
  </si>
  <si>
    <t xml:space="preserve">TA/Hwsum</t>
  </si>
  <si>
    <t xml:space="preserve">   C+</t>
  </si>
  <si>
    <t xml:space="preserve">HW (est)</t>
  </si>
  <si>
    <t xml:space="preserve">Check in 2</t>
  </si>
  <si>
    <t xml:space="preserve">   B-</t>
  </si>
  <si>
    <t xml:space="preserve">POS (est)</t>
  </si>
  <si>
    <t xml:space="preserve">Report 3</t>
  </si>
  <si>
    <t xml:space="preserve">   B</t>
  </si>
  <si>
    <t xml:space="preserve">Reports (est)</t>
  </si>
  <si>
    <t xml:space="preserve">Check in 3</t>
  </si>
  <si>
    <t xml:space="preserve">   B+</t>
  </si>
  <si>
    <t xml:space="preserve">IndChkIns(est)</t>
  </si>
  <si>
    <t xml:space="preserve">lab sum</t>
  </si>
  <si>
    <t xml:space="preserve">Labs</t>
  </si>
  <si>
    <t xml:space="preserve">   A-</t>
  </si>
  <si>
    <t xml:space="preserve">Final (guess)</t>
  </si>
  <si>
    <t xml:space="preserve">Ex1</t>
  </si>
  <si>
    <t xml:space="preserve">   A</t>
  </si>
  <si>
    <t xml:space="preserve">need like a 55 on the final to pass, we should be set</t>
  </si>
  <si>
    <t xml:space="preserve">Ex2</t>
  </si>
  <si>
    <t xml:space="preserve">Ex3</t>
  </si>
  <si>
    <t xml:space="preserve">Final</t>
  </si>
  <si>
    <t xml:space="preserve">if final</t>
  </si>
  <si>
    <t xml:space="preserve">sum</t>
  </si>
  <si>
    <t xml:space="preserve">if no 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</si>
</sst>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E2F0D9"/>
      </patternFill>
    </fill>
    <fill>
      <patternFill patternType="solid">
        <fgColor rgb="FFBFBFBF"/>
        <bgColor rgb="FFB2B2B2"/>
      </patternFill>
    </fill>
    <fill>
      <patternFill patternType="solid">
        <fgColor rgb="FF808080"/>
        <bgColor rgb="FF595959"/>
      </patternFill>
    </fill>
    <fill>
      <patternFill patternType="solid">
        <fgColor rgb="FF595959"/>
        <bgColor rgb="FF2F5597"/>
      </patternFill>
    </fill>
    <fill>
      <patternFill patternType="solid">
        <fgColor rgb="FFFF9999"/>
        <bgColor rgb="FFCC99FF"/>
      </patternFill>
    </fill>
    <fill>
      <patternFill patternType="solid">
        <fgColor rgb="FFFFE699"/>
        <bgColor rgb="FFE2F0D9"/>
      </patternFill>
    </fill>
    <fill>
      <patternFill patternType="solid">
        <fgColor rgb="FFBDD7EE"/>
        <bgColor rgb="FF9DC3E6"/>
      </patternFill>
    </fill>
    <fill>
      <patternFill patternType="solid">
        <fgColor rgb="FF9DC3E6"/>
        <bgColor rgb="FFBFBFBF"/>
      </patternFill>
    </fill>
    <fill>
      <patternFill patternType="solid">
        <fgColor rgb="FF2F5597"/>
        <bgColor rgb="FF203864"/>
      </patternFill>
    </fill>
    <fill>
      <patternFill patternType="solid">
        <fgColor rgb="FF203864"/>
        <bgColor rgb="FF333333"/>
      </patternFill>
    </fill>
    <fill>
      <patternFill patternType="solid">
        <fgColor rgb="FFCC99FF"/>
        <bgColor rgb="FF9999FF"/>
      </patternFill>
    </fill>
    <fill>
      <patternFill patternType="solid">
        <fgColor rgb="FF99FF66"/>
        <bgColor rgb="FF81D41A"/>
      </patternFill>
    </fill>
    <fill>
      <patternFill patternType="solid">
        <fgColor rgb="FFE2F0D9"/>
        <bgColor rgb="FFF2F2F2"/>
      </patternFill>
    </fill>
    <fill>
      <patternFill patternType="solid">
        <fgColor rgb="FF70AD47"/>
        <bgColor rgb="FF81D41A"/>
      </patternFill>
    </fill>
    <fill>
      <patternFill patternType="solid">
        <fgColor rgb="FFFFCCFF"/>
        <bgColor rgb="FFF2F2F2"/>
      </patternFill>
    </fill>
    <fill>
      <patternFill patternType="solid">
        <fgColor rgb="FFFF66FF"/>
        <bgColor rgb="FFCC99FF"/>
      </patternFill>
    </fill>
    <fill>
      <patternFill patternType="solid">
        <fgColor rgb="FFCC00FF"/>
        <bgColor rgb="FFFF00FF"/>
      </patternFill>
    </fill>
    <fill>
      <patternFill patternType="solid">
        <fgColor rgb="FF7030A0"/>
        <bgColor rgb="FF993366"/>
      </patternFill>
    </fill>
    <fill>
      <patternFill patternType="solid">
        <fgColor rgb="FF00A933"/>
        <bgColor rgb="FF008000"/>
      </patternFill>
    </fill>
    <fill>
      <patternFill patternType="solid">
        <fgColor rgb="FFACB20C"/>
        <bgColor rgb="FF81D41A"/>
      </patternFill>
    </fill>
    <fill>
      <patternFill patternType="solid">
        <fgColor rgb="FF81D41A"/>
        <bgColor rgb="FF70AD47"/>
      </patternFill>
    </fill>
    <fill>
      <patternFill patternType="solid">
        <fgColor rgb="FFB2B2B2"/>
        <bgColor rgb="FFBFBFB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1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CC00FF"/>
      <rgbColor rgb="FF00FFFF"/>
      <rgbColor rgb="FF800000"/>
      <rgbColor rgb="FF008000"/>
      <rgbColor rgb="FF000080"/>
      <rgbColor rgb="FF70AD47"/>
      <rgbColor rgb="FF800080"/>
      <rgbColor rgb="FF008080"/>
      <rgbColor rgb="FFBFBFBF"/>
      <rgbColor rgb="FF808080"/>
      <rgbColor rgb="FF9999FF"/>
      <rgbColor rgb="FF7030A0"/>
      <rgbColor rgb="FFF2F2F2"/>
      <rgbColor rgb="FF99FF66"/>
      <rgbColor rgb="FF660066"/>
      <rgbColor rgb="FFFF66FF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DC3E6"/>
      <rgbColor rgb="FFFF9999"/>
      <rgbColor rgb="FFCC99FF"/>
      <rgbColor rgb="FFFFCCFF"/>
      <rgbColor rgb="FF3366FF"/>
      <rgbColor rgb="FF33CCCC"/>
      <rgbColor rgb="FF81D41A"/>
      <rgbColor rgb="FFFFCC00"/>
      <rgbColor rgb="FFACB20C"/>
      <rgbColor rgb="FFFF6600"/>
      <rgbColor rgb="FF595959"/>
      <rgbColor rgb="FFB2B2B2"/>
      <rgbColor rgb="FF203864"/>
      <rgbColor rgb="FF00A933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64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U20" activeCellId="0" sqref="U20"/>
    </sheetView>
  </sheetViews>
  <sheetFormatPr defaultColWidth="9.21093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3.71"/>
    <col collapsed="false" customWidth="true" hidden="false" outlineLevel="0" max="3" min="3" style="0" width="3.14"/>
    <col collapsed="false" customWidth="true" hidden="false" outlineLevel="0" max="4" min="4" style="0" width="3.57"/>
    <col collapsed="false" customWidth="true" hidden="false" outlineLevel="0" max="7" min="5" style="0" width="8.4"/>
    <col collapsed="false" customWidth="true" hidden="false" outlineLevel="0" max="12" min="8" style="0" width="6.88"/>
    <col collapsed="false" customWidth="true" hidden="false" outlineLevel="0" max="20" min="13" style="0" width="3.57"/>
    <col collapsed="false" customWidth="true" hidden="false" outlineLevel="0" max="21" min="21" style="0" width="8.14"/>
    <col collapsed="false" customWidth="true" hidden="false" outlineLevel="0" max="33" min="22" style="0" width="3.42"/>
    <col collapsed="false" customWidth="true" hidden="false" outlineLevel="0" max="56" min="34" style="0" width="5.86"/>
    <col collapsed="false" customWidth="true" hidden="false" outlineLevel="0" max="61" min="57" style="0" width="3.14"/>
    <col collapsed="false" customWidth="true" hidden="false" outlineLevel="0" max="62" min="62" style="1" width="9.13"/>
    <col collapsed="false" customWidth="true" hidden="false" outlineLevel="0" max="74" min="63" style="0" width="3.57"/>
  </cols>
  <sheetData>
    <row r="1" customFormat="false" ht="7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13" t="s">
        <v>40</v>
      </c>
      <c r="AP1" s="2" t="s">
        <v>41</v>
      </c>
      <c r="AQ1" s="2" t="s">
        <v>41</v>
      </c>
      <c r="AR1" s="2" t="s">
        <v>41</v>
      </c>
      <c r="AS1" s="14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15" t="s">
        <v>51</v>
      </c>
      <c r="BC1" s="16" t="s">
        <v>52</v>
      </c>
      <c r="BD1" s="17" t="s">
        <v>53</v>
      </c>
      <c r="BE1" s="17" t="s">
        <v>54</v>
      </c>
      <c r="BF1" s="17" t="s">
        <v>55</v>
      </c>
      <c r="BG1" s="17" t="s">
        <v>56</v>
      </c>
      <c r="BH1" s="17" t="s">
        <v>57</v>
      </c>
      <c r="BI1" s="17" t="s">
        <v>58</v>
      </c>
      <c r="BJ1" s="18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19" t="s">
        <v>72</v>
      </c>
      <c r="BX1" s="20" t="s">
        <v>73</v>
      </c>
      <c r="BY1" s="21" t="s">
        <v>74</v>
      </c>
      <c r="BZ1" s="22" t="s">
        <v>75</v>
      </c>
      <c r="CA1" s="23" t="s">
        <v>76</v>
      </c>
      <c r="CB1" s="24" t="s">
        <v>77</v>
      </c>
      <c r="CC1" s="25" t="s">
        <v>78</v>
      </c>
    </row>
    <row r="2" customFormat="false" ht="15" hidden="false" customHeight="false" outlineLevel="0" collapsed="false">
      <c r="A2" s="0" t="s">
        <v>79</v>
      </c>
      <c r="B2" s="26"/>
      <c r="C2" s="26"/>
      <c r="D2" s="26" t="s">
        <v>80</v>
      </c>
      <c r="E2" s="27" t="n">
        <f aca="false">2*(U2/10)+15*(AH2/10)+9*(BY2/100)+6*(BJ2/3)+16*(BZ2/100)</f>
        <v>37.254</v>
      </c>
      <c r="F2" s="28" t="n">
        <f aca="false">(E2/48)*100</f>
        <v>77.6125</v>
      </c>
      <c r="G2" s="29" t="n">
        <f aca="false">2*(U2/10)+15*(AH2/10)+9*(BY2/100)+6*(BJ2/9)+16*(BZ2/100)+16*(CA2/100)</f>
        <v>13.3948</v>
      </c>
      <c r="H2" s="30" t="n">
        <f aca="false">(G2/64)*100</f>
        <v>20.929375</v>
      </c>
      <c r="I2" s="31" t="n">
        <f aca="false">2*(U2/10)+15*(AH2/10)+9*(BY2/100)+6*(BJ2/18)+16*(BZ2/100)+16*(CA2/100)+16*(CB2/100)</f>
        <v>7.5388</v>
      </c>
      <c r="J2" s="32" t="n">
        <f aca="false">(I2/80)*100</f>
        <v>9.4235</v>
      </c>
      <c r="K2" s="33" t="n">
        <f aca="false">2*(U2/10)+15*(AH2/10)+9*(BY2)+6*(BJ2/18)+16*(BZ2)+16*(CA2)+16*(CB2)+20*(CC2)</f>
        <v>74.93</v>
      </c>
      <c r="L2" s="34" t="n">
        <f aca="false">(K2/100)*100</f>
        <v>74.93</v>
      </c>
      <c r="M2" s="26" t="n">
        <v>10</v>
      </c>
      <c r="N2" s="35" t="n">
        <v>10</v>
      </c>
      <c r="O2" s="35" t="n">
        <v>0</v>
      </c>
      <c r="P2" s="26" t="n">
        <v>0</v>
      </c>
      <c r="Q2" s="26" t="n">
        <v>0</v>
      </c>
      <c r="R2" s="26" t="n">
        <v>0</v>
      </c>
      <c r="S2" s="26" t="n">
        <v>0</v>
      </c>
      <c r="T2" s="26" t="n">
        <v>0</v>
      </c>
      <c r="U2" s="36" t="n">
        <f aca="false">AVERAGE(M2:T2)</f>
        <v>2.5</v>
      </c>
      <c r="V2" s="35" t="n">
        <v>10</v>
      </c>
      <c r="W2" s="26" t="n">
        <v>10</v>
      </c>
      <c r="X2" s="26" t="n">
        <v>10</v>
      </c>
      <c r="Y2" s="26" t="n">
        <v>0</v>
      </c>
      <c r="Z2" s="26" t="n">
        <v>4</v>
      </c>
      <c r="AA2" s="26" t="n">
        <v>0</v>
      </c>
      <c r="AB2" s="26" t="n">
        <v>0</v>
      </c>
      <c r="AC2" s="26" t="n">
        <v>0</v>
      </c>
      <c r="AD2" s="26" t="n">
        <v>0</v>
      </c>
      <c r="AE2" s="26" t="n">
        <v>0</v>
      </c>
      <c r="AF2" s="26" t="n">
        <v>0</v>
      </c>
      <c r="AG2" s="37" t="n">
        <v>10</v>
      </c>
      <c r="AH2" s="38" t="n">
        <f aca="false">AVERAGE(V2:AG2)/10</f>
        <v>0.366666666666667</v>
      </c>
      <c r="AI2" s="35" t="n">
        <v>37.75</v>
      </c>
      <c r="AJ2" s="35" t="n">
        <v>37.75</v>
      </c>
      <c r="AK2" s="26" t="n">
        <v>0</v>
      </c>
      <c r="AL2" s="26" t="n">
        <v>0</v>
      </c>
      <c r="AM2" s="37" t="n">
        <v>40</v>
      </c>
      <c r="AN2" s="37" t="n">
        <v>40</v>
      </c>
      <c r="AO2" s="39" t="n">
        <f aca="false">AVERAGE(BK2:BP2)</f>
        <v>9.33333333333333</v>
      </c>
      <c r="AP2" s="35" t="n">
        <v>0</v>
      </c>
      <c r="AQ2" s="26" t="n">
        <v>0</v>
      </c>
      <c r="AR2" s="37" t="n">
        <v>0</v>
      </c>
      <c r="AS2" s="40" t="n">
        <f aca="false">AVERAGE(AP2:AR2)</f>
        <v>0</v>
      </c>
      <c r="AT2" s="26" t="n">
        <v>10</v>
      </c>
      <c r="AU2" s="26"/>
      <c r="AV2" s="26" t="n">
        <v>1</v>
      </c>
      <c r="AW2" s="26"/>
      <c r="AX2" s="26"/>
      <c r="AY2" s="26" t="n">
        <v>0</v>
      </c>
      <c r="AZ2" s="26" t="n">
        <v>0</v>
      </c>
      <c r="BA2" s="26" t="n">
        <v>0</v>
      </c>
      <c r="BB2" s="41" t="n">
        <f aca="false">AVERAGE(AY2:BA2)</f>
        <v>0</v>
      </c>
      <c r="BC2" s="42" t="n">
        <f aca="false">33*(BB2/50)+33*(AS2/50)+33*(AO2/40)+1</f>
        <v>8.7</v>
      </c>
      <c r="BD2" s="43" t="n">
        <v>3</v>
      </c>
      <c r="BE2" s="17" t="n">
        <v>3</v>
      </c>
      <c r="BF2" s="17" t="n">
        <v>3</v>
      </c>
      <c r="BG2" s="17" t="n">
        <v>3</v>
      </c>
      <c r="BH2" s="17" t="n">
        <v>3</v>
      </c>
      <c r="BI2" s="17" t="n">
        <v>3</v>
      </c>
      <c r="BJ2" s="18" t="n">
        <f aca="false">SUM(BD2:BI2)</f>
        <v>18</v>
      </c>
      <c r="BK2" s="26" t="n">
        <v>10</v>
      </c>
      <c r="BL2" s="26" t="n">
        <v>10</v>
      </c>
      <c r="BM2" s="26" t="n">
        <v>10</v>
      </c>
      <c r="BN2" s="26" t="n">
        <v>10</v>
      </c>
      <c r="BO2" s="26" t="n">
        <v>6</v>
      </c>
      <c r="BP2" s="26" t="n">
        <v>10</v>
      </c>
      <c r="BQ2" s="44"/>
      <c r="BR2" s="44"/>
      <c r="BS2" s="44"/>
      <c r="BT2" s="44"/>
      <c r="BU2" s="44"/>
      <c r="BV2" s="44"/>
      <c r="BW2" s="45" t="n">
        <f aca="false">AVERAGE(BK2,BL2,BM2,BN2,BO2,BP2)</f>
        <v>9.33333333333333</v>
      </c>
      <c r="BX2" s="46" t="n">
        <f aca="false">(BW2/10)*100</f>
        <v>93.3333333333333</v>
      </c>
      <c r="BY2" s="47" t="n">
        <f aca="false">MAX(BX2,BC2)/100</f>
        <v>0.933333333333333</v>
      </c>
      <c r="BZ2" s="48" t="n">
        <v>0.75</v>
      </c>
      <c r="CA2" s="49" t="n">
        <v>0.88</v>
      </c>
      <c r="CB2" s="50" t="n">
        <v>0.9</v>
      </c>
      <c r="CC2" s="51" t="n">
        <v>0.95</v>
      </c>
      <c r="CD2" s="0" t="n">
        <f aca="false">SUMPRODUCT(U2:CC2,U7:CC7)*100</f>
        <v>186.38</v>
      </c>
    </row>
    <row r="3" customFormat="false" ht="15" hidden="false" customHeight="false" outlineLevel="0" collapsed="false">
      <c r="A3" s="26" t="s">
        <v>81</v>
      </c>
      <c r="B3" s="26"/>
      <c r="C3" s="26"/>
      <c r="D3" s="26" t="s">
        <v>80</v>
      </c>
      <c r="E3" s="27" t="n">
        <f aca="false">2*(U3/10)+15*(AH3/10)+9*(BY3/100)+6*(BJ3/6)+16*(BZ3/100)</f>
        <v>60</v>
      </c>
      <c r="F3" s="28" t="n">
        <f aca="false">(E3/48)*100</f>
        <v>125</v>
      </c>
      <c r="G3" s="29" t="n">
        <f aca="false">2*(U3/10)+15*(AH3/10)+9*(BY3/100)+6*(BJ3/9)+16*(BZ3/100)+16*(CA3/100)</f>
        <v>70</v>
      </c>
      <c r="H3" s="30" t="n">
        <f aca="false">(G3/64)*100</f>
        <v>109.375</v>
      </c>
      <c r="I3" s="31" t="n">
        <f aca="false">2*(U3/10)+15*(AH3/10)+9*(BY3/100)+6*(BJ3/18)+16*(BZ3/100)+16*(CA3/100)+16*(CB3/100)</f>
        <v>80</v>
      </c>
      <c r="J3" s="32" t="n">
        <f aca="false">(I3/80)*100</f>
        <v>100</v>
      </c>
      <c r="K3" s="33" t="n">
        <f aca="false">2*(U3/10)+15*(AH3/10)+9*(BY3/100)+6*(BJ3/18)+16*(BZ3/100)+16*(CA3/100)+16*(CB3/100)+20*(CC3/100)</f>
        <v>100</v>
      </c>
      <c r="L3" s="34" t="n">
        <f aca="false">(K3/100)*100</f>
        <v>100</v>
      </c>
      <c r="M3" s="26" t="n">
        <v>10</v>
      </c>
      <c r="N3" s="26" t="n">
        <v>10</v>
      </c>
      <c r="O3" s="26" t="n">
        <v>10</v>
      </c>
      <c r="P3" s="26" t="n">
        <v>10</v>
      </c>
      <c r="Q3" s="26" t="n">
        <v>10</v>
      </c>
      <c r="R3" s="26" t="n">
        <v>10</v>
      </c>
      <c r="S3" s="26" t="n">
        <v>10</v>
      </c>
      <c r="T3" s="26" t="n">
        <v>10</v>
      </c>
      <c r="U3" s="36" t="n">
        <f aca="false">AVERAGE(M3:T3)</f>
        <v>10</v>
      </c>
      <c r="V3" s="26" t="n">
        <v>10</v>
      </c>
      <c r="W3" s="26" t="n">
        <v>10</v>
      </c>
      <c r="X3" s="26" t="n">
        <v>10</v>
      </c>
      <c r="Y3" s="26" t="n">
        <v>10</v>
      </c>
      <c r="Z3" s="26" t="n">
        <v>10</v>
      </c>
      <c r="AA3" s="26" t="n">
        <v>10</v>
      </c>
      <c r="AB3" s="26" t="n">
        <v>10</v>
      </c>
      <c r="AC3" s="26" t="n">
        <v>10</v>
      </c>
      <c r="AD3" s="26" t="n">
        <v>10</v>
      </c>
      <c r="AE3" s="26" t="n">
        <v>10</v>
      </c>
      <c r="AF3" s="26" t="n">
        <v>10</v>
      </c>
      <c r="AG3" s="26" t="n">
        <v>10</v>
      </c>
      <c r="AH3" s="38" t="n">
        <f aca="false">AVERAGE(V3:AF3)</f>
        <v>10</v>
      </c>
      <c r="AI3" s="26" t="n">
        <v>40</v>
      </c>
      <c r="AJ3" s="26" t="n">
        <v>40</v>
      </c>
      <c r="AK3" s="26" t="n">
        <v>40</v>
      </c>
      <c r="AL3" s="26" t="n">
        <v>40</v>
      </c>
      <c r="AM3" s="26" t="n">
        <v>40</v>
      </c>
      <c r="AN3" s="26" t="n">
        <v>40</v>
      </c>
      <c r="AO3" s="39" t="n">
        <f aca="false">AVERAGE(AI3:AK3)</f>
        <v>40</v>
      </c>
      <c r="AP3" s="26" t="n">
        <v>50</v>
      </c>
      <c r="AQ3" s="26" t="n">
        <v>50</v>
      </c>
      <c r="AR3" s="26" t="n">
        <v>50</v>
      </c>
      <c r="AS3" s="40" t="n">
        <f aca="false">AVERAGE(AP3:AR3)</f>
        <v>50</v>
      </c>
      <c r="AT3" s="26" t="n">
        <v>10</v>
      </c>
      <c r="AU3" s="26"/>
      <c r="AV3" s="26" t="n">
        <v>1</v>
      </c>
      <c r="AW3" s="26"/>
      <c r="AX3" s="26"/>
      <c r="AY3" s="26" t="n">
        <v>50</v>
      </c>
      <c r="AZ3" s="26" t="n">
        <v>50</v>
      </c>
      <c r="BA3" s="26" t="n">
        <v>50</v>
      </c>
      <c r="BB3" s="41" t="n">
        <f aca="false">AVERAGE(AY3:BA3)</f>
        <v>50</v>
      </c>
      <c r="BC3" s="42" t="n">
        <f aca="false">33*(BB3/50)+33*(AS3/50)+33*(AO3/40)+1</f>
        <v>100</v>
      </c>
      <c r="BD3" s="17" t="n">
        <v>3</v>
      </c>
      <c r="BE3" s="17" t="n">
        <v>3</v>
      </c>
      <c r="BF3" s="17" t="n">
        <v>3</v>
      </c>
      <c r="BG3" s="17" t="n">
        <v>3</v>
      </c>
      <c r="BH3" s="17" t="n">
        <v>3</v>
      </c>
      <c r="BI3" s="17" t="n">
        <v>3</v>
      </c>
      <c r="BJ3" s="18" t="n">
        <f aca="false">SUM(BD3:BI3)</f>
        <v>18</v>
      </c>
      <c r="BK3" s="26" t="n">
        <v>0</v>
      </c>
      <c r="BL3" s="26" t="n">
        <v>0</v>
      </c>
      <c r="BM3" s="26" t="n">
        <v>0</v>
      </c>
      <c r="BN3" s="26" t="n">
        <v>0</v>
      </c>
      <c r="BO3" s="26" t="n">
        <v>0</v>
      </c>
      <c r="BP3" s="26" t="n">
        <v>0</v>
      </c>
      <c r="BQ3" s="26" t="n">
        <v>0</v>
      </c>
      <c r="BR3" s="26" t="n">
        <v>0</v>
      </c>
      <c r="BS3" s="26" t="n">
        <v>0</v>
      </c>
      <c r="BT3" s="26" t="n">
        <v>0</v>
      </c>
      <c r="BU3" s="26" t="n">
        <v>0</v>
      </c>
      <c r="BV3" s="26" t="n">
        <v>0</v>
      </c>
      <c r="BW3" s="45" t="n">
        <f aca="false">AVERAGE(BK3,BN3,BQ3,BT3,BU3,BV3)</f>
        <v>0</v>
      </c>
      <c r="BX3" s="46" t="n">
        <f aca="false">(BW3/10)*100</f>
        <v>0</v>
      </c>
      <c r="BY3" s="47" t="n">
        <f aca="false">MAX(BX3,BC3)</f>
        <v>100</v>
      </c>
      <c r="BZ3" s="52" t="n">
        <v>100</v>
      </c>
      <c r="CA3" s="53" t="n">
        <v>100</v>
      </c>
      <c r="CB3" s="54" t="n">
        <v>100</v>
      </c>
      <c r="CC3" s="55" t="n">
        <v>100</v>
      </c>
      <c r="CD3" s="0" t="n">
        <f aca="false">SUMPRODUCT(U3:CC3,U7:CC7)*100</f>
        <v>7978</v>
      </c>
    </row>
    <row r="4" customFormat="false" ht="15" hidden="false" customHeight="false" outlineLevel="0" collapsed="false">
      <c r="A4" s="0" t="s">
        <v>79</v>
      </c>
      <c r="D4" s="0" t="s">
        <v>82</v>
      </c>
      <c r="E4" s="27" t="n">
        <f aca="false">2*(U4/10)+15*(AH4/10)+9*(BY4/100)+6*(BJ4/6)+16*(BZ4/100)</f>
        <v>46.0449886363636</v>
      </c>
      <c r="F4" s="28" t="n">
        <f aca="false">(E4/48)*100</f>
        <v>95.9270596590909</v>
      </c>
      <c r="G4" s="29" t="n">
        <f aca="false">2*(U4/10)+15*(AH4/10)+9*(BY4/100)+6*(BJ4/9)+16*(BZ4/100)+16*(CA4/100)</f>
        <v>56.0449886363636</v>
      </c>
      <c r="H4" s="30" t="n">
        <f aca="false">(G4/64)*100</f>
        <v>87.5702947443182</v>
      </c>
      <c r="I4" s="31" t="n">
        <f aca="false">2*(U4/10)+15*(AH4/10)+9*(BY4/100)+6*(BJ4/18)+16*(BZ4/100)+16*(CA4/100)+16*(CB4/100)</f>
        <v>66.0449886363636</v>
      </c>
      <c r="J4" s="32" t="n">
        <f aca="false">(I4/80)*100</f>
        <v>82.5562357954545</v>
      </c>
      <c r="K4" s="33" t="n">
        <f aca="false">2*(U4/10)+15*(AH4/10)+9*(BY4/100)+6*(BJ4/18)+16*(BZ4/100)+16*(CA4/100)+16*(CB4/100)+20*(CC4/100)</f>
        <v>86.0449886363636</v>
      </c>
      <c r="L4" s="34" t="n">
        <f aca="false">(K4/100)*100</f>
        <v>86.0449886363636</v>
      </c>
      <c r="M4" s="26" t="n">
        <v>10</v>
      </c>
      <c r="N4" s="35" t="n">
        <v>10</v>
      </c>
      <c r="O4" s="35" t="n">
        <v>0</v>
      </c>
      <c r="P4" s="26" t="n">
        <v>0</v>
      </c>
      <c r="Q4" s="26" t="n">
        <v>0</v>
      </c>
      <c r="R4" s="26" t="n">
        <v>0</v>
      </c>
      <c r="S4" s="26" t="n">
        <v>0</v>
      </c>
      <c r="T4" s="26" t="n">
        <v>0</v>
      </c>
      <c r="U4" s="36" t="n">
        <f aca="false">AVERAGE(M4:T4)</f>
        <v>2.5</v>
      </c>
      <c r="V4" s="35" t="n">
        <v>10</v>
      </c>
      <c r="W4" s="26" t="n">
        <v>10</v>
      </c>
      <c r="X4" s="26" t="n">
        <v>10</v>
      </c>
      <c r="Y4" s="26" t="n">
        <v>0</v>
      </c>
      <c r="Z4" s="26" t="n">
        <v>4</v>
      </c>
      <c r="AA4" s="26" t="n">
        <v>0</v>
      </c>
      <c r="AB4" s="26" t="n">
        <v>0</v>
      </c>
      <c r="AC4" s="26" t="n">
        <v>0</v>
      </c>
      <c r="AD4" s="26" t="n">
        <v>0</v>
      </c>
      <c r="AE4" s="26" t="n">
        <v>0</v>
      </c>
      <c r="AF4" s="26" t="n">
        <v>0</v>
      </c>
      <c r="AG4" s="37" t="n">
        <v>10</v>
      </c>
      <c r="AH4" s="38" t="n">
        <f aca="false">AVERAGE(V4:AF4)</f>
        <v>3.09090909090909</v>
      </c>
      <c r="AI4" s="35" t="n">
        <v>37.75</v>
      </c>
      <c r="AJ4" s="35" t="n">
        <v>37.75</v>
      </c>
      <c r="AK4" s="26" t="n">
        <v>0</v>
      </c>
      <c r="AL4" s="26" t="n">
        <v>0</v>
      </c>
      <c r="AM4" s="37" t="n">
        <v>40</v>
      </c>
      <c r="AN4" s="37" t="n">
        <v>40</v>
      </c>
      <c r="AO4" s="39" t="n">
        <f aca="false">AVERAGE(AI4:AK4)</f>
        <v>25.1666666666667</v>
      </c>
      <c r="AP4" s="26" t="n">
        <v>50</v>
      </c>
      <c r="AQ4" s="26" t="n">
        <v>50</v>
      </c>
      <c r="AR4" s="26" t="n">
        <v>50</v>
      </c>
      <c r="AS4" s="40" t="n">
        <f aca="false">AVERAGE(AP4:AR4)</f>
        <v>50</v>
      </c>
      <c r="AT4" s="0" t="n">
        <v>10</v>
      </c>
      <c r="AY4" s="26" t="n">
        <v>0</v>
      </c>
      <c r="AZ4" s="26" t="n">
        <v>50</v>
      </c>
      <c r="BA4" s="26" t="n">
        <v>50</v>
      </c>
      <c r="BB4" s="41" t="n">
        <f aca="false">AVERAGE(AY4:BA4)</f>
        <v>33.3333333333333</v>
      </c>
      <c r="BC4" s="42" t="n">
        <f aca="false">33*(BB4/50)+33*(AS4/50)+33*(AO4/40)+1</f>
        <v>76.7625</v>
      </c>
      <c r="BD4" s="17" t="n">
        <v>3</v>
      </c>
      <c r="BE4" s="17" t="n">
        <v>3</v>
      </c>
      <c r="BF4" s="17" t="n">
        <v>3</v>
      </c>
      <c r="BG4" s="17" t="n">
        <v>3</v>
      </c>
      <c r="BH4" s="17" t="n">
        <v>3</v>
      </c>
      <c r="BI4" s="17" t="n">
        <v>3</v>
      </c>
      <c r="BJ4" s="18" t="n">
        <f aca="false">SUM(BD4:BI4)</f>
        <v>18</v>
      </c>
      <c r="BK4" s="26" t="n">
        <f aca="false">SUM(AT4:AU4)</f>
        <v>10</v>
      </c>
      <c r="BM4" s="0" t="n">
        <v>10</v>
      </c>
      <c r="BN4" s="26" t="n">
        <f aca="false">SUM(BL4:BM4)</f>
        <v>10</v>
      </c>
      <c r="BQ4" s="56" t="n">
        <f aca="false">10*(AK4/40)</f>
        <v>0</v>
      </c>
      <c r="BR4" s="56" t="n">
        <f aca="false">10*(AL4/40)</f>
        <v>0</v>
      </c>
      <c r="BS4" s="56" t="n">
        <f aca="false">10*(AM4/40)</f>
        <v>10</v>
      </c>
      <c r="BT4" s="56" t="n">
        <f aca="false">10*(AL4/40)</f>
        <v>0</v>
      </c>
      <c r="BU4" s="56" t="n">
        <f aca="false">10*(AM4/40)</f>
        <v>10</v>
      </c>
      <c r="BV4" s="56" t="n">
        <f aca="false">10*(AN4/40)</f>
        <v>10</v>
      </c>
      <c r="BW4" s="45" t="n">
        <f aca="false">AVERAGE(BK4,BN4,BQ4,BT4,BU4,BV4)</f>
        <v>6.66666666666667</v>
      </c>
      <c r="BX4" s="46" t="n">
        <f aca="false">(BW4/10)*100</f>
        <v>66.6666666666667</v>
      </c>
      <c r="BY4" s="47" t="n">
        <f aca="false">MAX(BX4,BC4)</f>
        <v>76.7625</v>
      </c>
      <c r="BZ4" s="52" t="n">
        <v>100</v>
      </c>
      <c r="CA4" s="53" t="n">
        <v>100</v>
      </c>
      <c r="CB4" s="54" t="n">
        <v>100</v>
      </c>
      <c r="CC4" s="55" t="n">
        <v>100</v>
      </c>
      <c r="CD4" s="0" t="n">
        <f aca="false">SUMPRODUCT(U4:CC4,U7:CC7)*100</f>
        <v>7650.22613636364</v>
      </c>
    </row>
    <row r="5" customFormat="false" ht="15" hidden="false" customHeight="false" outlineLevel="0" collapsed="false">
      <c r="A5" s="0" t="s">
        <v>83</v>
      </c>
      <c r="D5" s="0" t="s">
        <v>84</v>
      </c>
      <c r="E5" s="27" t="n">
        <f aca="false">2*(U5/10)+15*(AH5/10)+9*(BY5/100)+6*(BJ5/6)+16*(BZ5/100)</f>
        <v>60</v>
      </c>
      <c r="F5" s="28" t="n">
        <f aca="false">(E5/48)*100</f>
        <v>125</v>
      </c>
      <c r="G5" s="29" t="n">
        <f aca="false">2*(U5/10)+15*(AH5/10)+9*(BY5/100)+6*(BJ5/9)+16*(BZ5/100)+16*(CA5/100)</f>
        <v>70</v>
      </c>
      <c r="H5" s="30" t="n">
        <f aca="false">(G5/64)*100</f>
        <v>109.375</v>
      </c>
      <c r="I5" s="31" t="n">
        <f aca="false">2*(U5/10)+15*(AH5/10)+9*(BY5/100)+6*(BJ5/18)+16*(BZ5/100)+16*(CA5/100)+16*(CB5/100)</f>
        <v>80</v>
      </c>
      <c r="J5" s="32" t="n">
        <f aca="false">(I5/80)*100</f>
        <v>100</v>
      </c>
      <c r="K5" s="33" t="n">
        <f aca="false">2*(U5/10)+15*(AH5/10)+9*(BY5/100)+6*(BJ5/18)+16*(BZ5/100)+16*(CA5/100)+16*(CB5/100)+20*(CC5/100)</f>
        <v>100</v>
      </c>
      <c r="L5" s="34" t="n">
        <f aca="false">(K5/100)*100</f>
        <v>100</v>
      </c>
      <c r="M5" s="26" t="n">
        <v>10</v>
      </c>
      <c r="N5" s="26" t="n">
        <v>10</v>
      </c>
      <c r="O5" s="26" t="n">
        <v>10</v>
      </c>
      <c r="P5" s="26" t="n">
        <v>10</v>
      </c>
      <c r="Q5" s="26" t="n">
        <v>10</v>
      </c>
      <c r="R5" s="26" t="n">
        <v>10</v>
      </c>
      <c r="S5" s="26" t="n">
        <v>10</v>
      </c>
      <c r="T5" s="26" t="n">
        <v>10</v>
      </c>
      <c r="U5" s="36" t="n">
        <f aca="false">AVERAGE(M5:T5)</f>
        <v>10</v>
      </c>
      <c r="V5" s="26" t="n">
        <v>10</v>
      </c>
      <c r="W5" s="26" t="n">
        <v>10</v>
      </c>
      <c r="X5" s="26" t="n">
        <v>10</v>
      </c>
      <c r="Y5" s="26" t="n">
        <v>10</v>
      </c>
      <c r="Z5" s="26" t="n">
        <v>10</v>
      </c>
      <c r="AA5" s="26" t="n">
        <v>10</v>
      </c>
      <c r="AB5" s="26" t="n">
        <v>10</v>
      </c>
      <c r="AC5" s="26" t="n">
        <v>10</v>
      </c>
      <c r="AD5" s="26" t="n">
        <v>10</v>
      </c>
      <c r="AE5" s="26" t="n">
        <v>10</v>
      </c>
      <c r="AF5" s="26" t="n">
        <v>10</v>
      </c>
      <c r="AG5" s="26" t="n">
        <v>10</v>
      </c>
      <c r="AH5" s="38" t="n">
        <f aca="false">AVERAGE(V5:AF5)</f>
        <v>10</v>
      </c>
      <c r="AI5" s="26" t="n">
        <v>40</v>
      </c>
      <c r="AJ5" s="26" t="n">
        <v>40</v>
      </c>
      <c r="AK5" s="26" t="n">
        <v>0</v>
      </c>
      <c r="AL5" s="26" t="n">
        <v>0</v>
      </c>
      <c r="AM5" s="26" t="n">
        <v>0</v>
      </c>
      <c r="AN5" s="26" t="n">
        <v>0</v>
      </c>
      <c r="AO5" s="39" t="n">
        <f aca="false">AVERAGE(AI5:AK5)</f>
        <v>26.6666666666667</v>
      </c>
      <c r="AP5" s="26" t="n">
        <v>50</v>
      </c>
      <c r="AQ5" s="26" t="n">
        <v>50</v>
      </c>
      <c r="AR5" s="26" t="n">
        <v>50</v>
      </c>
      <c r="AS5" s="40" t="n">
        <f aca="false">AVERAGE(AP5:AR5)</f>
        <v>50</v>
      </c>
      <c r="AY5" s="26" t="n">
        <v>50</v>
      </c>
      <c r="AZ5" s="26" t="n">
        <v>0</v>
      </c>
      <c r="BA5" s="26" t="n">
        <v>0</v>
      </c>
      <c r="BB5" s="41" t="n">
        <f aca="false">AVERAGE(AY5:BA5)</f>
        <v>16.6666666666667</v>
      </c>
      <c r="BC5" s="42" t="n">
        <f aca="false">33*(BB5/50)+33*(AS5/50)+33*(AO5/40)+1</f>
        <v>67</v>
      </c>
      <c r="BD5" s="17" t="n">
        <v>3</v>
      </c>
      <c r="BE5" s="17" t="n">
        <v>3</v>
      </c>
      <c r="BF5" s="17" t="n">
        <v>3</v>
      </c>
      <c r="BG5" s="17" t="n">
        <v>3</v>
      </c>
      <c r="BH5" s="17" t="n">
        <v>3</v>
      </c>
      <c r="BI5" s="17" t="n">
        <v>3</v>
      </c>
      <c r="BJ5" s="18" t="n">
        <f aca="false">SUM(BD5:BI5)</f>
        <v>18</v>
      </c>
      <c r="BK5" s="57" t="n">
        <f aca="false">(AI5/40)*10</f>
        <v>10</v>
      </c>
      <c r="BL5" s="57"/>
      <c r="BM5" s="57"/>
      <c r="BN5" s="57" t="n">
        <f aca="false">(AJ5/40)*10</f>
        <v>10</v>
      </c>
      <c r="BQ5" s="0" t="n">
        <v>10</v>
      </c>
      <c r="BT5" s="0" t="n">
        <v>10</v>
      </c>
      <c r="BU5" s="0" t="n">
        <v>10</v>
      </c>
      <c r="BV5" s="0" t="n">
        <v>10</v>
      </c>
      <c r="BW5" s="45" t="n">
        <f aca="false">AVERAGE(BK5,BN5,BQ5,BT5,BU5,BV5)</f>
        <v>10</v>
      </c>
      <c r="BX5" s="46" t="n">
        <f aca="false">(BW5/10)*100</f>
        <v>100</v>
      </c>
      <c r="BY5" s="47" t="n">
        <f aca="false">MAX(BX5,BC5)</f>
        <v>100</v>
      </c>
      <c r="BZ5" s="52" t="n">
        <v>100</v>
      </c>
      <c r="CA5" s="53" t="n">
        <v>100</v>
      </c>
      <c r="CB5" s="54" t="n">
        <v>100</v>
      </c>
      <c r="CC5" s="55" t="n">
        <v>100</v>
      </c>
      <c r="CD5" s="0" t="n">
        <f aca="false">SUMPRODUCT(U5:CC5,U7:CC7)*100</f>
        <v>7978</v>
      </c>
      <c r="CO5" s="0" t="s">
        <v>85</v>
      </c>
      <c r="CP5" s="0" t="s">
        <v>86</v>
      </c>
    </row>
    <row r="6" customFormat="false" ht="15" hidden="false" customHeight="false" outlineLevel="0" collapsed="false">
      <c r="A6" s="0" t="s">
        <v>87</v>
      </c>
      <c r="BJ6" s="0"/>
      <c r="CN6" s="0" t="n">
        <v>1</v>
      </c>
      <c r="CO6" s="0" t="n">
        <v>1</v>
      </c>
      <c r="CP6" s="0" t="n">
        <v>10</v>
      </c>
    </row>
    <row r="7" customFormat="false" ht="15" hidden="false" customHeight="false" outlineLevel="0" collapsed="false">
      <c r="A7" s="58" t="s">
        <v>88</v>
      </c>
      <c r="U7" s="59" t="n">
        <v>0.02</v>
      </c>
      <c r="AH7" s="59" t="n">
        <v>0.15</v>
      </c>
      <c r="BJ7" s="59" t="n">
        <v>0.06</v>
      </c>
      <c r="BY7" s="59" t="n">
        <v>0.09</v>
      </c>
      <c r="BZ7" s="59" t="n">
        <v>0.16</v>
      </c>
      <c r="CA7" s="59" t="n">
        <v>0.16</v>
      </c>
      <c r="CB7" s="59" t="n">
        <v>0.16</v>
      </c>
      <c r="CC7" s="59" t="n">
        <v>0.2</v>
      </c>
      <c r="CD7" s="59" t="n">
        <f aca="false">SUM(U7:CC7)</f>
        <v>1</v>
      </c>
      <c r="CN7" s="0" t="n">
        <v>2</v>
      </c>
      <c r="CO7" s="0" t="n">
        <v>10</v>
      </c>
      <c r="CP7" s="0" t="n">
        <v>10</v>
      </c>
    </row>
    <row r="8" customFormat="false" ht="13.8" hidden="false" customHeight="false" outlineLevel="0" collapsed="false">
      <c r="A8" s="0" t="s">
        <v>89</v>
      </c>
      <c r="N8" s="0" t="s">
        <v>90</v>
      </c>
      <c r="V8" s="0" t="s">
        <v>91</v>
      </c>
      <c r="AG8" s="0" t="s">
        <v>92</v>
      </c>
      <c r="AI8" s="0" t="s">
        <v>93</v>
      </c>
      <c r="AM8" s="0" t="s">
        <v>92</v>
      </c>
      <c r="AP8" s="0" t="s">
        <v>94</v>
      </c>
      <c r="BD8" s="0" t="s">
        <v>95</v>
      </c>
      <c r="BJ8" s="0"/>
      <c r="CB8" s="0" t="s">
        <v>95</v>
      </c>
      <c r="CN8" s="0" t="n">
        <v>3</v>
      </c>
      <c r="CO8" s="0" t="n">
        <v>10</v>
      </c>
      <c r="CP8" s="0" t="n">
        <v>10</v>
      </c>
    </row>
    <row r="9" customFormat="false" ht="13.8" hidden="false" customHeight="false" outlineLevel="0" collapsed="false">
      <c r="BJ9" s="0"/>
      <c r="CK9" s="1" t="s">
        <v>96</v>
      </c>
      <c r="CN9" s="0" t="n">
        <v>4</v>
      </c>
      <c r="CO9" s="0" t="n">
        <v>10</v>
      </c>
      <c r="CP9" s="0" t="n">
        <v>0</v>
      </c>
    </row>
    <row r="10" customFormat="false" ht="13.8" hidden="false" customHeight="false" outlineLevel="0" collapsed="false">
      <c r="A10" s="57" t="s">
        <v>97</v>
      </c>
      <c r="B10" s="0" t="n">
        <v>73</v>
      </c>
      <c r="BJ10" s="0"/>
      <c r="CG10" s="0" t="s">
        <v>98</v>
      </c>
      <c r="CK10" s="60" t="s">
        <v>99</v>
      </c>
      <c r="CN10" s="0" t="n">
        <v>5</v>
      </c>
      <c r="CO10" s="0" t="n">
        <v>4</v>
      </c>
      <c r="CP10" s="0" t="n">
        <v>0</v>
      </c>
    </row>
    <row r="11" customFormat="false" ht="13.8" hidden="false" customHeight="false" outlineLevel="0" collapsed="false">
      <c r="F11" s="26"/>
      <c r="G11" s="61" t="s">
        <v>100</v>
      </c>
      <c r="BJ11" s="0"/>
      <c r="CG11" s="0" t="s">
        <v>101</v>
      </c>
      <c r="CH11" s="0" t="s">
        <v>102</v>
      </c>
      <c r="CI11" s="0" t="s">
        <v>103</v>
      </c>
      <c r="CJ11" s="0" t="s">
        <v>104</v>
      </c>
      <c r="CK11" s="0" t="s">
        <v>105</v>
      </c>
      <c r="CN11" s="0" t="n">
        <v>6</v>
      </c>
      <c r="CO11" s="0" t="n">
        <v>10</v>
      </c>
      <c r="CP11" s="0" t="n">
        <v>0</v>
      </c>
    </row>
    <row r="12" customFormat="false" ht="13.8" hidden="false" customHeight="false" outlineLevel="0" collapsed="false">
      <c r="F12" s="26" t="n">
        <v>0</v>
      </c>
      <c r="G12" s="26" t="s">
        <v>106</v>
      </c>
      <c r="BJ12" s="0"/>
      <c r="CG12" s="0" t="s">
        <v>107</v>
      </c>
      <c r="CN12" s="0" t="n">
        <v>7</v>
      </c>
      <c r="CO12" s="0" t="n">
        <v>10</v>
      </c>
      <c r="CP12" s="0" t="n">
        <v>0</v>
      </c>
    </row>
    <row r="13" customFormat="false" ht="13.8" hidden="false" customHeight="false" outlineLevel="0" collapsed="false">
      <c r="F13" s="26" t="s">
        <v>108</v>
      </c>
      <c r="G13" s="26" t="s">
        <v>109</v>
      </c>
      <c r="BJ13" s="0"/>
      <c r="CG13" s="0" t="s">
        <v>110</v>
      </c>
      <c r="CH13" s="0" t="s">
        <v>111</v>
      </c>
      <c r="CI13" s="0" t="s">
        <v>112</v>
      </c>
      <c r="CJ13" s="0" t="s">
        <v>113</v>
      </c>
      <c r="CK13" s="0" t="s">
        <v>114</v>
      </c>
      <c r="CL13" s="0" t="s">
        <v>115</v>
      </c>
      <c r="CM13" s="0" t="s">
        <v>116</v>
      </c>
      <c r="CN13" s="0" t="n">
        <v>8</v>
      </c>
      <c r="CO13" s="0" t="n">
        <v>10</v>
      </c>
      <c r="CP13" s="0" t="n">
        <v>0</v>
      </c>
    </row>
    <row r="14" customFormat="false" ht="13.8" hidden="false" customHeight="false" outlineLevel="0" collapsed="false">
      <c r="F14" s="26" t="n">
        <f aca="false">B10-10</f>
        <v>63</v>
      </c>
      <c r="G14" s="26" t="s">
        <v>117</v>
      </c>
      <c r="BJ14" s="0"/>
      <c r="CF14" s="0" t="s">
        <v>118</v>
      </c>
      <c r="CG14" s="0" t="n">
        <v>0.03</v>
      </c>
      <c r="CH14" s="0" t="n">
        <f aca="false">7/7</f>
        <v>1</v>
      </c>
      <c r="CI14" s="0" t="n">
        <f aca="false">25/25</f>
        <v>1</v>
      </c>
      <c r="CJ14" s="0" t="n">
        <v>1</v>
      </c>
      <c r="CK14" s="0" t="n">
        <v>1</v>
      </c>
      <c r="CL14" s="0" t="n">
        <f aca="false">(CH14*7+CI14*25+CJ14*0+CK14*0)/(7+25+0+0)</f>
        <v>1</v>
      </c>
      <c r="CM14" s="0" t="n">
        <f aca="false">CL14*CG14</f>
        <v>0.03</v>
      </c>
      <c r="CN14" s="0" t="n">
        <v>9</v>
      </c>
      <c r="CO14" s="0" t="n">
        <v>10</v>
      </c>
      <c r="CP14" s="62" t="n">
        <v>0</v>
      </c>
    </row>
    <row r="15" customFormat="false" ht="13.8" hidden="false" customHeight="false" outlineLevel="0" collapsed="false">
      <c r="F15" s="26" t="n">
        <f aca="false">B10-6.66</f>
        <v>66.34</v>
      </c>
      <c r="G15" s="26" t="s">
        <v>119</v>
      </c>
      <c r="BJ15" s="0"/>
      <c r="BZ15" s="0" t="s">
        <v>120</v>
      </c>
      <c r="CA15" s="0" t="s">
        <v>121</v>
      </c>
      <c r="CF15" s="0" t="s">
        <v>122</v>
      </c>
      <c r="CG15" s="0" t="n">
        <v>0.02</v>
      </c>
      <c r="CH15" s="63" t="n">
        <v>1</v>
      </c>
      <c r="CI15" s="0" t="n">
        <f aca="false">75.5/80</f>
        <v>0.94375</v>
      </c>
      <c r="CJ15" s="0" t="n">
        <f aca="false">10/10</f>
        <v>1</v>
      </c>
      <c r="CK15" s="0" t="n">
        <f aca="false">41/50</f>
        <v>0.82</v>
      </c>
      <c r="CL15" s="0" t="n">
        <f aca="false">(CI15*80+CJ15*10+CK15*50)/(80+10+50)</f>
        <v>0.903571428571429</v>
      </c>
      <c r="CM15" s="0" t="n">
        <f aca="false">CL15*CG15</f>
        <v>0.0180714285714286</v>
      </c>
      <c r="CN15" s="0" t="n">
        <v>10</v>
      </c>
      <c r="CO15" s="0" t="n">
        <v>10</v>
      </c>
      <c r="CP15" s="62"/>
    </row>
    <row r="16" customFormat="false" ht="13.8" hidden="false" customHeight="false" outlineLevel="0" collapsed="false">
      <c r="F16" s="26" t="n">
        <f aca="false">B10-3.33</f>
        <v>69.67</v>
      </c>
      <c r="G16" s="26" t="s">
        <v>123</v>
      </c>
      <c r="BJ16" s="0"/>
      <c r="BY16" s="0" t="s">
        <v>124</v>
      </c>
      <c r="BZ16" s="0" t="n">
        <f aca="false">SUM(BZ17:BZ24)</f>
        <v>0.629</v>
      </c>
      <c r="CA16" s="0" t="n">
        <f aca="false">0.63-BZ16</f>
        <v>0.001</v>
      </c>
      <c r="CF16" s="0" t="s">
        <v>125</v>
      </c>
      <c r="CG16" s="0" t="n">
        <v>0.02</v>
      </c>
      <c r="CH16" s="0" t="n">
        <v>1</v>
      </c>
      <c r="CL16" s="0" t="n">
        <f aca="false">CH16</f>
        <v>1</v>
      </c>
      <c r="CM16" s="0" t="n">
        <f aca="false">CL16*CG16</f>
        <v>0.02</v>
      </c>
      <c r="CN16" s="0" t="n">
        <v>11</v>
      </c>
      <c r="CO16" s="0" t="n">
        <v>10</v>
      </c>
    </row>
    <row r="17" customFormat="false" ht="13.8" hidden="false" customHeight="false" outlineLevel="0" collapsed="false">
      <c r="F17" s="26" t="n">
        <f aca="false">B10</f>
        <v>73</v>
      </c>
      <c r="G17" s="26" t="s">
        <v>126</v>
      </c>
      <c r="BJ17" s="0"/>
      <c r="BY17" s="0" t="s">
        <v>127</v>
      </c>
      <c r="BZ17" s="0" t="n">
        <f aca="false">(0.75+0.88+0.9)*0.16</f>
        <v>0.4048</v>
      </c>
      <c r="CF17" s="0" t="s">
        <v>128</v>
      </c>
      <c r="CG17" s="0" t="n">
        <v>0.02</v>
      </c>
      <c r="CH17" s="0" t="n">
        <f aca="false">7/10</f>
        <v>0.7</v>
      </c>
      <c r="CL17" s="0" t="n">
        <f aca="false">CH17</f>
        <v>0.7</v>
      </c>
      <c r="CM17" s="0" t="n">
        <f aca="false">CL17*CG17</f>
        <v>0.014</v>
      </c>
      <c r="CN17" s="0" t="s">
        <v>129</v>
      </c>
      <c r="CO17" s="0" t="n">
        <f aca="false">AVERAGE(CO6:CO16)/10</f>
        <v>0.863636363636364</v>
      </c>
      <c r="CP17" s="0" t="n">
        <f aca="false">AVERAGE(CP6:CP16)/10</f>
        <v>0.333333333333333</v>
      </c>
    </row>
    <row r="18" customFormat="false" ht="13.8" hidden="false" customHeight="false" outlineLevel="0" collapsed="false">
      <c r="F18" s="26" t="n">
        <f aca="false">B10+3.33</f>
        <v>76.33</v>
      </c>
      <c r="G18" s="26" t="s">
        <v>130</v>
      </c>
      <c r="BJ18" s="0"/>
      <c r="BY18" s="0" t="s">
        <v>131</v>
      </c>
      <c r="BZ18" s="0" t="n">
        <f aca="false">0.25*0.02</f>
        <v>0.005</v>
      </c>
      <c r="CF18" s="0" t="s">
        <v>132</v>
      </c>
      <c r="CG18" s="0" t="n">
        <v>0.02</v>
      </c>
      <c r="CH18" s="0" t="n">
        <v>1</v>
      </c>
      <c r="CL18" s="0" t="n">
        <f aca="false">CH18</f>
        <v>1</v>
      </c>
      <c r="CM18" s="0" t="n">
        <f aca="false">CL18*CG18</f>
        <v>0.02</v>
      </c>
      <c r="CO18" s="0" t="s">
        <v>98</v>
      </c>
      <c r="CP18" s="0" t="s">
        <v>115</v>
      </c>
      <c r="CQ18" s="0" t="s">
        <v>116</v>
      </c>
    </row>
    <row r="19" customFormat="false" ht="13.8" hidden="false" customHeight="false" outlineLevel="0" collapsed="false">
      <c r="F19" s="26" t="n">
        <f aca="false">B10+6.67</f>
        <v>79.67</v>
      </c>
      <c r="G19" s="26" t="s">
        <v>133</v>
      </c>
      <c r="BJ19" s="0"/>
      <c r="BY19" s="0" t="s">
        <v>134</v>
      </c>
      <c r="BZ19" s="0" t="n">
        <f aca="false">1*0.03</f>
        <v>0.03</v>
      </c>
      <c r="CF19" s="0" t="s">
        <v>135</v>
      </c>
      <c r="CG19" s="0" t="n">
        <v>0.02</v>
      </c>
      <c r="CH19" s="64" t="n">
        <v>1</v>
      </c>
      <c r="CI19" s="62" t="n">
        <f aca="false">65/80</f>
        <v>0.8125</v>
      </c>
      <c r="CJ19" s="62" t="n">
        <v>1</v>
      </c>
      <c r="CK19" s="62" t="n">
        <f aca="false">40/50</f>
        <v>0.8</v>
      </c>
      <c r="CL19" s="0" t="n">
        <f aca="false">(CI19*80+CJ19*10+CK19*50)/(80+10+50)</f>
        <v>0.821428571428571</v>
      </c>
      <c r="CM19" s="0" t="n">
        <f aca="false">CL19*CG19</f>
        <v>0.0164285714285714</v>
      </c>
      <c r="CN19" s="0" t="s">
        <v>85</v>
      </c>
      <c r="CO19" s="0" t="n">
        <v>0.15</v>
      </c>
      <c r="CP19" s="0" t="n">
        <f aca="false">CO17</f>
        <v>0.863636363636364</v>
      </c>
      <c r="CQ19" s="0" t="n">
        <f aca="false">CO19*CP19</f>
        <v>0.129545454545455</v>
      </c>
    </row>
    <row r="20" customFormat="false" ht="13.8" hidden="false" customHeight="false" outlineLevel="0" collapsed="false">
      <c r="F20" s="26" t="n">
        <f aca="false">B10+10</f>
        <v>83</v>
      </c>
      <c r="G20" s="26" t="s">
        <v>136</v>
      </c>
      <c r="BJ20" s="0"/>
      <c r="BY20" s="0" t="s">
        <v>137</v>
      </c>
      <c r="BZ20" s="0" t="n">
        <f aca="false">0.66*0.06</f>
        <v>0.0396</v>
      </c>
      <c r="CF20" s="0" t="s">
        <v>138</v>
      </c>
      <c r="CG20" s="0" t="n">
        <v>0.02</v>
      </c>
      <c r="CH20" s="62" t="n">
        <v>1</v>
      </c>
      <c r="CL20" s="0" t="n">
        <f aca="false">(CH20*1+CI20*80+CJ20*10+CK20*50)/(1+80+10+50)</f>
        <v>0.00709219858156028</v>
      </c>
      <c r="CM20" s="0" t="n">
        <f aca="false">CL20*CG20</f>
        <v>0.000141843971631206</v>
      </c>
      <c r="CN20" s="0" t="s">
        <v>86</v>
      </c>
      <c r="CO20" s="0" t="n">
        <v>0.02</v>
      </c>
      <c r="CP20" s="0" t="n">
        <f aca="false">CP17</f>
        <v>0.333333333333333</v>
      </c>
      <c r="CQ20" s="0" t="n">
        <f aca="false">CO20*CP20</f>
        <v>0.00666666666666667</v>
      </c>
    </row>
    <row r="21" customFormat="false" ht="13.8" hidden="false" customHeight="false" outlineLevel="0" collapsed="false">
      <c r="F21" s="26" t="n">
        <f aca="false">B10+13.33</f>
        <v>86.33</v>
      </c>
      <c r="G21" s="26" t="s">
        <v>139</v>
      </c>
      <c r="BJ21" s="0"/>
      <c r="BY21" s="0" t="s">
        <v>140</v>
      </c>
      <c r="BZ21" s="0" t="n">
        <f aca="false">0.66*0.06</f>
        <v>0.0396</v>
      </c>
      <c r="CL21" s="0" t="s">
        <v>141</v>
      </c>
      <c r="CM21" s="0" t="n">
        <f aca="false">SUM(CM15:CM20)</f>
        <v>0.0886418439716312</v>
      </c>
      <c r="CN21" s="0" t="s">
        <v>142</v>
      </c>
      <c r="CO21" s="0" t="n">
        <v>0.15</v>
      </c>
      <c r="CP21" s="0" t="n">
        <f aca="false">CM21</f>
        <v>0.0886418439716312</v>
      </c>
      <c r="CQ21" s="0" t="n">
        <f aca="false">CO21*CP21</f>
        <v>0.0132962765957447</v>
      </c>
    </row>
    <row r="22" customFormat="false" ht="13.8" hidden="false" customHeight="false" outlineLevel="0" collapsed="false">
      <c r="F22" s="26" t="n">
        <f aca="false">B10+16.67</f>
        <v>89.67</v>
      </c>
      <c r="G22" s="26" t="s">
        <v>143</v>
      </c>
      <c r="BJ22" s="0"/>
      <c r="BY22" s="0" t="s">
        <v>144</v>
      </c>
      <c r="BZ22" s="0" t="n">
        <f aca="false">0.55*0.2</f>
        <v>0.11</v>
      </c>
      <c r="CN22" s="0" t="s">
        <v>145</v>
      </c>
      <c r="CO22" s="0" t="n">
        <v>0.16</v>
      </c>
      <c r="CP22" s="0" t="n">
        <f aca="false">(54+10)/72</f>
        <v>0.888888888888889</v>
      </c>
      <c r="CQ22" s="0" t="n">
        <f aca="false">CO22*CP22</f>
        <v>0.142222222222222</v>
      </c>
      <c r="CR22" s="0" t="n">
        <f aca="false">SUM(CQ22:CQ24)</f>
        <v>0.432355555555556</v>
      </c>
      <c r="CS22" s="0" t="n">
        <f aca="false">58.5/72</f>
        <v>0.8125</v>
      </c>
    </row>
    <row r="23" customFormat="false" ht="13.8" hidden="false" customHeight="false" outlineLevel="0" collapsed="false">
      <c r="F23" s="26" t="n">
        <f aca="false">B10+20</f>
        <v>93</v>
      </c>
      <c r="G23" s="26" t="s">
        <v>146</v>
      </c>
      <c r="BJ23" s="0"/>
      <c r="BZ23" s="0" t="s">
        <v>147</v>
      </c>
      <c r="CN23" s="0" t="s">
        <v>148</v>
      </c>
      <c r="CO23" s="0" t="n">
        <v>0.16</v>
      </c>
      <c r="CP23" s="0" t="n">
        <f aca="false">(66+4)/75</f>
        <v>0.933333333333333</v>
      </c>
      <c r="CQ23" s="0" t="n">
        <f aca="false">CO23*CP23</f>
        <v>0.149333333333333</v>
      </c>
      <c r="CS23" s="0" t="n">
        <v>67</v>
      </c>
    </row>
    <row r="24" customFormat="false" ht="13.8" hidden="false" customHeight="false" outlineLevel="0" collapsed="false">
      <c r="BJ24" s="0"/>
      <c r="CN24" s="0" t="s">
        <v>149</v>
      </c>
      <c r="CO24" s="0" t="n">
        <v>0.16</v>
      </c>
      <c r="CP24" s="0" t="n">
        <v>0.88</v>
      </c>
      <c r="CQ24" s="0" t="n">
        <f aca="false">CO24*CP24</f>
        <v>0.1408</v>
      </c>
    </row>
    <row r="25" customFormat="false" ht="13.8" hidden="false" customHeight="false" outlineLevel="0" collapsed="false">
      <c r="BJ25" s="0"/>
      <c r="CN25" s="0" t="s">
        <v>150</v>
      </c>
      <c r="CO25" s="0" t="n">
        <v>0.2</v>
      </c>
      <c r="CP25" s="60" t="n">
        <v>0</v>
      </c>
      <c r="CQ25" s="0" t="n">
        <f aca="false">CO25*CP25</f>
        <v>0</v>
      </c>
      <c r="CU25" s="0" t="n">
        <v>100</v>
      </c>
      <c r="CV25" s="0" t="s">
        <v>151</v>
      </c>
    </row>
    <row r="26" customFormat="false" ht="13.8" hidden="false" customHeight="false" outlineLevel="0" collapsed="false">
      <c r="BJ26" s="0"/>
      <c r="CP26" s="0" t="s">
        <v>152</v>
      </c>
      <c r="CQ26" s="0" t="n">
        <f aca="false">SUM(CQ19:CQ25)</f>
        <v>0.581863953363421</v>
      </c>
      <c r="CR26" s="0" t="n">
        <f aca="false">CQ26/0.8</f>
        <v>0.727329941704277</v>
      </c>
      <c r="CS26" s="0" t="s">
        <v>153</v>
      </c>
      <c r="CU26" s="0" t="n">
        <f aca="false">91.35*0.8+CU25*0.2</f>
        <v>93.08</v>
      </c>
    </row>
    <row r="27" customFormat="false" ht="13.8" hidden="false" customHeight="false" outlineLevel="0" collapsed="false">
      <c r="BJ27" s="0"/>
      <c r="CR27" s="0" t="s">
        <v>153</v>
      </c>
      <c r="CS27" s="0" t="n">
        <v>91.35</v>
      </c>
    </row>
    <row r="28" customFormat="false" ht="15" hidden="false" customHeight="false" outlineLevel="0" collapsed="false">
      <c r="BJ28" s="0"/>
    </row>
    <row r="29" customFormat="false" ht="15" hidden="false" customHeight="false" outlineLevel="0" collapsed="false">
      <c r="BJ29" s="0"/>
    </row>
    <row r="30" customFormat="false" ht="15" hidden="false" customHeight="false" outlineLevel="0" collapsed="false">
      <c r="BJ30" s="0"/>
    </row>
    <row r="31" customFormat="false" ht="15" hidden="false" customHeight="false" outlineLevel="0" collapsed="false">
      <c r="BJ31" s="0"/>
    </row>
    <row r="32" customFormat="false" ht="15" hidden="false" customHeight="false" outlineLevel="0" collapsed="false">
      <c r="BJ32" s="0"/>
    </row>
    <row r="33" customFormat="false" ht="15" hidden="false" customHeight="false" outlineLevel="0" collapsed="false">
      <c r="BJ33" s="0"/>
    </row>
    <row r="34" customFormat="false" ht="15" hidden="false" customHeight="false" outlineLevel="0" collapsed="false">
      <c r="BJ34" s="0"/>
    </row>
    <row r="35" customFormat="false" ht="15" hidden="false" customHeight="false" outlineLevel="0" collapsed="false">
      <c r="BJ35" s="0"/>
    </row>
    <row r="36" customFormat="false" ht="15" hidden="false" customHeight="false" outlineLevel="0" collapsed="false">
      <c r="BJ36" s="0"/>
    </row>
    <row r="37" customFormat="false" ht="15" hidden="false" customHeight="false" outlineLevel="0" collapsed="false">
      <c r="BJ37" s="0"/>
    </row>
    <row r="38" customFormat="false" ht="15" hidden="false" customHeight="false" outlineLevel="0" collapsed="false">
      <c r="BJ38" s="0"/>
    </row>
    <row r="39" customFormat="false" ht="15" hidden="false" customHeight="false" outlineLevel="0" collapsed="false">
      <c r="BJ39" s="0"/>
    </row>
    <row r="40" customFormat="false" ht="15" hidden="false" customHeight="false" outlineLevel="0" collapsed="false">
      <c r="BJ40" s="0"/>
    </row>
    <row r="41" customFormat="false" ht="15" hidden="false" customHeight="false" outlineLevel="0" collapsed="false">
      <c r="BJ41" s="0"/>
    </row>
    <row r="42" customFormat="false" ht="15" hidden="false" customHeight="false" outlineLevel="0" collapsed="false">
      <c r="BJ42" s="0"/>
    </row>
    <row r="43" customFormat="false" ht="15" hidden="false" customHeight="false" outlineLevel="0" collapsed="false">
      <c r="BJ43" s="0"/>
    </row>
    <row r="44" customFormat="false" ht="15" hidden="false" customHeight="false" outlineLevel="0" collapsed="false">
      <c r="BJ44" s="0"/>
    </row>
    <row r="45" customFormat="false" ht="15" hidden="false" customHeight="false" outlineLevel="0" collapsed="false">
      <c r="BJ45" s="0"/>
    </row>
    <row r="46" customFormat="false" ht="15" hidden="false" customHeight="false" outlineLevel="0" collapsed="false">
      <c r="BJ46" s="0"/>
    </row>
    <row r="47" customFormat="false" ht="15" hidden="false" customHeight="false" outlineLevel="0" collapsed="false">
      <c r="BJ47" s="0"/>
    </row>
    <row r="48" customFormat="false" ht="15" hidden="false" customHeight="false" outlineLevel="0" collapsed="false">
      <c r="BJ48" s="0"/>
    </row>
    <row r="49" customFormat="false" ht="15" hidden="false" customHeight="false" outlineLevel="0" collapsed="false">
      <c r="BJ49" s="0"/>
    </row>
    <row r="50" customFormat="false" ht="15" hidden="false" customHeight="false" outlineLevel="0" collapsed="false">
      <c r="BJ50" s="0"/>
    </row>
    <row r="51" customFormat="false" ht="15" hidden="false" customHeight="false" outlineLevel="0" collapsed="false">
      <c r="BJ51" s="0"/>
    </row>
    <row r="52" customFormat="false" ht="15" hidden="false" customHeight="false" outlineLevel="0" collapsed="false">
      <c r="BJ52" s="0"/>
    </row>
    <row r="53" customFormat="false" ht="15" hidden="false" customHeight="false" outlineLevel="0" collapsed="false">
      <c r="BJ53" s="0"/>
    </row>
    <row r="54" customFormat="false" ht="15" hidden="false" customHeight="false" outlineLevel="0" collapsed="false">
      <c r="BJ54" s="0"/>
    </row>
    <row r="55" customFormat="false" ht="15" hidden="false" customHeight="false" outlineLevel="0" collapsed="false">
      <c r="BJ55" s="0"/>
    </row>
    <row r="56" customFormat="false" ht="15" hidden="false" customHeight="false" outlineLevel="0" collapsed="false">
      <c r="BJ56" s="0"/>
    </row>
    <row r="57" customFormat="false" ht="15" hidden="false" customHeight="false" outlineLevel="0" collapsed="false">
      <c r="BJ57" s="0"/>
    </row>
    <row r="58" customFormat="false" ht="15" hidden="false" customHeight="false" outlineLevel="0" collapsed="false">
      <c r="BJ58" s="0"/>
    </row>
    <row r="59" customFormat="false" ht="15" hidden="false" customHeight="false" outlineLevel="0" collapsed="false">
      <c r="BJ59" s="0"/>
    </row>
    <row r="60" customFormat="false" ht="15" hidden="false" customHeight="false" outlineLevel="0" collapsed="false">
      <c r="BJ60" s="0"/>
    </row>
    <row r="61" customFormat="false" ht="15" hidden="false" customHeight="false" outlineLevel="0" collapsed="false">
      <c r="BJ61" s="0"/>
    </row>
    <row r="62" customFormat="false" ht="15" hidden="false" customHeight="false" outlineLevel="0" collapsed="false">
      <c r="BJ62" s="0"/>
    </row>
    <row r="63" customFormat="false" ht="15" hidden="false" customHeight="false" outlineLevel="0" collapsed="false">
      <c r="BJ63" s="0"/>
    </row>
    <row r="64" customFormat="false" ht="15" hidden="false" customHeight="false" outlineLevel="0" collapsed="false">
      <c r="BJ64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3018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2020-04-21T01:45:02Z</dcterms:created>
  <dc:creator>Prof. Shayla Sawyer</dc:creator>
  <dc:description/>
  <dc:language>en-US</dc:language>
  <cp:lastModifiedBy/>
  <dcterms:modified xsi:type="dcterms:W3CDTF">2023-05-04T00:56:31Z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