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ymeli\Downloads\"/>
    </mc:Choice>
  </mc:AlternateContent>
  <xr:revisionPtr revIDLastSave="0" documentId="13_ncr:1_{AA135E40-5BF0-4F40-8F8E-41AC240EE555}" xr6:coauthVersionLast="47" xr6:coauthVersionMax="47" xr10:uidLastSave="{00000000-0000-0000-0000-000000000000}"/>
  <bookViews>
    <workbookView xWindow="-120" yWindow="-120" windowWidth="19440" windowHeight="10320" tabRatio="500" xr2:uid="{00000000-000D-0000-FFFF-FFFF00000000}"/>
  </bookViews>
  <sheets>
    <sheet name="PRESUPUESTO 2024" sheetId="1" r:id="rId1"/>
    <sheet name="INDICADOR" sheetId="5" r:id="rId2"/>
    <sheet name="Anexo 1 Calculo Salarios" sheetId="2" r:id="rId3"/>
    <sheet name="DETALLADO GASTOS" sheetId="3" r:id="rId4"/>
  </sheets>
  <definedNames>
    <definedName name="_xlnm._FilterDatabase" localSheetId="2" hidden="1">'Anexo 1 Calculo Salarios'!$A$12:$BJ$14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A72" i="1" l="1"/>
  <c r="AA66" i="1" s="1"/>
  <c r="AA79" i="1" s="1"/>
  <c r="AA73" i="1"/>
  <c r="AA74" i="1"/>
  <c r="AA75" i="1"/>
  <c r="AA39" i="1"/>
  <c r="AA36" i="1"/>
  <c r="AA34" i="1"/>
  <c r="AA25" i="1"/>
  <c r="AA22" i="1"/>
  <c r="AA54" i="1"/>
  <c r="O41" i="5"/>
  <c r="Z79" i="1"/>
  <c r="AA9" i="1"/>
  <c r="AA38" i="1"/>
  <c r="AA58" i="1"/>
  <c r="N41" i="5"/>
  <c r="D40" i="5"/>
  <c r="C40" i="5"/>
  <c r="W58" i="1"/>
  <c r="W39" i="1"/>
  <c r="W36" i="1"/>
  <c r="W22" i="1"/>
  <c r="W12" i="1"/>
  <c r="W11" i="1"/>
  <c r="W10" i="1"/>
  <c r="U39" i="1"/>
  <c r="U36" i="1"/>
  <c r="U22" i="1"/>
  <c r="U12" i="1"/>
  <c r="U11" i="1"/>
  <c r="U10" i="1"/>
  <c r="U9" i="1"/>
  <c r="S11" i="1"/>
  <c r="S10" i="1"/>
  <c r="S36" i="1"/>
  <c r="S22" i="1"/>
  <c r="S12" i="1"/>
  <c r="Q39" i="1"/>
  <c r="Q36" i="1"/>
  <c r="Q22" i="1"/>
  <c r="Q12" i="1"/>
  <c r="Q11" i="1"/>
  <c r="Q10" i="1"/>
  <c r="O39" i="1"/>
  <c r="O58" i="1"/>
  <c r="O36" i="1"/>
  <c r="O22" i="1"/>
  <c r="O12" i="1"/>
  <c r="O11" i="1"/>
  <c r="O10" i="1"/>
  <c r="M36" i="1"/>
  <c r="M25" i="1" s="1"/>
  <c r="M39" i="1"/>
  <c r="M22" i="1"/>
  <c r="M10" i="1"/>
  <c r="M12" i="1"/>
  <c r="M11" i="1"/>
  <c r="K39" i="1"/>
  <c r="K36" i="1"/>
  <c r="K22" i="1"/>
  <c r="K10" i="1"/>
  <c r="K11" i="1"/>
  <c r="K12" i="1"/>
  <c r="I36" i="1"/>
  <c r="D8" i="3"/>
  <c r="I13" i="1"/>
  <c r="I12" i="1"/>
  <c r="I11" i="1"/>
  <c r="G10" i="1"/>
  <c r="I10" i="1"/>
  <c r="G39" i="1"/>
  <c r="E36" i="1"/>
  <c r="E12" i="1"/>
  <c r="E11" i="1"/>
  <c r="E10" i="1"/>
  <c r="D41" i="5" l="1"/>
  <c r="C41" i="5" s="1"/>
  <c r="E66" i="1"/>
  <c r="H59" i="1"/>
  <c r="Z50" i="1"/>
  <c r="Z51" i="1"/>
  <c r="Z52" i="1"/>
  <c r="Z53" i="1"/>
  <c r="Z54" i="1"/>
  <c r="Z55" i="1"/>
  <c r="Z56" i="1"/>
  <c r="Z57" i="1"/>
  <c r="Z58" i="1"/>
  <c r="Z65" i="1"/>
  <c r="Z78" i="1"/>
  <c r="Z77" i="1"/>
  <c r="Z76" i="1"/>
  <c r="AA10" i="1"/>
  <c r="C14" i="1" l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B14" i="1"/>
  <c r="AA15" i="1"/>
  <c r="AA14" i="1" s="1"/>
  <c r="Z15" i="1"/>
  <c r="Z14" i="1" s="1"/>
  <c r="F14" i="2" l="1"/>
  <c r="F13" i="2"/>
  <c r="Z72" i="1" l="1"/>
  <c r="B16" i="1" l="1"/>
  <c r="C16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C25" i="1"/>
  <c r="C38" i="1"/>
  <c r="B40" i="1"/>
  <c r="C40" i="1"/>
  <c r="D40" i="1"/>
  <c r="E40" i="1"/>
  <c r="F40" i="1"/>
  <c r="G40" i="1"/>
  <c r="H40" i="1"/>
  <c r="I40" i="1"/>
  <c r="J40" i="1"/>
  <c r="K40" i="1"/>
  <c r="L40" i="1"/>
  <c r="M40" i="1"/>
  <c r="N40" i="1"/>
  <c r="O40" i="1"/>
  <c r="P40" i="1"/>
  <c r="Q40" i="1"/>
  <c r="R40" i="1"/>
  <c r="S40" i="1"/>
  <c r="T40" i="1"/>
  <c r="U40" i="1"/>
  <c r="V40" i="1"/>
  <c r="W40" i="1"/>
  <c r="X40" i="1"/>
  <c r="Y40" i="1"/>
  <c r="D45" i="1"/>
  <c r="E45" i="1"/>
  <c r="F45" i="1"/>
  <c r="G45" i="1"/>
  <c r="H45" i="1"/>
  <c r="I45" i="1"/>
  <c r="J45" i="1"/>
  <c r="K45" i="1"/>
  <c r="L45" i="1"/>
  <c r="M45" i="1"/>
  <c r="N45" i="1"/>
  <c r="O45" i="1"/>
  <c r="P45" i="1"/>
  <c r="Q45" i="1"/>
  <c r="R45" i="1"/>
  <c r="S45" i="1"/>
  <c r="T45" i="1"/>
  <c r="U45" i="1"/>
  <c r="V45" i="1"/>
  <c r="W45" i="1"/>
  <c r="X45" i="1"/>
  <c r="Y45" i="1"/>
  <c r="C45" i="1"/>
  <c r="B45" i="1"/>
  <c r="D59" i="1"/>
  <c r="E59" i="1"/>
  <c r="F59" i="1"/>
  <c r="G59" i="1"/>
  <c r="I59" i="1"/>
  <c r="J59" i="1"/>
  <c r="K59" i="1"/>
  <c r="L59" i="1"/>
  <c r="M59" i="1"/>
  <c r="N59" i="1"/>
  <c r="O59" i="1"/>
  <c r="P59" i="1"/>
  <c r="Q59" i="1"/>
  <c r="R59" i="1"/>
  <c r="S59" i="1"/>
  <c r="T59" i="1"/>
  <c r="U59" i="1"/>
  <c r="V59" i="1"/>
  <c r="W59" i="1"/>
  <c r="X59" i="1"/>
  <c r="Y59" i="1"/>
  <c r="C59" i="1"/>
  <c r="B59" i="1"/>
  <c r="Q66" i="1"/>
  <c r="T66" i="1"/>
  <c r="U66" i="1"/>
  <c r="V66" i="1"/>
  <c r="W66" i="1"/>
  <c r="X66" i="1"/>
  <c r="Y66" i="1"/>
  <c r="S66" i="1"/>
  <c r="H20" i="2" l="1"/>
  <c r="R74" i="1" l="1"/>
  <c r="Z74" i="1" l="1"/>
  <c r="R66" i="1"/>
  <c r="I14" i="2"/>
  <c r="I18" i="2" s="1"/>
  <c r="I13" i="2"/>
  <c r="D22" i="3" l="1"/>
  <c r="N39" i="1" s="1"/>
  <c r="F69" i="1"/>
  <c r="N70" i="1"/>
  <c r="N66" i="1" s="1"/>
  <c r="H70" i="1"/>
  <c r="G22" i="3"/>
  <c r="G17" i="3"/>
  <c r="B22" i="1" a="1"/>
  <c r="B22" i="1" s="1"/>
  <c r="D22" i="1" s="1"/>
  <c r="C66" i="1"/>
  <c r="G66" i="1"/>
  <c r="I66" i="1"/>
  <c r="K66" i="1"/>
  <c r="M66" i="1"/>
  <c r="O66" i="1"/>
  <c r="P66" i="1"/>
  <c r="AA68" i="1"/>
  <c r="AA69" i="1"/>
  <c r="AA70" i="1"/>
  <c r="AA71" i="1"/>
  <c r="AA67" i="1"/>
  <c r="Z75" i="1"/>
  <c r="L73" i="1"/>
  <c r="Z73" i="1" s="1"/>
  <c r="J71" i="1"/>
  <c r="Z71" i="1" s="1"/>
  <c r="A69" i="1"/>
  <c r="D68" i="1"/>
  <c r="B67" i="1"/>
  <c r="B66" i="1" s="1"/>
  <c r="H36" i="1" l="1"/>
  <c r="H25" i="1" s="1"/>
  <c r="D36" i="1"/>
  <c r="Z67" i="1"/>
  <c r="Z68" i="1"/>
  <c r="D66" i="1"/>
  <c r="F66" i="1"/>
  <c r="Z69" i="1"/>
  <c r="Z70" i="1"/>
  <c r="J66" i="1"/>
  <c r="L66" i="1"/>
  <c r="H66" i="1"/>
  <c r="E38" i="1"/>
  <c r="G38" i="1"/>
  <c r="I38" i="1"/>
  <c r="K38" i="1"/>
  <c r="M38" i="1"/>
  <c r="O38" i="1"/>
  <c r="Q38" i="1"/>
  <c r="S38" i="1"/>
  <c r="U38" i="1"/>
  <c r="W38" i="1"/>
  <c r="Y38" i="1"/>
  <c r="X39" i="1"/>
  <c r="X38" i="1" s="1"/>
  <c r="V39" i="1"/>
  <c r="V38" i="1" s="1"/>
  <c r="R39" i="1"/>
  <c r="R38" i="1" s="1"/>
  <c r="P39" i="1"/>
  <c r="P38" i="1" s="1"/>
  <c r="N38" i="1"/>
  <c r="L39" i="1"/>
  <c r="L38" i="1" s="1"/>
  <c r="J39" i="1"/>
  <c r="J38" i="1" s="1"/>
  <c r="H39" i="1"/>
  <c r="F39" i="1"/>
  <c r="F38" i="1" s="1"/>
  <c r="B39" i="1"/>
  <c r="B38" i="1" s="1"/>
  <c r="E25" i="1"/>
  <c r="G25" i="1"/>
  <c r="I25" i="1"/>
  <c r="K25" i="1"/>
  <c r="O25" i="1"/>
  <c r="Q25" i="1"/>
  <c r="S25" i="1"/>
  <c r="U25" i="1"/>
  <c r="W25" i="1"/>
  <c r="Y25" i="1"/>
  <c r="D26" i="3"/>
  <c r="D21" i="3"/>
  <c r="D14" i="3"/>
  <c r="Z66" i="1" l="1"/>
  <c r="H38" i="1"/>
  <c r="D31" i="3" l="1"/>
  <c r="T39" i="1" s="1"/>
  <c r="T38" i="1" s="1"/>
  <c r="D30" i="3"/>
  <c r="D39" i="1" l="1"/>
  <c r="D32" i="3"/>
  <c r="H6" i="3"/>
  <c r="G5" i="3"/>
  <c r="H5" i="3" s="1"/>
  <c r="G4" i="3"/>
  <c r="H4" i="3" s="1"/>
  <c r="G3" i="3"/>
  <c r="H3" i="3" s="1"/>
  <c r="G2" i="3"/>
  <c r="B13" i="1" s="1"/>
  <c r="X36" i="1" l="1"/>
  <c r="X25" i="1" s="1"/>
  <c r="P36" i="1"/>
  <c r="P25" i="1" s="1"/>
  <c r="B36" i="1"/>
  <c r="B25" i="1" s="1"/>
  <c r="V36" i="1"/>
  <c r="V25" i="1" s="1"/>
  <c r="N36" i="1"/>
  <c r="N25" i="1" s="1"/>
  <c r="F36" i="1"/>
  <c r="F25" i="1" s="1"/>
  <c r="T36" i="1"/>
  <c r="T25" i="1" s="1"/>
  <c r="L36" i="1"/>
  <c r="L25" i="1" s="1"/>
  <c r="D25" i="1"/>
  <c r="R36" i="1"/>
  <c r="R25" i="1" s="1"/>
  <c r="J36" i="1"/>
  <c r="J25" i="1" s="1"/>
  <c r="D38" i="1"/>
  <c r="Z39" i="1"/>
  <c r="Z38" i="1" s="1"/>
  <c r="D13" i="1"/>
  <c r="F13" i="1" s="1"/>
  <c r="H13" i="1" s="1"/>
  <c r="H2" i="3"/>
  <c r="F22" i="1"/>
  <c r="C21" i="2"/>
  <c r="D21" i="2" s="1"/>
  <c r="B21" i="2"/>
  <c r="H22" i="1" l="1"/>
  <c r="J22" i="1" s="1"/>
  <c r="L22" i="1" s="1"/>
  <c r="N22" i="1" s="1"/>
  <c r="P22" i="1" s="1"/>
  <c r="R22" i="1" s="1"/>
  <c r="T22" i="1" s="1"/>
  <c r="V22" i="1" s="1"/>
  <c r="X22" i="1" s="1"/>
  <c r="G16" i="2"/>
  <c r="D22" i="2"/>
  <c r="D24" i="2" s="1"/>
  <c r="E16" i="2"/>
  <c r="M14" i="2" l="1"/>
  <c r="N14" i="2" l="1"/>
  <c r="L13" i="2"/>
  <c r="K13" i="2"/>
  <c r="J13" i="2"/>
  <c r="P13" i="2"/>
  <c r="J14" i="2"/>
  <c r="L14" i="2"/>
  <c r="K14" i="2"/>
  <c r="P14" i="2"/>
  <c r="O14" i="2"/>
  <c r="P18" i="2" s="1"/>
  <c r="B11" i="1" l="1"/>
  <c r="L18" i="2"/>
  <c r="Q14" i="2"/>
  <c r="R14" i="2" s="1"/>
  <c r="H16" i="2"/>
  <c r="D11" i="1" l="1"/>
  <c r="F16" i="2"/>
  <c r="E9" i="1"/>
  <c r="G9" i="1"/>
  <c r="I9" i="1"/>
  <c r="K9" i="1"/>
  <c r="O9" i="1"/>
  <c r="S9" i="1"/>
  <c r="AA13" i="1"/>
  <c r="AA17" i="1"/>
  <c r="AA18" i="1"/>
  <c r="AA19" i="1"/>
  <c r="AA20" i="1"/>
  <c r="AA21" i="1"/>
  <c r="AA23" i="1"/>
  <c r="AA24" i="1"/>
  <c r="AA26" i="1"/>
  <c r="AA27" i="1"/>
  <c r="AA28" i="1"/>
  <c r="AA29" i="1"/>
  <c r="AA30" i="1"/>
  <c r="AA31" i="1"/>
  <c r="AA32" i="1"/>
  <c r="AA33" i="1"/>
  <c r="AA35" i="1"/>
  <c r="AA37" i="1"/>
  <c r="AA41" i="1"/>
  <c r="AA42" i="1"/>
  <c r="AA43" i="1"/>
  <c r="AA44" i="1"/>
  <c r="AA46" i="1"/>
  <c r="AA47" i="1"/>
  <c r="AA48" i="1"/>
  <c r="AA49" i="1"/>
  <c r="AA50" i="1"/>
  <c r="AA51" i="1"/>
  <c r="AA52" i="1"/>
  <c r="AA53" i="1"/>
  <c r="AA55" i="1"/>
  <c r="AA56" i="1"/>
  <c r="AA57" i="1"/>
  <c r="AA60" i="1"/>
  <c r="AA61" i="1"/>
  <c r="AA62" i="1"/>
  <c r="AA63" i="1"/>
  <c r="AA64" i="1"/>
  <c r="AA65" i="1"/>
  <c r="AA76" i="1"/>
  <c r="AA77" i="1"/>
  <c r="AA78" i="1"/>
  <c r="Z17" i="1"/>
  <c r="Z18" i="1"/>
  <c r="Z19" i="1"/>
  <c r="Z20" i="1"/>
  <c r="Z21" i="1"/>
  <c r="Z22" i="1"/>
  <c r="Z23" i="1"/>
  <c r="Z24" i="1"/>
  <c r="Z26" i="1"/>
  <c r="Z27" i="1"/>
  <c r="Z28" i="1"/>
  <c r="Z29" i="1"/>
  <c r="Z30" i="1"/>
  <c r="Z31" i="1"/>
  <c r="Z32" i="1"/>
  <c r="Z33" i="1"/>
  <c r="Z34" i="1"/>
  <c r="Z35" i="1"/>
  <c r="Z36" i="1"/>
  <c r="Z37" i="1"/>
  <c r="Z41" i="1"/>
  <c r="Z42" i="1"/>
  <c r="Z43" i="1"/>
  <c r="Z44" i="1"/>
  <c r="Z46" i="1"/>
  <c r="Z47" i="1"/>
  <c r="Z48" i="1"/>
  <c r="Z49" i="1"/>
  <c r="Z60" i="1"/>
  <c r="Z61" i="1"/>
  <c r="Z63" i="1"/>
  <c r="Z64" i="1"/>
  <c r="Z59" i="1" l="1"/>
  <c r="F11" i="1"/>
  <c r="M9" i="1"/>
  <c r="M79" i="1" s="1"/>
  <c r="J41" i="5" s="1"/>
  <c r="Q9" i="1"/>
  <c r="Q79" i="1" s="1"/>
  <c r="L41" i="5" s="1"/>
  <c r="C9" i="1"/>
  <c r="C79" i="1" s="1"/>
  <c r="E41" i="5" s="1"/>
  <c r="Y9" i="1"/>
  <c r="Y79" i="1" s="1"/>
  <c r="P41" i="5" s="1"/>
  <c r="W9" i="1"/>
  <c r="W79" i="1" s="1"/>
  <c r="Z40" i="1"/>
  <c r="Z25" i="1"/>
  <c r="U79" i="1"/>
  <c r="AA16" i="1"/>
  <c r="Z16" i="1"/>
  <c r="AA59" i="1"/>
  <c r="Z45" i="1"/>
  <c r="AA45" i="1"/>
  <c r="AA40" i="1"/>
  <c r="X13" i="1"/>
  <c r="Z13" i="1" s="1"/>
  <c r="AA11" i="1"/>
  <c r="AA12" i="1"/>
  <c r="E79" i="1"/>
  <c r="F41" i="5" s="1"/>
  <c r="M13" i="2"/>
  <c r="O13" i="2"/>
  <c r="I16" i="2"/>
  <c r="P16" i="2"/>
  <c r="K16" i="2"/>
  <c r="J16" i="2"/>
  <c r="O79" i="1"/>
  <c r="K41" i="5" s="1"/>
  <c r="G79" i="1"/>
  <c r="G41" i="5" s="1"/>
  <c r="S79" i="1"/>
  <c r="M41" i="5" s="1"/>
  <c r="K79" i="1"/>
  <c r="I41" i="5" s="1"/>
  <c r="L16" i="2"/>
  <c r="I79" i="1"/>
  <c r="H41" i="5" s="1"/>
  <c r="H11" i="1" l="1"/>
  <c r="I17" i="2"/>
  <c r="B10" i="1" s="1"/>
  <c r="N13" i="2"/>
  <c r="Q13" i="2" s="1"/>
  <c r="R13" i="2" s="1"/>
  <c r="B12" i="1"/>
  <c r="L17" i="2"/>
  <c r="M16" i="2"/>
  <c r="O16" i="2"/>
  <c r="N16" i="2"/>
  <c r="D10" i="1" l="1"/>
  <c r="F10" i="1" s="1"/>
  <c r="B9" i="1"/>
  <c r="J11" i="1"/>
  <c r="L11" i="1" s="1"/>
  <c r="N11" i="1" s="1"/>
  <c r="P11" i="1" s="1"/>
  <c r="R11" i="1" s="1"/>
  <c r="T11" i="1" s="1"/>
  <c r="V11" i="1" s="1"/>
  <c r="X11" i="1" s="1"/>
  <c r="D12" i="1"/>
  <c r="F12" i="1" s="1"/>
  <c r="H12" i="1" s="1"/>
  <c r="J12" i="1" s="1"/>
  <c r="P17" i="2"/>
  <c r="Q17" i="2" s="1"/>
  <c r="Z11" i="1" l="1"/>
  <c r="L12" i="1"/>
  <c r="F9" i="1"/>
  <c r="D9" i="1"/>
  <c r="H10" i="1"/>
  <c r="B79" i="1"/>
  <c r="E40" i="5" s="1"/>
  <c r="Q16" i="2"/>
  <c r="E42" i="5" l="1"/>
  <c r="J10" i="1"/>
  <c r="J9" i="1" s="1"/>
  <c r="N12" i="1"/>
  <c r="P12" i="1" s="1"/>
  <c r="H9" i="1"/>
  <c r="D79" i="1"/>
  <c r="F40" i="5" l="1"/>
  <c r="R12" i="1"/>
  <c r="L10" i="1"/>
  <c r="F79" i="1"/>
  <c r="G40" i="5" s="1"/>
  <c r="G42" i="5" s="1"/>
  <c r="F42" i="5" l="1"/>
  <c r="T12" i="1"/>
  <c r="V12" i="1" s="1"/>
  <c r="X12" i="1" s="1"/>
  <c r="L9" i="1"/>
  <c r="N10" i="1"/>
  <c r="H79" i="1"/>
  <c r="H40" i="5" s="1"/>
  <c r="H42" i="5" s="1"/>
  <c r="N9" i="1" l="1"/>
  <c r="Z12" i="1"/>
  <c r="P10" i="1"/>
  <c r="P9" i="1" s="1"/>
  <c r="J79" i="1"/>
  <c r="I40" i="5" s="1"/>
  <c r="I42" i="5" s="1"/>
  <c r="R10" i="1" l="1"/>
  <c r="R9" i="1" s="1"/>
  <c r="L79" i="1"/>
  <c r="J40" i="5" s="1"/>
  <c r="J42" i="5" s="1"/>
  <c r="T10" i="1" l="1"/>
  <c r="N79" i="1"/>
  <c r="K40" i="5" s="1"/>
  <c r="K42" i="5" s="1"/>
  <c r="T9" i="1" l="1"/>
  <c r="V10" i="1"/>
  <c r="V9" i="1" s="1"/>
  <c r="P79" i="1"/>
  <c r="L40" i="5" s="1"/>
  <c r="L42" i="5" s="1"/>
  <c r="X10" i="1" l="1"/>
  <c r="X9" i="1" s="1"/>
  <c r="R79" i="1"/>
  <c r="M40" i="5" s="1"/>
  <c r="M42" i="5" s="1"/>
  <c r="D42" i="5" l="1"/>
  <c r="Z10" i="1"/>
  <c r="T79" i="1"/>
  <c r="N40" i="5" s="1"/>
  <c r="N42" i="5" s="1"/>
  <c r="Z9" i="1" l="1"/>
  <c r="X79" i="1"/>
  <c r="P40" i="5" s="1"/>
  <c r="P42" i="5" s="1"/>
  <c r="V79" i="1"/>
  <c r="O40" i="5" s="1"/>
  <c r="O42" i="5" s="1"/>
  <c r="C42" i="5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ZFIP-SOPORTE</author>
    <author>Usuario</author>
  </authors>
  <commentList>
    <comment ref="B22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ZFIP-SOPORTE:</t>
        </r>
        <r>
          <rPr>
            <sz val="9"/>
            <color indexed="81"/>
            <rFont val="Tahoma"/>
            <family val="2"/>
          </rPr>
          <t xml:space="preserve">
COMPURENTIG 10 EQUIPOS IVA INCLUIDO
</t>
        </r>
      </text>
    </comment>
    <comment ref="D22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ZFIP-SOPORTE:</t>
        </r>
        <r>
          <rPr>
            <sz val="9"/>
            <color indexed="81"/>
            <rFont val="Tahoma"/>
            <family val="2"/>
          </rPr>
          <t xml:space="preserve">
COMPURENTIG 10 EQUIPOS IVA INCLUIDO
</t>
        </r>
      </text>
    </comment>
    <comment ref="F22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ZFIP-SOPORTE:</t>
        </r>
        <r>
          <rPr>
            <sz val="9"/>
            <color indexed="81"/>
            <rFont val="Tahoma"/>
            <family val="2"/>
          </rPr>
          <t xml:space="preserve">
COMPURENTIG 10 EQUIPOS IVA INCLUIDO
</t>
        </r>
      </text>
    </comment>
    <comment ref="H22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ZFIP-SOPORTE:</t>
        </r>
        <r>
          <rPr>
            <sz val="9"/>
            <color indexed="81"/>
            <rFont val="Tahoma"/>
            <family val="2"/>
          </rPr>
          <t xml:space="preserve">
COMPURENTIG 10 EQUIPOS IVA INCLUIDO
</t>
        </r>
      </text>
    </comment>
    <comment ref="J22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ZFIP-SOPORTE:</t>
        </r>
        <r>
          <rPr>
            <sz val="9"/>
            <color indexed="81"/>
            <rFont val="Tahoma"/>
            <family val="2"/>
          </rPr>
          <t xml:space="preserve">
COMPURENTIG 10 EQUIPOS IVA INCLUIDO
</t>
        </r>
      </text>
    </comment>
    <comment ref="L22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ZFIP-SOPORTE:</t>
        </r>
        <r>
          <rPr>
            <sz val="9"/>
            <color indexed="81"/>
            <rFont val="Tahoma"/>
            <family val="2"/>
          </rPr>
          <t xml:space="preserve">
COMPURENTIG 10 EQUIPOS IVA INCLUIDO
</t>
        </r>
      </text>
    </comment>
    <comment ref="N22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ZFIP-SOPORTE:</t>
        </r>
        <r>
          <rPr>
            <sz val="9"/>
            <color indexed="81"/>
            <rFont val="Tahoma"/>
            <family val="2"/>
          </rPr>
          <t xml:space="preserve">
COMPURENTIG 10 EQUIPOS IVA INCLUIDO
</t>
        </r>
      </text>
    </comment>
    <comment ref="P22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ZFIP-SOPORTE:</t>
        </r>
        <r>
          <rPr>
            <sz val="9"/>
            <color indexed="81"/>
            <rFont val="Tahoma"/>
            <family val="2"/>
          </rPr>
          <t xml:space="preserve">
COMPURENTIG 10 EQUIPOS IVA INCLUIDO
</t>
        </r>
      </text>
    </comment>
    <comment ref="R22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ZFIP-SOPORTE:</t>
        </r>
        <r>
          <rPr>
            <sz val="9"/>
            <color indexed="81"/>
            <rFont val="Tahoma"/>
            <family val="2"/>
          </rPr>
          <t xml:space="preserve">
COMPURENTIG 10 EQUIPOS IVA INCLUIDO
</t>
        </r>
      </text>
    </comment>
    <comment ref="T22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ZFIP-SOPORTE:</t>
        </r>
        <r>
          <rPr>
            <sz val="9"/>
            <color indexed="81"/>
            <rFont val="Tahoma"/>
            <family val="2"/>
          </rPr>
          <t xml:space="preserve">
COMPURENTIG 10 EQUIPOS IVA INCLUIDO
</t>
        </r>
      </text>
    </comment>
    <comment ref="V22" authorId="0" shapeId="0" xr:uid="{00000000-0006-0000-0000-00000B000000}">
      <text>
        <r>
          <rPr>
            <b/>
            <sz val="9"/>
            <color indexed="81"/>
            <rFont val="Tahoma"/>
            <family val="2"/>
          </rPr>
          <t>ZFIP-SOPORTE:</t>
        </r>
        <r>
          <rPr>
            <sz val="9"/>
            <color indexed="81"/>
            <rFont val="Tahoma"/>
            <family val="2"/>
          </rPr>
          <t xml:space="preserve">
COMPURENTIG 10 EQUIPOS IVA INCLUIDO
</t>
        </r>
      </text>
    </comment>
    <comment ref="X22" authorId="0" shapeId="0" xr:uid="{00000000-0006-0000-0000-00000C000000}">
      <text>
        <r>
          <rPr>
            <b/>
            <sz val="9"/>
            <color indexed="81"/>
            <rFont val="Tahoma"/>
            <family val="2"/>
          </rPr>
          <t>ZFIP-SOPORTE:</t>
        </r>
        <r>
          <rPr>
            <sz val="9"/>
            <color indexed="81"/>
            <rFont val="Tahoma"/>
            <family val="2"/>
          </rPr>
          <t xml:space="preserve">
COMPURENTIG 10 EQUIPOS IVA INCLUIDO
</t>
        </r>
      </text>
    </comment>
    <comment ref="B25" authorId="0" shapeId="0" xr:uid="{00000000-0006-0000-0000-00000D000000}">
      <text>
        <r>
          <rPr>
            <b/>
            <sz val="9"/>
            <color indexed="81"/>
            <rFont val="Tahoma"/>
            <family val="2"/>
          </rPr>
          <t>ZFIP-SOPORTE:</t>
        </r>
        <r>
          <rPr>
            <sz val="9"/>
            <color indexed="81"/>
            <rFont val="Tahoma"/>
            <family val="2"/>
          </rPr>
          <t xml:space="preserve">
MEGA Y CORREOS</t>
        </r>
      </text>
    </comment>
    <comment ref="D25" authorId="0" shapeId="0" xr:uid="{00000000-0006-0000-0000-00000E000000}">
      <text>
        <r>
          <rPr>
            <b/>
            <sz val="9"/>
            <color indexed="81"/>
            <rFont val="Tahoma"/>
            <family val="2"/>
          </rPr>
          <t>ZFIP-SOPORTE:</t>
        </r>
        <r>
          <rPr>
            <sz val="9"/>
            <color indexed="81"/>
            <rFont val="Tahoma"/>
            <family val="2"/>
          </rPr>
          <t xml:space="preserve">
MEGA Y CORREOS</t>
        </r>
      </text>
    </comment>
    <comment ref="F25" authorId="0" shapeId="0" xr:uid="{00000000-0006-0000-0000-00000F000000}">
      <text>
        <r>
          <rPr>
            <b/>
            <sz val="9"/>
            <color indexed="81"/>
            <rFont val="Tahoma"/>
            <family val="2"/>
          </rPr>
          <t>ZFIP-SOPORTE:</t>
        </r>
        <r>
          <rPr>
            <sz val="9"/>
            <color indexed="81"/>
            <rFont val="Tahoma"/>
            <family val="2"/>
          </rPr>
          <t xml:space="preserve">
MEGA Y CORREOS</t>
        </r>
      </text>
    </comment>
    <comment ref="H25" authorId="1" shapeId="0" xr:uid="{00000000-0006-0000-0000-000010000000}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MEGA Y CORREOS</t>
        </r>
      </text>
    </comment>
    <comment ref="J25" authorId="1" shapeId="0" xr:uid="{00000000-0006-0000-0000-000011000000}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MEGA Y CORREOS</t>
        </r>
      </text>
    </comment>
    <comment ref="N25" authorId="1" shapeId="0" xr:uid="{00000000-0006-0000-0000-000012000000}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MEGA Y CORREOS</t>
        </r>
      </text>
    </comment>
    <comment ref="P25" authorId="1" shapeId="0" xr:uid="{00000000-0006-0000-0000-000013000000}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MEGA Y CORREOS</t>
        </r>
      </text>
    </comment>
    <comment ref="R25" authorId="1" shapeId="0" xr:uid="{00000000-0006-0000-0000-000014000000}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MEGA Y CORREOS</t>
        </r>
      </text>
    </comment>
    <comment ref="T25" authorId="1" shapeId="0" xr:uid="{00000000-0006-0000-0000-000015000000}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MEGA Y CORREOS
</t>
        </r>
      </text>
    </comment>
    <comment ref="V25" authorId="1" shapeId="0" xr:uid="{00000000-0006-0000-0000-000016000000}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MEGA Y CORREOS</t>
        </r>
      </text>
    </comment>
    <comment ref="X25" authorId="1" shapeId="0" xr:uid="{00000000-0006-0000-0000-000017000000}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MEGA Y CORREOS</t>
        </r>
      </text>
    </comment>
    <comment ref="B38" authorId="1" shapeId="0" xr:uid="{00000000-0006-0000-0000-000018000000}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IMPREVISTOS
</t>
        </r>
      </text>
    </comment>
    <comment ref="D38" authorId="1" shapeId="0" xr:uid="{00000000-0006-0000-0000-000019000000}">
      <text>
        <r>
          <rPr>
            <b/>
            <sz val="9"/>
            <color indexed="81"/>
            <rFont val="Tahoma"/>
            <family val="2"/>
          </rPr>
          <t xml:space="preserve">Insumos Impresoras primer semestre
e imprevistos
</t>
        </r>
      </text>
    </comment>
    <comment ref="F38" authorId="0" shapeId="0" xr:uid="{00000000-0006-0000-0000-00001A000000}">
      <text>
        <r>
          <rPr>
            <b/>
            <sz val="9"/>
            <color indexed="81"/>
            <rFont val="Tahoma"/>
            <family val="2"/>
          </rPr>
          <t>ZFIP-SOPORTE:</t>
        </r>
        <r>
          <rPr>
            <sz val="9"/>
            <color indexed="81"/>
            <rFont val="Tahoma"/>
            <family val="2"/>
          </rPr>
          <t xml:space="preserve">
Mantenimiento UPS : $140,000 e imprevistos
</t>
        </r>
      </text>
    </comment>
    <comment ref="H38" authorId="1" shapeId="0" xr:uid="{00000000-0006-0000-0000-00001B000000}">
      <text>
        <r>
          <rPr>
            <b/>
            <sz val="9"/>
            <color indexed="81"/>
            <rFont val="Tahoma"/>
            <family val="2"/>
          </rPr>
          <t xml:space="preserve">Usuario:
</t>
        </r>
        <r>
          <rPr>
            <sz val="9"/>
            <color indexed="81"/>
            <rFont val="Tahoma"/>
            <family val="2"/>
          </rPr>
          <t xml:space="preserve">imprevistos
</t>
        </r>
      </text>
    </comment>
    <comment ref="J38" authorId="1" shapeId="0" xr:uid="{00000000-0006-0000-0000-00001C000000}">
      <text>
        <r>
          <rPr>
            <b/>
            <sz val="9"/>
            <color indexed="81"/>
            <rFont val="Tahoma"/>
            <family val="2"/>
          </rPr>
          <t xml:space="preserve">Usuario:
</t>
        </r>
        <r>
          <rPr>
            <sz val="9"/>
            <color indexed="81"/>
            <rFont val="Tahoma"/>
            <family val="2"/>
          </rPr>
          <t>imprevistos</t>
        </r>
      </text>
    </comment>
    <comment ref="L38" authorId="0" shapeId="0" xr:uid="{00000000-0006-0000-0000-00001D000000}">
      <text>
        <r>
          <rPr>
            <b/>
            <sz val="9"/>
            <color indexed="81"/>
            <rFont val="Tahoma"/>
            <family val="2"/>
          </rPr>
          <t>ZFIP-SOPORTE:</t>
        </r>
        <r>
          <rPr>
            <sz val="9"/>
            <color indexed="81"/>
            <rFont val="Tahoma"/>
            <family val="2"/>
          </rPr>
          <t xml:space="preserve">
Mantenimiento UPS : $140,000 e imprevistos</t>
        </r>
      </text>
    </comment>
    <comment ref="N38" authorId="1" shapeId="0" xr:uid="{00000000-0006-0000-0000-00001E000000}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 imprevistos</t>
        </r>
      </text>
    </comment>
    <comment ref="P38" authorId="1" shapeId="0" xr:uid="{00000000-0006-0000-0000-00001F000000}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 imprevistos</t>
        </r>
      </text>
    </comment>
    <comment ref="R38" authorId="0" shapeId="0" xr:uid="{00000000-0006-0000-0000-000020000000}">
      <text>
        <r>
          <rPr>
            <b/>
            <sz val="9"/>
            <color indexed="81"/>
            <rFont val="Tahoma"/>
            <family val="2"/>
          </rPr>
          <t>ZFIP-SOPORTE:</t>
        </r>
        <r>
          <rPr>
            <sz val="9"/>
            <color indexed="81"/>
            <rFont val="Tahoma"/>
            <family val="2"/>
          </rPr>
          <t xml:space="preserve">
Mantenimiento UPS : $140,000 e imprevistos</t>
        </r>
      </text>
    </comment>
    <comment ref="T38" authorId="1" shapeId="0" xr:uid="{00000000-0006-0000-0000-000021000000}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Insumos Impresoras segundo semestre
e imprevistos</t>
        </r>
      </text>
    </comment>
    <comment ref="V38" authorId="1" shapeId="0" xr:uid="{00000000-0006-0000-0000-000022000000}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 imprevistos</t>
        </r>
      </text>
    </comment>
    <comment ref="X38" authorId="0" shapeId="0" xr:uid="{00000000-0006-0000-0000-000023000000}">
      <text>
        <r>
          <rPr>
            <b/>
            <sz val="9"/>
            <color indexed="81"/>
            <rFont val="Tahoma"/>
            <family val="2"/>
          </rPr>
          <t>ZFIP-SOPORTE:</t>
        </r>
        <r>
          <rPr>
            <sz val="9"/>
            <color indexed="81"/>
            <rFont val="Tahoma"/>
            <family val="2"/>
          </rPr>
          <t xml:space="preserve">
Mantenimiento UPS : $140,000 e imprevistos</t>
        </r>
      </text>
    </comment>
    <comment ref="B66" authorId="0" shapeId="0" xr:uid="{00000000-0006-0000-0000-000024000000}">
      <text>
        <r>
          <rPr>
            <b/>
            <sz val="9"/>
            <color indexed="81"/>
            <rFont val="Tahoma"/>
            <family val="2"/>
          </rPr>
          <t>ZFIP-SOPORTE:</t>
        </r>
        <r>
          <rPr>
            <sz val="9"/>
            <color indexed="81"/>
            <rFont val="Tahoma"/>
            <family val="2"/>
          </rPr>
          <t xml:space="preserve">
ROUTER ARAÑA
</t>
        </r>
      </text>
    </comment>
    <comment ref="D66" authorId="1" shapeId="0" xr:uid="{00000000-0006-0000-0000-000025000000}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TV sala de juntas 1 
</t>
        </r>
      </text>
    </comment>
    <comment ref="F66" authorId="0" shapeId="0" xr:uid="{00000000-0006-0000-0000-000026000000}">
      <text>
        <r>
          <rPr>
            <b/>
            <sz val="9"/>
            <color indexed="81"/>
            <rFont val="Tahoma"/>
            <family val="2"/>
          </rPr>
          <t>ZFIP-SOPORTE:</t>
        </r>
        <r>
          <rPr>
            <sz val="9"/>
            <color indexed="81"/>
            <rFont val="Tahoma"/>
            <family val="2"/>
          </rPr>
          <t xml:space="preserve">
EQUIPO GERENCIA
</t>
        </r>
      </text>
    </comment>
    <comment ref="H66" authorId="1" shapeId="0" xr:uid="{00000000-0006-0000-0000-000027000000}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Licencias Office</t>
        </r>
      </text>
    </comment>
    <comment ref="J66" authorId="0" shapeId="0" xr:uid="{00000000-0006-0000-0000-000028000000}">
      <text>
        <r>
          <rPr>
            <b/>
            <sz val="9"/>
            <color indexed="81"/>
            <rFont val="Tahoma"/>
            <family val="2"/>
          </rPr>
          <t>ZFIP-SOPORTE:</t>
        </r>
        <r>
          <rPr>
            <sz val="9"/>
            <color indexed="81"/>
            <rFont val="Tahoma"/>
            <family val="2"/>
          </rPr>
          <t xml:space="preserve">
ROUTER ARAÑA
</t>
        </r>
      </text>
    </comment>
    <comment ref="L66" authorId="0" shapeId="0" xr:uid="{00000000-0006-0000-0000-000029000000}">
      <text>
        <r>
          <rPr>
            <b/>
            <sz val="9"/>
            <color indexed="81"/>
            <rFont val="Tahoma"/>
            <family val="2"/>
          </rPr>
          <t>ZFIP-SOPORTE:</t>
        </r>
        <r>
          <rPr>
            <sz val="9"/>
            <color indexed="81"/>
            <rFont val="Tahoma"/>
            <family val="2"/>
          </rPr>
          <t xml:space="preserve">
Licencia Antivirus $2'500,000</t>
        </r>
      </text>
    </comment>
    <comment ref="R66" authorId="0" shapeId="0" xr:uid="{00000000-0006-0000-0000-00002A000000}">
      <text>
        <r>
          <rPr>
            <b/>
            <sz val="9"/>
            <color indexed="81"/>
            <rFont val="Tahoma"/>
            <family val="2"/>
          </rPr>
          <t>ZFIP-SOPORTE:</t>
        </r>
        <r>
          <rPr>
            <sz val="9"/>
            <color indexed="81"/>
            <rFont val="Tahoma"/>
            <family val="2"/>
          </rPr>
          <t xml:space="preserve">
Licencia Fortigate : $2'500,000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<sst xmlns="http://schemas.openxmlformats.org/spreadsheetml/2006/main" count="327" uniqueCount="230">
  <si>
    <t xml:space="preserve">PROYECCIÓN / EJECUCIÓN DE PRESUPUESTO </t>
  </si>
  <si>
    <t>CÓDIGO</t>
  </si>
  <si>
    <t xml:space="preserve">VERSIÓN </t>
  </si>
  <si>
    <t xml:space="preserve">PÁGINA </t>
  </si>
  <si>
    <t xml:space="preserve">1 de 1 </t>
  </si>
  <si>
    <t>CUENTA</t>
  </si>
  <si>
    <t xml:space="preserve">ENERO PROYECTADO </t>
  </si>
  <si>
    <t>ENERO  EJECUTADO</t>
  </si>
  <si>
    <t xml:space="preserve">FEBRERO PROYECTADO </t>
  </si>
  <si>
    <t>FEBRERO EJECUTADO</t>
  </si>
  <si>
    <t xml:space="preserve">MARZO PROYECTADO </t>
  </si>
  <si>
    <t xml:space="preserve">MARZO EJECUTADO </t>
  </si>
  <si>
    <t xml:space="preserve">ABRIL PROYECTADO </t>
  </si>
  <si>
    <t xml:space="preserve">ABRIL EJECUTADO </t>
  </si>
  <si>
    <t xml:space="preserve">MAYO PROYECTADO </t>
  </si>
  <si>
    <t>MAYO EJECUTADO</t>
  </si>
  <si>
    <t xml:space="preserve">JUNIO PROYECTADO </t>
  </si>
  <si>
    <t>JUNIO EJECUTADO</t>
  </si>
  <si>
    <t xml:space="preserve">JULIO PROYECTADO </t>
  </si>
  <si>
    <t>JULIO EJECUTADO</t>
  </si>
  <si>
    <t xml:space="preserve">AGOSTO PROYECTADO </t>
  </si>
  <si>
    <t>AGOSTO EJECUTADO</t>
  </si>
  <si>
    <t xml:space="preserve">SEPTIEMBRE PROYECTADO  </t>
  </si>
  <si>
    <t>SEPTIEMBRE EJECUTADO</t>
  </si>
  <si>
    <t xml:space="preserve">OCTUBRE PROYECTADO </t>
  </si>
  <si>
    <t xml:space="preserve">OCTUBRE EJECUTADO </t>
  </si>
  <si>
    <t xml:space="preserve">NOVIEMBRE PROYECTADO </t>
  </si>
  <si>
    <t>NOVIEMBRE EJECUTADO</t>
  </si>
  <si>
    <t xml:space="preserve">DICIEMBRE PROYECTADO </t>
  </si>
  <si>
    <t>DICIEMBRE EJECUTADO</t>
  </si>
  <si>
    <t xml:space="preserve">TOTAL RUBRO AÑO PROYECTADO </t>
  </si>
  <si>
    <t>TOTAL RUBRO AÑO EJECUTADO</t>
  </si>
  <si>
    <t>GASTOS LABORALES</t>
  </si>
  <si>
    <t>Salarios</t>
  </si>
  <si>
    <t>Prestaciones sociales</t>
  </si>
  <si>
    <t>HONORARIOS</t>
  </si>
  <si>
    <t>IMPUESTOS</t>
  </si>
  <si>
    <t>Iva</t>
  </si>
  <si>
    <t>Renta</t>
  </si>
  <si>
    <t>Patrimonio</t>
  </si>
  <si>
    <t>ARRENDAMIENTOS</t>
  </si>
  <si>
    <t>CONTRIBUCIONES Y AFILIACIONES</t>
  </si>
  <si>
    <t>SEGUROS</t>
  </si>
  <si>
    <t>SERVICIOS</t>
  </si>
  <si>
    <t>Aseo y Vigilancia</t>
  </si>
  <si>
    <t>Temporales</t>
  </si>
  <si>
    <t>Acueducto y alcantarillado</t>
  </si>
  <si>
    <t>Correo, portes y telegramas</t>
  </si>
  <si>
    <t>Transportes, fletes y acarreos</t>
  </si>
  <si>
    <t>Publicidad, propaganda y promoción</t>
  </si>
  <si>
    <t>Otros</t>
  </si>
  <si>
    <t>GASTOS LEGALES</t>
  </si>
  <si>
    <t>MANTENIMIENTO Y REPARACIONES</t>
  </si>
  <si>
    <t>Arreglos ornamentales</t>
  </si>
  <si>
    <t>Reparaciones locativas</t>
  </si>
  <si>
    <t>GASTOS DE VIAJES</t>
  </si>
  <si>
    <t>Alojamiento y manutención</t>
  </si>
  <si>
    <t>Pasajes terrestres</t>
  </si>
  <si>
    <t>COMISIONES</t>
  </si>
  <si>
    <t>LIBROS, SUSCRIPCIONES Y REVISTAS</t>
  </si>
  <si>
    <t>COMBUSTIBLES Y LUBRICANTES</t>
  </si>
  <si>
    <t>ENVASES Y EMPAQUES</t>
  </si>
  <si>
    <t>TAXIS Y BUSES</t>
  </si>
  <si>
    <t>CASINO Y RESTAURANTES</t>
  </si>
  <si>
    <t>GASTOS FINANCIEROS</t>
  </si>
  <si>
    <t>Gastos bancarios</t>
  </si>
  <si>
    <t>Intereses</t>
  </si>
  <si>
    <t>Comisiones</t>
  </si>
  <si>
    <t>COMPRA DE ACTIVOS FIJOS</t>
  </si>
  <si>
    <t>OBRA CIVIL</t>
  </si>
  <si>
    <t>DONACIONES</t>
  </si>
  <si>
    <t>TOTAL MES</t>
  </si>
  <si>
    <t>Retención en la fuente</t>
  </si>
  <si>
    <t>Teléfono</t>
  </si>
  <si>
    <t>ADECUACIÓN E INSTALACIÓN</t>
  </si>
  <si>
    <t>Instalaciones eléctricas</t>
  </si>
  <si>
    <t>Pasajes aéreos</t>
  </si>
  <si>
    <t>ELEMENTOS DE ASEO Y CAFETERÍA</t>
  </si>
  <si>
    <t>ÚTILES PAPELERÍA Y FOTOCOPIAS</t>
  </si>
  <si>
    <t>RESPONSABILIDAD SOCIAL EMPRESARIAL</t>
  </si>
  <si>
    <t>PAGO DE CRÉDITOS</t>
  </si>
  <si>
    <t xml:space="preserve">Firma: </t>
  </si>
  <si>
    <t xml:space="preserve">Nombre de la persona que elabora: </t>
  </si>
  <si>
    <t xml:space="preserve">Nombre de la persona que aprueba: </t>
  </si>
  <si>
    <t>Otros: gestión humana</t>
  </si>
  <si>
    <t>Seguridad social</t>
  </si>
  <si>
    <t>Industria y comercio (incluye rteica)</t>
  </si>
  <si>
    <t>Asistencia técnica</t>
  </si>
  <si>
    <t>Procesamiento electrónico de datos</t>
  </si>
  <si>
    <t>Energía eléctrica</t>
  </si>
  <si>
    <t>Descuentos comerciales  condicionados</t>
  </si>
  <si>
    <t>GASTOS DE REPRESENTACIÓN Y RELACIONES PÚBLICAS</t>
  </si>
  <si>
    <t>FO-FI-06</t>
  </si>
  <si>
    <t xml:space="preserve">FECHA DE
 IMPLEMENTACIÓN </t>
  </si>
  <si>
    <t>FECHA DE 
ACTUALIZACIÓN</t>
  </si>
  <si>
    <t>Nombre de la dirección contable y financiera:</t>
  </si>
  <si>
    <t xml:space="preserve">PROCESO: </t>
  </si>
  <si>
    <t>FECHA DE ELABORACIÓN</t>
  </si>
  <si>
    <t>FECHA DE APROBACIÓN</t>
  </si>
  <si>
    <t>Pension 12%</t>
  </si>
  <si>
    <t>ARL 0.522%</t>
  </si>
  <si>
    <t>Comfamiliar 4%</t>
  </si>
  <si>
    <t>Cesantias 8.33%</t>
  </si>
  <si>
    <t>Intereses 1%</t>
  </si>
  <si>
    <t>Prima 8.33%</t>
  </si>
  <si>
    <t>Vacaciones 4.17%</t>
  </si>
  <si>
    <t>ID</t>
  </si>
  <si>
    <t>Cargo</t>
  </si>
  <si>
    <t>Nombre</t>
  </si>
  <si>
    <t>Aumento de Salario minimo proyección año 2024</t>
  </si>
  <si>
    <t>Mauricio Santamaría, presidente del Centro de Estudios Económicos Anif</t>
  </si>
  <si>
    <t>Inflación proyectada para el 2023</t>
  </si>
  <si>
    <r>
      <t>DANE: En septiembre de 2023 la </t>
    </r>
    <r>
      <rPr>
        <b/>
        <sz val="11"/>
        <color rgb="FF3C3C3B"/>
        <rFont val="Arial"/>
        <family val="2"/>
      </rPr>
      <t>variación anual del IPC</t>
    </r>
    <r>
      <rPr>
        <sz val="11"/>
        <color rgb="FF3C3C3B"/>
        <rFont val="Arial"/>
        <family val="2"/>
      </rPr>
      <t> fue 10,99%, es decir, 0,45 puntos porcentuales menor que la reportada en el mismo periodo del año anterior, cuando fue de 11,44%</t>
    </r>
  </si>
  <si>
    <t>Área</t>
  </si>
  <si>
    <t>https://www.portafolio.co/economia/finanzas/cuales-son-las-proyecciones-para-el-ajuste-salarial-del-2024-591094</t>
  </si>
  <si>
    <t>Horas Extras, recardos y bonos prestacionados mensual promedio</t>
  </si>
  <si>
    <t>Salario Mensual proyectado 2024</t>
  </si>
  <si>
    <t>Auxilio de Transporte mensual</t>
  </si>
  <si>
    <t>Salario mensual Asignado 2023</t>
  </si>
  <si>
    <t>Presupuesto mensual por empleado</t>
  </si>
  <si>
    <t>MONTOYA GUAPACHA YULIANA MELISSA</t>
  </si>
  <si>
    <t>GARCIA ZAPATA YAQUELINE</t>
  </si>
  <si>
    <t>DIGITE VALORES EN CELDAS EN AMARILLO</t>
  </si>
  <si>
    <t>CAMBIE PORCENTAJE (%) EN CELDAS EN VERDE</t>
  </si>
  <si>
    <t>ZONA FRANCA INTERNACIONAL DE PEREIRA SAS - USUARIO OPERADOR DE ZONAS FRANCAS</t>
  </si>
  <si>
    <t>NIT 900.331.215-6</t>
  </si>
  <si>
    <t xml:space="preserve">ANEXO 1 - CALCULO DE NOMINA </t>
  </si>
  <si>
    <t>T.I.</t>
  </si>
  <si>
    <t>COORDINADOR DE TECNOLOGIA E INFORMATICA</t>
  </si>
  <si>
    <t>AUXILIAR TECNOLOGIA E INFORMATICA</t>
  </si>
  <si>
    <t>AJUSTE PROGRAMADO</t>
  </si>
  <si>
    <t>Bonificación/Rodamiento 2024 
(no prestacionado)</t>
  </si>
  <si>
    <t>PROMEDIOS HORAS EXTRAS</t>
  </si>
  <si>
    <t>VALOR RECARGOS Y HE 2024</t>
  </si>
  <si>
    <t>SALARIOS VARIABLES</t>
  </si>
  <si>
    <t>RENTING 2024</t>
  </si>
  <si>
    <t>Isabel Cristina</t>
  </si>
  <si>
    <t>HOSTING Y DOMINIO</t>
  </si>
  <si>
    <t>HOSTING</t>
  </si>
  <si>
    <t>zonafrancapereira.net</t>
  </si>
  <si>
    <t>zonafrancapereira.com</t>
  </si>
  <si>
    <t>zonafrancadepereira.com</t>
  </si>
  <si>
    <t>zonafrancainternacionalpereira.com</t>
  </si>
  <si>
    <t>zonafrancainternacionaldepereira.com</t>
  </si>
  <si>
    <t>Capacitaciones</t>
  </si>
  <si>
    <t>PLATZI CUOTA 1</t>
  </si>
  <si>
    <t>PLATZI CUOTA 2</t>
  </si>
  <si>
    <t>PLATZI CUOTA 3</t>
  </si>
  <si>
    <t>PLATZI CUOTA 4</t>
  </si>
  <si>
    <t>TOTAL</t>
  </si>
  <si>
    <t>PRECIO</t>
  </si>
  <si>
    <t>Vlr Cuota</t>
  </si>
  <si>
    <t>POR USUARIO</t>
  </si>
  <si>
    <t>EQUIPO</t>
  </si>
  <si>
    <t>CANTIDAD</t>
  </si>
  <si>
    <t>VALOR</t>
  </si>
  <si>
    <t>ALL IN ONE</t>
  </si>
  <si>
    <t>RENTA DE EQUIPOS OPERACIONES A 36 MESES</t>
  </si>
  <si>
    <t>SERVICIOS FIJOS MENSUALES</t>
  </si>
  <si>
    <t>CORREO ELECTRONICO</t>
  </si>
  <si>
    <t>MEGA BACKUP</t>
  </si>
  <si>
    <t>UPS</t>
  </si>
  <si>
    <t>MANTENIMIENTO UPS 1</t>
  </si>
  <si>
    <t>MANTENIMIENTO UPS 2</t>
  </si>
  <si>
    <t>MANTENIMIENTO UPS 3</t>
  </si>
  <si>
    <t>MANTENIMIENTO UPS 4</t>
  </si>
  <si>
    <t>ANTIVIRUS Y FORTIGATE</t>
  </si>
  <si>
    <t>LICENCIA ANTIVIRUS</t>
  </si>
  <si>
    <t>LICENCIA FORTIGATE</t>
  </si>
  <si>
    <t>Dispositivo</t>
  </si>
  <si>
    <t>Valor</t>
  </si>
  <si>
    <t>Portatil MAC</t>
  </si>
  <si>
    <t>PANTALLA</t>
  </si>
  <si>
    <t>MOUSE</t>
  </si>
  <si>
    <t>TECLADO</t>
  </si>
  <si>
    <t>Columna1</t>
  </si>
  <si>
    <t>Columna2</t>
  </si>
  <si>
    <t>ROUTER ARAÑA</t>
  </si>
  <si>
    <t>ROUTER ARAÑA SALA DE JUNTAS</t>
  </si>
  <si>
    <t>ROUTER ARAÑA USUARIO</t>
  </si>
  <si>
    <t>X</t>
  </si>
  <si>
    <t>x</t>
  </si>
  <si>
    <t>INSUMOS IMPRESORAS</t>
  </si>
  <si>
    <t>LISTO</t>
  </si>
  <si>
    <t>Recarga Tonners 1 semestre</t>
  </si>
  <si>
    <t>Recarga Tonners 2 semestre</t>
  </si>
  <si>
    <t>58 A</t>
  </si>
  <si>
    <t>78A</t>
  </si>
  <si>
    <t>Total</t>
  </si>
  <si>
    <t>EQUIPO 1</t>
  </si>
  <si>
    <t>EQUIPO 2</t>
  </si>
  <si>
    <t>TV</t>
  </si>
  <si>
    <t>TV 65" SALA DE JUNTAS PRINCIPAL</t>
  </si>
  <si>
    <t>Imprevistos y herramientas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</si>
  <si>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</si>
  <si>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</si>
  <si>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</si>
  <si>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</si>
  <si>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</si>
  <si>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</si>
  <si>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</si>
  <si>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</si>
  <si>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</si>
  <si>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</si>
  <si>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</si>
  <si>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</si>
  <si>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LICENCIAS VITALICIAS</t>
  </si>
  <si>
    <t>OFFICE 365</t>
  </si>
  <si>
    <t>Router Araña</t>
  </si>
  <si>
    <t>TV Sala de juntas 1</t>
  </si>
  <si>
    <t>Licencias Office</t>
  </si>
  <si>
    <t>Licencia Antivirus</t>
  </si>
  <si>
    <t>Licencia fortigate</t>
  </si>
  <si>
    <t>META DE CERTIFICACIONES</t>
  </si>
  <si>
    <t>BATERIAS UPS</t>
  </si>
  <si>
    <t xml:space="preserve">Citofono Operaciones y Bateria Equipo Ingeniero Byron </t>
  </si>
  <si>
    <t>Call Center - Equipos y Mano de obra</t>
  </si>
  <si>
    <t>ok</t>
  </si>
  <si>
    <t>Honorarios</t>
  </si>
  <si>
    <t xml:space="preserve"> </t>
  </si>
  <si>
    <t xml:space="preserve">Ejecución Presupuestal </t>
  </si>
  <si>
    <t xml:space="preserve">Enero </t>
  </si>
  <si>
    <t>Total Presupuesto Proyectado ($)</t>
  </si>
  <si>
    <t>Total Presupuesto Ejecutado ($)</t>
  </si>
  <si>
    <t>%  CUMPLIMIENTO</t>
  </si>
  <si>
    <t>OBJETIVO</t>
  </si>
  <si>
    <t>AÑO 2024</t>
  </si>
  <si>
    <t>Otros (Correo, Mega,Hosting y Dominio)</t>
  </si>
  <si>
    <t>EJECUTADO A OCTUBRE</t>
  </si>
  <si>
    <t>PRESUPUESTADO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</si>
</sst>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_-&quot;$&quot;* #,##0_-;\-&quot;$&quot;* #,##0_-;_-&quot;$&quot;* &quot;-&quot;_-;_-@_-"/>
    <numFmt numFmtId="165" formatCode="_-&quot;$&quot;* #,##0.00_-;\-&quot;$&quot;* #,##0.00_-;_-&quot;$&quot;* &quot;-&quot;??_-;_-@_-"/>
    <numFmt numFmtId="166" formatCode="dd/mm/yy;@"/>
    <numFmt numFmtId="167" formatCode="&quot;$&quot;#,##0"/>
    <numFmt numFmtId="168" formatCode="0.000%"/>
    <numFmt numFmtId="169" formatCode="#,##0_ ;[Red]\-#,##0\ "/>
    <numFmt numFmtId="170" formatCode="_-&quot;$&quot;* #,##0_-;\-&quot;$&quot;* #,##0_-;_-&quot;$&quot;* &quot;-&quot;??_-;_-@_-"/>
    <numFmt numFmtId="171" formatCode="_-[$$-240A]\ * #,##0.00_-;\-[$$-240A]\ * #,##0.00_-;_-[$$-240A]\ * &quot;-&quot;??_-;_-@_-"/>
    <numFmt numFmtId="172" formatCode="&quot;$&quot;#,##0.00;[Red]\-&quot;$&quot;#,##0.00"/>
    <numFmt numFmtId="173" formatCode="_(&quot;$&quot;\ * #,##0.00_);_(&quot;$&quot;\ * \(#,##0.00\);_(&quot;$&quot;\ * &quot;-&quot;??_);_(@_)"/>
    <numFmt numFmtId="174" formatCode="_(&quot;$&quot;* #,##0_);_(&quot;$&quot;* \(#,##0\);_(&quot;$&quot;* &quot;-&quot;_);_(@_)"/>
  </numFmts>
  <fonts count="33">
    <font>
      <sz val="12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134"/>
      <scheme val="minor"/>
    </font>
    <font>
      <sz val="8"/>
      <name val="Calibri"/>
      <family val="2"/>
      <charset val="134"/>
      <scheme val="minor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b/>
      <sz val="18"/>
      <color theme="1"/>
      <name val="Arial"/>
      <family val="2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b/>
      <sz val="16"/>
      <color theme="1"/>
      <name val="Arial"/>
      <family val="2"/>
    </font>
    <font>
      <b/>
      <sz val="20"/>
      <color theme="1"/>
      <name val="Arial"/>
      <family val="2"/>
    </font>
    <font>
      <sz val="11"/>
      <color rgb="FF3C3C3B"/>
      <name val="Arial"/>
      <family val="2"/>
    </font>
    <font>
      <b/>
      <sz val="11"/>
      <color rgb="FF3C3C3B"/>
      <name val="Arial"/>
      <family val="2"/>
    </font>
    <font>
      <b/>
      <sz val="12"/>
      <color theme="1"/>
      <name val="Calibri"/>
      <family val="2"/>
      <scheme val="minor"/>
    </font>
    <font>
      <sz val="12"/>
      <name val="Arial"/>
      <family val="2"/>
    </font>
    <font>
      <b/>
      <sz val="18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rgb="FF11111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b/>
      <sz val="22"/>
      <color theme="1"/>
      <name val="Myriad Pro"/>
      <family val="2"/>
    </font>
    <font>
      <sz val="11"/>
      <color theme="1"/>
      <name val="Myriad Pro"/>
      <family val="2"/>
    </font>
    <font>
      <b/>
      <sz val="12"/>
      <color theme="1"/>
      <name val="Myriad Pro"/>
      <family val="2"/>
    </font>
    <font>
      <b/>
      <sz val="11"/>
      <color theme="1"/>
      <name val="Myriad Pro"/>
      <family val="2"/>
    </font>
    <font>
      <sz val="14"/>
      <color theme="1"/>
      <name val="Myriad Pro"/>
    </font>
    <font>
      <sz val="11"/>
      <color theme="1"/>
      <name val="Myriad Pro"/>
    </font>
    <font>
      <sz val="14"/>
      <color rgb="FF000000"/>
      <name val="Arial"/>
      <family val="2"/>
    </font>
    <font>
      <sz val="14"/>
      <color indexed="8"/>
      <name val="Myriad Pro"/>
    </font>
  </fonts>
  <fills count="1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4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theme="0" tint="-0.2499465926084170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8">
    <xf numFmtId="0" fontId="0" fillId="0" borderId="0"/>
    <xf numFmtId="165" fontId="2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174" fontId="1" fillId="0" borderId="0" applyFont="0" applyFill="0" applyBorder="0" applyAlignment="0" applyProtection="0"/>
  </cellStyleXfs>
  <cellXfs count="221">
    <xf numFmtId="0" fontId="0" fillId="0" borderId="0" xfId="0"/>
    <xf numFmtId="0" fontId="4" fillId="0" borderId="0" xfId="0" applyFont="1"/>
    <xf numFmtId="0" fontId="0" fillId="0" borderId="0" xfId="0" applyAlignment="1">
      <alignment vertical="center" wrapText="1"/>
    </xf>
    <xf numFmtId="16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167" fontId="0" fillId="4" borderId="14" xfId="0" applyNumberFormat="1" applyFill="1" applyBorder="1" applyAlignment="1">
      <alignment horizontal="center" vertical="center" wrapText="1"/>
    </xf>
    <xf numFmtId="167" fontId="0" fillId="4" borderId="15" xfId="0" applyNumberFormat="1" applyFill="1" applyBorder="1" applyAlignment="1">
      <alignment horizontal="center" vertical="center" wrapText="1"/>
    </xf>
    <xf numFmtId="167" fontId="0" fillId="4" borderId="18" xfId="0" applyNumberFormat="1" applyFill="1" applyBorder="1" applyAlignment="1">
      <alignment horizontal="center" vertical="center" wrapText="1"/>
    </xf>
    <xf numFmtId="0" fontId="15" fillId="4" borderId="31" xfId="0" applyFont="1" applyFill="1" applyBorder="1" applyAlignment="1">
      <alignment vertical="center" wrapText="1"/>
    </xf>
    <xf numFmtId="169" fontId="0" fillId="0" borderId="0" xfId="0" applyNumberFormat="1" applyAlignment="1">
      <alignment vertical="center" wrapText="1"/>
    </xf>
    <xf numFmtId="168" fontId="16" fillId="8" borderId="11" xfId="12" applyNumberFormat="1" applyFont="1" applyFill="1" applyBorder="1" applyAlignment="1">
      <alignment vertical="center" wrapText="1"/>
    </xf>
    <xf numFmtId="168" fontId="16" fillId="9" borderId="11" xfId="12" applyNumberFormat="1" applyFont="1" applyFill="1" applyBorder="1" applyAlignment="1">
      <alignment vertical="center" wrapText="1"/>
    </xf>
    <xf numFmtId="168" fontId="16" fillId="10" borderId="11" xfId="12" applyNumberFormat="1" applyFont="1" applyFill="1" applyBorder="1" applyAlignment="1">
      <alignment vertical="center" wrapText="1"/>
    </xf>
    <xf numFmtId="0" fontId="0" fillId="0" borderId="27" xfId="0" applyBorder="1" applyAlignment="1">
      <alignment vertical="center" wrapText="1"/>
    </xf>
    <xf numFmtId="169" fontId="0" fillId="7" borderId="0" xfId="0" applyNumberFormat="1" applyFill="1" applyAlignment="1">
      <alignment vertical="center" wrapText="1"/>
    </xf>
    <xf numFmtId="169" fontId="0" fillId="0" borderId="27" xfId="0" applyNumberFormat="1" applyBorder="1" applyAlignment="1">
      <alignment vertical="center" wrapText="1"/>
    </xf>
    <xf numFmtId="169" fontId="0" fillId="0" borderId="28" xfId="0" applyNumberFormat="1" applyBorder="1" applyAlignment="1">
      <alignment vertical="center" wrapText="1"/>
    </xf>
    <xf numFmtId="169" fontId="0" fillId="8" borderId="0" xfId="0" applyNumberFormat="1" applyFill="1" applyAlignment="1">
      <alignment vertical="center" wrapText="1"/>
    </xf>
    <xf numFmtId="169" fontId="0" fillId="0" borderId="30" xfId="0" applyNumberFormat="1" applyBorder="1" applyAlignment="1">
      <alignment vertical="center" wrapText="1"/>
    </xf>
    <xf numFmtId="169" fontId="0" fillId="10" borderId="0" xfId="0" applyNumberFormat="1" applyFill="1" applyAlignment="1">
      <alignment vertical="center" wrapText="1"/>
    </xf>
    <xf numFmtId="0" fontId="15" fillId="6" borderId="1" xfId="0" applyFont="1" applyFill="1" applyBorder="1" applyAlignment="1">
      <alignment vertical="center" wrapText="1"/>
    </xf>
    <xf numFmtId="0" fontId="15" fillId="6" borderId="2" xfId="0" applyFont="1" applyFill="1" applyBorder="1" applyAlignment="1">
      <alignment vertical="center" wrapText="1"/>
    </xf>
    <xf numFmtId="169" fontId="15" fillId="6" borderId="2" xfId="0" applyNumberFormat="1" applyFont="1" applyFill="1" applyBorder="1" applyAlignment="1">
      <alignment vertical="center" wrapText="1"/>
    </xf>
    <xf numFmtId="169" fontId="15" fillId="6" borderId="1" xfId="0" applyNumberFormat="1" applyFont="1" applyFill="1" applyBorder="1" applyAlignment="1">
      <alignment vertical="center" wrapText="1"/>
    </xf>
    <xf numFmtId="169" fontId="15" fillId="6" borderId="3" xfId="0" applyNumberFormat="1" applyFont="1" applyFill="1" applyBorder="1" applyAlignment="1">
      <alignment vertical="center" wrapText="1"/>
    </xf>
    <xf numFmtId="169" fontId="15" fillId="6" borderId="4" xfId="0" applyNumberFormat="1" applyFont="1" applyFill="1" applyBorder="1" applyAlignment="1">
      <alignment vertical="center" wrapText="1"/>
    </xf>
    <xf numFmtId="169" fontId="15" fillId="4" borderId="36" xfId="0" applyNumberFormat="1" applyFont="1" applyFill="1" applyBorder="1" applyAlignment="1">
      <alignment vertical="center" wrapText="1"/>
    </xf>
    <xf numFmtId="169" fontId="15" fillId="4" borderId="40" xfId="0" applyNumberFormat="1" applyFont="1" applyFill="1" applyBorder="1" applyAlignment="1">
      <alignment vertical="center" wrapText="1"/>
    </xf>
    <xf numFmtId="169" fontId="0" fillId="4" borderId="4" xfId="0" applyNumberFormat="1" applyFill="1" applyBorder="1" applyAlignment="1">
      <alignment vertical="center" wrapText="1"/>
    </xf>
    <xf numFmtId="10" fontId="15" fillId="0" borderId="31" xfId="0" applyNumberFormat="1" applyFont="1" applyBorder="1" applyAlignment="1">
      <alignment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0" borderId="11" xfId="0" applyBorder="1" applyAlignment="1">
      <alignment vertical="center" wrapText="1"/>
    </xf>
    <xf numFmtId="169" fontId="0" fillId="0" borderId="11" xfId="0" applyNumberFormat="1" applyBorder="1" applyAlignment="1">
      <alignment vertical="center" wrapText="1"/>
    </xf>
    <xf numFmtId="0" fontId="0" fillId="4" borderId="11" xfId="0" applyFill="1" applyBorder="1" applyAlignment="1">
      <alignment vertical="center" wrapText="1"/>
    </xf>
    <xf numFmtId="169" fontId="0" fillId="4" borderId="11" xfId="0" applyNumberFormat="1" applyFill="1" applyBorder="1" applyAlignment="1">
      <alignment vertical="center" wrapText="1"/>
    </xf>
    <xf numFmtId="0" fontId="0" fillId="11" borderId="0" xfId="0" applyFill="1" applyAlignment="1">
      <alignment vertical="center" wrapText="1"/>
    </xf>
    <xf numFmtId="0" fontId="20" fillId="0" borderId="0" xfId="0" applyFont="1"/>
    <xf numFmtId="165" fontId="4" fillId="0" borderId="0" xfId="1" applyFont="1" applyAlignment="1">
      <alignment horizontal="center"/>
    </xf>
    <xf numFmtId="0" fontId="21" fillId="0" borderId="0" xfId="0" applyFont="1"/>
    <xf numFmtId="165" fontId="21" fillId="0" borderId="0" xfId="1" applyFont="1"/>
    <xf numFmtId="165" fontId="22" fillId="0" borderId="0" xfId="1" applyFont="1"/>
    <xf numFmtId="0" fontId="21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2" fillId="0" borderId="0" xfId="0" applyFont="1"/>
    <xf numFmtId="165" fontId="21" fillId="0" borderId="0" xfId="1" applyFont="1" applyAlignment="1">
      <alignment horizontal="center"/>
    </xf>
    <xf numFmtId="165" fontId="22" fillId="0" borderId="0" xfId="1" applyFont="1" applyAlignment="1">
      <alignment horizontal="center"/>
    </xf>
    <xf numFmtId="165" fontId="21" fillId="12" borderId="0" xfId="1" applyFont="1" applyFill="1" applyAlignment="1">
      <alignment horizontal="center"/>
    </xf>
    <xf numFmtId="165" fontId="21" fillId="0" borderId="0" xfId="0" applyNumberFormat="1" applyFont="1"/>
    <xf numFmtId="170" fontId="0" fillId="0" borderId="0" xfId="1" applyNumberFormat="1" applyFont="1"/>
    <xf numFmtId="170" fontId="0" fillId="0" borderId="0" xfId="0" applyNumberFormat="1"/>
    <xf numFmtId="170" fontId="0" fillId="0" borderId="0" xfId="1" applyNumberFormat="1" applyFont="1" applyAlignment="1">
      <alignment horizontal="center"/>
    </xf>
    <xf numFmtId="170" fontId="0" fillId="0" borderId="0" xfId="0" applyNumberFormat="1" applyAlignment="1">
      <alignment horizontal="center"/>
    </xf>
    <xf numFmtId="170" fontId="21" fillId="0" borderId="0" xfId="1" applyNumberFormat="1" applyFont="1"/>
    <xf numFmtId="171" fontId="0" fillId="0" borderId="0" xfId="0" applyNumberFormat="1" applyAlignment="1">
      <alignment horizontal="center"/>
    </xf>
    <xf numFmtId="164" fontId="0" fillId="0" borderId="0" xfId="13" applyFont="1" applyAlignment="1">
      <alignment horizontal="center"/>
    </xf>
    <xf numFmtId="0" fontId="20" fillId="12" borderId="0" xfId="0" applyFont="1" applyFill="1" applyAlignment="1">
      <alignment horizontal="center"/>
    </xf>
    <xf numFmtId="0" fontId="21" fillId="12" borderId="0" xfId="0" applyFont="1" applyFill="1"/>
    <xf numFmtId="164" fontId="0" fillId="0" borderId="0" xfId="13" applyFont="1"/>
    <xf numFmtId="0" fontId="23" fillId="0" borderId="0" xfId="0" applyFont="1"/>
    <xf numFmtId="0" fontId="23" fillId="0" borderId="0" xfId="0" applyFont="1" applyAlignment="1">
      <alignment horizontal="center"/>
    </xf>
    <xf numFmtId="165" fontId="0" fillId="0" borderId="0" xfId="1" applyFont="1"/>
    <xf numFmtId="170" fontId="24" fillId="0" borderId="0" xfId="1" applyNumberFormat="1" applyFont="1" applyAlignment="1">
      <alignment horizontal="center"/>
    </xf>
    <xf numFmtId="169" fontId="0" fillId="13" borderId="30" xfId="0" applyNumberFormat="1" applyFill="1" applyBorder="1" applyAlignment="1">
      <alignment vertical="center" wrapText="1"/>
    </xf>
    <xf numFmtId="0" fontId="0" fillId="0" borderId="39" xfId="0" applyBorder="1" applyAlignment="1">
      <alignment vertical="center" wrapText="1"/>
    </xf>
    <xf numFmtId="10" fontId="0" fillId="0" borderId="0" xfId="0" applyNumberFormat="1" applyAlignment="1">
      <alignment vertical="center" wrapText="1"/>
    </xf>
    <xf numFmtId="10" fontId="0" fillId="0" borderId="0" xfId="12" applyNumberFormat="1" applyFont="1" applyAlignment="1">
      <alignment vertical="center" wrapText="1"/>
    </xf>
    <xf numFmtId="169" fontId="0" fillId="8" borderId="30" xfId="0" applyNumberFormat="1" applyFill="1" applyBorder="1" applyAlignment="1">
      <alignment vertical="center" wrapText="1"/>
    </xf>
    <xf numFmtId="170" fontId="0" fillId="0" borderId="0" xfId="1" applyNumberFormat="1" applyFont="1" applyAlignment="1">
      <alignment vertical="center" wrapText="1"/>
    </xf>
    <xf numFmtId="170" fontId="0" fillId="14" borderId="0" xfId="1" applyNumberFormat="1" applyFont="1" applyFill="1" applyAlignment="1">
      <alignment vertical="center" wrapText="1"/>
    </xf>
    <xf numFmtId="0" fontId="4" fillId="0" borderId="0" xfId="0" applyFont="1" applyProtection="1">
      <protection locked="0"/>
    </xf>
    <xf numFmtId="165" fontId="4" fillId="0" borderId="0" xfId="1" applyFont="1" applyProtection="1">
      <protection locked="0"/>
    </xf>
    <xf numFmtId="0" fontId="6" fillId="0" borderId="4" xfId="0" applyFont="1" applyBorder="1" applyAlignment="1" applyProtection="1">
      <alignment horizontal="center" vertical="center"/>
      <protection locked="0"/>
    </xf>
    <xf numFmtId="0" fontId="4" fillId="0" borderId="2" xfId="0" applyFont="1" applyBorder="1" applyAlignment="1" applyProtection="1">
      <alignment horizontal="center" vertical="center"/>
      <protection locked="0"/>
    </xf>
    <xf numFmtId="0" fontId="5" fillId="0" borderId="2" xfId="0" applyFont="1" applyBorder="1" applyAlignment="1" applyProtection="1">
      <alignment horizontal="center" vertical="center"/>
      <protection locked="0"/>
    </xf>
    <xf numFmtId="0" fontId="4" fillId="0" borderId="25" xfId="0" applyFont="1" applyBorder="1" applyAlignment="1" applyProtection="1">
      <alignment horizontal="center" vertical="center"/>
      <protection locked="0"/>
    </xf>
    <xf numFmtId="0" fontId="4" fillId="0" borderId="26" xfId="0" applyFont="1" applyBorder="1" applyAlignment="1" applyProtection="1">
      <alignment horizontal="center" vertical="center"/>
      <protection locked="0"/>
    </xf>
    <xf numFmtId="0" fontId="6" fillId="2" borderId="4" xfId="0" applyFont="1" applyFill="1" applyBorder="1" applyAlignment="1" applyProtection="1">
      <alignment horizontal="center" vertical="center"/>
      <protection locked="0"/>
    </xf>
    <xf numFmtId="0" fontId="5" fillId="2" borderId="5" xfId="0" applyFont="1" applyFill="1" applyBorder="1" applyAlignment="1" applyProtection="1">
      <alignment horizontal="center" vertical="center" wrapText="1"/>
      <protection locked="0"/>
    </xf>
    <xf numFmtId="0" fontId="5" fillId="3" borderId="6" xfId="0" applyFont="1" applyFill="1" applyBorder="1" applyAlignment="1" applyProtection="1">
      <alignment horizontal="center" vertical="center" wrapText="1"/>
      <protection locked="0"/>
    </xf>
    <xf numFmtId="0" fontId="5" fillId="2" borderId="6" xfId="0" applyFont="1" applyFill="1" applyBorder="1" applyAlignment="1" applyProtection="1">
      <alignment horizontal="center" vertical="center" wrapText="1"/>
      <protection locked="0"/>
    </xf>
    <xf numFmtId="0" fontId="5" fillId="2" borderId="20" xfId="0" applyFont="1" applyFill="1" applyBorder="1" applyAlignment="1" applyProtection="1">
      <alignment horizontal="center" vertical="center" wrapText="1"/>
      <protection locked="0"/>
    </xf>
    <xf numFmtId="0" fontId="5" fillId="3" borderId="21" xfId="0" applyFont="1" applyFill="1" applyBorder="1" applyAlignment="1" applyProtection="1">
      <alignment horizontal="center" vertical="center" wrapText="1"/>
      <protection locked="0"/>
    </xf>
    <xf numFmtId="0" fontId="6" fillId="4" borderId="7" xfId="0" applyFont="1" applyFill="1" applyBorder="1" applyAlignment="1" applyProtection="1">
      <alignment vertical="center" wrapText="1"/>
      <protection locked="0"/>
    </xf>
    <xf numFmtId="169" fontId="5" fillId="4" borderId="8" xfId="1" applyNumberFormat="1" applyFont="1" applyFill="1" applyBorder="1" applyAlignment="1" applyProtection="1">
      <alignment vertical="center"/>
      <protection locked="0"/>
    </xf>
    <xf numFmtId="169" fontId="5" fillId="4" borderId="14" xfId="0" applyNumberFormat="1" applyFont="1" applyFill="1" applyBorder="1" applyAlignment="1" applyProtection="1">
      <alignment vertical="center"/>
      <protection locked="0"/>
    </xf>
    <xf numFmtId="169" fontId="5" fillId="4" borderId="18" xfId="1" applyNumberFormat="1" applyFont="1" applyFill="1" applyBorder="1" applyAlignment="1" applyProtection="1">
      <alignment vertical="center"/>
      <protection locked="0"/>
    </xf>
    <xf numFmtId="0" fontId="5" fillId="0" borderId="0" xfId="0" applyFont="1" applyProtection="1">
      <protection locked="0"/>
    </xf>
    <xf numFmtId="165" fontId="5" fillId="0" borderId="0" xfId="1" applyFont="1" applyProtection="1">
      <protection locked="0"/>
    </xf>
    <xf numFmtId="0" fontId="7" fillId="2" borderId="9" xfId="0" applyFont="1" applyFill="1" applyBorder="1" applyAlignment="1" applyProtection="1">
      <alignment vertical="center" wrapText="1"/>
      <protection locked="0"/>
    </xf>
    <xf numFmtId="169" fontId="4" fillId="0" borderId="10" xfId="1" applyNumberFormat="1" applyFont="1" applyBorder="1" applyAlignment="1" applyProtection="1">
      <alignment vertical="center"/>
      <protection locked="0"/>
    </xf>
    <xf numFmtId="169" fontId="4" fillId="0" borderId="24" xfId="0" applyNumberFormat="1" applyFont="1" applyBorder="1" applyAlignment="1" applyProtection="1">
      <alignment vertical="center"/>
      <protection locked="0"/>
    </xf>
    <xf numFmtId="169" fontId="4" fillId="0" borderId="12" xfId="1" applyNumberFormat="1" applyFont="1" applyBorder="1" applyAlignment="1" applyProtection="1">
      <alignment vertical="center"/>
      <protection locked="0"/>
    </xf>
    <xf numFmtId="169" fontId="4" fillId="0" borderId="11" xfId="1" applyNumberFormat="1" applyFont="1" applyBorder="1" applyAlignment="1" applyProtection="1">
      <alignment vertical="center"/>
      <protection locked="0"/>
    </xf>
    <xf numFmtId="0" fontId="6" fillId="4" borderId="9" xfId="0" applyFont="1" applyFill="1" applyBorder="1" applyAlignment="1" applyProtection="1">
      <alignment vertical="center" wrapText="1"/>
      <protection locked="0"/>
    </xf>
    <xf numFmtId="169" fontId="5" fillId="4" borderId="10" xfId="1" applyNumberFormat="1" applyFont="1" applyFill="1" applyBorder="1" applyAlignment="1" applyProtection="1">
      <alignment vertical="center"/>
      <protection locked="0"/>
    </xf>
    <xf numFmtId="169" fontId="5" fillId="4" borderId="24" xfId="0" applyNumberFormat="1" applyFont="1" applyFill="1" applyBorder="1" applyAlignment="1" applyProtection="1">
      <alignment vertical="center"/>
      <protection locked="0"/>
    </xf>
    <xf numFmtId="169" fontId="5" fillId="4" borderId="12" xfId="1" applyNumberFormat="1" applyFont="1" applyFill="1" applyBorder="1" applyAlignment="1" applyProtection="1">
      <alignment vertical="center"/>
      <protection locked="0"/>
    </xf>
    <xf numFmtId="169" fontId="5" fillId="4" borderId="23" xfId="1" applyNumberFormat="1" applyFont="1" applyFill="1" applyBorder="1" applyAlignment="1" applyProtection="1">
      <alignment vertical="center"/>
      <protection locked="0"/>
    </xf>
    <xf numFmtId="169" fontId="4" fillId="0" borderId="22" xfId="1" applyNumberFormat="1" applyFont="1" applyBorder="1" applyAlignment="1" applyProtection="1">
      <alignment vertical="center"/>
      <protection locked="0"/>
    </xf>
    <xf numFmtId="169" fontId="4" fillId="4" borderId="10" xfId="1" applyNumberFormat="1" applyFont="1" applyFill="1" applyBorder="1" applyAlignment="1" applyProtection="1">
      <alignment vertical="center"/>
      <protection locked="0"/>
    </xf>
    <xf numFmtId="169" fontId="4" fillId="4" borderId="23" xfId="1" applyNumberFormat="1" applyFont="1" applyFill="1" applyBorder="1" applyAlignment="1" applyProtection="1">
      <alignment vertical="center"/>
      <protection locked="0"/>
    </xf>
    <xf numFmtId="169" fontId="4" fillId="4" borderId="24" xfId="0" applyNumberFormat="1" applyFont="1" applyFill="1" applyBorder="1" applyAlignment="1" applyProtection="1">
      <alignment vertical="center"/>
      <protection locked="0"/>
    </xf>
    <xf numFmtId="169" fontId="4" fillId="4" borderId="12" xfId="1" applyNumberFormat="1" applyFont="1" applyFill="1" applyBorder="1" applyAlignment="1" applyProtection="1">
      <alignment vertical="center"/>
      <protection locked="0"/>
    </xf>
    <xf numFmtId="169" fontId="5" fillId="4" borderId="11" xfId="1" applyNumberFormat="1" applyFont="1" applyFill="1" applyBorder="1" applyAlignment="1" applyProtection="1">
      <alignment vertical="center"/>
      <protection locked="0"/>
    </xf>
    <xf numFmtId="169" fontId="4" fillId="0" borderId="23" xfId="1" applyNumberFormat="1" applyFont="1" applyBorder="1" applyAlignment="1" applyProtection="1">
      <alignment vertical="center"/>
      <protection locked="0"/>
    </xf>
    <xf numFmtId="0" fontId="6" fillId="4" borderId="13" xfId="0" applyFont="1" applyFill="1" applyBorder="1" applyAlignment="1" applyProtection="1">
      <alignment vertical="center" wrapText="1"/>
      <protection locked="0"/>
    </xf>
    <xf numFmtId="169" fontId="5" fillId="2" borderId="5" xfId="0" applyNumberFormat="1" applyFont="1" applyFill="1" applyBorder="1" applyAlignment="1" applyProtection="1">
      <alignment vertical="center"/>
      <protection locked="0"/>
    </xf>
    <xf numFmtId="169" fontId="5" fillId="3" borderId="6" xfId="0" applyNumberFormat="1" applyFont="1" applyFill="1" applyBorder="1" applyAlignment="1" applyProtection="1">
      <alignment vertical="center"/>
      <protection locked="0"/>
    </xf>
    <xf numFmtId="169" fontId="5" fillId="2" borderId="6" xfId="0" applyNumberFormat="1" applyFont="1" applyFill="1" applyBorder="1" applyAlignment="1" applyProtection="1">
      <alignment vertical="center"/>
      <protection locked="0"/>
    </xf>
    <xf numFmtId="169" fontId="5" fillId="2" borderId="41" xfId="0" applyNumberFormat="1" applyFont="1" applyFill="1" applyBorder="1" applyAlignment="1" applyProtection="1">
      <alignment vertical="center"/>
      <protection locked="0"/>
    </xf>
    <xf numFmtId="0" fontId="4" fillId="0" borderId="0" xfId="0" applyFont="1" applyAlignment="1" applyProtection="1">
      <alignment horizontal="left" vertical="center"/>
      <protection locked="0"/>
    </xf>
    <xf numFmtId="0" fontId="8" fillId="0" borderId="0" xfId="0" applyFont="1" applyAlignment="1" applyProtection="1">
      <alignment horizontal="right" vertical="center"/>
      <protection locked="0"/>
    </xf>
    <xf numFmtId="0" fontId="1" fillId="0" borderId="0" xfId="14"/>
    <xf numFmtId="0" fontId="25" fillId="0" borderId="0" xfId="14" applyFont="1" applyAlignment="1">
      <alignment horizontal="center" vertical="center" wrapText="1"/>
    </xf>
    <xf numFmtId="0" fontId="25" fillId="0" borderId="0" xfId="14" applyFont="1" applyAlignment="1">
      <alignment vertical="center" wrapText="1"/>
    </xf>
    <xf numFmtId="0" fontId="26" fillId="0" borderId="0" xfId="14" applyFont="1"/>
    <xf numFmtId="0" fontId="26" fillId="0" borderId="0" xfId="14" applyFont="1" applyAlignment="1">
      <alignment horizontal="center"/>
    </xf>
    <xf numFmtId="9" fontId="26" fillId="0" borderId="0" xfId="15" applyFont="1"/>
    <xf numFmtId="172" fontId="31" fillId="0" borderId="11" xfId="14" applyNumberFormat="1" applyFont="1" applyBorder="1"/>
    <xf numFmtId="0" fontId="30" fillId="0" borderId="24" xfId="14" applyFont="1" applyBorder="1" applyAlignment="1">
      <alignment wrapText="1"/>
    </xf>
    <xf numFmtId="174" fontId="29" fillId="0" borderId="11" xfId="14" applyNumberFormat="1" applyFont="1" applyBorder="1"/>
    <xf numFmtId="10" fontId="29" fillId="0" borderId="11" xfId="15" applyNumberFormat="1" applyFont="1" applyFill="1" applyBorder="1" applyAlignment="1">
      <alignment horizontal="center"/>
    </xf>
    <xf numFmtId="10" fontId="29" fillId="0" borderId="11" xfId="15" applyNumberFormat="1" applyFont="1" applyBorder="1" applyAlignment="1">
      <alignment horizontal="center"/>
    </xf>
    <xf numFmtId="10" fontId="29" fillId="0" borderId="17" xfId="15" applyNumberFormat="1" applyFont="1" applyBorder="1"/>
    <xf numFmtId="0" fontId="28" fillId="0" borderId="0" xfId="14" applyFont="1"/>
    <xf numFmtId="9" fontId="28" fillId="0" borderId="0" xfId="14" applyNumberFormat="1" applyFont="1" applyAlignment="1">
      <alignment horizontal="center"/>
    </xf>
    <xf numFmtId="10" fontId="26" fillId="0" borderId="0" xfId="14" applyNumberFormat="1" applyFont="1" applyAlignment="1">
      <alignment horizontal="center"/>
    </xf>
    <xf numFmtId="172" fontId="26" fillId="0" borderId="0" xfId="14" applyNumberFormat="1" applyFont="1"/>
    <xf numFmtId="173" fontId="4" fillId="2" borderId="6" xfId="14" applyNumberFormat="1" applyFont="1" applyFill="1" applyBorder="1" applyAlignment="1">
      <alignment vertical="center"/>
    </xf>
    <xf numFmtId="174" fontId="29" fillId="0" borderId="11" xfId="17" applyFont="1" applyFill="1" applyBorder="1" applyAlignment="1">
      <alignment wrapText="1"/>
    </xf>
    <xf numFmtId="173" fontId="4" fillId="16" borderId="11" xfId="16" applyNumberFormat="1" applyFont="1" applyFill="1" applyBorder="1" applyAlignment="1">
      <alignment vertical="center"/>
    </xf>
    <xf numFmtId="174" fontId="32" fillId="0" borderId="11" xfId="17" applyFont="1" applyFill="1" applyBorder="1"/>
    <xf numFmtId="174" fontId="29" fillId="0" borderId="11" xfId="17" applyFont="1" applyFill="1" applyBorder="1"/>
    <xf numFmtId="174" fontId="29" fillId="0" borderId="11" xfId="17" applyFont="1" applyBorder="1"/>
    <xf numFmtId="49" fontId="29" fillId="15" borderId="11" xfId="14" applyNumberFormat="1" applyFont="1" applyFill="1" applyBorder="1" applyAlignment="1">
      <alignment horizontal="center" vertical="center" wrapText="1"/>
    </xf>
    <xf numFmtId="0" fontId="29" fillId="15" borderId="11" xfId="14" applyFont="1" applyFill="1" applyBorder="1" applyAlignment="1">
      <alignment horizontal="center" vertical="center" wrapText="1"/>
    </xf>
    <xf numFmtId="0" fontId="29" fillId="15" borderId="12" xfId="14" applyFont="1" applyFill="1" applyBorder="1" applyAlignment="1">
      <alignment horizontal="center" vertical="center" wrapText="1"/>
    </xf>
    <xf numFmtId="172" fontId="31" fillId="0" borderId="12" xfId="14" applyNumberFormat="1" applyFont="1" applyBorder="1"/>
    <xf numFmtId="174" fontId="29" fillId="0" borderId="12" xfId="17" applyFont="1" applyBorder="1"/>
    <xf numFmtId="0" fontId="28" fillId="0" borderId="24" xfId="14" applyFont="1" applyBorder="1"/>
    <xf numFmtId="10" fontId="29" fillId="0" borderId="11" xfId="15" applyNumberFormat="1" applyFont="1" applyBorder="1"/>
    <xf numFmtId="10" fontId="29" fillId="0" borderId="12" xfId="15" applyNumberFormat="1" applyFont="1" applyBorder="1"/>
    <xf numFmtId="0" fontId="26" fillId="0" borderId="24" xfId="14" applyFont="1" applyBorder="1"/>
    <xf numFmtId="0" fontId="26" fillId="0" borderId="11" xfId="14" applyFont="1" applyBorder="1"/>
    <xf numFmtId="0" fontId="26" fillId="0" borderId="11" xfId="14" applyFont="1" applyBorder="1" applyAlignment="1">
      <alignment horizontal="center"/>
    </xf>
    <xf numFmtId="0" fontId="26" fillId="0" borderId="11" xfId="14" applyFont="1" applyBorder="1" applyAlignment="1">
      <alignment wrapText="1"/>
    </xf>
    <xf numFmtId="0" fontId="26" fillId="0" borderId="12" xfId="14" applyFont="1" applyBorder="1"/>
    <xf numFmtId="0" fontId="28" fillId="0" borderId="16" xfId="14" applyFont="1" applyBorder="1" applyAlignment="1">
      <alignment horizontal="center"/>
    </xf>
    <xf numFmtId="10" fontId="29" fillId="0" borderId="17" xfId="15" applyNumberFormat="1" applyFont="1" applyBorder="1" applyAlignment="1">
      <alignment horizontal="center"/>
    </xf>
    <xf numFmtId="10" fontId="29" fillId="0" borderId="19" xfId="15" applyNumberFormat="1" applyFont="1" applyBorder="1"/>
    <xf numFmtId="170" fontId="0" fillId="7" borderId="0" xfId="1" applyNumberFormat="1" applyFont="1" applyFill="1"/>
    <xf numFmtId="170" fontId="21" fillId="7" borderId="0" xfId="1" applyNumberFormat="1" applyFont="1" applyFill="1"/>
    <xf numFmtId="0" fontId="0" fillId="12" borderId="0" xfId="0" applyFill="1"/>
    <xf numFmtId="171" fontId="0" fillId="12" borderId="0" xfId="0" applyNumberFormat="1" applyFill="1" applyAlignment="1">
      <alignment horizontal="center"/>
    </xf>
    <xf numFmtId="165" fontId="4" fillId="12" borderId="0" xfId="1" applyFont="1" applyFill="1" applyAlignment="1">
      <alignment horizontal="center"/>
    </xf>
    <xf numFmtId="0" fontId="4" fillId="12" borderId="0" xfId="0" applyFont="1" applyFill="1"/>
    <xf numFmtId="174" fontId="29" fillId="0" borderId="11" xfId="14" applyNumberFormat="1" applyFont="1" applyBorder="1" applyAlignment="1">
      <alignment horizontal="center" vertical="center"/>
    </xf>
    <xf numFmtId="172" fontId="31" fillId="0" borderId="11" xfId="14" applyNumberFormat="1" applyFont="1" applyBorder="1" applyAlignment="1">
      <alignment horizontal="center" vertical="center"/>
    </xf>
    <xf numFmtId="0" fontId="4" fillId="16" borderId="0" xfId="0" applyFont="1" applyFill="1" applyProtection="1">
      <protection locked="0"/>
    </xf>
    <xf numFmtId="0" fontId="5" fillId="16" borderId="2" xfId="0" applyFont="1" applyFill="1" applyBorder="1" applyAlignment="1" applyProtection="1">
      <alignment horizontal="center" vertical="center"/>
      <protection locked="0"/>
    </xf>
    <xf numFmtId="0" fontId="5" fillId="16" borderId="6" xfId="0" applyFont="1" applyFill="1" applyBorder="1" applyAlignment="1" applyProtection="1">
      <alignment horizontal="center" vertical="center" wrapText="1"/>
      <protection locked="0"/>
    </xf>
    <xf numFmtId="169" fontId="4" fillId="16" borderId="10" xfId="1" applyNumberFormat="1" applyFont="1" applyFill="1" applyBorder="1" applyAlignment="1" applyProtection="1">
      <alignment vertical="center"/>
      <protection locked="0"/>
    </xf>
    <xf numFmtId="169" fontId="4" fillId="16" borderId="11" xfId="1" applyNumberFormat="1" applyFont="1" applyFill="1" applyBorder="1" applyAlignment="1" applyProtection="1">
      <alignment vertical="center"/>
      <protection locked="0"/>
    </xf>
    <xf numFmtId="169" fontId="5" fillId="16" borderId="6" xfId="0" applyNumberFormat="1" applyFont="1" applyFill="1" applyBorder="1" applyAlignment="1" applyProtection="1">
      <alignment vertical="center"/>
      <protection locked="0"/>
    </xf>
    <xf numFmtId="0" fontId="4" fillId="0" borderId="0" xfId="0" applyFont="1" applyAlignment="1" applyProtection="1">
      <alignment horizontal="center" vertical="center"/>
      <protection locked="0"/>
    </xf>
    <xf numFmtId="0" fontId="12" fillId="0" borderId="1" xfId="0" applyFont="1" applyBorder="1" applyAlignment="1" applyProtection="1">
      <alignment horizontal="center" vertical="center"/>
      <protection locked="0"/>
    </xf>
    <xf numFmtId="0" fontId="12" fillId="0" borderId="2" xfId="0" applyFont="1" applyBorder="1" applyAlignment="1" applyProtection="1">
      <alignment horizontal="center" vertical="center"/>
      <protection locked="0"/>
    </xf>
    <xf numFmtId="0" fontId="12" fillId="0" borderId="3" xfId="0" applyFont="1" applyBorder="1" applyAlignment="1" applyProtection="1">
      <alignment horizontal="center" vertical="center"/>
      <protection locked="0"/>
    </xf>
    <xf numFmtId="0" fontId="11" fillId="0" borderId="1" xfId="0" applyFont="1" applyBorder="1" applyAlignment="1" applyProtection="1">
      <alignment horizontal="center" vertical="center"/>
      <protection locked="0"/>
    </xf>
    <xf numFmtId="0" fontId="11" fillId="0" borderId="2" xfId="0" applyFont="1" applyBorder="1" applyAlignment="1" applyProtection="1">
      <alignment horizontal="center" vertical="center"/>
      <protection locked="0"/>
    </xf>
    <xf numFmtId="0" fontId="11" fillId="0" borderId="3" xfId="0" applyFont="1" applyBorder="1" applyAlignment="1" applyProtection="1">
      <alignment horizontal="center" vertical="center"/>
      <protection locked="0"/>
    </xf>
    <xf numFmtId="0" fontId="11" fillId="0" borderId="2" xfId="0" applyFont="1" applyBorder="1" applyAlignment="1" applyProtection="1">
      <alignment horizontal="center" vertical="center" wrapText="1"/>
      <protection locked="0"/>
    </xf>
    <xf numFmtId="0" fontId="11" fillId="0" borderId="1" xfId="0" applyFont="1" applyBorder="1" applyAlignment="1" applyProtection="1">
      <alignment horizontal="center" vertical="center" wrapText="1"/>
      <protection locked="0"/>
    </xf>
    <xf numFmtId="166" fontId="11" fillId="0" borderId="1" xfId="0" applyNumberFormat="1" applyFont="1" applyBorder="1" applyAlignment="1" applyProtection="1">
      <alignment horizontal="center" vertical="center"/>
      <protection locked="0"/>
    </xf>
    <xf numFmtId="166" fontId="11" fillId="0" borderId="2" xfId="0" applyNumberFormat="1" applyFont="1" applyBorder="1" applyAlignment="1" applyProtection="1">
      <alignment horizontal="center" vertical="center"/>
      <protection locked="0"/>
    </xf>
    <xf numFmtId="166" fontId="11" fillId="0" borderId="3" xfId="0" applyNumberFormat="1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  <protection locked="0"/>
    </xf>
    <xf numFmtId="0" fontId="6" fillId="0" borderId="3" xfId="0" applyFont="1" applyBorder="1" applyAlignment="1" applyProtection="1">
      <alignment horizontal="center" vertical="center"/>
      <protection locked="0"/>
    </xf>
    <xf numFmtId="0" fontId="8" fillId="3" borderId="16" xfId="0" applyFont="1" applyFill="1" applyBorder="1" applyAlignment="1" applyProtection="1">
      <alignment horizontal="left" vertical="center"/>
      <protection locked="0"/>
    </xf>
    <xf numFmtId="0" fontId="8" fillId="3" borderId="17" xfId="0" applyFont="1" applyFill="1" applyBorder="1" applyAlignment="1" applyProtection="1">
      <alignment horizontal="left" vertical="center"/>
      <protection locked="0"/>
    </xf>
    <xf numFmtId="0" fontId="8" fillId="3" borderId="19" xfId="0" applyFont="1" applyFill="1" applyBorder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horizontal="center" vertical="center"/>
      <protection locked="0"/>
    </xf>
    <xf numFmtId="0" fontId="4" fillId="0" borderId="2" xfId="0" applyFont="1" applyBorder="1" applyAlignment="1" applyProtection="1">
      <alignment horizontal="center" vertical="center"/>
      <protection locked="0"/>
    </xf>
    <xf numFmtId="0" fontId="4" fillId="0" borderId="3" xfId="0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5" fillId="0" borderId="3" xfId="0" applyFont="1" applyBorder="1" applyAlignment="1" applyProtection="1">
      <alignment horizontal="center" vertical="center"/>
      <protection locked="0"/>
    </xf>
    <xf numFmtId="0" fontId="8" fillId="3" borderId="14" xfId="0" applyFont="1" applyFill="1" applyBorder="1" applyAlignment="1" applyProtection="1">
      <alignment horizontal="left" vertical="center"/>
      <protection locked="0"/>
    </xf>
    <xf numFmtId="0" fontId="8" fillId="3" borderId="15" xfId="0" applyFont="1" applyFill="1" applyBorder="1" applyAlignment="1" applyProtection="1">
      <alignment horizontal="left" vertical="center"/>
      <protection locked="0"/>
    </xf>
    <xf numFmtId="0" fontId="8" fillId="3" borderId="18" xfId="0" applyFont="1" applyFill="1" applyBorder="1" applyAlignment="1" applyProtection="1">
      <alignment horizontal="left" vertical="center"/>
      <protection locked="0"/>
    </xf>
    <xf numFmtId="0" fontId="27" fillId="0" borderId="14" xfId="14" applyFont="1" applyBorder="1" applyAlignment="1">
      <alignment horizontal="center" vertical="center" wrapText="1"/>
    </xf>
    <xf numFmtId="0" fontId="27" fillId="0" borderId="24" xfId="14" applyFont="1" applyBorder="1" applyAlignment="1">
      <alignment horizontal="center" vertical="center" wrapText="1"/>
    </xf>
    <xf numFmtId="0" fontId="28" fillId="15" borderId="15" xfId="14" applyFont="1" applyFill="1" applyBorder="1" applyAlignment="1">
      <alignment horizontal="center" vertical="center"/>
    </xf>
    <xf numFmtId="0" fontId="28" fillId="15" borderId="18" xfId="14" applyFont="1" applyFill="1" applyBorder="1" applyAlignment="1">
      <alignment horizontal="center" vertical="center"/>
    </xf>
    <xf numFmtId="0" fontId="29" fillId="15" borderId="11" xfId="14" applyFont="1" applyFill="1" applyBorder="1" applyAlignment="1">
      <alignment horizontal="center" vertical="center" wrapText="1"/>
    </xf>
    <xf numFmtId="0" fontId="17" fillId="0" borderId="0" xfId="0" applyFont="1" applyAlignment="1">
      <alignment horizontal="center" vertical="center"/>
    </xf>
    <xf numFmtId="167" fontId="0" fillId="4" borderId="21" xfId="0" applyNumberFormat="1" applyFill="1" applyBorder="1" applyAlignment="1">
      <alignment horizontal="center" vertical="center" wrapText="1"/>
    </xf>
    <xf numFmtId="167" fontId="0" fillId="4" borderId="37" xfId="0" applyNumberFormat="1" applyFill="1" applyBorder="1" applyAlignment="1">
      <alignment horizontal="center" vertical="center" wrapText="1"/>
    </xf>
    <xf numFmtId="167" fontId="0" fillId="4" borderId="38" xfId="0" applyNumberFormat="1" applyFill="1" applyBorder="1" applyAlignment="1">
      <alignment horizontal="center" vertical="center" wrapText="1"/>
    </xf>
    <xf numFmtId="167" fontId="0" fillId="4" borderId="32" xfId="0" applyNumberFormat="1" applyFill="1" applyBorder="1" applyAlignment="1">
      <alignment horizontal="center" vertical="center" wrapText="1"/>
    </xf>
    <xf numFmtId="167" fontId="0" fillId="4" borderId="33" xfId="0" applyNumberFormat="1" applyFill="1" applyBorder="1" applyAlignment="1">
      <alignment horizontal="center" vertical="center" wrapText="1"/>
    </xf>
    <xf numFmtId="167" fontId="0" fillId="4" borderId="34" xfId="0" applyNumberFormat="1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3" fillId="0" borderId="39" xfId="0" applyFont="1" applyBorder="1" applyAlignment="1">
      <alignment horizontal="left" vertical="center" wrapText="1"/>
    </xf>
    <xf numFmtId="0" fontId="13" fillId="0" borderId="0" xfId="0" applyFont="1" applyAlignment="1">
      <alignment horizontal="left" vertical="center" wrapText="1"/>
    </xf>
    <xf numFmtId="167" fontId="0" fillId="4" borderId="29" xfId="0" applyNumberFormat="1" applyFill="1" applyBorder="1" applyAlignment="1">
      <alignment horizontal="center" vertical="center" wrapText="1"/>
    </xf>
    <xf numFmtId="167" fontId="0" fillId="4" borderId="9" xfId="0" applyNumberFormat="1" applyFill="1" applyBorder="1" applyAlignment="1">
      <alignment horizontal="center" vertical="center" wrapText="1"/>
    </xf>
    <xf numFmtId="10" fontId="15" fillId="5" borderId="12" xfId="0" applyNumberFormat="1" applyFont="1" applyFill="1" applyBorder="1" applyAlignment="1">
      <alignment horizontal="center" vertical="center" wrapText="1"/>
    </xf>
    <xf numFmtId="169" fontId="0" fillId="4" borderId="36" xfId="0" applyNumberFormat="1" applyFill="1" applyBorder="1" applyAlignment="1">
      <alignment horizontal="center" vertical="center" wrapText="1"/>
    </xf>
    <xf numFmtId="0" fontId="15" fillId="7" borderId="0" xfId="0" applyFont="1" applyFill="1" applyAlignment="1">
      <alignment horizontal="left" vertical="center" wrapText="1"/>
    </xf>
    <xf numFmtId="0" fontId="15" fillId="8" borderId="0" xfId="0" applyFont="1" applyFill="1" applyAlignment="1">
      <alignment horizontal="left" vertical="center" wrapText="1"/>
    </xf>
    <xf numFmtId="167" fontId="0" fillId="4" borderId="20" xfId="0" applyNumberFormat="1" applyFill="1" applyBorder="1" applyAlignment="1">
      <alignment horizontal="center" vertical="center" wrapText="1"/>
    </xf>
    <xf numFmtId="167" fontId="0" fillId="4" borderId="35" xfId="0" applyNumberFormat="1" applyFill="1" applyBorder="1" applyAlignment="1">
      <alignment horizontal="center" vertical="center" wrapText="1"/>
    </xf>
    <xf numFmtId="167" fontId="0" fillId="4" borderId="36" xfId="0" applyNumberFormat="1" applyFill="1" applyBorder="1" applyAlignment="1">
      <alignment horizontal="center" vertical="center" wrapText="1"/>
    </xf>
    <xf numFmtId="9" fontId="15" fillId="5" borderId="24" xfId="0" applyNumberFormat="1" applyFont="1" applyFill="1" applyBorder="1" applyAlignment="1">
      <alignment horizontal="center" vertical="center" wrapText="1"/>
    </xf>
    <xf numFmtId="10" fontId="15" fillId="5" borderId="11" xfId="0" applyNumberFormat="1" applyFont="1" applyFill="1" applyBorder="1" applyAlignment="1">
      <alignment horizontal="center" vertical="center" wrapText="1"/>
    </xf>
    <xf numFmtId="9" fontId="15" fillId="5" borderId="11" xfId="0" applyNumberFormat="1" applyFont="1" applyFill="1" applyBorder="1" applyAlignment="1">
      <alignment horizontal="center" vertical="center" wrapText="1"/>
    </xf>
    <xf numFmtId="10" fontId="15" fillId="5" borderId="24" xfId="0" applyNumberFormat="1" applyFont="1" applyFill="1" applyBorder="1" applyAlignment="1">
      <alignment horizontal="center" vertical="center" wrapText="1"/>
    </xf>
    <xf numFmtId="9" fontId="15" fillId="5" borderId="12" xfId="0" applyNumberFormat="1" applyFont="1" applyFill="1" applyBorder="1" applyAlignment="1">
      <alignment horizontal="center" vertical="center" wrapText="1"/>
    </xf>
    <xf numFmtId="0" fontId="22" fillId="5" borderId="11" xfId="0" applyFont="1" applyFill="1" applyBorder="1" applyAlignment="1">
      <alignment horizontal="center"/>
    </xf>
  </cellXfs>
  <cellStyles count="18">
    <cellStyle name="Hipervínculo" xfId="2" builtinId="8" hidden="1"/>
    <cellStyle name="Hipervínculo" xfId="4" builtinId="8" hidden="1"/>
    <cellStyle name="Hipervínculo" xfId="6" builtinId="8" hidden="1"/>
    <cellStyle name="Hipervínculo" xfId="8" builtinId="8" hidden="1"/>
    <cellStyle name="Hipervínculo" xfId="10" builtinId="8" hidden="1"/>
    <cellStyle name="Hipervínculo visitado" xfId="3" builtinId="9" hidden="1"/>
    <cellStyle name="Hipervínculo visitado" xfId="5" builtinId="9" hidden="1"/>
    <cellStyle name="Hipervínculo visitado" xfId="7" builtinId="9" hidden="1"/>
    <cellStyle name="Hipervínculo visitado" xfId="9" builtinId="9" hidden="1"/>
    <cellStyle name="Hipervínculo visitado" xfId="11" builtinId="9" hidden="1"/>
    <cellStyle name="Moneda" xfId="1" builtinId="4"/>
    <cellStyle name="Moneda [0]" xfId="13" builtinId="7"/>
    <cellStyle name="Moneda [0] 2" xfId="17" xr:uid="{FE23BA41-1AB3-46A9-8B05-F19F4B086893}"/>
    <cellStyle name="Normal" xfId="0" builtinId="0"/>
    <cellStyle name="Normal 2" xfId="14" xr:uid="{73C31F0C-B8CF-45C6-9FA1-D5517AAE6A4D}"/>
    <cellStyle name="Normal 5" xfId="16" xr:uid="{B303F31E-621C-4E52-8B49-D729B778FBC7}"/>
    <cellStyle name="Porcentaje" xfId="12" builtinId="5"/>
    <cellStyle name="Porcentaje 2" xfId="15" xr:uid="{42FF7D2D-F904-4F84-B421-53B85FAA7758}"/>
  </cellStyles>
  <dxfs count="30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70" formatCode="_-&quot;$&quot;* #,##0_-;\-&quot;$&quot;* #,##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70" formatCode="_-&quot;$&quot;* #,##0_-;\-&quot;$&quot;* #,##0_-;_-&quot;$&quot;* &quot;-&quot;??_-;_-@_-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scheme val="none"/>
      </font>
      <numFmt numFmtId="165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11111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ill>
        <patternFill patternType="solid">
          <fgColor rgb="FFDA9694"/>
          <bgColor rgb="FF000000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CO"/>
              <a:t>EJECUCCION</a:t>
            </a:r>
            <a:r>
              <a:rPr lang="es-CO" baseline="0"/>
              <a:t> PRESUPUESTAL  TI 2024</a:t>
            </a:r>
            <a:endParaRPr lang="es-CO"/>
          </a:p>
        </c:rich>
      </c:tx>
      <c:layout>
        <c:manualLayout>
          <c:xMode val="edge"/>
          <c:yMode val="edge"/>
          <c:x val="0.39468076855567213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9962512231256574E-2"/>
          <c:y val="0.20118903783179809"/>
          <c:w val="0.91037999638294131"/>
          <c:h val="0.67103608139647652"/>
        </c:manualLayout>
      </c:layout>
      <c:areaChart>
        <c:grouping val="standard"/>
        <c:varyColors val="0"/>
        <c:ser>
          <c:idx val="1"/>
          <c:order val="1"/>
          <c:tx>
            <c:strRef>
              <c:f>INDICADOR!$B$44</c:f>
              <c:strCache>
                <c:ptCount val="1"/>
                <c:pt idx="0">
                  <c:v>OBJETIVO</c:v>
                </c:pt>
              </c:strCache>
            </c:strRef>
          </c:tx>
          <c:spPr>
            <a:pattFill prst="pct30">
              <a:fgClr>
                <a:srgbClr val="FF0000"/>
              </a:fgClr>
              <a:bgClr>
                <a:schemeClr val="bg1"/>
              </a:bgClr>
            </a:pattFill>
          </c:spPr>
          <c:dLbls>
            <c:delete val="1"/>
          </c:dLbls>
          <c:cat>
            <c:multiLvlStrRef>
              <c:f>INDICADOR!$C$37:$P$39</c:f>
              <c:multiLvlStrCache>
                <c:ptCount val="14"/>
                <c:lvl>
                  <c:pt idx="0">
                    <c:v>AÑO 2024</c:v>
                  </c:pt>
                </c:lvl>
                <c:lvl>
                  <c:pt idx="0">
                    <c:v>PRESUPUESTADO</c:v>
                  </c:pt>
                  <c:pt idx="1">
                    <c:v>EJECUTADO A OCTUBRE</c:v>
                  </c:pt>
                  <c:pt idx="2">
                    <c:v>Enero </c:v>
                  </c:pt>
                  <c:pt idx="3">
                    <c:v>Febrero</c:v>
                  </c:pt>
                  <c:pt idx="4">
                    <c:v>Marzo</c:v>
                  </c:pt>
                  <c:pt idx="5">
                    <c:v>Abril</c:v>
                  </c:pt>
                  <c:pt idx="6">
                    <c:v>Mayo</c:v>
                  </c:pt>
                  <c:pt idx="7">
                    <c:v>Junio</c:v>
                  </c:pt>
                  <c:pt idx="8">
                    <c:v>Julio</c:v>
                  </c:pt>
                  <c:pt idx="9">
                    <c:v>Agosto</c:v>
                  </c:pt>
                  <c:pt idx="10">
                    <c:v>Septiembre</c:v>
                  </c:pt>
                  <c:pt idx="11">
                    <c:v>Octubre</c:v>
                  </c:pt>
                  <c:pt idx="12">
                    <c:v>Noviembre</c:v>
                  </c:pt>
                  <c:pt idx="13">
                    <c:v>Diciembre</c:v>
                  </c:pt>
                </c:lvl>
                <c:lvl>
                  <c:pt idx="0">
                    <c:v>2024</c:v>
                  </c:pt>
                </c:lvl>
              </c:multiLvlStrCache>
            </c:multiLvlStrRef>
          </c:cat>
          <c:val>
            <c:numRef>
              <c:f>INDICADOR!$C$44:$P$44</c:f>
              <c:numCache>
                <c:formatCode>0.00%</c:formatCode>
                <c:ptCount val="1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69-4AC7-882E-484A858CC47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1635432704"/>
        <c:axId val="1635444672"/>
      </c:areaChart>
      <c:barChart>
        <c:barDir val="col"/>
        <c:grouping val="clustered"/>
        <c:varyColors val="0"/>
        <c:ser>
          <c:idx val="0"/>
          <c:order val="0"/>
          <c:tx>
            <c:strRef>
              <c:f>INDICADOR!$B$42</c:f>
              <c:strCache>
                <c:ptCount val="1"/>
                <c:pt idx="0">
                  <c:v>%  CUMPLIMIENTO</c:v>
                </c:pt>
              </c:strCache>
            </c:strRef>
          </c:tx>
          <c:spPr>
            <a:solidFill>
              <a:srgbClr val="002060"/>
            </a:solidFill>
            <a:ln>
              <a:noFill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2-2069-4AC7-882E-484A858CC479}"/>
              </c:ext>
            </c:extLst>
          </c:dPt>
          <c:dPt>
            <c:idx val="1"/>
            <c:invertIfNegative val="0"/>
            <c:bubble3D val="0"/>
            <c:spPr>
              <a:solidFill>
                <a:srgbClr val="00CC00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4-2069-4AC7-882E-484A858CC479}"/>
              </c:ext>
            </c:extLst>
          </c:dPt>
          <c:dPt>
            <c:idx val="5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5-2069-4AC7-882E-484A858CC479}"/>
              </c:ext>
            </c:extLst>
          </c:dPt>
          <c:dPt>
            <c:idx val="12"/>
            <c:invertIfNegative val="0"/>
            <c:bubble3D val="0"/>
            <c:spPr>
              <a:solidFill>
                <a:srgbClr val="002060"/>
              </a:solidFill>
              <a:ln>
                <a:solidFill>
                  <a:srgbClr val="0066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7-2069-4AC7-882E-484A858CC479}"/>
              </c:ext>
            </c:extLst>
          </c:dPt>
          <c:dPt>
            <c:idx val="1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8-2069-4AC7-882E-484A858CC479}"/>
              </c:ext>
            </c:extLst>
          </c:dPt>
          <c:dPt>
            <c:idx val="1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9-2069-4AC7-882E-484A858CC479}"/>
              </c:ext>
            </c:extLst>
          </c:dPt>
          <c:dPt>
            <c:idx val="15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A-2069-4AC7-882E-484A858CC479}"/>
              </c:ext>
            </c:extLst>
          </c:dPt>
          <c:dPt>
            <c:idx val="16"/>
            <c:invertIfNegative val="0"/>
            <c:bubble3D val="0"/>
            <c:spPr>
              <a:solidFill>
                <a:srgbClr val="002060"/>
              </a:solidFill>
              <a:ln>
                <a:solidFill>
                  <a:srgbClr val="0066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C-2069-4AC7-882E-484A858CC479}"/>
              </c:ext>
            </c:extLst>
          </c:dPt>
          <c:dPt>
            <c:idx val="18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D-2069-4AC7-882E-484A858CC479}"/>
              </c:ext>
            </c:extLst>
          </c:dPt>
          <c:dPt>
            <c:idx val="27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E-2069-4AC7-882E-484A858CC479}"/>
              </c:ext>
            </c:extLst>
          </c:dPt>
          <c:dPt>
            <c:idx val="38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F-2069-4AC7-882E-484A858CC479}"/>
              </c:ext>
            </c:extLst>
          </c:dPt>
          <c:dPt>
            <c:idx val="4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0-2069-4AC7-882E-484A858CC479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INDICADOR!$C$38:$P$39</c:f>
              <c:multiLvlStrCache>
                <c:ptCount val="14"/>
                <c:lvl>
                  <c:pt idx="0">
                    <c:v>AÑO 2024</c:v>
                  </c:pt>
                </c:lvl>
                <c:lvl>
                  <c:pt idx="0">
                    <c:v>PRESUPUESTADO</c:v>
                  </c:pt>
                  <c:pt idx="1">
                    <c:v>EJECUTADO A OCTUBRE</c:v>
                  </c:pt>
                  <c:pt idx="2">
                    <c:v>Enero </c:v>
                  </c:pt>
                  <c:pt idx="3">
                    <c:v>Febrero</c:v>
                  </c:pt>
                  <c:pt idx="4">
                    <c:v>Marzo</c:v>
                  </c:pt>
                  <c:pt idx="5">
                    <c:v>Abril</c:v>
                  </c:pt>
                  <c:pt idx="6">
                    <c:v>Mayo</c:v>
                  </c:pt>
                  <c:pt idx="7">
                    <c:v>Junio</c:v>
                  </c:pt>
                  <c:pt idx="8">
                    <c:v>Julio</c:v>
                  </c:pt>
                  <c:pt idx="9">
                    <c:v>Agosto</c:v>
                  </c:pt>
                  <c:pt idx="10">
                    <c:v>Septiembre</c:v>
                  </c:pt>
                  <c:pt idx="11">
                    <c:v>Octubre</c:v>
                  </c:pt>
                  <c:pt idx="12">
                    <c:v>Noviembre</c:v>
                  </c:pt>
                  <c:pt idx="13">
                    <c:v>Diciembre</c:v>
                  </c:pt>
                </c:lvl>
              </c:multiLvlStrCache>
            </c:multiLvlStrRef>
          </c:cat>
          <c:val>
            <c:numRef>
              <c:f>INDICADOR!$C$42:$P$42</c:f>
              <c:numCache>
                <c:formatCode>0.00%</c:formatCode>
                <c:ptCount val="14"/>
                <c:pt idx="0">
                  <c:v>0.93163378217070592</c:v>
                </c:pt>
                <c:pt idx="1">
                  <c:v>0.985003725860363</c:v>
                </c:pt>
                <c:pt idx="2">
                  <c:v>0.83187817695867072</c:v>
                </c:pt>
                <c:pt idx="3">
                  <c:v>1.3607772299889833</c:v>
                </c:pt>
                <c:pt idx="4">
                  <c:v>0.577043384564776</c:v>
                </c:pt>
                <c:pt idx="5">
                  <c:v>0.53079212211020987</c:v>
                </c:pt>
                <c:pt idx="6">
                  <c:v>2.1849547228825927</c:v>
                </c:pt>
                <c:pt idx="7">
                  <c:v>0.75736070488724971</c:v>
                </c:pt>
                <c:pt idx="8">
                  <c:v>0.91291484053154137</c:v>
                </c:pt>
                <c:pt idx="9">
                  <c:v>1.2423516911996599</c:v>
                </c:pt>
                <c:pt idx="10">
                  <c:v>1.2818766437181002</c:v>
                </c:pt>
                <c:pt idx="11">
                  <c:v>1.1482154082257576</c:v>
                </c:pt>
                <c:pt idx="12">
                  <c:v>1.2874946509358127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2069-4AC7-882E-484A858CC47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635432704"/>
        <c:axId val="1635444672"/>
      </c:barChart>
      <c:lineChart>
        <c:grouping val="standard"/>
        <c:varyColors val="0"/>
        <c:ser>
          <c:idx val="2"/>
          <c:order val="2"/>
          <c:tx>
            <c:strRef>
              <c:f>INDICADOR!$B$45</c:f>
              <c:strCache>
                <c:ptCount val="1"/>
              </c:strCache>
            </c:strRef>
          </c:tx>
          <c:spPr>
            <a:ln>
              <a:solidFill>
                <a:srgbClr val="006600"/>
              </a:solidFill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INDICADOR!$D$37:$P$39</c:f>
              <c:strCache>
                <c:ptCount val="13"/>
                <c:pt idx="0">
                  <c:v>EJECUTADO A OCTUBRE</c:v>
                </c:pt>
                <c:pt idx="1">
                  <c:v>Enero </c:v>
                </c:pt>
                <c:pt idx="2">
                  <c:v>Febrero</c:v>
                </c:pt>
                <c:pt idx="3">
                  <c:v>Marzo</c:v>
                </c:pt>
                <c:pt idx="4">
                  <c:v>Abril</c:v>
                </c:pt>
                <c:pt idx="5">
                  <c:v>Mayo</c:v>
                </c:pt>
                <c:pt idx="6">
                  <c:v>Junio</c:v>
                </c:pt>
                <c:pt idx="7">
                  <c:v>Julio</c:v>
                </c:pt>
                <c:pt idx="8">
                  <c:v>Agosto</c:v>
                </c:pt>
                <c:pt idx="9">
                  <c:v>Septiembre</c:v>
                </c:pt>
                <c:pt idx="10">
                  <c:v>Octubre</c:v>
                </c:pt>
                <c:pt idx="11">
                  <c:v>Noviembre</c:v>
                </c:pt>
                <c:pt idx="12">
                  <c:v>Diciembre</c:v>
                </c:pt>
              </c:strCache>
            </c:strRef>
          </c:cat>
          <c:val>
            <c:numRef>
              <c:f>INDICADOR!$D$45:$P$45</c:f>
              <c:numCache>
                <c:formatCode>0%</c:formatCode>
                <c:ptCount val="1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2069-4AC7-882E-484A858CC47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635432704"/>
        <c:axId val="1635444672"/>
      </c:lineChart>
      <c:catAx>
        <c:axId val="1635432704"/>
        <c:scaling>
          <c:orientation val="minMax"/>
        </c:scaling>
        <c:delete val="0"/>
        <c:axPos val="b"/>
        <c:title>
          <c:overlay val="0"/>
        </c:title>
        <c:numFmt formatCode="General" sourceLinked="0"/>
        <c:majorTickMark val="out"/>
        <c:minorTickMark val="none"/>
        <c:tickLblPos val="nextTo"/>
        <c:crossAx val="1635444672"/>
        <c:crossesAt val="0"/>
        <c:auto val="1"/>
        <c:lblAlgn val="ctr"/>
        <c:lblOffset val="100"/>
        <c:noMultiLvlLbl val="0"/>
      </c:catAx>
      <c:valAx>
        <c:axId val="1635444672"/>
        <c:scaling>
          <c:orientation val="minMax"/>
          <c:max val="1.4"/>
          <c:min val="5.000000000000001E-2"/>
        </c:scaling>
        <c:delete val="0"/>
        <c:axPos val="l"/>
        <c:title>
          <c:overlay val="0"/>
        </c:title>
        <c:numFmt formatCode="0.00%" sourceLinked="0"/>
        <c:majorTickMark val="out"/>
        <c:minorTickMark val="none"/>
        <c:tickLblPos val="nextTo"/>
        <c:crossAx val="1635432704"/>
        <c:crosses val="autoZero"/>
        <c:crossBetween val="between"/>
        <c:majorUnit val="5.0000000000000017E-2"/>
      </c:valAx>
      <c:dTable>
        <c:showHorzBorder val="1"/>
        <c:showVertBorder val="1"/>
        <c:showOutline val="1"/>
        <c:showKeys val="1"/>
      </c:dTable>
    </c:plotArea>
    <c:plotVisOnly val="1"/>
    <c:dispBlanksAs val="gap"/>
    <c:showDLblsOverMax val="0"/>
  </c:chart>
  <c:spPr>
    <a:solidFill>
      <a:schemeClr val="lt1"/>
    </a:solidFill>
    <a:ln w="25400" cap="flat" cmpd="sng" algn="ctr">
      <a:solidFill>
        <a:schemeClr val="dk1"/>
      </a:solidFill>
      <a:prstDash val="solid"/>
    </a:ln>
    <a:effectLst/>
  </c:spPr>
  <c:txPr>
    <a:bodyPr/>
    <a:lstStyle/>
    <a:p>
      <a:pPr>
        <a:defRPr sz="1200" b="1">
          <a:solidFill>
            <a:schemeClr val="dk1"/>
          </a:solidFill>
          <a:latin typeface="+mn-lt"/>
          <a:ea typeface="+mn-ea"/>
          <a:cs typeface="+mn-cs"/>
        </a:defRPr>
      </a:pPr>
      <a:endParaRPr lang="es-CO"/>
    </a:p>
  </c:txPr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420053</xdr:colOff>
      <xdr:row>1</xdr:row>
      <xdr:rowOff>9525</xdr:rowOff>
    </xdr:from>
    <xdr:to>
      <xdr:col>0</xdr:col>
      <xdr:colOff>2913698</xdr:colOff>
      <xdr:row>1</xdr:row>
      <xdr:rowOff>1057275</xdr:rowOff>
    </xdr:to>
    <xdr:pic>
      <xdr:nvPicPr>
        <xdr:cNvPr id="4" name="Imagen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0053" y="28575"/>
          <a:ext cx="2493645" cy="1047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1045369</xdr:colOff>
          <xdr:row>72</xdr:row>
          <xdr:rowOff>278606</xdr:rowOff>
        </xdr:from>
        <xdr:to>
          <xdr:col>26</xdr:col>
          <xdr:colOff>1254919</xdr:colOff>
          <xdr:row>73</xdr:row>
          <xdr:rowOff>216694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1045369</xdr:colOff>
          <xdr:row>72</xdr:row>
          <xdr:rowOff>278606</xdr:rowOff>
        </xdr:from>
        <xdr:to>
          <xdr:col>26</xdr:col>
          <xdr:colOff>1254919</xdr:colOff>
          <xdr:row>73</xdr:row>
          <xdr:rowOff>216694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1045369</xdr:colOff>
          <xdr:row>72</xdr:row>
          <xdr:rowOff>278606</xdr:rowOff>
        </xdr:from>
        <xdr:to>
          <xdr:col>26</xdr:col>
          <xdr:colOff>1254919</xdr:colOff>
          <xdr:row>73</xdr:row>
          <xdr:rowOff>216694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1045369</xdr:colOff>
          <xdr:row>72</xdr:row>
          <xdr:rowOff>278606</xdr:rowOff>
        </xdr:from>
        <xdr:to>
          <xdr:col>26</xdr:col>
          <xdr:colOff>1254919</xdr:colOff>
          <xdr:row>73</xdr:row>
          <xdr:rowOff>216694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1045369</xdr:colOff>
          <xdr:row>72</xdr:row>
          <xdr:rowOff>278606</xdr:rowOff>
        </xdr:from>
        <xdr:to>
          <xdr:col>26</xdr:col>
          <xdr:colOff>1254919</xdr:colOff>
          <xdr:row>73</xdr:row>
          <xdr:rowOff>216694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246711</xdr:colOff>
      <xdr:row>78</xdr:row>
      <xdr:rowOff>107296</xdr:rowOff>
    </xdr:from>
    <xdr:to>
      <xdr:col>0</xdr:col>
      <xdr:colOff>3942536</xdr:colOff>
      <xdr:row>82</xdr:row>
      <xdr:rowOff>93505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6711" y="25194268"/>
          <a:ext cx="3695825" cy="14753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10884</xdr:colOff>
      <xdr:row>0</xdr:row>
      <xdr:rowOff>0</xdr:rowOff>
    </xdr:from>
    <xdr:to>
      <xdr:col>16</xdr:col>
      <xdr:colOff>76199</xdr:colOff>
      <xdr:row>35</xdr:row>
      <xdr:rowOff>63500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184668</xdr:colOff>
      <xdr:row>0</xdr:row>
      <xdr:rowOff>77755</xdr:rowOff>
    </xdr:from>
    <xdr:to>
      <xdr:col>1</xdr:col>
      <xdr:colOff>1521706</xdr:colOff>
      <xdr:row>2</xdr:row>
      <xdr:rowOff>231321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668" y="77755"/>
          <a:ext cx="2493645" cy="1047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C1:E8" totalsRowShown="0" headerRowDxfId="28" dataDxfId="27">
  <autoFilter ref="C1:E8" xr:uid="{00000000-0009-0000-0100-000001000000}"/>
  <tableColumns count="3">
    <tableColumn id="1" xr3:uid="{00000000-0010-0000-0000-000001000000}" name="HOSTING Y DOMINIO" dataDxfId="26"/>
    <tableColumn id="2" xr3:uid="{00000000-0010-0000-0000-000002000000}" name="PRECIO" dataDxfId="25" dataCellStyle="Moneda"/>
    <tableColumn id="3" xr3:uid="{00000000-0010-0000-0000-000003000000}" name="Columna1" dataDxfId="24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a2" displayName="Tabla2" ref="F1:J6" totalsRowShown="0" headerRowDxfId="23" dataDxfId="22">
  <autoFilter ref="F1:J6" xr:uid="{00000000-0009-0000-0100-000002000000}"/>
  <tableColumns count="5">
    <tableColumn id="1" xr3:uid="{00000000-0010-0000-0100-000001000000}" name="Capacitaciones" dataDxfId="21"/>
    <tableColumn id="2" xr3:uid="{00000000-0010-0000-0100-000002000000}" name="Vlr Cuota" dataDxfId="20" dataCellStyle="Moneda"/>
    <tableColumn id="3" xr3:uid="{00000000-0010-0000-0100-000003000000}" name="POR USUARIO" dataDxfId="19">
      <calculatedColumnFormula>Tabla2[[#This Row],[Vlr Cuota]]/2</calculatedColumnFormula>
    </tableColumn>
    <tableColumn id="4" xr3:uid="{00000000-0010-0000-0100-000004000000}" name="Columna1" dataDxfId="18"/>
    <tableColumn id="5" xr3:uid="{00000000-0010-0000-0100-000005000000}" name="Columna2" dataDxfId="17"/>
  </tableColumns>
  <tableStyleInfo name="TableStyleMedium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a3" displayName="Tabla3" ref="C10:E14" totalsRowShown="0" headerRowDxfId="16">
  <autoFilter ref="C10:E14" xr:uid="{00000000-0009-0000-0100-000003000000}"/>
  <tableColumns count="3">
    <tableColumn id="1" xr3:uid="{00000000-0010-0000-0200-000001000000}" name="RENTING 2024" dataDxfId="15"/>
    <tableColumn id="2" xr3:uid="{00000000-0010-0000-0200-000002000000}" name="PRECIO" dataDxfId="14" dataCellStyle="Moneda"/>
    <tableColumn id="3" xr3:uid="{00000000-0010-0000-0200-000003000000}" name="Columna1" dataDxfId="13"/>
  </tableColumns>
  <tableStyleInfo name="TableStyleMedium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a4" displayName="Tabla4" ref="F11:I12" totalsRowShown="0">
  <autoFilter ref="F11:I12" xr:uid="{00000000-0009-0000-0100-000004000000}"/>
  <tableColumns count="4">
    <tableColumn id="1" xr3:uid="{00000000-0010-0000-0300-000001000000}" name="EQUIPO"/>
    <tableColumn id="2" xr3:uid="{00000000-0010-0000-0300-000002000000}" name="CANTIDAD"/>
    <tableColumn id="3" xr3:uid="{00000000-0010-0000-0300-000003000000}" name="VALOR" dataCellStyle="Moneda"/>
    <tableColumn id="4" xr3:uid="{00000000-0010-0000-0300-000004000000}" name="X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a5" displayName="Tabla5" ref="F14:I17" totalsRowShown="0" headerRowDxfId="12">
  <autoFilter ref="F14:I17" xr:uid="{00000000-0009-0000-0100-000005000000}"/>
  <tableColumns count="4">
    <tableColumn id="1" xr3:uid="{00000000-0010-0000-0400-000001000000}" name="SERVICIOS FIJOS MENSUALES"/>
    <tableColumn id="2" xr3:uid="{00000000-0010-0000-0400-000002000000}" name="VALOR"/>
    <tableColumn id="3" xr3:uid="{00000000-0010-0000-0400-000003000000}" name="Columna1"/>
    <tableColumn id="4" xr3:uid="{00000000-0010-0000-0400-000004000000}" name="Columna2"/>
  </tableColumns>
  <tableStyleInfo name="TableStyleMedium1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a6" displayName="Tabla6" ref="C16:E22" totalsRowShown="0" headerRowDxfId="11">
  <autoFilter ref="C16:E22" xr:uid="{00000000-0009-0000-0100-000006000000}"/>
  <tableColumns count="3">
    <tableColumn id="1" xr3:uid="{00000000-0010-0000-0500-000001000000}" name="UPS"/>
    <tableColumn id="2" xr3:uid="{00000000-0010-0000-0500-000002000000}" name="VALOR" dataDxfId="10" dataCellStyle="Moneda"/>
    <tableColumn id="3" xr3:uid="{00000000-0010-0000-0500-000003000000}" name="Columna1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a7" displayName="Tabla7" ref="F19:H22" totalsRowShown="0" headerRowDxfId="9">
  <autoFilter ref="F19:H22" xr:uid="{00000000-0009-0000-0100-000007000000}"/>
  <tableColumns count="3">
    <tableColumn id="1" xr3:uid="{00000000-0010-0000-0600-000001000000}" name="ANTIVIRUS Y FORTIGATE"/>
    <tableColumn id="2" xr3:uid="{00000000-0010-0000-0600-000002000000}" name="VALOR"/>
    <tableColumn id="3" xr3:uid="{00000000-0010-0000-0600-000003000000}" name="Columna1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a8" displayName="Tabla8" ref="J10:L14" totalsRowShown="0" headerRowDxfId="8" dataDxfId="7">
  <autoFilter ref="J10:L14" xr:uid="{00000000-0009-0000-0100-000008000000}"/>
  <tableColumns count="3">
    <tableColumn id="1" xr3:uid="{00000000-0010-0000-0700-000001000000}" name="Dispositivo" dataDxfId="6"/>
    <tableColumn id="2" xr3:uid="{00000000-0010-0000-0700-000002000000}" name="Valor" dataDxfId="5" dataCellStyle="Moneda"/>
    <tableColumn id="3" xr3:uid="{00000000-0010-0000-0700-000003000000}" name="Columna1" dataDxfId="4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a9" displayName="Tabla9" ref="C23:E26" totalsRowShown="0">
  <autoFilter ref="C23:E26" xr:uid="{00000000-0009-0000-0100-000009000000}"/>
  <tableColumns count="3">
    <tableColumn id="1" xr3:uid="{00000000-0010-0000-0800-000001000000}" name="ROUTER ARAÑA"/>
    <tableColumn id="2" xr3:uid="{00000000-0010-0000-0800-000002000000}" name="VALOR" dataDxfId="3"/>
    <tableColumn id="3" xr3:uid="{00000000-0010-0000-0800-000003000000}" name="Columna1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la10" displayName="Tabla10" ref="A29:E32" totalsRowShown="0">
  <autoFilter ref="A29:E32" xr:uid="{00000000-0009-0000-0100-00000A000000}"/>
  <tableColumns count="5">
    <tableColumn id="1" xr3:uid="{00000000-0010-0000-0900-000001000000}" name="58 A"/>
    <tableColumn id="2" xr3:uid="{00000000-0010-0000-0900-000002000000}" name="78A"/>
    <tableColumn id="3" xr3:uid="{00000000-0010-0000-0900-000003000000}" name="INSUMOS IMPRESORAS"/>
    <tableColumn id="4" xr3:uid="{00000000-0010-0000-0900-000004000000}" name="VALOR" dataDxfId="2">
      <calculatedColumnFormula>A29*5+B29*5</calculatedColumnFormula>
    </tableColumn>
    <tableColumn id="5" xr3:uid="{00000000-0010-0000-0900-000005000000}" name="LISTO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abla11" displayName="Tabla11" ref="C34:E35" totalsRowShown="0">
  <autoFilter ref="C34:E35" xr:uid="{00000000-0009-0000-0100-00000B000000}"/>
  <tableColumns count="3">
    <tableColumn id="1" xr3:uid="{00000000-0010-0000-0A00-000001000000}" name="TV"/>
    <tableColumn id="2" xr3:uid="{00000000-0010-0000-0A00-000002000000}" name="VALOR" dataDxfId="1" dataCellStyle="Moneda [0]"/>
    <tableColumn id="3" xr3:uid="{00000000-0010-0000-0A00-000003000000}" name="LISTO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Tabla12" displayName="Tabla12" ref="C38:E50" totalsRowShown="0">
  <autoFilter ref="C38:E50" xr:uid="{00000000-0009-0000-0100-00000C000000}"/>
  <tableColumns count="3">
    <tableColumn id="1" xr3:uid="{00000000-0010-0000-0B00-000001000000}" name="Imprevistos y herramientas"/>
    <tableColumn id="2" xr3:uid="{00000000-0010-0000-0B00-000002000000}" name="VALOR" dataDxfId="0"/>
    <tableColumn id="3" xr3:uid="{00000000-0010-0000-0B00-000003000000}" name="LISTO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Tabla13" displayName="Tabla13" ref="G24:I26" totalsRowShown="0">
  <autoFilter ref="G24:I26" xr:uid="{00000000-0009-0000-0100-00000D000000}"/>
  <tableColumns count="3">
    <tableColumn id="1" xr3:uid="{00000000-0010-0000-0C00-000001000000}" name="LICENCIAS VITALICIAS"/>
    <tableColumn id="2" xr3:uid="{00000000-0010-0000-0C00-000002000000}" name="VALOR" dataCellStyle="Moneda [0]"/>
    <tableColumn id="3" xr3:uid="{00000000-0010-0000-0C00-000003000000}" name="LIST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comments" Target="../comments1.xml"/><Relationship Id="rId5" Type="http://schemas.openxmlformats.org/officeDocument/2006/relationships/image" Target="../media/image1.emf"/><Relationship Id="rId10" Type="http://schemas.openxmlformats.org/officeDocument/2006/relationships/control" Target="../activeX/activeX5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4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13" Type="http://schemas.openxmlformats.org/officeDocument/2006/relationships/table" Target="../tables/table13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AD104"/>
  <sheetViews>
    <sheetView tabSelected="1" topLeftCell="P71" zoomScale="62" zoomScaleNormal="62" zoomScaleSheetLayoutView="50" zoomScalePageLayoutView="75" workbookViewId="0">
      <selection activeCell="AA71" sqref="AA71:AA72"/>
    </sheetView>
  </sheetViews>
  <sheetFormatPr baseColWidth="10" defaultColWidth="10.875" defaultRowHeight="18" outlineLevelRow="1"/>
  <cols>
    <col min="1" max="1" width="67.5" style="70" bestFit="1" customWidth="1"/>
    <col min="2" max="20" width="16.625" style="70" customWidth="1"/>
    <col min="21" max="21" width="16.625" style="159" customWidth="1"/>
    <col min="22" max="23" width="16.625" style="70" customWidth="1"/>
    <col min="24" max="24" width="16.375" style="70" bestFit="1" customWidth="1"/>
    <col min="25" max="25" width="16.625" style="70" customWidth="1"/>
    <col min="26" max="27" width="18.5" style="70" customWidth="1"/>
    <col min="28" max="28" width="10.875" style="70"/>
    <col min="29" max="29" width="47.25" style="70" bestFit="1" customWidth="1"/>
    <col min="30" max="30" width="18.375" style="71" bestFit="1" customWidth="1"/>
    <col min="31" max="16384" width="10.875" style="70"/>
  </cols>
  <sheetData>
    <row r="1" spans="1:30" ht="2.1" customHeight="1" thickBot="1"/>
    <row r="2" spans="1:30" ht="88.5" customHeight="1" thickBot="1">
      <c r="A2" s="166" t="s">
        <v>0</v>
      </c>
      <c r="B2" s="167"/>
      <c r="C2" s="167"/>
      <c r="D2" s="167"/>
      <c r="E2" s="167"/>
      <c r="F2" s="167"/>
      <c r="G2" s="167"/>
      <c r="H2" s="167"/>
      <c r="I2" s="167"/>
      <c r="J2" s="167"/>
      <c r="K2" s="167"/>
      <c r="L2" s="167"/>
      <c r="M2" s="167"/>
      <c r="N2" s="167"/>
      <c r="O2" s="167"/>
      <c r="P2" s="167"/>
      <c r="Q2" s="167"/>
      <c r="R2" s="167"/>
      <c r="S2" s="167"/>
      <c r="T2" s="167"/>
      <c r="U2" s="167"/>
      <c r="V2" s="167"/>
      <c r="W2" s="167"/>
      <c r="X2" s="167"/>
      <c r="Y2" s="167"/>
      <c r="Z2" s="167"/>
      <c r="AA2" s="168"/>
    </row>
    <row r="3" spans="1:30" ht="42.75" customHeight="1" thickBot="1">
      <c r="A3" s="169" t="s">
        <v>1</v>
      </c>
      <c r="B3" s="170"/>
      <c r="C3" s="170"/>
      <c r="D3" s="170"/>
      <c r="E3" s="171"/>
      <c r="F3" s="172" t="s">
        <v>93</v>
      </c>
      <c r="G3" s="170"/>
      <c r="H3" s="170"/>
      <c r="I3" s="170"/>
      <c r="J3" s="170"/>
      <c r="K3" s="170"/>
      <c r="L3" s="173" t="s">
        <v>94</v>
      </c>
      <c r="M3" s="170"/>
      <c r="N3" s="170"/>
      <c r="O3" s="170"/>
      <c r="P3" s="170"/>
      <c r="Q3" s="171"/>
      <c r="R3" s="170" t="s">
        <v>2</v>
      </c>
      <c r="S3" s="170"/>
      <c r="T3" s="170"/>
      <c r="U3" s="170"/>
      <c r="V3" s="170"/>
      <c r="W3" s="177" t="s">
        <v>3</v>
      </c>
      <c r="X3" s="178"/>
      <c r="Y3" s="178"/>
      <c r="Z3" s="178"/>
      <c r="AA3" s="179"/>
    </row>
    <row r="4" spans="1:30" ht="48.75" customHeight="1" thickBot="1">
      <c r="A4" s="169" t="s">
        <v>92</v>
      </c>
      <c r="B4" s="170"/>
      <c r="C4" s="170"/>
      <c r="D4" s="170"/>
      <c r="E4" s="171"/>
      <c r="F4" s="174">
        <v>40496</v>
      </c>
      <c r="G4" s="175"/>
      <c r="H4" s="175"/>
      <c r="I4" s="175"/>
      <c r="J4" s="175"/>
      <c r="K4" s="176"/>
      <c r="L4" s="174">
        <v>43614</v>
      </c>
      <c r="M4" s="175"/>
      <c r="N4" s="175"/>
      <c r="O4" s="175"/>
      <c r="P4" s="175"/>
      <c r="Q4" s="176"/>
      <c r="R4" s="170">
        <v>4</v>
      </c>
      <c r="S4" s="170"/>
      <c r="T4" s="170"/>
      <c r="U4" s="170"/>
      <c r="V4" s="170"/>
      <c r="W4" s="169" t="s">
        <v>4</v>
      </c>
      <c r="X4" s="170"/>
      <c r="Y4" s="170"/>
      <c r="Z4" s="170"/>
      <c r="AA4" s="171"/>
    </row>
    <row r="5" spans="1:30" ht="12.95" customHeight="1" thickBot="1">
      <c r="A5" s="165"/>
      <c r="B5" s="165"/>
      <c r="C5" s="165"/>
      <c r="D5" s="165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5"/>
      <c r="U5" s="165"/>
      <c r="V5" s="165"/>
      <c r="W5" s="165"/>
      <c r="X5" s="165"/>
      <c r="Y5" s="165"/>
      <c r="Z5" s="165"/>
      <c r="AA5" s="165"/>
    </row>
    <row r="6" spans="1:30" ht="32.25" customHeight="1" thickBot="1">
      <c r="A6" s="72" t="s">
        <v>96</v>
      </c>
      <c r="B6" s="183"/>
      <c r="C6" s="184"/>
      <c r="D6" s="184"/>
      <c r="E6" s="184"/>
      <c r="F6" s="184"/>
      <c r="G6" s="185"/>
      <c r="K6" s="186" t="s">
        <v>97</v>
      </c>
      <c r="L6" s="187"/>
      <c r="M6" s="183"/>
      <c r="N6" s="184"/>
      <c r="O6" s="184"/>
      <c r="P6" s="184"/>
      <c r="Q6" s="185"/>
      <c r="U6" s="186" t="s">
        <v>98</v>
      </c>
      <c r="V6" s="187"/>
      <c r="W6" s="183"/>
      <c r="X6" s="184"/>
      <c r="Y6" s="184"/>
      <c r="Z6" s="184"/>
      <c r="AA6" s="185"/>
    </row>
    <row r="7" spans="1:30" ht="17.25" customHeight="1" thickBot="1">
      <c r="A7" s="72"/>
      <c r="B7" s="73"/>
      <c r="C7" s="73"/>
      <c r="D7" s="73"/>
      <c r="E7" s="73"/>
      <c r="F7" s="73"/>
      <c r="G7" s="73"/>
      <c r="K7" s="74"/>
      <c r="L7" s="74"/>
      <c r="M7" s="73"/>
      <c r="N7" s="73"/>
      <c r="O7" s="73"/>
      <c r="P7" s="73"/>
      <c r="Q7" s="73"/>
      <c r="U7" s="160"/>
      <c r="V7" s="74"/>
      <c r="W7" s="73"/>
      <c r="X7" s="73"/>
      <c r="Y7" s="73"/>
      <c r="Z7" s="75"/>
      <c r="AA7" s="76"/>
    </row>
    <row r="8" spans="1:30" ht="60" customHeight="1" thickBot="1">
      <c r="A8" s="77" t="s">
        <v>5</v>
      </c>
      <c r="B8" s="78" t="s">
        <v>6</v>
      </c>
      <c r="C8" s="79" t="s">
        <v>7</v>
      </c>
      <c r="D8" s="80" t="s">
        <v>8</v>
      </c>
      <c r="E8" s="79" t="s">
        <v>9</v>
      </c>
      <c r="F8" s="80" t="s">
        <v>10</v>
      </c>
      <c r="G8" s="79" t="s">
        <v>11</v>
      </c>
      <c r="H8" s="80" t="s">
        <v>12</v>
      </c>
      <c r="I8" s="79" t="s">
        <v>13</v>
      </c>
      <c r="J8" s="80" t="s">
        <v>14</v>
      </c>
      <c r="K8" s="79" t="s">
        <v>15</v>
      </c>
      <c r="L8" s="80" t="s">
        <v>16</v>
      </c>
      <c r="M8" s="79" t="s">
        <v>17</v>
      </c>
      <c r="N8" s="80" t="s">
        <v>18</v>
      </c>
      <c r="O8" s="79" t="s">
        <v>19</v>
      </c>
      <c r="P8" s="80" t="s">
        <v>20</v>
      </c>
      <c r="Q8" s="79" t="s">
        <v>21</v>
      </c>
      <c r="R8" s="80" t="s">
        <v>22</v>
      </c>
      <c r="S8" s="79" t="s">
        <v>23</v>
      </c>
      <c r="T8" s="80" t="s">
        <v>24</v>
      </c>
      <c r="U8" s="161" t="s">
        <v>25</v>
      </c>
      <c r="V8" s="80" t="s">
        <v>26</v>
      </c>
      <c r="W8" s="79" t="s">
        <v>27</v>
      </c>
      <c r="X8" s="80" t="s">
        <v>28</v>
      </c>
      <c r="Y8" s="79" t="s">
        <v>29</v>
      </c>
      <c r="Z8" s="81" t="s">
        <v>30</v>
      </c>
      <c r="AA8" s="82" t="s">
        <v>31</v>
      </c>
    </row>
    <row r="9" spans="1:30" s="87" customFormat="1" ht="24.75" customHeight="1">
      <c r="A9" s="83" t="s">
        <v>32</v>
      </c>
      <c r="B9" s="84">
        <f>SUM(B10:B13)</f>
        <v>5388172.985106932</v>
      </c>
      <c r="C9" s="84">
        <f>SUM(C10:C13)</f>
        <v>4997659</v>
      </c>
      <c r="D9" s="84">
        <f t="shared" ref="D9:Y9" si="0">SUM(D10:D13)</f>
        <v>5388172.985106932</v>
      </c>
      <c r="E9" s="84">
        <f t="shared" si="0"/>
        <v>4899190</v>
      </c>
      <c r="F9" s="84">
        <f t="shared" si="0"/>
        <v>5388172.985106932</v>
      </c>
      <c r="G9" s="84">
        <f t="shared" si="0"/>
        <v>6443435</v>
      </c>
      <c r="H9" s="84">
        <f t="shared" si="0"/>
        <v>5388172.985106932</v>
      </c>
      <c r="I9" s="84">
        <f t="shared" si="0"/>
        <v>5415791</v>
      </c>
      <c r="J9" s="84">
        <f t="shared" si="0"/>
        <v>5063422.985106932</v>
      </c>
      <c r="K9" s="84">
        <f t="shared" si="0"/>
        <v>5091042</v>
      </c>
      <c r="L9" s="84">
        <f t="shared" si="0"/>
        <v>5063422.985106932</v>
      </c>
      <c r="M9" s="84">
        <f t="shared" si="0"/>
        <v>5091042</v>
      </c>
      <c r="N9" s="84">
        <f t="shared" si="0"/>
        <v>3025063.3518613754</v>
      </c>
      <c r="O9" s="84">
        <f t="shared" si="0"/>
        <v>5091041</v>
      </c>
      <c r="P9" s="84">
        <f t="shared" si="0"/>
        <v>3025063.3518613754</v>
      </c>
      <c r="Q9" s="84">
        <f t="shared" si="0"/>
        <v>4769335</v>
      </c>
      <c r="R9" s="84">
        <f t="shared" si="0"/>
        <v>3025063.3518613754</v>
      </c>
      <c r="S9" s="84">
        <f t="shared" si="0"/>
        <v>5089242</v>
      </c>
      <c r="T9" s="84">
        <f t="shared" si="0"/>
        <v>3025063.3518613754</v>
      </c>
      <c r="U9" s="84">
        <f>SUM(U10:U13)</f>
        <v>5093780</v>
      </c>
      <c r="V9" s="84">
        <f t="shared" si="0"/>
        <v>3025063.3518613754</v>
      </c>
      <c r="W9" s="84">
        <f t="shared" si="0"/>
        <v>5094734</v>
      </c>
      <c r="X9" s="84">
        <f t="shared" si="0"/>
        <v>3025063.3518613754</v>
      </c>
      <c r="Y9" s="84">
        <f t="shared" si="0"/>
        <v>0</v>
      </c>
      <c r="Z9" s="85">
        <f>SUM(Z10:Z13)</f>
        <v>49829918.021809831</v>
      </c>
      <c r="AA9" s="86">
        <f>SUM(AA10:AA13)</f>
        <v>57076291</v>
      </c>
      <c r="AD9" s="88"/>
    </row>
    <row r="10" spans="1:30" ht="24.95" customHeight="1" outlineLevel="1">
      <c r="A10" s="89" t="s">
        <v>33</v>
      </c>
      <c r="B10" s="90">
        <f>'Anexo 1 Calculo Salarios'!I17</f>
        <v>3733003.9383</v>
      </c>
      <c r="C10" s="90">
        <v>3251867</v>
      </c>
      <c r="D10" s="90">
        <f>B10</f>
        <v>3733003.9383</v>
      </c>
      <c r="E10" s="90">
        <f>2938667+313200+101333</f>
        <v>3353200</v>
      </c>
      <c r="F10" s="90">
        <f>D10</f>
        <v>3733003.9383</v>
      </c>
      <c r="G10" s="90">
        <f>4147011+324000</f>
        <v>4471011</v>
      </c>
      <c r="H10" s="90">
        <f>F10</f>
        <v>3733003.9383</v>
      </c>
      <c r="I10" s="90">
        <f>3364152+318600</f>
        <v>3682752</v>
      </c>
      <c r="J10" s="90">
        <f>H10</f>
        <v>3733003.9383</v>
      </c>
      <c r="K10" s="90">
        <f>3340222+318600+68782</f>
        <v>3727604</v>
      </c>
      <c r="L10" s="90">
        <f>J10</f>
        <v>3733003.9383</v>
      </c>
      <c r="M10" s="90">
        <f>3340222+318600+68782</f>
        <v>3727604</v>
      </c>
      <c r="N10" s="90">
        <f>L10-'Anexo 1 Calculo Salarios'!I18</f>
        <v>2225472.2332000001</v>
      </c>
      <c r="O10" s="90">
        <f>3364152+318600+44851</f>
        <v>3727603</v>
      </c>
      <c r="P10" s="90">
        <f>N10</f>
        <v>2225472.2332000001</v>
      </c>
      <c r="Q10" s="90">
        <f>2882675+280800+206347+44851</f>
        <v>3414673</v>
      </c>
      <c r="R10" s="90">
        <f>P10</f>
        <v>2225472.2332000001</v>
      </c>
      <c r="S10" s="90">
        <f>3364152+44852+318600</f>
        <v>3727604</v>
      </c>
      <c r="T10" s="90">
        <f>R10</f>
        <v>2225472.2332000001</v>
      </c>
      <c r="U10" s="162">
        <f>3409004+302400+21600</f>
        <v>3733004</v>
      </c>
      <c r="V10" s="90">
        <f>T10</f>
        <v>2225472.2332000001</v>
      </c>
      <c r="W10" s="90">
        <f>3409004+307800+16200</f>
        <v>3733004</v>
      </c>
      <c r="X10" s="90">
        <f>V10</f>
        <v>2225472.2332000001</v>
      </c>
      <c r="Y10" s="90">
        <v>0</v>
      </c>
      <c r="Z10" s="91">
        <f>+B10+D10+F10+H10+J10+L10+N10+P10+R10+T10+V10+X10</f>
        <v>35750857.028999992</v>
      </c>
      <c r="AA10" s="92">
        <f>+C10+E10+G10+I10+K10+M10+O10+Q10+S10+U10+W10+Y10</f>
        <v>40549926</v>
      </c>
    </row>
    <row r="11" spans="1:30" ht="24.95" customHeight="1" outlineLevel="1">
      <c r="A11" s="89" t="s">
        <v>85</v>
      </c>
      <c r="B11" s="90">
        <f>'Anexo 1 Calculo Salarios'!J13+'Anexo 1 Calculo Salarios'!K13+'Anexo 1 Calculo Salarios'!L13+'Anexo 1 Calculo Salarios'!J14+'Anexo 1 Calculo Salarios'!K14+'Anexo 1 Calculo Salarios'!L14</f>
        <v>563235.55362731789</v>
      </c>
      <c r="C11" s="90">
        <v>502200</v>
      </c>
      <c r="D11" s="90">
        <f>B11</f>
        <v>563235.55362731789</v>
      </c>
      <c r="E11" s="90">
        <f>15400+200+365000+121800</f>
        <v>502400</v>
      </c>
      <c r="F11" s="90">
        <f>D11</f>
        <v>563235.55362731789</v>
      </c>
      <c r="G11" s="90">
        <v>685300</v>
      </c>
      <c r="H11" s="90">
        <f>F11</f>
        <v>563235.55362731789</v>
      </c>
      <c r="I11" s="90">
        <f>17600+409000+136500</f>
        <v>563100</v>
      </c>
      <c r="J11" s="90">
        <f>H11</f>
        <v>563235.55362731789</v>
      </c>
      <c r="K11" s="90">
        <f>17600+409000+136500</f>
        <v>563100</v>
      </c>
      <c r="L11" s="90">
        <f>J11</f>
        <v>563235.55362731789</v>
      </c>
      <c r="M11" s="90">
        <f>17600+409000+136500</f>
        <v>563100</v>
      </c>
      <c r="N11" s="90">
        <f>L11-'Anexo 1 Calculo Salarios'!L18</f>
        <v>340926.84383999987</v>
      </c>
      <c r="O11" s="90">
        <f>17600+409000+136500</f>
        <v>563100</v>
      </c>
      <c r="P11" s="90">
        <f>N11</f>
        <v>340926.84383999987</v>
      </c>
      <c r="Q11" s="90">
        <f>15100+100+409200+136600</f>
        <v>561000</v>
      </c>
      <c r="R11" s="90">
        <f>P11</f>
        <v>340926.84383999987</v>
      </c>
      <c r="S11" s="90">
        <f>310510+37276+310510+142042</f>
        <v>800338</v>
      </c>
      <c r="T11" s="90">
        <f>R11</f>
        <v>340926.84383999987</v>
      </c>
      <c r="U11" s="162">
        <f>17900+408900+136500</f>
        <v>563300</v>
      </c>
      <c r="V11" s="90">
        <f>T11</f>
        <v>340926.84383999987</v>
      </c>
      <c r="W11" s="90">
        <f>17900+408900+136500</f>
        <v>563300</v>
      </c>
      <c r="X11" s="90">
        <f>V11</f>
        <v>340926.84383999987</v>
      </c>
      <c r="Y11" s="90">
        <v>0</v>
      </c>
      <c r="Z11" s="91">
        <f>+B11+D11+F11+H11+J11+L11+N11+P11+R11+T11+V11+X11</f>
        <v>5424974.384803907</v>
      </c>
      <c r="AA11" s="92">
        <f t="shared" ref="AA11:AA42" si="1">+C11+E11+G11+I11+K11+M11+O11+Q11+S11+U11+W11+Y11</f>
        <v>6430238</v>
      </c>
    </row>
    <row r="12" spans="1:30" ht="24.95" customHeight="1" outlineLevel="1">
      <c r="A12" s="89" t="s">
        <v>34</v>
      </c>
      <c r="B12" s="90">
        <f>'Anexo 1 Calculo Salarios'!M13+'Anexo 1 Calculo Salarios'!N13+'Anexo 1 Calculo Salarios'!O13+'Anexo 1 Calculo Salarios'!P13+'Anexo 1 Calculo Salarios'!M14+'Anexo 1 Calculo Salarios'!N14+'Anexo 1 Calculo Salarios'!O14+'Anexo 1 Calculo Salarios'!P14</f>
        <v>767183.49317961396</v>
      </c>
      <c r="C12" s="90">
        <v>718842</v>
      </c>
      <c r="D12" s="90">
        <f>B12</f>
        <v>767183.49317961396</v>
      </c>
      <c r="E12" s="90">
        <f>33532+279320+279320+126668</f>
        <v>718840</v>
      </c>
      <c r="F12" s="90">
        <f>D12</f>
        <v>767183.49317961396</v>
      </c>
      <c r="G12" s="90">
        <v>962374</v>
      </c>
      <c r="H12" s="90">
        <f>F12</f>
        <v>767183.49317961396</v>
      </c>
      <c r="I12" s="90">
        <f>310510+37276+310510+142042</f>
        <v>800338</v>
      </c>
      <c r="J12" s="90">
        <f>H12</f>
        <v>767183.49317961396</v>
      </c>
      <c r="K12" s="90">
        <f>310510+37276+310510+142042</f>
        <v>800338</v>
      </c>
      <c r="L12" s="90">
        <f>J12</f>
        <v>767183.49317961396</v>
      </c>
      <c r="M12" s="90">
        <f>310510+37276+310510+142042</f>
        <v>800338</v>
      </c>
      <c r="N12" s="90">
        <f>L12-'Anexo 1 Calculo Salarios'!P18</f>
        <v>458664.27482137567</v>
      </c>
      <c r="O12" s="90">
        <f>310510+37276+310510+142042</f>
        <v>800338</v>
      </c>
      <c r="P12" s="90">
        <f>N12</f>
        <v>458664.27482137567</v>
      </c>
      <c r="Q12" s="90">
        <f>307361+36898+307361+142042</f>
        <v>793662</v>
      </c>
      <c r="R12" s="90">
        <f>P12</f>
        <v>458664.27482137567</v>
      </c>
      <c r="S12" s="90">
        <f>17600+409000+134700</f>
        <v>561300</v>
      </c>
      <c r="T12" s="90">
        <f>R12</f>
        <v>458664.27482137567</v>
      </c>
      <c r="U12" s="162">
        <f>309160+37114+309160+142042</f>
        <v>797476</v>
      </c>
      <c r="V12" s="90">
        <f>T12</f>
        <v>458664.27482137567</v>
      </c>
      <c r="W12" s="90">
        <f>309610+37168+309610+142042</f>
        <v>798430</v>
      </c>
      <c r="X12" s="90">
        <f>V12</f>
        <v>458664.27482137567</v>
      </c>
      <c r="Y12" s="90">
        <v>0</v>
      </c>
      <c r="Z12" s="91">
        <f>+B12+D12+F12+H12+J12+L12+N12+P12+R12+T12+V12+X12</f>
        <v>7355086.6080059363</v>
      </c>
      <c r="AA12" s="92">
        <f t="shared" si="1"/>
        <v>8552276</v>
      </c>
    </row>
    <row r="13" spans="1:30" ht="24.95" customHeight="1" outlineLevel="1">
      <c r="A13" s="89" t="s">
        <v>84</v>
      </c>
      <c r="B13" s="90">
        <f>'DETALLADO GASTOS'!G2</f>
        <v>324750</v>
      </c>
      <c r="C13" s="90">
        <v>524750</v>
      </c>
      <c r="D13" s="93">
        <f>'DETALLADO GASTOS'!G3</f>
        <v>324750</v>
      </c>
      <c r="E13" s="90">
        <v>324750</v>
      </c>
      <c r="F13" s="93">
        <f>D13</f>
        <v>324750</v>
      </c>
      <c r="G13" s="90">
        <v>324750</v>
      </c>
      <c r="H13" s="93">
        <f>F13</f>
        <v>324750</v>
      </c>
      <c r="I13" s="90">
        <f>324750+44851</f>
        <v>369601</v>
      </c>
      <c r="J13" s="93">
        <v>0</v>
      </c>
      <c r="K13" s="90">
        <v>0</v>
      </c>
      <c r="L13" s="93">
        <v>0</v>
      </c>
      <c r="M13" s="90">
        <v>0</v>
      </c>
      <c r="N13" s="93">
        <v>0</v>
      </c>
      <c r="O13" s="90">
        <v>0</v>
      </c>
      <c r="P13" s="93">
        <v>0</v>
      </c>
      <c r="Q13" s="90">
        <v>0</v>
      </c>
      <c r="R13" s="93">
        <v>0</v>
      </c>
      <c r="S13" s="90">
        <v>0</v>
      </c>
      <c r="T13" s="93">
        <v>0</v>
      </c>
      <c r="U13" s="162">
        <v>0</v>
      </c>
      <c r="V13" s="93">
        <v>0</v>
      </c>
      <c r="W13" s="90">
        <v>0</v>
      </c>
      <c r="X13" s="90">
        <f>SUM(X14:X19)</f>
        <v>0</v>
      </c>
      <c r="Y13" s="90">
        <v>0</v>
      </c>
      <c r="Z13" s="91">
        <f>+B13+D13+F13+H13+J13+L13+N13+P13+R13+T13+V13+X13</f>
        <v>1299000</v>
      </c>
      <c r="AA13" s="92">
        <f t="shared" si="1"/>
        <v>1543851</v>
      </c>
      <c r="AD13" s="70"/>
    </row>
    <row r="14" spans="1:30" s="87" customFormat="1" ht="24.95" customHeight="1">
      <c r="A14" s="94" t="s">
        <v>35</v>
      </c>
      <c r="B14" s="95">
        <f>SUM(B15)</f>
        <v>0</v>
      </c>
      <c r="C14" s="95">
        <f t="shared" ref="C14:Y14" si="2">SUM(C15)</f>
        <v>0</v>
      </c>
      <c r="D14" s="95">
        <f t="shared" si="2"/>
        <v>0</v>
      </c>
      <c r="E14" s="95">
        <f t="shared" si="2"/>
        <v>0</v>
      </c>
      <c r="F14" s="95">
        <f t="shared" si="2"/>
        <v>0</v>
      </c>
      <c r="G14" s="95">
        <f t="shared" si="2"/>
        <v>0</v>
      </c>
      <c r="H14" s="95">
        <f t="shared" si="2"/>
        <v>0</v>
      </c>
      <c r="I14" s="95">
        <f t="shared" si="2"/>
        <v>0</v>
      </c>
      <c r="J14" s="95">
        <f t="shared" si="2"/>
        <v>0</v>
      </c>
      <c r="K14" s="95">
        <f t="shared" si="2"/>
        <v>0</v>
      </c>
      <c r="L14" s="95">
        <f t="shared" si="2"/>
        <v>0</v>
      </c>
      <c r="M14" s="95">
        <f t="shared" si="2"/>
        <v>0</v>
      </c>
      <c r="N14" s="95">
        <f t="shared" si="2"/>
        <v>0</v>
      </c>
      <c r="O14" s="95">
        <f t="shared" si="2"/>
        <v>0</v>
      </c>
      <c r="P14" s="95">
        <f t="shared" si="2"/>
        <v>0</v>
      </c>
      <c r="Q14" s="95">
        <f t="shared" si="2"/>
        <v>0</v>
      </c>
      <c r="R14" s="95">
        <f t="shared" si="2"/>
        <v>0</v>
      </c>
      <c r="S14" s="95">
        <f t="shared" si="2"/>
        <v>0</v>
      </c>
      <c r="T14" s="95">
        <f t="shared" si="2"/>
        <v>0</v>
      </c>
      <c r="U14" s="95">
        <f t="shared" si="2"/>
        <v>0</v>
      </c>
      <c r="V14" s="95">
        <f t="shared" si="2"/>
        <v>0</v>
      </c>
      <c r="W14" s="95">
        <f t="shared" si="2"/>
        <v>0</v>
      </c>
      <c r="X14" s="95">
        <f t="shared" si="2"/>
        <v>0</v>
      </c>
      <c r="Y14" s="95">
        <f t="shared" si="2"/>
        <v>0</v>
      </c>
      <c r="Z14" s="96">
        <f>SUM(Z15)</f>
        <v>0</v>
      </c>
      <c r="AA14" s="97">
        <f>SUM(AA15)</f>
        <v>0</v>
      </c>
    </row>
    <row r="15" spans="1:30" ht="24.95" customHeight="1" outlineLevel="1">
      <c r="A15" s="89" t="s">
        <v>218</v>
      </c>
      <c r="B15" s="90"/>
      <c r="C15" s="90"/>
      <c r="D15" s="93"/>
      <c r="E15" s="90"/>
      <c r="F15" s="93"/>
      <c r="G15" s="90"/>
      <c r="H15" s="93"/>
      <c r="I15" s="90"/>
      <c r="J15" s="93"/>
      <c r="K15" s="90"/>
      <c r="L15" s="93"/>
      <c r="M15" s="90"/>
      <c r="N15" s="93"/>
      <c r="O15" s="90"/>
      <c r="P15" s="93"/>
      <c r="Q15" s="90"/>
      <c r="R15" s="93"/>
      <c r="S15" s="90"/>
      <c r="T15" s="93"/>
      <c r="U15" s="162"/>
      <c r="V15" s="93"/>
      <c r="W15" s="90"/>
      <c r="X15" s="90"/>
      <c r="Y15" s="90"/>
      <c r="Z15" s="91">
        <f t="shared" ref="Z15" si="3">+B15+D15+F15+H15+J15+L15+N15+P15+R15+T15+V15+X15</f>
        <v>0</v>
      </c>
      <c r="AA15" s="92">
        <f t="shared" ref="AA15" si="4">+C15+E15+G15+I15+K15+M15+O15+Q15+S15+U15+W15+Y15</f>
        <v>0</v>
      </c>
      <c r="AD15" s="70"/>
    </row>
    <row r="16" spans="1:30" s="87" customFormat="1" ht="24.95" customHeight="1">
      <c r="A16" s="94" t="s">
        <v>36</v>
      </c>
      <c r="B16" s="95">
        <f t="shared" ref="B16:W16" si="5">SUM(B17:B21)</f>
        <v>0</v>
      </c>
      <c r="C16" s="95">
        <f t="shared" si="5"/>
        <v>0</v>
      </c>
      <c r="D16" s="95">
        <f t="shared" si="5"/>
        <v>0</v>
      </c>
      <c r="E16" s="95">
        <f t="shared" si="5"/>
        <v>0</v>
      </c>
      <c r="F16" s="95">
        <f t="shared" si="5"/>
        <v>0</v>
      </c>
      <c r="G16" s="95">
        <f t="shared" si="5"/>
        <v>0</v>
      </c>
      <c r="H16" s="95">
        <f t="shared" si="5"/>
        <v>0</v>
      </c>
      <c r="I16" s="95">
        <f t="shared" si="5"/>
        <v>0</v>
      </c>
      <c r="J16" s="95">
        <f t="shared" si="5"/>
        <v>0</v>
      </c>
      <c r="K16" s="95">
        <f t="shared" si="5"/>
        <v>0</v>
      </c>
      <c r="L16" s="95">
        <f t="shared" si="5"/>
        <v>0</v>
      </c>
      <c r="M16" s="95">
        <f t="shared" si="5"/>
        <v>0</v>
      </c>
      <c r="N16" s="95">
        <f t="shared" si="5"/>
        <v>0</v>
      </c>
      <c r="O16" s="95">
        <f t="shared" si="5"/>
        <v>0</v>
      </c>
      <c r="P16" s="95">
        <f t="shared" si="5"/>
        <v>0</v>
      </c>
      <c r="Q16" s="95">
        <f t="shared" si="5"/>
        <v>0</v>
      </c>
      <c r="R16" s="95">
        <f t="shared" si="5"/>
        <v>0</v>
      </c>
      <c r="S16" s="95">
        <f t="shared" si="5"/>
        <v>0</v>
      </c>
      <c r="T16" s="95">
        <f t="shared" si="5"/>
        <v>0</v>
      </c>
      <c r="U16" s="95">
        <f t="shared" si="5"/>
        <v>0</v>
      </c>
      <c r="V16" s="95">
        <f t="shared" si="5"/>
        <v>0</v>
      </c>
      <c r="W16" s="95">
        <f t="shared" si="5"/>
        <v>0</v>
      </c>
      <c r="X16" s="95">
        <f>SUM(X17:X21)</f>
        <v>0</v>
      </c>
      <c r="Y16" s="98">
        <f>SUM(Y17:Y21)</f>
        <v>0</v>
      </c>
      <c r="Z16" s="96">
        <f>SUM(Z17:Z21)</f>
        <v>0</v>
      </c>
      <c r="AA16" s="97">
        <f>SUM(AA17:AA21)</f>
        <v>0</v>
      </c>
    </row>
    <row r="17" spans="1:30" ht="24.95" customHeight="1" outlineLevel="1">
      <c r="A17" s="89" t="s">
        <v>37</v>
      </c>
      <c r="B17" s="90"/>
      <c r="C17" s="93"/>
      <c r="D17" s="93"/>
      <c r="E17" s="93"/>
      <c r="F17" s="93"/>
      <c r="G17" s="93"/>
      <c r="H17" s="93"/>
      <c r="I17" s="93"/>
      <c r="J17" s="93"/>
      <c r="K17" s="93"/>
      <c r="L17" s="93"/>
      <c r="M17" s="93"/>
      <c r="N17" s="93"/>
      <c r="O17" s="93"/>
      <c r="P17" s="93"/>
      <c r="Q17" s="93"/>
      <c r="R17" s="93"/>
      <c r="S17" s="93"/>
      <c r="T17" s="93"/>
      <c r="U17" s="163"/>
      <c r="V17" s="93"/>
      <c r="W17" s="93"/>
      <c r="X17" s="93"/>
      <c r="Y17" s="99"/>
      <c r="Z17" s="91">
        <f t="shared" ref="Z17:Z42" si="6">+B17+D17+F17+H17+J17+L17+N17+P17+R17+T17+V17+X17</f>
        <v>0</v>
      </c>
      <c r="AA17" s="92">
        <f t="shared" si="1"/>
        <v>0</v>
      </c>
      <c r="AD17" s="70"/>
    </row>
    <row r="18" spans="1:30" ht="24.95" customHeight="1" outlineLevel="1">
      <c r="A18" s="89" t="s">
        <v>72</v>
      </c>
      <c r="B18" s="90"/>
      <c r="C18" s="93"/>
      <c r="D18" s="93"/>
      <c r="E18" s="93"/>
      <c r="F18" s="93"/>
      <c r="G18" s="93"/>
      <c r="H18" s="93"/>
      <c r="I18" s="93"/>
      <c r="J18" s="93"/>
      <c r="K18" s="93"/>
      <c r="L18" s="93"/>
      <c r="M18" s="93"/>
      <c r="N18" s="93"/>
      <c r="O18" s="93"/>
      <c r="P18" s="93"/>
      <c r="Q18" s="93"/>
      <c r="R18" s="93"/>
      <c r="S18" s="93"/>
      <c r="T18" s="93"/>
      <c r="U18" s="163"/>
      <c r="V18" s="93"/>
      <c r="W18" s="93"/>
      <c r="X18" s="93"/>
      <c r="Y18" s="99"/>
      <c r="Z18" s="91">
        <f t="shared" si="6"/>
        <v>0</v>
      </c>
      <c r="AA18" s="92">
        <f t="shared" si="1"/>
        <v>0</v>
      </c>
      <c r="AD18" s="70"/>
    </row>
    <row r="19" spans="1:30" ht="24.95" customHeight="1" outlineLevel="1">
      <c r="A19" s="89" t="s">
        <v>86</v>
      </c>
      <c r="B19" s="90"/>
      <c r="C19" s="93"/>
      <c r="D19" s="93"/>
      <c r="E19" s="93"/>
      <c r="F19" s="93"/>
      <c r="G19" s="93"/>
      <c r="H19" s="93"/>
      <c r="I19" s="93"/>
      <c r="J19" s="93"/>
      <c r="K19" s="93"/>
      <c r="L19" s="93"/>
      <c r="M19" s="93"/>
      <c r="N19" s="93"/>
      <c r="O19" s="93"/>
      <c r="P19" s="93"/>
      <c r="Q19" s="93"/>
      <c r="R19" s="93"/>
      <c r="S19" s="93"/>
      <c r="T19" s="93"/>
      <c r="U19" s="163"/>
      <c r="V19" s="93"/>
      <c r="W19" s="93"/>
      <c r="X19" s="93"/>
      <c r="Y19" s="99"/>
      <c r="Z19" s="91">
        <f t="shared" si="6"/>
        <v>0</v>
      </c>
      <c r="AA19" s="92">
        <f t="shared" si="1"/>
        <v>0</v>
      </c>
      <c r="AD19" s="70"/>
    </row>
    <row r="20" spans="1:30" ht="24.95" customHeight="1" outlineLevel="1">
      <c r="A20" s="89" t="s">
        <v>38</v>
      </c>
      <c r="B20" s="90"/>
      <c r="C20" s="93"/>
      <c r="D20" s="93"/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93"/>
      <c r="P20" s="93"/>
      <c r="Q20" s="93"/>
      <c r="R20" s="93"/>
      <c r="S20" s="93"/>
      <c r="T20" s="93"/>
      <c r="U20" s="163"/>
      <c r="V20" s="93"/>
      <c r="W20" s="93"/>
      <c r="X20" s="93"/>
      <c r="Y20" s="99"/>
      <c r="Z20" s="91">
        <f t="shared" si="6"/>
        <v>0</v>
      </c>
      <c r="AA20" s="92">
        <f t="shared" si="1"/>
        <v>0</v>
      </c>
      <c r="AD20" s="70"/>
    </row>
    <row r="21" spans="1:30" ht="24.95" customHeight="1" outlineLevel="1">
      <c r="A21" s="89" t="s">
        <v>39</v>
      </c>
      <c r="B21" s="90"/>
      <c r="C21" s="93"/>
      <c r="D21" s="93"/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163"/>
      <c r="V21" s="93"/>
      <c r="W21" s="93"/>
      <c r="X21" s="93"/>
      <c r="Y21" s="99"/>
      <c r="Z21" s="91">
        <f t="shared" si="6"/>
        <v>0</v>
      </c>
      <c r="AA21" s="92">
        <f t="shared" si="1"/>
        <v>0</v>
      </c>
      <c r="AD21" s="70"/>
    </row>
    <row r="22" spans="1:30" s="87" customFormat="1" ht="25.5" customHeight="1">
      <c r="A22" s="94" t="s">
        <v>40</v>
      </c>
      <c r="B22" s="95" cm="1">
        <f t="array" ref="B22">+Tabla4[VALOR]+'DETALLADO GASTOS'!D11</f>
        <v>1976665</v>
      </c>
      <c r="C22" s="95">
        <v>843494</v>
      </c>
      <c r="D22" s="95">
        <f>B22</f>
        <v>1976665</v>
      </c>
      <c r="E22" s="95">
        <v>1733206</v>
      </c>
      <c r="F22" s="95">
        <f>D22</f>
        <v>1976665</v>
      </c>
      <c r="G22" s="95">
        <v>1733206</v>
      </c>
      <c r="H22" s="95">
        <f>F22</f>
        <v>1976665</v>
      </c>
      <c r="I22" s="95">
        <v>1877052</v>
      </c>
      <c r="J22" s="95">
        <f>H22</f>
        <v>1976665</v>
      </c>
      <c r="K22" s="95">
        <f>1905822</f>
        <v>1905822</v>
      </c>
      <c r="L22" s="95">
        <f>J22+'DETALLADO GASTOS'!D12</f>
        <v>2220125</v>
      </c>
      <c r="M22" s="95">
        <f>1905822</f>
        <v>1905822</v>
      </c>
      <c r="N22" s="95">
        <f>L22</f>
        <v>2220125</v>
      </c>
      <c r="O22" s="95">
        <f>1905822</f>
        <v>1905822</v>
      </c>
      <c r="P22" s="95">
        <f>N22</f>
        <v>2220125</v>
      </c>
      <c r="Q22" s="95">
        <f>1905822</f>
        <v>1905822</v>
      </c>
      <c r="R22" s="95">
        <f>P22</f>
        <v>2220125</v>
      </c>
      <c r="S22" s="95">
        <f>1905822</f>
        <v>1905822</v>
      </c>
      <c r="T22" s="95">
        <f>R22</f>
        <v>2220125</v>
      </c>
      <c r="U22" s="95">
        <f>1905822</f>
        <v>1905822</v>
      </c>
      <c r="V22" s="95">
        <f>T22</f>
        <v>2220125</v>
      </c>
      <c r="W22" s="95">
        <f>1905822</f>
        <v>1905822</v>
      </c>
      <c r="X22" s="95">
        <f>V22</f>
        <v>2220125</v>
      </c>
      <c r="Y22" s="98">
        <v>0</v>
      </c>
      <c r="Z22" s="96">
        <f t="shared" si="6"/>
        <v>25424200</v>
      </c>
      <c r="AA22" s="97">
        <f>+C22+E22+G22+I22+K22+M22+O22+Q22+S22+U22+W22+Y22</f>
        <v>19527712</v>
      </c>
    </row>
    <row r="23" spans="1:30" ht="24.95" customHeight="1">
      <c r="A23" s="94" t="s">
        <v>41</v>
      </c>
      <c r="B23" s="100">
        <v>0</v>
      </c>
      <c r="C23" s="100">
        <v>0</v>
      </c>
      <c r="D23" s="100">
        <v>0</v>
      </c>
      <c r="E23" s="100">
        <v>0</v>
      </c>
      <c r="F23" s="100">
        <v>0</v>
      </c>
      <c r="G23" s="100">
        <v>0</v>
      </c>
      <c r="H23" s="100">
        <v>0</v>
      </c>
      <c r="I23" s="100">
        <v>0</v>
      </c>
      <c r="J23" s="100">
        <v>0</v>
      </c>
      <c r="K23" s="100">
        <v>0</v>
      </c>
      <c r="L23" s="100">
        <v>0</v>
      </c>
      <c r="M23" s="100">
        <v>0</v>
      </c>
      <c r="N23" s="100">
        <v>0</v>
      </c>
      <c r="O23" s="100">
        <v>0</v>
      </c>
      <c r="P23" s="100">
        <v>0</v>
      </c>
      <c r="Q23" s="100">
        <v>0</v>
      </c>
      <c r="R23" s="100">
        <v>0</v>
      </c>
      <c r="S23" s="100">
        <v>0</v>
      </c>
      <c r="T23" s="100">
        <v>0</v>
      </c>
      <c r="U23" s="100">
        <v>0</v>
      </c>
      <c r="V23" s="100">
        <v>0</v>
      </c>
      <c r="W23" s="100">
        <v>0</v>
      </c>
      <c r="X23" s="100">
        <v>0</v>
      </c>
      <c r="Y23" s="101">
        <v>0</v>
      </c>
      <c r="Z23" s="102">
        <f t="shared" si="6"/>
        <v>0</v>
      </c>
      <c r="AA23" s="103">
        <f t="shared" si="1"/>
        <v>0</v>
      </c>
      <c r="AD23" s="70"/>
    </row>
    <row r="24" spans="1:30" ht="24.95" customHeight="1">
      <c r="A24" s="94" t="s">
        <v>42</v>
      </c>
      <c r="B24" s="100">
        <v>0</v>
      </c>
      <c r="C24" s="100">
        <v>0</v>
      </c>
      <c r="D24" s="100">
        <v>0</v>
      </c>
      <c r="E24" s="100">
        <v>0</v>
      </c>
      <c r="F24" s="100">
        <v>0</v>
      </c>
      <c r="G24" s="100">
        <v>0</v>
      </c>
      <c r="H24" s="100">
        <v>0</v>
      </c>
      <c r="I24" s="100">
        <v>0</v>
      </c>
      <c r="J24" s="100">
        <v>0</v>
      </c>
      <c r="K24" s="100">
        <v>0</v>
      </c>
      <c r="L24" s="100">
        <v>0</v>
      </c>
      <c r="M24" s="100">
        <v>0</v>
      </c>
      <c r="N24" s="100">
        <v>0</v>
      </c>
      <c r="O24" s="100">
        <v>0</v>
      </c>
      <c r="P24" s="100">
        <v>0</v>
      </c>
      <c r="Q24" s="100">
        <v>0</v>
      </c>
      <c r="R24" s="100">
        <v>0</v>
      </c>
      <c r="S24" s="100">
        <v>0</v>
      </c>
      <c r="T24" s="100">
        <v>0</v>
      </c>
      <c r="U24" s="100">
        <v>0</v>
      </c>
      <c r="V24" s="100">
        <v>0</v>
      </c>
      <c r="W24" s="100">
        <v>0</v>
      </c>
      <c r="X24" s="100">
        <v>0</v>
      </c>
      <c r="Y24" s="101">
        <v>0</v>
      </c>
      <c r="Z24" s="102">
        <f t="shared" si="6"/>
        <v>0</v>
      </c>
      <c r="AA24" s="103">
        <f t="shared" si="1"/>
        <v>0</v>
      </c>
      <c r="AD24" s="70"/>
    </row>
    <row r="25" spans="1:30" s="87" customFormat="1" ht="24.95" customHeight="1">
      <c r="A25" s="94" t="s">
        <v>43</v>
      </c>
      <c r="B25" s="95">
        <f>SUM(B26:B36)</f>
        <v>1479000</v>
      </c>
      <c r="C25" s="95">
        <f>SUM(C26:C36)</f>
        <v>1288045</v>
      </c>
      <c r="D25" s="95">
        <f>SUM(D26:D36)</f>
        <v>3158992</v>
      </c>
      <c r="E25" s="95">
        <f t="shared" ref="E25:Y25" si="7">SUM(E26:E36)</f>
        <v>1212661</v>
      </c>
      <c r="F25" s="95">
        <f t="shared" si="7"/>
        <v>1479000</v>
      </c>
      <c r="G25" s="95">
        <f t="shared" si="7"/>
        <v>1255684</v>
      </c>
      <c r="H25" s="95">
        <f>SUM(H26:H36)</f>
        <v>1479000</v>
      </c>
      <c r="I25" s="95">
        <f t="shared" si="7"/>
        <v>2265356</v>
      </c>
      <c r="J25" s="95">
        <f t="shared" si="7"/>
        <v>1479000</v>
      </c>
      <c r="K25" s="95">
        <f t="shared" si="7"/>
        <v>1420486</v>
      </c>
      <c r="L25" s="95">
        <f t="shared" si="7"/>
        <v>1479000</v>
      </c>
      <c r="M25" s="95">
        <f>SUM(M26:M36)</f>
        <v>1412713.85</v>
      </c>
      <c r="N25" s="95">
        <f t="shared" si="7"/>
        <v>1479000</v>
      </c>
      <c r="O25" s="95">
        <f t="shared" si="7"/>
        <v>1511900</v>
      </c>
      <c r="P25" s="95">
        <f t="shared" si="7"/>
        <v>1479000</v>
      </c>
      <c r="Q25" s="95">
        <f t="shared" si="7"/>
        <v>1480850.94</v>
      </c>
      <c r="R25" s="95">
        <f t="shared" si="7"/>
        <v>1479000</v>
      </c>
      <c r="S25" s="95">
        <f t="shared" si="7"/>
        <v>2466109</v>
      </c>
      <c r="T25" s="95">
        <f t="shared" si="7"/>
        <v>1479000</v>
      </c>
      <c r="U25" s="95">
        <f t="shared" si="7"/>
        <v>1492538</v>
      </c>
      <c r="V25" s="95">
        <f t="shared" si="7"/>
        <v>1479000</v>
      </c>
      <c r="W25" s="95">
        <f t="shared" si="7"/>
        <v>1576820</v>
      </c>
      <c r="X25" s="95">
        <f t="shared" si="7"/>
        <v>1479000</v>
      </c>
      <c r="Y25" s="95">
        <f t="shared" si="7"/>
        <v>0</v>
      </c>
      <c r="Z25" s="96">
        <f>SUM(Z26:Z36)</f>
        <v>19427992</v>
      </c>
      <c r="AA25" s="97">
        <f>SUM(AA26:AA36)</f>
        <v>17383163.789999999</v>
      </c>
    </row>
    <row r="26" spans="1:30" ht="24.95" customHeight="1">
      <c r="A26" s="89" t="s">
        <v>44</v>
      </c>
      <c r="B26" s="90"/>
      <c r="C26" s="93"/>
      <c r="D26" s="93"/>
      <c r="E26" s="93"/>
      <c r="F26" s="93"/>
      <c r="G26" s="93"/>
      <c r="H26" s="93"/>
      <c r="I26" s="93"/>
      <c r="J26" s="93"/>
      <c r="K26" s="93"/>
      <c r="L26" s="93"/>
      <c r="M26" s="93"/>
      <c r="N26" s="93"/>
      <c r="O26" s="93"/>
      <c r="P26" s="93"/>
      <c r="Q26" s="93"/>
      <c r="R26" s="93"/>
      <c r="S26" s="93"/>
      <c r="T26" s="93"/>
      <c r="U26" s="163"/>
      <c r="V26" s="93"/>
      <c r="W26" s="93"/>
      <c r="X26" s="93"/>
      <c r="Y26" s="99"/>
      <c r="Z26" s="91">
        <f t="shared" si="6"/>
        <v>0</v>
      </c>
      <c r="AA26" s="92">
        <f t="shared" si="1"/>
        <v>0</v>
      </c>
      <c r="AD26" s="70"/>
    </row>
    <row r="27" spans="1:30" ht="24.95" customHeight="1" outlineLevel="1">
      <c r="A27" s="89" t="s">
        <v>45</v>
      </c>
      <c r="B27" s="90"/>
      <c r="C27" s="93"/>
      <c r="D27" s="93"/>
      <c r="E27" s="93"/>
      <c r="F27" s="93"/>
      <c r="G27" s="93"/>
      <c r="H27" s="93"/>
      <c r="I27" s="93"/>
      <c r="J27" s="93"/>
      <c r="K27" s="93"/>
      <c r="L27" s="93"/>
      <c r="M27" s="93"/>
      <c r="N27" s="93"/>
      <c r="O27" s="93"/>
      <c r="P27" s="93"/>
      <c r="Q27" s="93"/>
      <c r="R27" s="93"/>
      <c r="S27" s="93"/>
      <c r="T27" s="93"/>
      <c r="U27" s="163"/>
      <c r="V27" s="93"/>
      <c r="W27" s="93"/>
      <c r="X27" s="93"/>
      <c r="Y27" s="99"/>
      <c r="Z27" s="91">
        <f t="shared" si="6"/>
        <v>0</v>
      </c>
      <c r="AA27" s="92">
        <f t="shared" si="1"/>
        <v>0</v>
      </c>
      <c r="AD27" s="70"/>
    </row>
    <row r="28" spans="1:30" ht="24.95" customHeight="1" outlineLevel="1">
      <c r="A28" s="89" t="s">
        <v>87</v>
      </c>
      <c r="B28" s="90"/>
      <c r="C28" s="93"/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3"/>
      <c r="R28" s="93"/>
      <c r="S28" s="93"/>
      <c r="T28" s="93"/>
      <c r="U28" s="163"/>
      <c r="V28" s="93"/>
      <c r="W28" s="93"/>
      <c r="X28" s="93"/>
      <c r="Y28" s="99"/>
      <c r="Z28" s="91">
        <f t="shared" si="6"/>
        <v>0</v>
      </c>
      <c r="AA28" s="92">
        <f t="shared" si="1"/>
        <v>0</v>
      </c>
      <c r="AD28" s="70"/>
    </row>
    <row r="29" spans="1:30" ht="24.95" customHeight="1" outlineLevel="1">
      <c r="A29" s="89" t="s">
        <v>88</v>
      </c>
      <c r="B29" s="90"/>
      <c r="C29" s="93"/>
      <c r="D29" s="93"/>
      <c r="E29" s="93"/>
      <c r="F29" s="93"/>
      <c r="G29" s="93"/>
      <c r="H29" s="93"/>
      <c r="I29" s="93"/>
      <c r="J29" s="93"/>
      <c r="K29" s="93"/>
      <c r="L29" s="93"/>
      <c r="M29" s="93"/>
      <c r="N29" s="93"/>
      <c r="O29" s="93"/>
      <c r="P29" s="93"/>
      <c r="Q29" s="93"/>
      <c r="R29" s="93"/>
      <c r="S29" s="93"/>
      <c r="T29" s="93"/>
      <c r="U29" s="163"/>
      <c r="V29" s="93"/>
      <c r="W29" s="93"/>
      <c r="X29" s="93"/>
      <c r="Y29" s="99"/>
      <c r="Z29" s="91">
        <f t="shared" si="6"/>
        <v>0</v>
      </c>
      <c r="AA29" s="92">
        <f t="shared" si="1"/>
        <v>0</v>
      </c>
      <c r="AD29" s="70"/>
    </row>
    <row r="30" spans="1:30" ht="24.95" customHeight="1" outlineLevel="1">
      <c r="A30" s="89" t="s">
        <v>46</v>
      </c>
      <c r="B30" s="90"/>
      <c r="C30" s="93"/>
      <c r="D30" s="93"/>
      <c r="E30" s="93"/>
      <c r="F30" s="93"/>
      <c r="G30" s="93"/>
      <c r="H30" s="93"/>
      <c r="I30" s="93"/>
      <c r="J30" s="93"/>
      <c r="K30" s="93"/>
      <c r="L30" s="93"/>
      <c r="M30" s="93"/>
      <c r="N30" s="93"/>
      <c r="O30" s="93"/>
      <c r="P30" s="93"/>
      <c r="Q30" s="93"/>
      <c r="R30" s="93"/>
      <c r="S30" s="93"/>
      <c r="T30" s="93"/>
      <c r="U30" s="163"/>
      <c r="V30" s="93"/>
      <c r="W30" s="93"/>
      <c r="X30" s="93"/>
      <c r="Y30" s="99"/>
      <c r="Z30" s="91">
        <f t="shared" si="6"/>
        <v>0</v>
      </c>
      <c r="AA30" s="92">
        <f t="shared" si="1"/>
        <v>0</v>
      </c>
      <c r="AD30" s="70"/>
    </row>
    <row r="31" spans="1:30" ht="24.95" customHeight="1" outlineLevel="1">
      <c r="A31" s="89" t="s">
        <v>89</v>
      </c>
      <c r="B31" s="90"/>
      <c r="C31" s="93"/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  <c r="T31" s="93"/>
      <c r="U31" s="163"/>
      <c r="V31" s="93"/>
      <c r="W31" s="93"/>
      <c r="X31" s="93"/>
      <c r="Y31" s="99"/>
      <c r="Z31" s="91">
        <f t="shared" si="6"/>
        <v>0</v>
      </c>
      <c r="AA31" s="92">
        <f t="shared" si="1"/>
        <v>0</v>
      </c>
      <c r="AD31" s="70"/>
    </row>
    <row r="32" spans="1:30" ht="24.95" customHeight="1" outlineLevel="1">
      <c r="A32" s="89" t="s">
        <v>73</v>
      </c>
      <c r="B32" s="90"/>
      <c r="C32" s="93"/>
      <c r="D32" s="93"/>
      <c r="E32" s="93"/>
      <c r="F32" s="93"/>
      <c r="G32" s="93"/>
      <c r="H32" s="93"/>
      <c r="I32" s="93"/>
      <c r="J32" s="93"/>
      <c r="K32" s="93"/>
      <c r="L32" s="93"/>
      <c r="M32" s="93"/>
      <c r="N32" s="93"/>
      <c r="O32" s="93"/>
      <c r="P32" s="93"/>
      <c r="Q32" s="93"/>
      <c r="R32" s="93"/>
      <c r="S32" s="93"/>
      <c r="T32" s="93"/>
      <c r="U32" s="163"/>
      <c r="V32" s="93"/>
      <c r="W32" s="93"/>
      <c r="X32" s="93"/>
      <c r="Y32" s="99"/>
      <c r="Z32" s="91">
        <f t="shared" si="6"/>
        <v>0</v>
      </c>
      <c r="AA32" s="92">
        <f t="shared" si="1"/>
        <v>0</v>
      </c>
      <c r="AD32" s="70"/>
    </row>
    <row r="33" spans="1:30" ht="24.95" customHeight="1" outlineLevel="1">
      <c r="A33" s="89" t="s">
        <v>47</v>
      </c>
      <c r="B33" s="90"/>
      <c r="C33" s="93"/>
      <c r="D33" s="93"/>
      <c r="E33" s="93"/>
      <c r="F33" s="93"/>
      <c r="G33" s="93"/>
      <c r="H33" s="93"/>
      <c r="I33" s="93"/>
      <c r="J33" s="93"/>
      <c r="K33" s="93"/>
      <c r="L33" s="93"/>
      <c r="M33" s="93"/>
      <c r="N33" s="93"/>
      <c r="O33" s="93"/>
      <c r="P33" s="93"/>
      <c r="Q33" s="93"/>
      <c r="R33" s="93"/>
      <c r="S33" s="93"/>
      <c r="T33" s="93"/>
      <c r="U33" s="163"/>
      <c r="V33" s="93"/>
      <c r="W33" s="93"/>
      <c r="X33" s="93"/>
      <c r="Y33" s="99"/>
      <c r="Z33" s="91">
        <f t="shared" si="6"/>
        <v>0</v>
      </c>
      <c r="AA33" s="92">
        <f t="shared" si="1"/>
        <v>0</v>
      </c>
      <c r="AD33" s="70"/>
    </row>
    <row r="34" spans="1:30" ht="24.95" customHeight="1" outlineLevel="1">
      <c r="A34" s="89" t="s">
        <v>48</v>
      </c>
      <c r="B34" s="90"/>
      <c r="C34" s="93"/>
      <c r="D34" s="93"/>
      <c r="E34" s="93"/>
      <c r="F34" s="93"/>
      <c r="G34" s="93"/>
      <c r="H34" s="93"/>
      <c r="I34" s="93"/>
      <c r="J34" s="93"/>
      <c r="K34" s="93">
        <v>8000</v>
      </c>
      <c r="L34" s="93"/>
      <c r="M34" s="93"/>
      <c r="N34" s="93"/>
      <c r="O34" s="93"/>
      <c r="P34" s="93"/>
      <c r="Q34" s="93"/>
      <c r="R34" s="93"/>
      <c r="S34" s="93"/>
      <c r="T34" s="93"/>
      <c r="U34" s="163"/>
      <c r="V34" s="93"/>
      <c r="W34" s="93"/>
      <c r="X34" s="93"/>
      <c r="Y34" s="99"/>
      <c r="Z34" s="91">
        <f t="shared" si="6"/>
        <v>0</v>
      </c>
      <c r="AA34" s="92">
        <f>+C34+E34+G34+I34+K34+M34+O34+Q34+S34+U34+W34+Y34</f>
        <v>8000</v>
      </c>
      <c r="AD34" s="70"/>
    </row>
    <row r="35" spans="1:30" ht="24.95" customHeight="1" outlineLevel="1">
      <c r="A35" s="89" t="s">
        <v>49</v>
      </c>
      <c r="B35" s="90"/>
      <c r="C35" s="93"/>
      <c r="D35" s="93"/>
      <c r="E35" s="93"/>
      <c r="F35" s="93"/>
      <c r="G35" s="93">
        <v>49619</v>
      </c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  <c r="T35" s="93"/>
      <c r="U35" s="163"/>
      <c r="V35" s="93"/>
      <c r="W35" s="93"/>
      <c r="X35" s="93"/>
      <c r="Y35" s="99"/>
      <c r="Z35" s="91">
        <f t="shared" si="6"/>
        <v>0</v>
      </c>
      <c r="AA35" s="92">
        <f t="shared" si="1"/>
        <v>49619</v>
      </c>
      <c r="AD35" s="70"/>
    </row>
    <row r="36" spans="1:30" ht="24.95" customHeight="1" outlineLevel="1">
      <c r="A36" s="89" t="s">
        <v>227</v>
      </c>
      <c r="B36" s="90">
        <f>'DETALLADO GASTOS'!G17</f>
        <v>1479000</v>
      </c>
      <c r="C36" s="93">
        <v>1288045</v>
      </c>
      <c r="D36" s="93">
        <f>'DETALLADO GASTOS'!D8+'DETALLADO GASTOS'!G17</f>
        <v>3158992</v>
      </c>
      <c r="E36" s="93">
        <f>1125506+87155</f>
        <v>1212661</v>
      </c>
      <c r="F36" s="93">
        <f>'DETALLADO GASTOS'!G17</f>
        <v>1479000</v>
      </c>
      <c r="G36" s="93">
        <v>1206065</v>
      </c>
      <c r="H36" s="93">
        <f>'DETALLADO GASTOS'!G17</f>
        <v>1479000</v>
      </c>
      <c r="I36" s="93">
        <f>64269+1142583+1058504</f>
        <v>2265356</v>
      </c>
      <c r="J36" s="93">
        <f>'DETALLADO GASTOS'!G17</f>
        <v>1479000</v>
      </c>
      <c r="K36" s="93">
        <f>1412486</f>
        <v>1412486</v>
      </c>
      <c r="L36" s="93">
        <f>'DETALLADO GASTOS'!G17</f>
        <v>1479000</v>
      </c>
      <c r="M36" s="93">
        <f>64935+1347778.85</f>
        <v>1412713.85</v>
      </c>
      <c r="N36" s="93">
        <f>'DETALLADO GASTOS'!G17</f>
        <v>1479000</v>
      </c>
      <c r="O36" s="93">
        <f>68901+1442999</f>
        <v>1511900</v>
      </c>
      <c r="P36" s="93">
        <f>'DETALLADO GASTOS'!G17</f>
        <v>1479000</v>
      </c>
      <c r="Q36" s="93">
        <f>68360.53+1412490.41</f>
        <v>1480850.94</v>
      </c>
      <c r="R36" s="93">
        <f>'DETALLADO GASTOS'!G17</f>
        <v>1479000</v>
      </c>
      <c r="S36" s="93">
        <f>2395060+71049</f>
        <v>2466109</v>
      </c>
      <c r="T36" s="93">
        <f>'DETALLADO GASTOS'!G17</f>
        <v>1479000</v>
      </c>
      <c r="U36" s="163">
        <f>71655+1420883</f>
        <v>1492538</v>
      </c>
      <c r="V36" s="93">
        <f>'DETALLADO GASTOS'!G17</f>
        <v>1479000</v>
      </c>
      <c r="W36" s="93">
        <f>74156+1502664</f>
        <v>1576820</v>
      </c>
      <c r="X36" s="93">
        <f>'DETALLADO GASTOS'!G17</f>
        <v>1479000</v>
      </c>
      <c r="Y36" s="99"/>
      <c r="Z36" s="91">
        <f t="shared" si="6"/>
        <v>19427992</v>
      </c>
      <c r="AA36" s="92">
        <f>+C36+E36+G36+I36+K36+M36+O36+Q36+S36+U36+W36+Y36</f>
        <v>17325544.789999999</v>
      </c>
      <c r="AD36" s="70"/>
    </row>
    <row r="37" spans="1:30" ht="24.95" customHeight="1">
      <c r="A37" s="94" t="s">
        <v>51</v>
      </c>
      <c r="B37" s="100">
        <v>0</v>
      </c>
      <c r="C37" s="100">
        <v>0</v>
      </c>
      <c r="D37" s="100">
        <v>0</v>
      </c>
      <c r="E37" s="100">
        <v>0</v>
      </c>
      <c r="F37" s="100">
        <v>0</v>
      </c>
      <c r="G37" s="100">
        <v>0</v>
      </c>
      <c r="H37" s="100">
        <v>0</v>
      </c>
      <c r="I37" s="100">
        <v>0</v>
      </c>
      <c r="J37" s="100">
        <v>0</v>
      </c>
      <c r="K37" s="100">
        <v>0</v>
      </c>
      <c r="L37" s="100">
        <v>0</v>
      </c>
      <c r="M37" s="100">
        <v>0</v>
      </c>
      <c r="N37" s="100">
        <v>0</v>
      </c>
      <c r="O37" s="100">
        <v>0</v>
      </c>
      <c r="P37" s="100">
        <v>0</v>
      </c>
      <c r="Q37" s="100">
        <v>0</v>
      </c>
      <c r="R37" s="100">
        <v>0</v>
      </c>
      <c r="S37" s="100">
        <v>0</v>
      </c>
      <c r="T37" s="100">
        <v>0</v>
      </c>
      <c r="U37" s="100">
        <v>0</v>
      </c>
      <c r="V37" s="100">
        <v>0</v>
      </c>
      <c r="W37" s="100">
        <v>0</v>
      </c>
      <c r="X37" s="100">
        <v>0</v>
      </c>
      <c r="Y37" s="101">
        <v>0</v>
      </c>
      <c r="Z37" s="102">
        <f t="shared" si="6"/>
        <v>0</v>
      </c>
      <c r="AA37" s="103">
        <f t="shared" si="1"/>
        <v>0</v>
      </c>
      <c r="AD37" s="70"/>
    </row>
    <row r="38" spans="1:30" s="87" customFormat="1" ht="24.95" customHeight="1">
      <c r="A38" s="94" t="s">
        <v>52</v>
      </c>
      <c r="B38" s="95">
        <f>SUM(B39)</f>
        <v>100000</v>
      </c>
      <c r="C38" s="95">
        <f>SUM(C39)</f>
        <v>260210</v>
      </c>
      <c r="D38" s="95">
        <f t="shared" ref="D38:Y38" si="8">SUM(D39)</f>
        <v>800000</v>
      </c>
      <c r="E38" s="95">
        <f t="shared" si="8"/>
        <v>384353</v>
      </c>
      <c r="F38" s="95">
        <f t="shared" si="8"/>
        <v>240000</v>
      </c>
      <c r="G38" s="95">
        <f t="shared" si="8"/>
        <v>95252</v>
      </c>
      <c r="H38" s="95">
        <f t="shared" si="8"/>
        <v>100000</v>
      </c>
      <c r="I38" s="95">
        <f t="shared" si="8"/>
        <v>2816051</v>
      </c>
      <c r="J38" s="95">
        <f t="shared" si="8"/>
        <v>100000</v>
      </c>
      <c r="K38" s="95">
        <f t="shared" si="8"/>
        <v>385462</v>
      </c>
      <c r="L38" s="95">
        <f t="shared" si="8"/>
        <v>240000</v>
      </c>
      <c r="M38" s="95">
        <f t="shared" si="8"/>
        <v>36000</v>
      </c>
      <c r="N38" s="95">
        <f t="shared" si="8"/>
        <v>1540000</v>
      </c>
      <c r="O38" s="95">
        <f t="shared" si="8"/>
        <v>88235</v>
      </c>
      <c r="P38" s="95">
        <f t="shared" si="8"/>
        <v>100000</v>
      </c>
      <c r="Q38" s="95">
        <f t="shared" si="8"/>
        <v>268026</v>
      </c>
      <c r="R38" s="95">
        <f t="shared" si="8"/>
        <v>240000</v>
      </c>
      <c r="S38" s="95">
        <f t="shared" si="8"/>
        <v>50000</v>
      </c>
      <c r="T38" s="95">
        <f t="shared" si="8"/>
        <v>800000</v>
      </c>
      <c r="U38" s="95">
        <f t="shared" si="8"/>
        <v>137249</v>
      </c>
      <c r="V38" s="95">
        <f t="shared" si="8"/>
        <v>100000</v>
      </c>
      <c r="W38" s="95">
        <f t="shared" si="8"/>
        <v>168899</v>
      </c>
      <c r="X38" s="95">
        <f t="shared" si="8"/>
        <v>240000</v>
      </c>
      <c r="Y38" s="95">
        <f t="shared" si="8"/>
        <v>0</v>
      </c>
      <c r="Z38" s="96">
        <f>SUM(Z39)</f>
        <v>4600000</v>
      </c>
      <c r="AA38" s="97">
        <f>SUM(AA39)</f>
        <v>4689737</v>
      </c>
    </row>
    <row r="39" spans="1:30" ht="24.95" customHeight="1" outlineLevel="1">
      <c r="A39" s="89" t="s">
        <v>50</v>
      </c>
      <c r="B39" s="90">
        <f>'DETALLADO GASTOS'!D39</f>
        <v>100000</v>
      </c>
      <c r="C39" s="93">
        <v>260210</v>
      </c>
      <c r="D39" s="93">
        <f>'DETALLADO GASTOS'!D30+'DETALLADO GASTOS'!D40</f>
        <v>800000</v>
      </c>
      <c r="E39" s="93">
        <v>384353</v>
      </c>
      <c r="F39" s="93">
        <f>'DETALLADO GASTOS'!D17+'DETALLADO GASTOS'!D41</f>
        <v>240000</v>
      </c>
      <c r="G39" s="93">
        <f>50252+45000</f>
        <v>95252</v>
      </c>
      <c r="H39" s="93">
        <f>'DETALLADO GASTOS'!D42</f>
        <v>100000</v>
      </c>
      <c r="I39" s="93">
        <v>2816051</v>
      </c>
      <c r="J39" s="93">
        <f>'DETALLADO GASTOS'!D43</f>
        <v>100000</v>
      </c>
      <c r="K39" s="93">
        <f>325462+60000</f>
        <v>385462</v>
      </c>
      <c r="L39" s="93">
        <f>'DETALLADO GASTOS'!D18+'DETALLADO GASTOS'!D44</f>
        <v>240000</v>
      </c>
      <c r="M39" s="93">
        <f>36000</f>
        <v>36000</v>
      </c>
      <c r="N39" s="93">
        <f>'DETALLADO GASTOS'!D45+'DETALLADO GASTOS'!D22</f>
        <v>1540000</v>
      </c>
      <c r="O39" s="93">
        <f>88235</f>
        <v>88235</v>
      </c>
      <c r="P39" s="93">
        <f>'DETALLADO GASTOS'!D46</f>
        <v>100000</v>
      </c>
      <c r="Q39" s="93">
        <f>176471+91555</f>
        <v>268026</v>
      </c>
      <c r="R39" s="93">
        <f>'DETALLADO GASTOS'!D19+'DETALLADO GASTOS'!D47</f>
        <v>240000</v>
      </c>
      <c r="S39" s="93">
        <v>50000</v>
      </c>
      <c r="T39" s="93">
        <f>'DETALLADO GASTOS'!D31+'DETALLADO GASTOS'!D48</f>
        <v>800000</v>
      </c>
      <c r="U39" s="163">
        <f>137249</f>
        <v>137249</v>
      </c>
      <c r="V39" s="93">
        <f>'DETALLADO GASTOS'!D49</f>
        <v>100000</v>
      </c>
      <c r="W39" s="93">
        <f>159664+9235</f>
        <v>168899</v>
      </c>
      <c r="X39" s="93">
        <f>'DETALLADO GASTOS'!D20+'DETALLADO GASTOS'!D50</f>
        <v>240000</v>
      </c>
      <c r="Y39" s="99"/>
      <c r="Z39" s="91">
        <f t="shared" ref="Z39" si="9">+B39+D39+F39+H39+J39+L39+N39+P39+R39+T39+V39+X39</f>
        <v>4600000</v>
      </c>
      <c r="AA39" s="92">
        <f>+C39+E39+G39+I39+K39+M39+O39+Q39+S39+U39+W39+Y39</f>
        <v>4689737</v>
      </c>
      <c r="AD39" s="70"/>
    </row>
    <row r="40" spans="1:30" ht="24.95" customHeight="1">
      <c r="A40" s="94" t="s">
        <v>74</v>
      </c>
      <c r="B40" s="95">
        <f t="shared" ref="B40:W40" si="10">SUM(B41:B44)</f>
        <v>0</v>
      </c>
      <c r="C40" s="95">
        <f t="shared" si="10"/>
        <v>0</v>
      </c>
      <c r="D40" s="95">
        <f t="shared" si="10"/>
        <v>0</v>
      </c>
      <c r="E40" s="95">
        <f t="shared" si="10"/>
        <v>0</v>
      </c>
      <c r="F40" s="95">
        <f t="shared" si="10"/>
        <v>0</v>
      </c>
      <c r="G40" s="95">
        <f t="shared" si="10"/>
        <v>0</v>
      </c>
      <c r="H40" s="95">
        <f t="shared" si="10"/>
        <v>0</v>
      </c>
      <c r="I40" s="95">
        <f t="shared" si="10"/>
        <v>0</v>
      </c>
      <c r="J40" s="95">
        <f t="shared" si="10"/>
        <v>0</v>
      </c>
      <c r="K40" s="95">
        <f t="shared" si="10"/>
        <v>0</v>
      </c>
      <c r="L40" s="95">
        <f t="shared" si="10"/>
        <v>0</v>
      </c>
      <c r="M40" s="95">
        <f t="shared" si="10"/>
        <v>0</v>
      </c>
      <c r="N40" s="95">
        <f t="shared" si="10"/>
        <v>0</v>
      </c>
      <c r="O40" s="95">
        <f t="shared" si="10"/>
        <v>0</v>
      </c>
      <c r="P40" s="95">
        <f t="shared" si="10"/>
        <v>0</v>
      </c>
      <c r="Q40" s="95">
        <f t="shared" si="10"/>
        <v>0</v>
      </c>
      <c r="R40" s="95">
        <f t="shared" si="10"/>
        <v>0</v>
      </c>
      <c r="S40" s="95">
        <f t="shared" si="10"/>
        <v>0</v>
      </c>
      <c r="T40" s="95">
        <f t="shared" si="10"/>
        <v>0</v>
      </c>
      <c r="U40" s="95">
        <f t="shared" si="10"/>
        <v>0</v>
      </c>
      <c r="V40" s="95">
        <f t="shared" si="10"/>
        <v>0</v>
      </c>
      <c r="W40" s="95">
        <f t="shared" si="10"/>
        <v>0</v>
      </c>
      <c r="X40" s="95">
        <f>SUM(X41:X44)</f>
        <v>0</v>
      </c>
      <c r="Y40" s="98">
        <f>SUM(Y41:Y44)</f>
        <v>0</v>
      </c>
      <c r="Z40" s="96">
        <f>SUM(Z41:Z44)</f>
        <v>0</v>
      </c>
      <c r="AA40" s="97">
        <f>SUM(AA41:AA44)</f>
        <v>0</v>
      </c>
      <c r="AD40" s="70"/>
    </row>
    <row r="41" spans="1:30" ht="24.95" customHeight="1" outlineLevel="1">
      <c r="A41" s="89" t="s">
        <v>75</v>
      </c>
      <c r="B41" s="90"/>
      <c r="C41" s="93"/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163"/>
      <c r="V41" s="93"/>
      <c r="W41" s="93"/>
      <c r="X41" s="93"/>
      <c r="Y41" s="99"/>
      <c r="Z41" s="91">
        <f t="shared" si="6"/>
        <v>0</v>
      </c>
      <c r="AA41" s="92">
        <f t="shared" si="1"/>
        <v>0</v>
      </c>
      <c r="AD41" s="70"/>
    </row>
    <row r="42" spans="1:30" ht="24.95" customHeight="1" outlineLevel="1">
      <c r="A42" s="89" t="s">
        <v>53</v>
      </c>
      <c r="B42" s="90"/>
      <c r="C42" s="93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93"/>
      <c r="T42" s="93"/>
      <c r="U42" s="163"/>
      <c r="V42" s="93"/>
      <c r="W42" s="93"/>
      <c r="X42" s="93"/>
      <c r="Y42" s="99"/>
      <c r="Z42" s="91">
        <f t="shared" si="6"/>
        <v>0</v>
      </c>
      <c r="AA42" s="92">
        <f t="shared" si="1"/>
        <v>0</v>
      </c>
      <c r="AD42" s="70"/>
    </row>
    <row r="43" spans="1:30" ht="24.95" customHeight="1" outlineLevel="1">
      <c r="A43" s="89" t="s">
        <v>54</v>
      </c>
      <c r="B43" s="90"/>
      <c r="C43" s="93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3"/>
      <c r="T43" s="93"/>
      <c r="U43" s="163"/>
      <c r="V43" s="93"/>
      <c r="W43" s="93"/>
      <c r="X43" s="93"/>
      <c r="Y43" s="99"/>
      <c r="Z43" s="91">
        <f t="shared" ref="Z43:Z64" si="11">+B43+D43+F43+H43+J43+L43+N43+P43+R43+T43+V43+X43</f>
        <v>0</v>
      </c>
      <c r="AA43" s="92">
        <f t="shared" ref="AA43:AA78" si="12">+C43+E43+G43+I43+K43+M43+O43+Q43+S43+U43+W43+Y43</f>
        <v>0</v>
      </c>
      <c r="AD43" s="70"/>
    </row>
    <row r="44" spans="1:30" ht="24.95" customHeight="1" outlineLevel="1">
      <c r="A44" s="89" t="s">
        <v>50</v>
      </c>
      <c r="B44" s="90"/>
      <c r="C44" s="93"/>
      <c r="D44" s="93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93"/>
      <c r="R44" s="93"/>
      <c r="S44" s="93"/>
      <c r="T44" s="93"/>
      <c r="U44" s="163"/>
      <c r="V44" s="93"/>
      <c r="W44" s="93"/>
      <c r="X44" s="93"/>
      <c r="Y44" s="99"/>
      <c r="Z44" s="91">
        <f t="shared" si="11"/>
        <v>0</v>
      </c>
      <c r="AA44" s="92">
        <f t="shared" si="12"/>
        <v>0</v>
      </c>
      <c r="AD44" s="70"/>
    </row>
    <row r="45" spans="1:30" ht="24.95" customHeight="1">
      <c r="A45" s="94" t="s">
        <v>55</v>
      </c>
      <c r="B45" s="95">
        <f>SUM(B46:B49)</f>
        <v>0</v>
      </c>
      <c r="C45" s="104">
        <f>SUM(C46:C49)</f>
        <v>0</v>
      </c>
      <c r="D45" s="104">
        <f t="shared" ref="D45:Y45" si="13">SUM(D46:D49)</f>
        <v>0</v>
      </c>
      <c r="E45" s="104">
        <f t="shared" si="13"/>
        <v>0</v>
      </c>
      <c r="F45" s="104">
        <f t="shared" si="13"/>
        <v>0</v>
      </c>
      <c r="G45" s="104">
        <f t="shared" si="13"/>
        <v>0</v>
      </c>
      <c r="H45" s="104">
        <f t="shared" si="13"/>
        <v>0</v>
      </c>
      <c r="I45" s="104">
        <f t="shared" si="13"/>
        <v>0</v>
      </c>
      <c r="J45" s="104">
        <f t="shared" si="13"/>
        <v>0</v>
      </c>
      <c r="K45" s="104">
        <f t="shared" si="13"/>
        <v>0</v>
      </c>
      <c r="L45" s="104">
        <f t="shared" si="13"/>
        <v>0</v>
      </c>
      <c r="M45" s="104">
        <f t="shared" si="13"/>
        <v>0</v>
      </c>
      <c r="N45" s="104">
        <f t="shared" si="13"/>
        <v>0</v>
      </c>
      <c r="O45" s="104">
        <f t="shared" si="13"/>
        <v>0</v>
      </c>
      <c r="P45" s="104">
        <f t="shared" si="13"/>
        <v>0</v>
      </c>
      <c r="Q45" s="104">
        <f t="shared" si="13"/>
        <v>0</v>
      </c>
      <c r="R45" s="104">
        <f t="shared" si="13"/>
        <v>0</v>
      </c>
      <c r="S45" s="104">
        <f t="shared" si="13"/>
        <v>0</v>
      </c>
      <c r="T45" s="104">
        <f t="shared" si="13"/>
        <v>0</v>
      </c>
      <c r="U45" s="104">
        <f t="shared" si="13"/>
        <v>0</v>
      </c>
      <c r="V45" s="104">
        <f t="shared" si="13"/>
        <v>0</v>
      </c>
      <c r="W45" s="104">
        <f t="shared" si="13"/>
        <v>0</v>
      </c>
      <c r="X45" s="104">
        <f t="shared" si="13"/>
        <v>0</v>
      </c>
      <c r="Y45" s="104">
        <f t="shared" si="13"/>
        <v>0</v>
      </c>
      <c r="Z45" s="96">
        <f>SUM(Z46:Z49)</f>
        <v>0</v>
      </c>
      <c r="AA45" s="97">
        <f>SUM(AA46:AA49)</f>
        <v>0</v>
      </c>
      <c r="AD45" s="70"/>
    </row>
    <row r="46" spans="1:30" ht="24.95" customHeight="1" outlineLevel="1">
      <c r="A46" s="89" t="s">
        <v>56</v>
      </c>
      <c r="B46" s="90"/>
      <c r="C46" s="93"/>
      <c r="D46" s="93"/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93"/>
      <c r="R46" s="93"/>
      <c r="S46" s="93"/>
      <c r="T46" s="93"/>
      <c r="U46" s="163"/>
      <c r="V46" s="93"/>
      <c r="W46" s="93"/>
      <c r="X46" s="93"/>
      <c r="Y46" s="99"/>
      <c r="Z46" s="91">
        <f t="shared" si="11"/>
        <v>0</v>
      </c>
      <c r="AA46" s="92">
        <f t="shared" si="12"/>
        <v>0</v>
      </c>
      <c r="AD46" s="70"/>
    </row>
    <row r="47" spans="1:30" ht="24.95" customHeight="1" outlineLevel="1">
      <c r="A47" s="89" t="s">
        <v>76</v>
      </c>
      <c r="B47" s="90"/>
      <c r="C47" s="93"/>
      <c r="D47" s="93"/>
      <c r="E47" s="93"/>
      <c r="F47" s="93"/>
      <c r="G47" s="93"/>
      <c r="H47" s="93"/>
      <c r="I47" s="93"/>
      <c r="J47" s="93"/>
      <c r="K47" s="93"/>
      <c r="L47" s="93"/>
      <c r="M47" s="93"/>
      <c r="N47" s="93"/>
      <c r="O47" s="93"/>
      <c r="P47" s="93"/>
      <c r="Q47" s="93"/>
      <c r="R47" s="93"/>
      <c r="S47" s="93"/>
      <c r="T47" s="93"/>
      <c r="U47" s="163"/>
      <c r="V47" s="93"/>
      <c r="W47" s="93"/>
      <c r="X47" s="93"/>
      <c r="Y47" s="99"/>
      <c r="Z47" s="91">
        <f t="shared" si="11"/>
        <v>0</v>
      </c>
      <c r="AA47" s="92">
        <f t="shared" si="12"/>
        <v>0</v>
      </c>
      <c r="AD47" s="70"/>
    </row>
    <row r="48" spans="1:30" ht="24.95" customHeight="1" outlineLevel="1">
      <c r="A48" s="89" t="s">
        <v>57</v>
      </c>
      <c r="B48" s="90"/>
      <c r="C48" s="93"/>
      <c r="D48" s="93"/>
      <c r="E48" s="93"/>
      <c r="F48" s="93"/>
      <c r="G48" s="93"/>
      <c r="H48" s="93"/>
      <c r="I48" s="93"/>
      <c r="J48" s="93"/>
      <c r="K48" s="93"/>
      <c r="L48" s="93"/>
      <c r="M48" s="93"/>
      <c r="N48" s="93"/>
      <c r="O48" s="93"/>
      <c r="P48" s="93"/>
      <c r="Q48" s="93"/>
      <c r="R48" s="93"/>
      <c r="S48" s="93"/>
      <c r="T48" s="93"/>
      <c r="U48" s="163"/>
      <c r="V48" s="93"/>
      <c r="W48" s="93"/>
      <c r="X48" s="93"/>
      <c r="Y48" s="99"/>
      <c r="Z48" s="91">
        <f t="shared" si="11"/>
        <v>0</v>
      </c>
      <c r="AA48" s="92">
        <f t="shared" si="12"/>
        <v>0</v>
      </c>
      <c r="AD48" s="70"/>
    </row>
    <row r="49" spans="1:30" ht="24.95" customHeight="1" outlineLevel="1">
      <c r="A49" s="89" t="s">
        <v>50</v>
      </c>
      <c r="B49" s="90"/>
      <c r="C49" s="93"/>
      <c r="D49" s="93"/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  <c r="S49" s="93"/>
      <c r="T49" s="93"/>
      <c r="U49" s="163"/>
      <c r="V49" s="93"/>
      <c r="W49" s="93"/>
      <c r="X49" s="93"/>
      <c r="Y49" s="99"/>
      <c r="Z49" s="91">
        <f t="shared" si="11"/>
        <v>0</v>
      </c>
      <c r="AA49" s="92">
        <f t="shared" si="12"/>
        <v>0</v>
      </c>
      <c r="AD49" s="70"/>
    </row>
    <row r="50" spans="1:30" ht="24.95" customHeight="1">
      <c r="A50" s="94" t="s">
        <v>58</v>
      </c>
      <c r="B50" s="95">
        <v>0</v>
      </c>
      <c r="C50" s="95">
        <v>0</v>
      </c>
      <c r="D50" s="95">
        <v>0</v>
      </c>
      <c r="E50" s="95">
        <v>0</v>
      </c>
      <c r="F50" s="95">
        <v>0</v>
      </c>
      <c r="G50" s="95">
        <v>0</v>
      </c>
      <c r="H50" s="95">
        <v>0</v>
      </c>
      <c r="I50" s="95">
        <v>0</v>
      </c>
      <c r="J50" s="95">
        <v>0</v>
      </c>
      <c r="K50" s="95">
        <v>0</v>
      </c>
      <c r="L50" s="95">
        <v>0</v>
      </c>
      <c r="M50" s="95">
        <v>0</v>
      </c>
      <c r="N50" s="95">
        <v>0</v>
      </c>
      <c r="O50" s="95">
        <v>0</v>
      </c>
      <c r="P50" s="95">
        <v>0</v>
      </c>
      <c r="Q50" s="95">
        <v>0</v>
      </c>
      <c r="R50" s="95">
        <v>0</v>
      </c>
      <c r="S50" s="95">
        <v>0</v>
      </c>
      <c r="T50" s="95">
        <v>0</v>
      </c>
      <c r="U50" s="95">
        <v>0</v>
      </c>
      <c r="V50" s="95">
        <v>0</v>
      </c>
      <c r="W50" s="95">
        <v>0</v>
      </c>
      <c r="X50" s="95">
        <v>0</v>
      </c>
      <c r="Y50" s="98">
        <v>0</v>
      </c>
      <c r="Z50" s="96">
        <f t="shared" ref="Z50:Z58" si="14">+B50+D50+F50+H50+J50+L50+N50+P50+R50+T50+V50+X50</f>
        <v>0</v>
      </c>
      <c r="AA50" s="97">
        <f t="shared" si="12"/>
        <v>0</v>
      </c>
      <c r="AD50" s="70"/>
    </row>
    <row r="51" spans="1:30" ht="24.95" customHeight="1">
      <c r="A51" s="94" t="s">
        <v>59</v>
      </c>
      <c r="B51" s="95">
        <v>0</v>
      </c>
      <c r="C51" s="95">
        <v>0</v>
      </c>
      <c r="D51" s="95">
        <v>0</v>
      </c>
      <c r="E51" s="95">
        <v>0</v>
      </c>
      <c r="F51" s="95">
        <v>0</v>
      </c>
      <c r="G51" s="95">
        <v>0</v>
      </c>
      <c r="H51" s="95">
        <v>0</v>
      </c>
      <c r="I51" s="95">
        <v>0</v>
      </c>
      <c r="J51" s="95">
        <v>0</v>
      </c>
      <c r="K51" s="95">
        <v>0</v>
      </c>
      <c r="L51" s="95">
        <v>0</v>
      </c>
      <c r="M51" s="95">
        <v>0</v>
      </c>
      <c r="N51" s="95">
        <v>0</v>
      </c>
      <c r="O51" s="95">
        <v>0</v>
      </c>
      <c r="P51" s="95">
        <v>0</v>
      </c>
      <c r="Q51" s="95">
        <v>0</v>
      </c>
      <c r="R51" s="95">
        <v>0</v>
      </c>
      <c r="S51" s="95">
        <v>0</v>
      </c>
      <c r="T51" s="95">
        <v>0</v>
      </c>
      <c r="U51" s="95">
        <v>0</v>
      </c>
      <c r="V51" s="95">
        <v>0</v>
      </c>
      <c r="W51" s="95">
        <v>0</v>
      </c>
      <c r="X51" s="95">
        <v>0</v>
      </c>
      <c r="Y51" s="98">
        <v>0</v>
      </c>
      <c r="Z51" s="96">
        <f t="shared" si="14"/>
        <v>0</v>
      </c>
      <c r="AA51" s="97">
        <f t="shared" si="12"/>
        <v>0</v>
      </c>
      <c r="AD51" s="70"/>
    </row>
    <row r="52" spans="1:30" ht="45" customHeight="1">
      <c r="A52" s="94" t="s">
        <v>91</v>
      </c>
      <c r="B52" s="95">
        <v>0</v>
      </c>
      <c r="C52" s="95">
        <v>0</v>
      </c>
      <c r="D52" s="95">
        <v>0</v>
      </c>
      <c r="E52" s="95">
        <v>0</v>
      </c>
      <c r="F52" s="95">
        <v>0</v>
      </c>
      <c r="G52" s="95">
        <v>0</v>
      </c>
      <c r="H52" s="95">
        <v>0</v>
      </c>
      <c r="I52" s="95">
        <v>0</v>
      </c>
      <c r="J52" s="95">
        <v>0</v>
      </c>
      <c r="K52" s="95">
        <v>0</v>
      </c>
      <c r="L52" s="95">
        <v>0</v>
      </c>
      <c r="M52" s="95">
        <v>0</v>
      </c>
      <c r="N52" s="95">
        <v>0</v>
      </c>
      <c r="O52" s="95">
        <v>0</v>
      </c>
      <c r="P52" s="95">
        <v>0</v>
      </c>
      <c r="Q52" s="95">
        <v>0</v>
      </c>
      <c r="R52" s="95">
        <v>0</v>
      </c>
      <c r="S52" s="95">
        <v>0</v>
      </c>
      <c r="T52" s="95">
        <v>0</v>
      </c>
      <c r="U52" s="95">
        <v>0</v>
      </c>
      <c r="V52" s="95">
        <v>0</v>
      </c>
      <c r="W52" s="95">
        <v>0</v>
      </c>
      <c r="X52" s="95">
        <v>0</v>
      </c>
      <c r="Y52" s="98">
        <v>0</v>
      </c>
      <c r="Z52" s="96">
        <f t="shared" si="14"/>
        <v>0</v>
      </c>
      <c r="AA52" s="97">
        <f t="shared" si="12"/>
        <v>0</v>
      </c>
      <c r="AD52" s="70"/>
    </row>
    <row r="53" spans="1:30" ht="24.95" customHeight="1">
      <c r="A53" s="94" t="s">
        <v>77</v>
      </c>
      <c r="B53" s="95">
        <v>0</v>
      </c>
      <c r="C53" s="95">
        <v>0</v>
      </c>
      <c r="D53" s="95">
        <v>0</v>
      </c>
      <c r="E53" s="95">
        <v>0</v>
      </c>
      <c r="F53" s="95">
        <v>0</v>
      </c>
      <c r="G53" s="95">
        <v>0</v>
      </c>
      <c r="H53" s="95">
        <v>0</v>
      </c>
      <c r="I53" s="95">
        <v>0</v>
      </c>
      <c r="J53" s="95">
        <v>0</v>
      </c>
      <c r="K53" s="95">
        <v>0</v>
      </c>
      <c r="L53" s="95">
        <v>0</v>
      </c>
      <c r="M53" s="95">
        <v>0</v>
      </c>
      <c r="N53" s="95">
        <v>0</v>
      </c>
      <c r="O53" s="95">
        <v>0</v>
      </c>
      <c r="P53" s="95">
        <v>0</v>
      </c>
      <c r="Q53" s="95">
        <v>0</v>
      </c>
      <c r="R53" s="95">
        <v>0</v>
      </c>
      <c r="S53" s="95">
        <v>0</v>
      </c>
      <c r="T53" s="95">
        <v>0</v>
      </c>
      <c r="U53" s="95">
        <v>0</v>
      </c>
      <c r="V53" s="95">
        <v>0</v>
      </c>
      <c r="W53" s="95">
        <v>0</v>
      </c>
      <c r="X53" s="95">
        <v>0</v>
      </c>
      <c r="Y53" s="98">
        <v>0</v>
      </c>
      <c r="Z53" s="96">
        <f t="shared" si="14"/>
        <v>0</v>
      </c>
      <c r="AA53" s="97">
        <f t="shared" si="12"/>
        <v>0</v>
      </c>
      <c r="AD53" s="70"/>
    </row>
    <row r="54" spans="1:30" ht="24.95" customHeight="1">
      <c r="A54" s="94" t="s">
        <v>78</v>
      </c>
      <c r="B54" s="95">
        <v>0</v>
      </c>
      <c r="C54" s="95">
        <v>0</v>
      </c>
      <c r="D54" s="95">
        <v>0</v>
      </c>
      <c r="E54" s="95">
        <v>0</v>
      </c>
      <c r="F54" s="95">
        <v>0</v>
      </c>
      <c r="G54" s="95">
        <v>2017</v>
      </c>
      <c r="H54" s="95">
        <v>0</v>
      </c>
      <c r="I54" s="95">
        <v>0</v>
      </c>
      <c r="J54" s="95">
        <v>0</v>
      </c>
      <c r="K54" s="95">
        <v>0</v>
      </c>
      <c r="L54" s="95">
        <v>0</v>
      </c>
      <c r="M54" s="95">
        <v>0</v>
      </c>
      <c r="N54" s="95">
        <v>0</v>
      </c>
      <c r="O54" s="95">
        <v>0</v>
      </c>
      <c r="P54" s="95">
        <v>0</v>
      </c>
      <c r="Q54" s="95">
        <v>0</v>
      </c>
      <c r="R54" s="95">
        <v>0</v>
      </c>
      <c r="S54" s="95">
        <v>0</v>
      </c>
      <c r="T54" s="95">
        <v>0</v>
      </c>
      <c r="U54" s="95">
        <v>0</v>
      </c>
      <c r="V54" s="95">
        <v>0</v>
      </c>
      <c r="W54" s="95">
        <v>0</v>
      </c>
      <c r="X54" s="95">
        <v>0</v>
      </c>
      <c r="Y54" s="98">
        <v>0</v>
      </c>
      <c r="Z54" s="96">
        <f t="shared" si="14"/>
        <v>0</v>
      </c>
      <c r="AA54" s="97">
        <f>+C54+E54+G54+I54+K54+M54+O54+Q54+S54+U54+W54+Y54</f>
        <v>2017</v>
      </c>
      <c r="AD54" s="70"/>
    </row>
    <row r="55" spans="1:30" ht="24.95" customHeight="1">
      <c r="A55" s="94" t="s">
        <v>60</v>
      </c>
      <c r="B55" s="95">
        <v>0</v>
      </c>
      <c r="C55" s="95">
        <v>10000</v>
      </c>
      <c r="D55" s="95">
        <v>0</v>
      </c>
      <c r="E55" s="95">
        <v>0</v>
      </c>
      <c r="F55" s="95">
        <v>0</v>
      </c>
      <c r="G55" s="95">
        <v>0</v>
      </c>
      <c r="H55" s="95">
        <v>0</v>
      </c>
      <c r="I55" s="95">
        <v>0</v>
      </c>
      <c r="J55" s="95">
        <v>0</v>
      </c>
      <c r="K55" s="95">
        <v>0</v>
      </c>
      <c r="L55" s="95">
        <v>0</v>
      </c>
      <c r="M55" s="95">
        <v>0</v>
      </c>
      <c r="N55" s="95">
        <v>0</v>
      </c>
      <c r="O55" s="95">
        <v>0</v>
      </c>
      <c r="P55" s="95">
        <v>0</v>
      </c>
      <c r="Q55" s="95">
        <v>10000</v>
      </c>
      <c r="R55" s="95">
        <v>0</v>
      </c>
      <c r="S55" s="95">
        <v>0</v>
      </c>
      <c r="T55" s="95">
        <v>0</v>
      </c>
      <c r="U55" s="95">
        <v>10000</v>
      </c>
      <c r="V55" s="95">
        <v>0</v>
      </c>
      <c r="W55" s="95">
        <v>0</v>
      </c>
      <c r="X55" s="95">
        <v>0</v>
      </c>
      <c r="Y55" s="98">
        <v>0</v>
      </c>
      <c r="Z55" s="96">
        <f t="shared" si="14"/>
        <v>0</v>
      </c>
      <c r="AA55" s="97">
        <f t="shared" si="12"/>
        <v>30000</v>
      </c>
      <c r="AD55" s="70"/>
    </row>
    <row r="56" spans="1:30" ht="24.95" customHeight="1">
      <c r="A56" s="94" t="s">
        <v>61</v>
      </c>
      <c r="B56" s="95">
        <v>0</v>
      </c>
      <c r="C56" s="95">
        <v>0</v>
      </c>
      <c r="D56" s="95">
        <v>0</v>
      </c>
      <c r="E56" s="95">
        <v>0</v>
      </c>
      <c r="F56" s="95">
        <v>0</v>
      </c>
      <c r="G56" s="95">
        <v>0</v>
      </c>
      <c r="H56" s="95">
        <v>0</v>
      </c>
      <c r="I56" s="95">
        <v>0</v>
      </c>
      <c r="J56" s="95">
        <v>0</v>
      </c>
      <c r="K56" s="95">
        <v>0</v>
      </c>
      <c r="L56" s="95">
        <v>0</v>
      </c>
      <c r="M56" s="95">
        <v>0</v>
      </c>
      <c r="N56" s="95">
        <v>0</v>
      </c>
      <c r="O56" s="95">
        <v>0</v>
      </c>
      <c r="P56" s="95">
        <v>0</v>
      </c>
      <c r="Q56" s="95">
        <v>0</v>
      </c>
      <c r="R56" s="95">
        <v>0</v>
      </c>
      <c r="S56" s="95">
        <v>0</v>
      </c>
      <c r="T56" s="95">
        <v>0</v>
      </c>
      <c r="U56" s="95">
        <v>0</v>
      </c>
      <c r="V56" s="95">
        <v>0</v>
      </c>
      <c r="W56" s="95">
        <v>0</v>
      </c>
      <c r="X56" s="95">
        <v>0</v>
      </c>
      <c r="Y56" s="98">
        <v>0</v>
      </c>
      <c r="Z56" s="96">
        <f t="shared" si="14"/>
        <v>0</v>
      </c>
      <c r="AA56" s="97">
        <f t="shared" si="12"/>
        <v>0</v>
      </c>
      <c r="AD56" s="70"/>
    </row>
    <row r="57" spans="1:30" ht="24.95" customHeight="1">
      <c r="A57" s="94" t="s">
        <v>62</v>
      </c>
      <c r="B57" s="95">
        <v>0</v>
      </c>
      <c r="C57" s="95">
        <v>0</v>
      </c>
      <c r="D57" s="95">
        <v>0</v>
      </c>
      <c r="E57" s="95">
        <v>0</v>
      </c>
      <c r="F57" s="95">
        <v>0</v>
      </c>
      <c r="G57" s="95">
        <v>40000</v>
      </c>
      <c r="H57" s="95">
        <v>0</v>
      </c>
      <c r="I57" s="95">
        <v>24000</v>
      </c>
      <c r="J57" s="95">
        <v>0</v>
      </c>
      <c r="K57" s="95">
        <v>24000</v>
      </c>
      <c r="L57" s="95">
        <v>0</v>
      </c>
      <c r="M57" s="95">
        <v>16000</v>
      </c>
      <c r="N57" s="95">
        <v>0</v>
      </c>
      <c r="O57" s="95">
        <v>0</v>
      </c>
      <c r="P57" s="95">
        <v>0</v>
      </c>
      <c r="Q57" s="95">
        <v>8000</v>
      </c>
      <c r="R57" s="95">
        <v>0</v>
      </c>
      <c r="S57" s="95">
        <v>0</v>
      </c>
      <c r="T57" s="95">
        <v>0</v>
      </c>
      <c r="U57" s="95">
        <v>0</v>
      </c>
      <c r="V57" s="95">
        <v>0</v>
      </c>
      <c r="W57" s="95">
        <v>0</v>
      </c>
      <c r="X57" s="95">
        <v>0</v>
      </c>
      <c r="Y57" s="98">
        <v>0</v>
      </c>
      <c r="Z57" s="96">
        <f t="shared" si="14"/>
        <v>0</v>
      </c>
      <c r="AA57" s="97">
        <f t="shared" si="12"/>
        <v>112000</v>
      </c>
      <c r="AD57" s="70"/>
    </row>
    <row r="58" spans="1:30" ht="24.95" customHeight="1">
      <c r="A58" s="94" t="s">
        <v>63</v>
      </c>
      <c r="B58" s="95">
        <v>0</v>
      </c>
      <c r="C58" s="95">
        <v>0</v>
      </c>
      <c r="D58" s="95">
        <v>0</v>
      </c>
      <c r="E58" s="95">
        <v>0</v>
      </c>
      <c r="F58" s="95">
        <v>0</v>
      </c>
      <c r="G58" s="95">
        <v>0</v>
      </c>
      <c r="H58" s="95">
        <v>0</v>
      </c>
      <c r="I58" s="95">
        <v>44000</v>
      </c>
      <c r="J58" s="95">
        <v>0</v>
      </c>
      <c r="K58" s="95">
        <v>81513</v>
      </c>
      <c r="L58" s="95">
        <v>0</v>
      </c>
      <c r="M58" s="95">
        <v>0</v>
      </c>
      <c r="N58" s="95">
        <v>0</v>
      </c>
      <c r="O58" s="95">
        <f>43000</f>
        <v>43000</v>
      </c>
      <c r="P58" s="95">
        <v>0</v>
      </c>
      <c r="Q58" s="95">
        <v>36008</v>
      </c>
      <c r="R58" s="95">
        <v>0</v>
      </c>
      <c r="S58" s="95">
        <v>0</v>
      </c>
      <c r="T58" s="95">
        <v>0</v>
      </c>
      <c r="U58" s="95">
        <v>0</v>
      </c>
      <c r="V58" s="95">
        <v>0</v>
      </c>
      <c r="W58" s="95">
        <f>39831</f>
        <v>39831</v>
      </c>
      <c r="X58" s="95">
        <v>0</v>
      </c>
      <c r="Y58" s="98">
        <v>0</v>
      </c>
      <c r="Z58" s="96">
        <f t="shared" si="14"/>
        <v>0</v>
      </c>
      <c r="AA58" s="97">
        <f>+C58+E58+G58+I58+K58+M58+O58+Q58+S58+U58+W58+Y58</f>
        <v>244352</v>
      </c>
      <c r="AD58" s="70"/>
    </row>
    <row r="59" spans="1:30" ht="24.95" customHeight="1">
      <c r="A59" s="94" t="s">
        <v>64</v>
      </c>
      <c r="B59" s="95">
        <f>SUM(B60:B64)</f>
        <v>0</v>
      </c>
      <c r="C59" s="95">
        <f>SUM(C60:C64)</f>
        <v>0</v>
      </c>
      <c r="D59" s="95">
        <f t="shared" ref="D59:Y59" si="15">SUM(D60:D64)</f>
        <v>0</v>
      </c>
      <c r="E59" s="95">
        <f t="shared" si="15"/>
        <v>0</v>
      </c>
      <c r="F59" s="95">
        <f t="shared" si="15"/>
        <v>0</v>
      </c>
      <c r="G59" s="95">
        <f t="shared" si="15"/>
        <v>0</v>
      </c>
      <c r="H59" s="95">
        <f>SUM(H60:H64)</f>
        <v>0</v>
      </c>
      <c r="I59" s="95">
        <f t="shared" si="15"/>
        <v>0</v>
      </c>
      <c r="J59" s="95">
        <f t="shared" si="15"/>
        <v>0</v>
      </c>
      <c r="K59" s="95">
        <f t="shared" si="15"/>
        <v>0</v>
      </c>
      <c r="L59" s="95">
        <f t="shared" si="15"/>
        <v>0</v>
      </c>
      <c r="M59" s="95">
        <f t="shared" si="15"/>
        <v>0</v>
      </c>
      <c r="N59" s="95">
        <f t="shared" si="15"/>
        <v>0</v>
      </c>
      <c r="O59" s="95">
        <f t="shared" si="15"/>
        <v>0</v>
      </c>
      <c r="P59" s="95">
        <f t="shared" si="15"/>
        <v>0</v>
      </c>
      <c r="Q59" s="95">
        <f t="shared" si="15"/>
        <v>0</v>
      </c>
      <c r="R59" s="95">
        <f t="shared" si="15"/>
        <v>0</v>
      </c>
      <c r="S59" s="95">
        <f t="shared" si="15"/>
        <v>0</v>
      </c>
      <c r="T59" s="95">
        <f t="shared" si="15"/>
        <v>0</v>
      </c>
      <c r="U59" s="95">
        <f t="shared" si="15"/>
        <v>0</v>
      </c>
      <c r="V59" s="95">
        <f t="shared" si="15"/>
        <v>0</v>
      </c>
      <c r="W59" s="95">
        <f t="shared" si="15"/>
        <v>0</v>
      </c>
      <c r="X59" s="95">
        <f t="shared" si="15"/>
        <v>0</v>
      </c>
      <c r="Y59" s="95">
        <f t="shared" si="15"/>
        <v>0</v>
      </c>
      <c r="Z59" s="96">
        <f>SUM(Z60:Z64)</f>
        <v>0</v>
      </c>
      <c r="AA59" s="97">
        <f>SUM(AA60:AA64)</f>
        <v>0</v>
      </c>
      <c r="AD59" s="70"/>
    </row>
    <row r="60" spans="1:30" ht="24.95" customHeight="1" outlineLevel="1">
      <c r="A60" s="89" t="s">
        <v>65</v>
      </c>
      <c r="B60" s="90"/>
      <c r="C60" s="93"/>
      <c r="D60" s="93"/>
      <c r="E60" s="93"/>
      <c r="F60" s="93"/>
      <c r="G60" s="93"/>
      <c r="H60" s="93"/>
      <c r="I60" s="93"/>
      <c r="J60" s="93"/>
      <c r="K60" s="93"/>
      <c r="L60" s="93"/>
      <c r="M60" s="93"/>
      <c r="N60" s="93"/>
      <c r="O60" s="93"/>
      <c r="P60" s="93"/>
      <c r="Q60" s="93"/>
      <c r="R60" s="93"/>
      <c r="S60" s="93"/>
      <c r="T60" s="93"/>
      <c r="U60" s="163"/>
      <c r="V60" s="93"/>
      <c r="W60" s="93"/>
      <c r="X60" s="93"/>
      <c r="Y60" s="99"/>
      <c r="Z60" s="91">
        <f t="shared" si="11"/>
        <v>0</v>
      </c>
      <c r="AA60" s="92">
        <f t="shared" si="12"/>
        <v>0</v>
      </c>
      <c r="AD60" s="70"/>
    </row>
    <row r="61" spans="1:30" ht="24.95" customHeight="1" outlineLevel="1">
      <c r="A61" s="89" t="s">
        <v>66</v>
      </c>
      <c r="B61" s="90"/>
      <c r="C61" s="93"/>
      <c r="D61" s="93"/>
      <c r="E61" s="93"/>
      <c r="F61" s="93"/>
      <c r="G61" s="93"/>
      <c r="H61" s="93"/>
      <c r="I61" s="93"/>
      <c r="J61" s="93"/>
      <c r="K61" s="93"/>
      <c r="L61" s="93"/>
      <c r="M61" s="93"/>
      <c r="N61" s="93"/>
      <c r="O61" s="93"/>
      <c r="P61" s="93"/>
      <c r="Q61" s="93"/>
      <c r="R61" s="93"/>
      <c r="S61" s="93"/>
      <c r="T61" s="93"/>
      <c r="U61" s="163"/>
      <c r="V61" s="93"/>
      <c r="W61" s="93"/>
      <c r="X61" s="93"/>
      <c r="Y61" s="99"/>
      <c r="Z61" s="91">
        <f t="shared" si="11"/>
        <v>0</v>
      </c>
      <c r="AA61" s="92">
        <f t="shared" si="12"/>
        <v>0</v>
      </c>
      <c r="AD61" s="70"/>
    </row>
    <row r="62" spans="1:30" ht="24.95" customHeight="1" outlineLevel="1">
      <c r="A62" s="89" t="s">
        <v>67</v>
      </c>
      <c r="B62" s="90"/>
      <c r="C62" s="93"/>
      <c r="D62" s="93"/>
      <c r="E62" s="93"/>
      <c r="F62" s="93"/>
      <c r="G62" s="93"/>
      <c r="H62" s="93"/>
      <c r="I62" s="93"/>
      <c r="J62" s="93"/>
      <c r="K62" s="93"/>
      <c r="L62" s="93"/>
      <c r="M62" s="93"/>
      <c r="N62" s="93"/>
      <c r="O62" s="93"/>
      <c r="P62" s="93"/>
      <c r="Q62" s="93"/>
      <c r="R62" s="93"/>
      <c r="S62" s="93"/>
      <c r="T62" s="93"/>
      <c r="U62" s="163"/>
      <c r="V62" s="93"/>
      <c r="W62" s="93"/>
      <c r="X62" s="93"/>
      <c r="Y62" s="99"/>
      <c r="Z62" s="91">
        <v>0</v>
      </c>
      <c r="AA62" s="92">
        <f t="shared" si="12"/>
        <v>0</v>
      </c>
      <c r="AD62" s="70"/>
    </row>
    <row r="63" spans="1:30" ht="24.95" customHeight="1" outlineLevel="1">
      <c r="A63" s="89" t="s">
        <v>90</v>
      </c>
      <c r="B63" s="90"/>
      <c r="C63" s="93"/>
      <c r="D63" s="93"/>
      <c r="E63" s="93"/>
      <c r="F63" s="93"/>
      <c r="G63" s="93"/>
      <c r="H63" s="93"/>
      <c r="I63" s="93"/>
      <c r="J63" s="93"/>
      <c r="K63" s="93"/>
      <c r="L63" s="93"/>
      <c r="M63" s="93"/>
      <c r="N63" s="93"/>
      <c r="O63" s="93"/>
      <c r="P63" s="93"/>
      <c r="Q63" s="93"/>
      <c r="R63" s="93"/>
      <c r="S63" s="93"/>
      <c r="T63" s="93"/>
      <c r="U63" s="163"/>
      <c r="V63" s="93"/>
      <c r="W63" s="93"/>
      <c r="X63" s="93"/>
      <c r="Y63" s="99"/>
      <c r="Z63" s="91">
        <f t="shared" si="11"/>
        <v>0</v>
      </c>
      <c r="AA63" s="92">
        <f t="shared" si="12"/>
        <v>0</v>
      </c>
      <c r="AD63" s="70"/>
    </row>
    <row r="64" spans="1:30" ht="24.95" customHeight="1" outlineLevel="1">
      <c r="A64" s="89" t="s">
        <v>50</v>
      </c>
      <c r="B64" s="90"/>
      <c r="C64" s="93"/>
      <c r="D64" s="93"/>
      <c r="E64" s="93"/>
      <c r="F64" s="93"/>
      <c r="G64" s="93"/>
      <c r="H64" s="93"/>
      <c r="I64" s="93"/>
      <c r="J64" s="93"/>
      <c r="K64" s="93"/>
      <c r="L64" s="93"/>
      <c r="M64" s="93"/>
      <c r="N64" s="93"/>
      <c r="O64" s="93"/>
      <c r="P64" s="93"/>
      <c r="Q64" s="93"/>
      <c r="R64" s="93"/>
      <c r="S64" s="93"/>
      <c r="T64" s="93"/>
      <c r="U64" s="163"/>
      <c r="V64" s="93"/>
      <c r="W64" s="93"/>
      <c r="X64" s="93"/>
      <c r="Y64" s="99"/>
      <c r="Z64" s="91">
        <f t="shared" si="11"/>
        <v>0</v>
      </c>
      <c r="AA64" s="92">
        <f t="shared" si="12"/>
        <v>0</v>
      </c>
      <c r="AD64" s="70"/>
    </row>
    <row r="65" spans="1:30" ht="39.950000000000003" customHeight="1">
      <c r="A65" s="94" t="s">
        <v>79</v>
      </c>
      <c r="B65" s="95">
        <v>0</v>
      </c>
      <c r="C65" s="95">
        <v>0</v>
      </c>
      <c r="D65" s="95">
        <v>0</v>
      </c>
      <c r="E65" s="95">
        <v>0</v>
      </c>
      <c r="F65" s="95">
        <v>0</v>
      </c>
      <c r="G65" s="95">
        <v>0</v>
      </c>
      <c r="H65" s="95">
        <v>0</v>
      </c>
      <c r="I65" s="95">
        <v>0</v>
      </c>
      <c r="J65" s="95">
        <v>0</v>
      </c>
      <c r="K65" s="95">
        <v>0</v>
      </c>
      <c r="L65" s="95">
        <v>0</v>
      </c>
      <c r="M65" s="95">
        <v>0</v>
      </c>
      <c r="N65" s="95">
        <v>0</v>
      </c>
      <c r="O65" s="95">
        <v>0</v>
      </c>
      <c r="P65" s="95">
        <v>0</v>
      </c>
      <c r="Q65" s="95">
        <v>0</v>
      </c>
      <c r="R65" s="95">
        <v>0</v>
      </c>
      <c r="S65" s="95">
        <v>0</v>
      </c>
      <c r="T65" s="95">
        <v>0</v>
      </c>
      <c r="U65" s="95">
        <v>0</v>
      </c>
      <c r="V65" s="95">
        <v>0</v>
      </c>
      <c r="W65" s="95">
        <v>0</v>
      </c>
      <c r="X65" s="95">
        <v>0</v>
      </c>
      <c r="Y65" s="98">
        <v>0</v>
      </c>
      <c r="Z65" s="96">
        <f>+B65+D65+F65+H65+J65+L65+N65+P65+R65+T65+V65+X65</f>
        <v>0</v>
      </c>
      <c r="AA65" s="97">
        <f t="shared" si="12"/>
        <v>0</v>
      </c>
      <c r="AD65" s="70"/>
    </row>
    <row r="66" spans="1:30" s="87" customFormat="1" ht="24.95" customHeight="1">
      <c r="A66" s="94" t="s">
        <v>68</v>
      </c>
      <c r="B66" s="95">
        <f t="shared" ref="B66:AA66" si="16">SUM(B67:B75)</f>
        <v>350000</v>
      </c>
      <c r="C66" s="95">
        <f t="shared" si="16"/>
        <v>331933</v>
      </c>
      <c r="D66" s="95">
        <f t="shared" si="16"/>
        <v>0</v>
      </c>
      <c r="E66" s="95">
        <f t="shared" si="16"/>
        <v>7179800</v>
      </c>
      <c r="F66" s="95">
        <f t="shared" si="16"/>
        <v>7500000</v>
      </c>
      <c r="G66" s="95">
        <f t="shared" si="16"/>
        <v>0</v>
      </c>
      <c r="H66" s="95">
        <f t="shared" si="16"/>
        <v>15200000</v>
      </c>
      <c r="I66" s="95">
        <f t="shared" si="16"/>
        <v>373109</v>
      </c>
      <c r="J66" s="95">
        <f t="shared" si="16"/>
        <v>0</v>
      </c>
      <c r="K66" s="95">
        <f t="shared" si="16"/>
        <v>9923992</v>
      </c>
      <c r="L66" s="95">
        <f t="shared" si="16"/>
        <v>2500000</v>
      </c>
      <c r="M66" s="95">
        <f t="shared" si="16"/>
        <v>250000</v>
      </c>
      <c r="N66" s="95">
        <f t="shared" si="16"/>
        <v>1200000</v>
      </c>
      <c r="O66" s="95">
        <f t="shared" si="16"/>
        <v>0</v>
      </c>
      <c r="P66" s="95">
        <f t="shared" si="16"/>
        <v>0</v>
      </c>
      <c r="Q66" s="95">
        <f t="shared" si="16"/>
        <v>0</v>
      </c>
      <c r="R66" s="95">
        <f t="shared" si="16"/>
        <v>2500000</v>
      </c>
      <c r="S66" s="95">
        <f t="shared" si="16"/>
        <v>2620749</v>
      </c>
      <c r="T66" s="95">
        <f t="shared" si="16"/>
        <v>0</v>
      </c>
      <c r="U66" s="95">
        <f t="shared" si="16"/>
        <v>0</v>
      </c>
      <c r="V66" s="95">
        <f t="shared" si="16"/>
        <v>0</v>
      </c>
      <c r="W66" s="95">
        <f t="shared" si="16"/>
        <v>0</v>
      </c>
      <c r="X66" s="95">
        <f t="shared" si="16"/>
        <v>0</v>
      </c>
      <c r="Y66" s="95">
        <f t="shared" si="16"/>
        <v>0</v>
      </c>
      <c r="Z66" s="96">
        <f t="shared" si="16"/>
        <v>29250000</v>
      </c>
      <c r="AA66" s="97">
        <f>SUM(AA67:AA75)</f>
        <v>20679583</v>
      </c>
    </row>
    <row r="67" spans="1:30" ht="24.95" customHeight="1">
      <c r="A67" s="89" t="s">
        <v>208</v>
      </c>
      <c r="B67" s="90">
        <f>'DETALLADO GASTOS'!D24</f>
        <v>350000</v>
      </c>
      <c r="C67" s="90">
        <v>331933</v>
      </c>
      <c r="D67" s="90"/>
      <c r="E67" s="90"/>
      <c r="F67" s="90"/>
      <c r="G67" s="90"/>
      <c r="H67" s="90"/>
      <c r="I67" s="90"/>
      <c r="J67" s="90"/>
      <c r="K67" s="90"/>
      <c r="L67" s="90"/>
      <c r="M67" s="90"/>
      <c r="N67" s="90"/>
      <c r="O67" s="90"/>
      <c r="P67" s="90"/>
      <c r="Q67" s="90"/>
      <c r="R67" s="90"/>
      <c r="S67" s="90"/>
      <c r="T67" s="90"/>
      <c r="U67" s="162"/>
      <c r="V67" s="90"/>
      <c r="W67" s="90"/>
      <c r="X67" s="90"/>
      <c r="Y67" s="105"/>
      <c r="Z67" s="91">
        <f>+B67+D67+F67+H67+J67+L67+N67+P67+R67+T67+V67+X67</f>
        <v>350000</v>
      </c>
      <c r="AA67" s="92">
        <f t="shared" ref="AA67" si="17">+C67+E67+G67+I67+K67+M67+O67+Q67+S67+U67+W67+Y67</f>
        <v>331933</v>
      </c>
      <c r="AD67" s="70"/>
    </row>
    <row r="68" spans="1:30" ht="24.95" customHeight="1">
      <c r="A68" s="89" t="s">
        <v>209</v>
      </c>
      <c r="B68" s="90"/>
      <c r="C68" s="90"/>
      <c r="D68" s="90">
        <f>Tabla11[VALOR]</f>
        <v>0</v>
      </c>
      <c r="E68" s="90"/>
      <c r="F68" s="90"/>
      <c r="G68" s="90"/>
      <c r="H68" s="90"/>
      <c r="I68" s="90"/>
      <c r="J68" s="90"/>
      <c r="K68" s="90"/>
      <c r="L68" s="90"/>
      <c r="M68" s="90"/>
      <c r="N68" s="90"/>
      <c r="O68" s="90"/>
      <c r="P68" s="90"/>
      <c r="Q68" s="90"/>
      <c r="R68" s="90"/>
      <c r="S68" s="90"/>
      <c r="T68" s="90"/>
      <c r="U68" s="162"/>
      <c r="V68" s="90"/>
      <c r="W68" s="90"/>
      <c r="X68" s="90"/>
      <c r="Y68" s="105"/>
      <c r="Z68" s="91">
        <f t="shared" ref="Z68:Z75" si="18">+B68+D68+F68+H68+J68+L68+N68+P68+R68+T68+V68+X68</f>
        <v>0</v>
      </c>
      <c r="AA68" s="92">
        <f t="shared" ref="AA68:AA75" si="19">+C68+E68+G68+I68+K68+M68+O68+Q68+S68+U68+W68+Y68</f>
        <v>0</v>
      </c>
      <c r="AD68" s="70"/>
    </row>
    <row r="69" spans="1:30" ht="24.95" customHeight="1">
      <c r="A69" s="89" t="str">
        <f>+'DETALLADO GASTOS'!J11</f>
        <v>Portatil MAC</v>
      </c>
      <c r="B69" s="90"/>
      <c r="C69" s="90"/>
      <c r="D69" s="90"/>
      <c r="E69" s="90">
        <v>6779900</v>
      </c>
      <c r="F69" s="90">
        <f>'DETALLADO GASTOS'!K11</f>
        <v>6500000</v>
      </c>
      <c r="G69" s="90"/>
      <c r="H69" s="90"/>
      <c r="I69" s="90"/>
      <c r="J69" s="90"/>
      <c r="K69" s="90"/>
      <c r="L69" s="90"/>
      <c r="M69" s="90"/>
      <c r="N69" s="90"/>
      <c r="O69" s="90"/>
      <c r="P69" s="90"/>
      <c r="Q69" s="90"/>
      <c r="R69" s="90"/>
      <c r="S69" s="90"/>
      <c r="T69" s="90">
        <v>0</v>
      </c>
      <c r="U69" s="162"/>
      <c r="V69" s="90"/>
      <c r="W69" s="90"/>
      <c r="X69" s="90"/>
      <c r="Y69" s="105"/>
      <c r="Z69" s="91">
        <f>+B69+D69+F69+H69+J69+L69+N69+P69+R69+T69+V69+X69</f>
        <v>6500000</v>
      </c>
      <c r="AA69" s="92">
        <f t="shared" si="19"/>
        <v>6779900</v>
      </c>
      <c r="AD69" s="70"/>
    </row>
    <row r="70" spans="1:30" ht="24.95" customHeight="1">
      <c r="A70" s="89" t="s">
        <v>210</v>
      </c>
      <c r="B70" s="90"/>
      <c r="C70" s="90"/>
      <c r="D70" s="90"/>
      <c r="E70" s="90">
        <v>399900</v>
      </c>
      <c r="F70" s="90"/>
      <c r="G70" s="90"/>
      <c r="H70" s="90">
        <f>'DETALLADO GASTOS'!H25</f>
        <v>1200000</v>
      </c>
      <c r="I70" s="90"/>
      <c r="J70" s="90"/>
      <c r="K70" s="90"/>
      <c r="L70" s="90"/>
      <c r="M70" s="90"/>
      <c r="N70" s="90">
        <f>+'DETALLADO GASTOS'!H26</f>
        <v>1200000</v>
      </c>
      <c r="O70" s="90"/>
      <c r="P70" s="90"/>
      <c r="Q70" s="90"/>
      <c r="R70" s="90"/>
      <c r="S70" s="90"/>
      <c r="T70" s="90"/>
      <c r="U70" s="162"/>
      <c r="V70" s="90"/>
      <c r="W70" s="90"/>
      <c r="X70" s="90"/>
      <c r="Y70" s="105"/>
      <c r="Z70" s="91">
        <f t="shared" si="18"/>
        <v>2400000</v>
      </c>
      <c r="AA70" s="92">
        <f t="shared" si="19"/>
        <v>399900</v>
      </c>
      <c r="AD70" s="70"/>
    </row>
    <row r="71" spans="1:30" ht="24.95" customHeight="1">
      <c r="A71" s="89" t="s">
        <v>208</v>
      </c>
      <c r="B71" s="90"/>
      <c r="C71" s="90"/>
      <c r="D71" s="90"/>
      <c r="E71" s="90"/>
      <c r="F71" s="90"/>
      <c r="G71" s="90"/>
      <c r="H71" s="90"/>
      <c r="I71" s="90"/>
      <c r="J71" s="90">
        <f>'DETALLADO GASTOS'!D25</f>
        <v>0</v>
      </c>
      <c r="K71" s="90"/>
      <c r="L71" s="90"/>
      <c r="M71" s="90"/>
      <c r="N71" s="90"/>
      <c r="O71" s="90"/>
      <c r="P71" s="90"/>
      <c r="Q71" s="90"/>
      <c r="R71" s="90"/>
      <c r="S71" s="90"/>
      <c r="T71" s="90"/>
      <c r="U71" s="162"/>
      <c r="V71" s="90"/>
      <c r="W71" s="90"/>
      <c r="X71" s="90"/>
      <c r="Y71" s="105"/>
      <c r="Z71" s="91">
        <f t="shared" si="18"/>
        <v>0</v>
      </c>
      <c r="AA71" s="92">
        <f t="shared" si="19"/>
        <v>0</v>
      </c>
      <c r="AD71" s="70"/>
    </row>
    <row r="72" spans="1:30" ht="24.95" customHeight="1">
      <c r="A72" s="89" t="s">
        <v>216</v>
      </c>
      <c r="B72" s="90"/>
      <c r="C72" s="90"/>
      <c r="D72" s="90"/>
      <c r="E72" s="90"/>
      <c r="F72" s="90"/>
      <c r="G72" s="90"/>
      <c r="H72" s="90">
        <v>14000000</v>
      </c>
      <c r="I72" s="90"/>
      <c r="J72" s="90"/>
      <c r="K72" s="90">
        <v>7702000</v>
      </c>
      <c r="L72" s="90"/>
      <c r="M72" s="90">
        <v>250000</v>
      </c>
      <c r="N72" s="90"/>
      <c r="O72" s="90"/>
      <c r="P72" s="90"/>
      <c r="Q72" s="90"/>
      <c r="R72" s="90"/>
      <c r="S72" s="90"/>
      <c r="T72" s="90"/>
      <c r="U72" s="162"/>
      <c r="V72" s="90"/>
      <c r="W72" s="90"/>
      <c r="X72" s="90"/>
      <c r="Y72" s="105"/>
      <c r="Z72" s="91">
        <f>+B72+D72+F72+H72+J72+L72+N72+P72+R72+T72+V72+X72</f>
        <v>14000000</v>
      </c>
      <c r="AA72" s="92">
        <f t="shared" si="19"/>
        <v>7952000</v>
      </c>
      <c r="AD72" s="70"/>
    </row>
    <row r="73" spans="1:30" ht="24.95" customHeight="1">
      <c r="A73" s="89" t="s">
        <v>211</v>
      </c>
      <c r="B73" s="90"/>
      <c r="C73" s="90"/>
      <c r="D73" s="90"/>
      <c r="E73" s="90"/>
      <c r="F73" s="90"/>
      <c r="G73" s="90"/>
      <c r="H73" s="90"/>
      <c r="I73" s="90"/>
      <c r="J73" s="90"/>
      <c r="K73" s="90">
        <v>2221992</v>
      </c>
      <c r="L73" s="90">
        <f>'DETALLADO GASTOS'!G20</f>
        <v>2500000</v>
      </c>
      <c r="M73" s="90"/>
      <c r="N73" s="90"/>
      <c r="O73" s="90"/>
      <c r="P73" s="90"/>
      <c r="Q73" s="90"/>
      <c r="R73" s="90"/>
      <c r="S73" s="90"/>
      <c r="T73" s="90"/>
      <c r="U73" s="162"/>
      <c r="V73" s="90"/>
      <c r="W73" s="90"/>
      <c r="X73" s="90"/>
      <c r="Y73" s="105"/>
      <c r="Z73" s="91">
        <f t="shared" si="18"/>
        <v>2500000</v>
      </c>
      <c r="AA73" s="92">
        <f>+C73+E73+G73+I73+K73+M73+O73+Q73+S73+U73+W73+Y73</f>
        <v>2221992</v>
      </c>
      <c r="AD73" s="70"/>
    </row>
    <row r="74" spans="1:30" ht="24.95" customHeight="1">
      <c r="A74" s="89" t="s">
        <v>212</v>
      </c>
      <c r="B74" s="90"/>
      <c r="C74" s="90"/>
      <c r="D74" s="90"/>
      <c r="E74" s="90"/>
      <c r="F74" s="90"/>
      <c r="G74" s="90"/>
      <c r="H74" s="90"/>
      <c r="I74" s="90"/>
      <c r="J74" s="90"/>
      <c r="K74" s="90"/>
      <c r="L74" s="90"/>
      <c r="M74" s="90"/>
      <c r="N74" s="90"/>
      <c r="O74" s="90"/>
      <c r="P74" s="90"/>
      <c r="Q74" s="90"/>
      <c r="R74" s="90">
        <f>'DETALLADO GASTOS'!G20</f>
        <v>2500000</v>
      </c>
      <c r="S74" s="90">
        <v>2620749</v>
      </c>
      <c r="T74" s="90"/>
      <c r="U74" s="162"/>
      <c r="V74" s="90"/>
      <c r="W74" s="90"/>
      <c r="X74" s="90"/>
      <c r="Y74" s="105"/>
      <c r="Z74" s="91">
        <f t="shared" ref="Z74" si="20">+B74+D74+F74+H74+J74+L74+N74+P74+R74+T74+V74+X74</f>
        <v>2500000</v>
      </c>
      <c r="AA74" s="92">
        <f>+C74+E74+G74+I74+K74+M74+O74+Q74+S74+U74+W74+Y74</f>
        <v>2620749</v>
      </c>
      <c r="AD74" s="70"/>
    </row>
    <row r="75" spans="1:30" ht="24.95" customHeight="1">
      <c r="A75" s="89" t="s">
        <v>215</v>
      </c>
      <c r="B75" s="90"/>
      <c r="C75" s="90"/>
      <c r="D75" s="90"/>
      <c r="E75" s="90"/>
      <c r="F75" s="90">
        <v>1000000</v>
      </c>
      <c r="G75" s="90">
        <v>0</v>
      </c>
      <c r="H75" s="90"/>
      <c r="I75" s="90">
        <v>373109</v>
      </c>
      <c r="J75" s="90"/>
      <c r="K75" s="90"/>
      <c r="L75" s="90"/>
      <c r="M75" s="90"/>
      <c r="N75" s="90"/>
      <c r="O75" s="90"/>
      <c r="P75" s="90"/>
      <c r="Q75" s="90"/>
      <c r="R75" s="90">
        <v>0</v>
      </c>
      <c r="S75" s="90"/>
      <c r="T75" s="90"/>
      <c r="U75" s="162"/>
      <c r="V75" s="90"/>
      <c r="W75" s="90"/>
      <c r="X75" s="90"/>
      <c r="Y75" s="105"/>
      <c r="Z75" s="91">
        <f t="shared" si="18"/>
        <v>1000000</v>
      </c>
      <c r="AA75" s="92">
        <f>+C75+E75+G75+I75+K75+M75+O75+Q75+S75+U75+W75+Y75</f>
        <v>373109</v>
      </c>
      <c r="AD75" s="70"/>
    </row>
    <row r="76" spans="1:30" ht="24.95" customHeight="1">
      <c r="A76" s="94" t="s">
        <v>69</v>
      </c>
      <c r="B76" s="95">
        <v>0</v>
      </c>
      <c r="C76" s="95">
        <v>0</v>
      </c>
      <c r="D76" s="95">
        <v>0</v>
      </c>
      <c r="E76" s="95">
        <v>0</v>
      </c>
      <c r="F76" s="95">
        <v>0</v>
      </c>
      <c r="G76" s="95">
        <v>0</v>
      </c>
      <c r="H76" s="95">
        <v>0</v>
      </c>
      <c r="I76" s="95">
        <v>0</v>
      </c>
      <c r="J76" s="95">
        <v>0</v>
      </c>
      <c r="K76" s="95">
        <v>0</v>
      </c>
      <c r="L76" s="95">
        <v>0</v>
      </c>
      <c r="M76" s="95">
        <v>0</v>
      </c>
      <c r="N76" s="95">
        <v>0</v>
      </c>
      <c r="O76" s="95">
        <v>0</v>
      </c>
      <c r="P76" s="95">
        <v>0</v>
      </c>
      <c r="Q76" s="95">
        <v>0</v>
      </c>
      <c r="R76" s="95">
        <v>0</v>
      </c>
      <c r="S76" s="95">
        <v>0</v>
      </c>
      <c r="T76" s="95">
        <v>0</v>
      </c>
      <c r="U76" s="95">
        <v>0</v>
      </c>
      <c r="V76" s="95">
        <v>0</v>
      </c>
      <c r="W76" s="95">
        <v>0</v>
      </c>
      <c r="X76" s="95">
        <v>0</v>
      </c>
      <c r="Y76" s="98">
        <v>0</v>
      </c>
      <c r="Z76" s="96">
        <f>+B76+D76+F76+H76+J76+L76+N76+P76+R76+T76+V76+X76</f>
        <v>0</v>
      </c>
      <c r="AA76" s="97">
        <f t="shared" si="12"/>
        <v>0</v>
      </c>
    </row>
    <row r="77" spans="1:30" ht="24.95" customHeight="1">
      <c r="A77" s="94" t="s">
        <v>80</v>
      </c>
      <c r="B77" s="95">
        <v>0</v>
      </c>
      <c r="C77" s="95">
        <v>0</v>
      </c>
      <c r="D77" s="95">
        <v>0</v>
      </c>
      <c r="E77" s="95">
        <v>0</v>
      </c>
      <c r="F77" s="95">
        <v>0</v>
      </c>
      <c r="G77" s="95">
        <v>0</v>
      </c>
      <c r="H77" s="95">
        <v>0</v>
      </c>
      <c r="I77" s="95">
        <v>0</v>
      </c>
      <c r="J77" s="95">
        <v>0</v>
      </c>
      <c r="K77" s="95">
        <v>0</v>
      </c>
      <c r="L77" s="95">
        <v>0</v>
      </c>
      <c r="M77" s="95">
        <v>0</v>
      </c>
      <c r="N77" s="95">
        <v>0</v>
      </c>
      <c r="O77" s="95">
        <v>0</v>
      </c>
      <c r="P77" s="95">
        <v>0</v>
      </c>
      <c r="Q77" s="95">
        <v>0</v>
      </c>
      <c r="R77" s="95">
        <v>0</v>
      </c>
      <c r="S77" s="95">
        <v>0</v>
      </c>
      <c r="T77" s="95">
        <v>0</v>
      </c>
      <c r="U77" s="95">
        <v>0</v>
      </c>
      <c r="V77" s="95">
        <v>0</v>
      </c>
      <c r="W77" s="95">
        <v>0</v>
      </c>
      <c r="X77" s="95">
        <v>0</v>
      </c>
      <c r="Y77" s="98">
        <v>0</v>
      </c>
      <c r="Z77" s="96">
        <f>+B77+D77+F77+H77+J77+L77+N77+P77+R77+T77+V77+X77</f>
        <v>0</v>
      </c>
      <c r="AA77" s="97">
        <f t="shared" si="12"/>
        <v>0</v>
      </c>
    </row>
    <row r="78" spans="1:30" ht="24.95" customHeight="1" thickBot="1">
      <c r="A78" s="106" t="s">
        <v>70</v>
      </c>
      <c r="B78" s="95">
        <v>0</v>
      </c>
      <c r="C78" s="95">
        <v>0</v>
      </c>
      <c r="D78" s="95">
        <v>0</v>
      </c>
      <c r="E78" s="95">
        <v>0</v>
      </c>
      <c r="F78" s="95">
        <v>0</v>
      </c>
      <c r="G78" s="95">
        <v>0</v>
      </c>
      <c r="H78" s="95">
        <v>0</v>
      </c>
      <c r="I78" s="95">
        <v>0</v>
      </c>
      <c r="J78" s="95">
        <v>0</v>
      </c>
      <c r="K78" s="95">
        <v>0</v>
      </c>
      <c r="L78" s="95">
        <v>0</v>
      </c>
      <c r="M78" s="95">
        <v>0</v>
      </c>
      <c r="N78" s="95">
        <v>0</v>
      </c>
      <c r="O78" s="95">
        <v>0</v>
      </c>
      <c r="P78" s="95">
        <v>0</v>
      </c>
      <c r="Q78" s="95">
        <v>0</v>
      </c>
      <c r="R78" s="95">
        <v>0</v>
      </c>
      <c r="S78" s="95">
        <v>0</v>
      </c>
      <c r="T78" s="95">
        <v>0</v>
      </c>
      <c r="U78" s="95">
        <v>0</v>
      </c>
      <c r="V78" s="95">
        <v>0</v>
      </c>
      <c r="W78" s="95">
        <v>0</v>
      </c>
      <c r="X78" s="95">
        <v>0</v>
      </c>
      <c r="Y78" s="98">
        <v>0</v>
      </c>
      <c r="Z78" s="96">
        <f>+B78+D78+F78+H78+J78+L78+N78+P78+R78+T78+V78+X78</f>
        <v>0</v>
      </c>
      <c r="AA78" s="97">
        <f t="shared" si="12"/>
        <v>0</v>
      </c>
    </row>
    <row r="79" spans="1:30" s="87" customFormat="1" ht="24.95" customHeight="1" thickBot="1">
      <c r="A79" s="77" t="s">
        <v>71</v>
      </c>
      <c r="B79" s="107">
        <f t="shared" ref="B79:Y79" si="21">+B9+B14+B16+B22+B23+B24+B25+B37+B38+B40+B45+B50+B51+B52+B53+B54+B55+B56+B57+B58+B59+B65+B66+B77+B78</f>
        <v>9293837.985106932</v>
      </c>
      <c r="C79" s="108">
        <f t="shared" si="21"/>
        <v>7731341</v>
      </c>
      <c r="D79" s="109">
        <f t="shared" si="21"/>
        <v>11323829.985106932</v>
      </c>
      <c r="E79" s="108">
        <f t="shared" si="21"/>
        <v>15409210</v>
      </c>
      <c r="F79" s="109">
        <f t="shared" si="21"/>
        <v>16583837.985106932</v>
      </c>
      <c r="G79" s="108">
        <f t="shared" si="21"/>
        <v>9569594</v>
      </c>
      <c r="H79" s="109">
        <f t="shared" si="21"/>
        <v>24143837.98510693</v>
      </c>
      <c r="I79" s="108">
        <f t="shared" si="21"/>
        <v>12815359</v>
      </c>
      <c r="J79" s="109">
        <f t="shared" si="21"/>
        <v>8619087.985106932</v>
      </c>
      <c r="K79" s="108">
        <f t="shared" si="21"/>
        <v>18832317</v>
      </c>
      <c r="L79" s="109">
        <f t="shared" si="21"/>
        <v>11502547.985106932</v>
      </c>
      <c r="M79" s="108">
        <f t="shared" si="21"/>
        <v>8711577.8499999996</v>
      </c>
      <c r="N79" s="109">
        <f t="shared" si="21"/>
        <v>9464188.3518613763</v>
      </c>
      <c r="O79" s="108">
        <f t="shared" si="21"/>
        <v>8639998</v>
      </c>
      <c r="P79" s="109">
        <f t="shared" si="21"/>
        <v>6824188.3518613754</v>
      </c>
      <c r="Q79" s="108">
        <f t="shared" si="21"/>
        <v>8478041.9399999995</v>
      </c>
      <c r="R79" s="109">
        <f t="shared" si="21"/>
        <v>9464188.3518613763</v>
      </c>
      <c r="S79" s="108">
        <f t="shared" si="21"/>
        <v>12131922</v>
      </c>
      <c r="T79" s="109">
        <f t="shared" si="21"/>
        <v>7524188.3518613754</v>
      </c>
      <c r="U79" s="164">
        <f t="shared" si="21"/>
        <v>8639389</v>
      </c>
      <c r="V79" s="109">
        <f t="shared" si="21"/>
        <v>6824188.3518613754</v>
      </c>
      <c r="W79" s="108">
        <f t="shared" si="21"/>
        <v>8786106</v>
      </c>
      <c r="X79" s="109">
        <f t="shared" si="21"/>
        <v>6964188.3518613754</v>
      </c>
      <c r="Y79" s="109">
        <f t="shared" si="21"/>
        <v>0</v>
      </c>
      <c r="Z79" s="109">
        <f>+Z9+Z14+Z16+Z22+Z23+Z24+Z25+Z37+Z38+Z40+Z45+Z50+Z51+Z52+Z53+Z54+Z55+Z56+Z57+Z58+Z59+Z65+Z66+Z77+Z78+Z76</f>
        <v>128532110.02180983</v>
      </c>
      <c r="AA79" s="110">
        <f>+AA9+AA14+AA16+AA22+AA23+AA24+AA25+AA37+AA38+AA40+AA45+AA50+AA51+AA52+AA53+AA54+AA55+AA56+AA57+AA58+AA59+AA65+AA66+AA77+AA78+AA76</f>
        <v>119744855.78999999</v>
      </c>
      <c r="AD79" s="88"/>
    </row>
    <row r="80" spans="1:30" ht="11.1" customHeight="1" thickBot="1"/>
    <row r="81" spans="1:27" ht="39" customHeight="1">
      <c r="A81" s="188" t="s">
        <v>82</v>
      </c>
      <c r="B81" s="189"/>
      <c r="C81" s="189"/>
      <c r="D81" s="189"/>
      <c r="E81" s="189"/>
      <c r="F81" s="189"/>
      <c r="G81" s="190"/>
      <c r="H81" s="111"/>
      <c r="I81" s="188" t="s">
        <v>83</v>
      </c>
      <c r="J81" s="189"/>
      <c r="K81" s="189"/>
      <c r="L81" s="189"/>
      <c r="M81" s="189"/>
      <c r="N81" s="189"/>
      <c r="O81" s="189"/>
      <c r="P81" s="189"/>
      <c r="Q81" s="190"/>
      <c r="R81" s="111"/>
      <c r="S81" s="188" t="s">
        <v>95</v>
      </c>
      <c r="T81" s="189"/>
      <c r="U81" s="189"/>
      <c r="V81" s="189"/>
      <c r="W81" s="189"/>
      <c r="X81" s="189"/>
      <c r="Y81" s="189"/>
      <c r="Z81" s="189"/>
      <c r="AA81" s="190"/>
    </row>
    <row r="82" spans="1:27" ht="44.1" customHeight="1" thickBot="1">
      <c r="A82" s="180" t="s">
        <v>81</v>
      </c>
      <c r="B82" s="181"/>
      <c r="C82" s="181"/>
      <c r="D82" s="181"/>
      <c r="E82" s="181"/>
      <c r="F82" s="181"/>
      <c r="G82" s="182"/>
      <c r="H82" s="111"/>
      <c r="I82" s="180" t="s">
        <v>81</v>
      </c>
      <c r="J82" s="181"/>
      <c r="K82" s="181"/>
      <c r="L82" s="181"/>
      <c r="M82" s="181"/>
      <c r="N82" s="181"/>
      <c r="O82" s="181"/>
      <c r="P82" s="181"/>
      <c r="Q82" s="182"/>
      <c r="R82" s="111"/>
      <c r="S82" s="180" t="s">
        <v>81</v>
      </c>
      <c r="T82" s="181"/>
      <c r="U82" s="181"/>
      <c r="V82" s="181"/>
      <c r="W82" s="181"/>
      <c r="X82" s="181"/>
      <c r="Y82" s="181"/>
      <c r="Z82" s="181"/>
      <c r="AA82" s="182"/>
    </row>
    <row r="83" spans="1:27" ht="24.95" customHeight="1">
      <c r="A83" s="112"/>
      <c r="B83" s="112"/>
      <c r="C83" s="112"/>
      <c r="D83" s="112"/>
    </row>
    <row r="84" spans="1:27" ht="47.1" customHeight="1"/>
    <row r="85" spans="1:27" ht="47.1" customHeight="1"/>
    <row r="86" spans="1:27" ht="47.1" customHeight="1"/>
    <row r="87" spans="1:27" ht="47.1" customHeight="1"/>
    <row r="88" spans="1:27" ht="47.1" customHeight="1"/>
    <row r="89" spans="1:27" ht="47.1" customHeight="1"/>
    <row r="90" spans="1:27" ht="47.1" customHeight="1"/>
    <row r="91" spans="1:27" ht="47.1" customHeight="1"/>
    <row r="92" spans="1:27" ht="47.1" customHeight="1"/>
    <row r="93" spans="1:27" ht="47.1" customHeight="1"/>
    <row r="94" spans="1:27" ht="47.1" customHeight="1"/>
    <row r="95" spans="1:27" ht="47.1" customHeight="1"/>
    <row r="96" spans="1:27" ht="47.1" customHeight="1"/>
    <row r="97" ht="47.1" customHeight="1"/>
    <row r="98" ht="47.1" customHeight="1"/>
    <row r="99" ht="47.1" customHeight="1"/>
    <row r="100" ht="47.1" customHeight="1"/>
    <row r="101" ht="47.1" customHeight="1"/>
    <row r="102" ht="47.1" customHeight="1"/>
    <row r="103" ht="47.1" customHeight="1"/>
    <row r="104" ht="47.1" customHeight="1"/>
  </sheetData>
  <sheetProtection insertRows="0" autoFilter="0"/>
  <mergeCells count="23">
    <mergeCell ref="S82:AA82"/>
    <mergeCell ref="I82:Q82"/>
    <mergeCell ref="A82:G82"/>
    <mergeCell ref="B6:G6"/>
    <mergeCell ref="M6:Q6"/>
    <mergeCell ref="K6:L6"/>
    <mergeCell ref="U6:V6"/>
    <mergeCell ref="W6:AA6"/>
    <mergeCell ref="A81:G81"/>
    <mergeCell ref="I81:Q81"/>
    <mergeCell ref="S81:AA81"/>
    <mergeCell ref="A5:AA5"/>
    <mergeCell ref="A2:AA2"/>
    <mergeCell ref="A3:E3"/>
    <mergeCell ref="A4:E4"/>
    <mergeCell ref="F3:K3"/>
    <mergeCell ref="L3:Q3"/>
    <mergeCell ref="L4:Q4"/>
    <mergeCell ref="R3:V3"/>
    <mergeCell ref="R4:V4"/>
    <mergeCell ref="F4:K4"/>
    <mergeCell ref="W3:AA3"/>
    <mergeCell ref="W4:AA4"/>
  </mergeCells>
  <phoneticPr fontId="3" type="noConversion"/>
  <pageMargins left="0.52370370370370367" right="0.25" top="0.75000000000000011" bottom="0.75000000000000011" header="0.16" footer="0.30000000000000004"/>
  <pageSetup paperSize="5" scale="25" orientation="landscape" horizontalDpi="4294967292" verticalDpi="4294967292" r:id="rId1"/>
  <drawing r:id="rId2"/>
  <legacyDrawing r:id="rId3"/>
  <controls>
    <mc:AlternateContent xmlns:mc="http://schemas.openxmlformats.org/markup-compatibility/2006">
      <mc:Choice Requires="x14">
        <control shapeId="1032" r:id="rId4" name="Control 8">
          <controlPr defaultSize="0" r:id="rId5">
            <anchor moveWithCells="1">
              <from>
                <xdr:col>26</xdr:col>
                <xdr:colOff>1047750</xdr:colOff>
                <xdr:row>72</xdr:row>
                <xdr:rowOff>276225</xdr:rowOff>
              </from>
              <to>
                <xdr:col>26</xdr:col>
                <xdr:colOff>1257300</xdr:colOff>
                <xdr:row>73</xdr:row>
                <xdr:rowOff>219075</xdr:rowOff>
              </to>
            </anchor>
          </controlPr>
        </control>
      </mc:Choice>
      <mc:Fallback>
        <control shapeId="1032" r:id="rId4" name="Control 8"/>
      </mc:Fallback>
    </mc:AlternateContent>
    <mc:AlternateContent xmlns:mc="http://schemas.openxmlformats.org/markup-compatibility/2006">
      <mc:Choice Requires="x14">
        <control shapeId="1031" r:id="rId6" name="Control 7">
          <controlPr defaultSize="0" r:id="rId7">
            <anchor moveWithCells="1">
              <from>
                <xdr:col>26</xdr:col>
                <xdr:colOff>1047750</xdr:colOff>
                <xdr:row>72</xdr:row>
                <xdr:rowOff>276225</xdr:rowOff>
              </from>
              <to>
                <xdr:col>26</xdr:col>
                <xdr:colOff>1257300</xdr:colOff>
                <xdr:row>73</xdr:row>
                <xdr:rowOff>219075</xdr:rowOff>
              </to>
            </anchor>
          </controlPr>
        </control>
      </mc:Choice>
      <mc:Fallback>
        <control shapeId="1031" r:id="rId6" name="Control 7"/>
      </mc:Fallback>
    </mc:AlternateContent>
    <mc:AlternateContent xmlns:mc="http://schemas.openxmlformats.org/markup-compatibility/2006">
      <mc:Choice Requires="x14">
        <control shapeId="1030" r:id="rId8" name="Control 6">
          <controlPr defaultSize="0" r:id="rId7">
            <anchor moveWithCells="1">
              <from>
                <xdr:col>26</xdr:col>
                <xdr:colOff>1047750</xdr:colOff>
                <xdr:row>72</xdr:row>
                <xdr:rowOff>276225</xdr:rowOff>
              </from>
              <to>
                <xdr:col>26</xdr:col>
                <xdr:colOff>1257300</xdr:colOff>
                <xdr:row>73</xdr:row>
                <xdr:rowOff>219075</xdr:rowOff>
              </to>
            </anchor>
          </controlPr>
        </control>
      </mc:Choice>
      <mc:Fallback>
        <control shapeId="1030" r:id="rId8" name="Control 6"/>
      </mc:Fallback>
    </mc:AlternateContent>
    <mc:AlternateContent xmlns:mc="http://schemas.openxmlformats.org/markup-compatibility/2006">
      <mc:Choice Requires="x14">
        <control shapeId="1029" r:id="rId9" name="Control 5">
          <controlPr defaultSize="0" r:id="rId7">
            <anchor moveWithCells="1">
              <from>
                <xdr:col>26</xdr:col>
                <xdr:colOff>1047750</xdr:colOff>
                <xdr:row>72</xdr:row>
                <xdr:rowOff>276225</xdr:rowOff>
              </from>
              <to>
                <xdr:col>26</xdr:col>
                <xdr:colOff>1257300</xdr:colOff>
                <xdr:row>73</xdr:row>
                <xdr:rowOff>219075</xdr:rowOff>
              </to>
            </anchor>
          </controlPr>
        </control>
      </mc:Choice>
      <mc:Fallback>
        <control shapeId="1029" r:id="rId9" name="Control 5"/>
      </mc:Fallback>
    </mc:AlternateContent>
    <mc:AlternateContent xmlns:mc="http://schemas.openxmlformats.org/markup-compatibility/2006">
      <mc:Choice Requires="x14">
        <control shapeId="1028" r:id="rId10" name="Control 4">
          <controlPr defaultSize="0" r:id="rId5">
            <anchor moveWithCells="1">
              <from>
                <xdr:col>26</xdr:col>
                <xdr:colOff>1047750</xdr:colOff>
                <xdr:row>72</xdr:row>
                <xdr:rowOff>276225</xdr:rowOff>
              </from>
              <to>
                <xdr:col>26</xdr:col>
                <xdr:colOff>1257300</xdr:colOff>
                <xdr:row>73</xdr:row>
                <xdr:rowOff>219075</xdr:rowOff>
              </to>
            </anchor>
          </controlPr>
        </control>
      </mc:Choice>
      <mc:Fallback>
        <control shapeId="1028" r:id="rId10" name="Control 4"/>
      </mc:Fallback>
    </mc:AlternateContent>
  </controls>
  <extLst>
    <ext xmlns:mx="http://schemas.microsoft.com/office/mac/excel/2008/main" uri="{64002731-A6B0-56B0-2670-7721B7C09600}">
      <mx:PLV Mode="1" OnePage="0" WScale="28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CF703-B093-4440-93EA-79FA350687B7}">
  <dimension ref="B1:S53"/>
  <sheetViews>
    <sheetView showGridLines="0" topLeftCell="L32" zoomScale="98" zoomScaleNormal="98" workbookViewId="0">
      <selection activeCell="O41" sqref="E41:O41"/>
    </sheetView>
  </sheetViews>
  <sheetFormatPr baseColWidth="10" defaultRowHeight="14.25"/>
  <cols>
    <col min="1" max="1" width="5.625" style="116" customWidth="1"/>
    <col min="2" max="2" width="20.125" style="116" customWidth="1"/>
    <col min="3" max="3" width="21.375" style="116" customWidth="1"/>
    <col min="4" max="4" width="23.25" style="117" bestFit="1" customWidth="1"/>
    <col min="5" max="5" width="18.75" style="116" bestFit="1" customWidth="1"/>
    <col min="6" max="6" width="19.25" style="116" bestFit="1" customWidth="1"/>
    <col min="7" max="8" width="19.75" style="116" bestFit="1" customWidth="1"/>
    <col min="9" max="9" width="20.25" style="116" bestFit="1" customWidth="1"/>
    <col min="10" max="10" width="23.125" style="116" customWidth="1"/>
    <col min="11" max="11" width="21.5" style="116" customWidth="1"/>
    <col min="12" max="12" width="19" style="116" customWidth="1"/>
    <col min="13" max="13" width="21" style="116" customWidth="1"/>
    <col min="14" max="14" width="20.125" style="116" customWidth="1"/>
    <col min="15" max="15" width="18.5" style="116" customWidth="1"/>
    <col min="16" max="16" width="19" style="116" customWidth="1"/>
    <col min="17" max="17" width="10" style="116" customWidth="1"/>
    <col min="18" max="19" width="11" style="116"/>
    <col min="20" max="20" width="15.625" style="116" customWidth="1"/>
    <col min="21" max="21" width="23.375" style="116" customWidth="1"/>
    <col min="22" max="25" width="11" style="116"/>
    <col min="26" max="26" width="1.5" style="116" customWidth="1"/>
    <col min="27" max="30" width="10" style="116" customWidth="1"/>
    <col min="31" max="16384" width="11" style="116"/>
  </cols>
  <sheetData>
    <row r="1" spans="4:12" ht="15" customHeight="1">
      <c r="D1" s="114"/>
      <c r="E1" s="115"/>
      <c r="F1" s="115"/>
      <c r="G1" s="115"/>
      <c r="H1" s="115"/>
      <c r="I1" s="115"/>
      <c r="J1" s="115"/>
      <c r="K1" s="115"/>
    </row>
    <row r="16" spans="4:12">
      <c r="L16" s="118"/>
    </row>
    <row r="21" spans="19:19">
      <c r="S21" s="116" t="s">
        <v>219</v>
      </c>
    </row>
    <row r="36" spans="2:18" ht="15" thickBot="1"/>
    <row r="37" spans="2:18" ht="15.75" customHeight="1">
      <c r="B37" s="191" t="s">
        <v>220</v>
      </c>
      <c r="C37" s="193">
        <v>2024</v>
      </c>
      <c r="D37" s="193"/>
      <c r="E37" s="193"/>
      <c r="F37" s="193"/>
      <c r="G37" s="193"/>
      <c r="H37" s="193"/>
      <c r="I37" s="193"/>
      <c r="J37" s="193"/>
      <c r="K37" s="193"/>
      <c r="L37" s="193"/>
      <c r="M37" s="193"/>
      <c r="N37" s="193"/>
      <c r="O37" s="193"/>
      <c r="P37" s="194"/>
    </row>
    <row r="38" spans="2:18" ht="15" customHeight="1">
      <c r="B38" s="192"/>
      <c r="C38" s="135" t="s">
        <v>229</v>
      </c>
      <c r="D38" s="195" t="s">
        <v>228</v>
      </c>
      <c r="E38" s="136" t="s">
        <v>221</v>
      </c>
      <c r="F38" s="136" t="s">
        <v>195</v>
      </c>
      <c r="G38" s="136" t="s">
        <v>196</v>
      </c>
      <c r="H38" s="136" t="s">
        <v>197</v>
      </c>
      <c r="I38" s="136" t="s">
        <v>198</v>
      </c>
      <c r="J38" s="136" t="s">
        <v>199</v>
      </c>
      <c r="K38" s="136" t="s">
        <v>200</v>
      </c>
      <c r="L38" s="136" t="s">
        <v>201</v>
      </c>
      <c r="M38" s="136" t="s">
        <v>202</v>
      </c>
      <c r="N38" s="136" t="s">
        <v>203</v>
      </c>
      <c r="O38" s="136" t="s">
        <v>204</v>
      </c>
      <c r="P38" s="137" t="s">
        <v>205</v>
      </c>
    </row>
    <row r="39" spans="2:18" ht="18">
      <c r="B39" s="192"/>
      <c r="C39" s="136" t="s">
        <v>226</v>
      </c>
      <c r="D39" s="195"/>
      <c r="E39" s="136"/>
      <c r="F39" s="136"/>
      <c r="G39" s="136"/>
      <c r="H39" s="136"/>
      <c r="I39" s="136"/>
      <c r="J39" s="136"/>
      <c r="K39" s="136"/>
      <c r="L39" s="136"/>
      <c r="M39" s="136"/>
      <c r="N39" s="136"/>
      <c r="O39" s="136"/>
      <c r="P39" s="137"/>
    </row>
    <row r="40" spans="2:18" ht="29.25">
      <c r="B40" s="120" t="s">
        <v>222</v>
      </c>
      <c r="C40" s="119">
        <f>+'PRESUPUESTO 2024'!Z79</f>
        <v>128532110.02180983</v>
      </c>
      <c r="D40" s="158">
        <f>SUM(E40+F40+G40+H40+I40+J40+K40+L40+M40+N40+O40)</f>
        <v>121567921.66994846</v>
      </c>
      <c r="E40" s="119">
        <f>+'PRESUPUESTO 2024'!B79</f>
        <v>9293837.985106932</v>
      </c>
      <c r="F40" s="119">
        <f>+'PRESUPUESTO 2024'!D79</f>
        <v>11323829.985106932</v>
      </c>
      <c r="G40" s="119">
        <f>+'PRESUPUESTO 2024'!F79</f>
        <v>16583837.985106932</v>
      </c>
      <c r="H40" s="119">
        <f>+'PRESUPUESTO 2024'!H79</f>
        <v>24143837.98510693</v>
      </c>
      <c r="I40" s="131">
        <f>+'PRESUPUESTO 2024'!J79</f>
        <v>8619087.985106932</v>
      </c>
      <c r="J40" s="119">
        <f>+'PRESUPUESTO 2024'!L79</f>
        <v>11502547.985106932</v>
      </c>
      <c r="K40" s="119">
        <f>+'PRESUPUESTO 2024'!N79</f>
        <v>9464188.3518613763</v>
      </c>
      <c r="L40" s="119">
        <f>+'PRESUPUESTO 2024'!P79</f>
        <v>6824188.3518613754</v>
      </c>
      <c r="M40" s="119">
        <f>+'PRESUPUESTO 2024'!R79</f>
        <v>9464188.3518613763</v>
      </c>
      <c r="N40" s="119">
        <f>+'PRESUPUESTO 2024'!T79</f>
        <v>7524188.3518613754</v>
      </c>
      <c r="O40" s="119">
        <f>+'PRESUPUESTO 2024'!V79</f>
        <v>6824188.3518613754</v>
      </c>
      <c r="P40" s="138">
        <f>+'PRESUPUESTO 2024'!X79</f>
        <v>6964188.3518613754</v>
      </c>
      <c r="R40" s="113"/>
    </row>
    <row r="41" spans="2:18" ht="37.5" customHeight="1">
      <c r="B41" s="120" t="s">
        <v>223</v>
      </c>
      <c r="C41" s="121">
        <f>+D41</f>
        <v>119744855.78999999</v>
      </c>
      <c r="D41" s="157">
        <f>SUM(E41:P41)</f>
        <v>119744855.78999999</v>
      </c>
      <c r="E41" s="121">
        <f>+'PRESUPUESTO 2024'!C79</f>
        <v>7731341</v>
      </c>
      <c r="F41" s="130">
        <f>+'PRESUPUESTO 2024'!E79</f>
        <v>15409210</v>
      </c>
      <c r="G41" s="119">
        <f>+'PRESUPUESTO 2024'!G79</f>
        <v>9569594</v>
      </c>
      <c r="H41" s="119">
        <f>+'PRESUPUESTO 2024'!I79</f>
        <v>12815359</v>
      </c>
      <c r="I41" s="119">
        <f>+'PRESUPUESTO 2024'!K79</f>
        <v>18832317</v>
      </c>
      <c r="J41" s="132">
        <f>+'PRESUPUESTO 2024'!M79</f>
        <v>8711577.8499999996</v>
      </c>
      <c r="K41" s="132">
        <f>+'PRESUPUESTO 2024'!O79</f>
        <v>8639998</v>
      </c>
      <c r="L41" s="133">
        <f>+'PRESUPUESTO 2024'!Q79</f>
        <v>8478041.9399999995</v>
      </c>
      <c r="M41" s="134">
        <f>+'PRESUPUESTO 2024'!S79</f>
        <v>12131922</v>
      </c>
      <c r="N41" s="119">
        <f>+'PRESUPUESTO 2024'!U79</f>
        <v>8639389</v>
      </c>
      <c r="O41" s="134">
        <f>'PRESUPUESTO 2024'!W79</f>
        <v>8786106</v>
      </c>
      <c r="P41" s="139">
        <f>+'PRESUPUESTO 2024'!Y79</f>
        <v>0</v>
      </c>
    </row>
    <row r="42" spans="2:18" ht="18">
      <c r="B42" s="140" t="s">
        <v>224</v>
      </c>
      <c r="C42" s="122">
        <f>+C41/C40</f>
        <v>0.93163378217070592</v>
      </c>
      <c r="D42" s="122">
        <f>+D41/D40</f>
        <v>0.985003725860363</v>
      </c>
      <c r="E42" s="123">
        <f t="shared" ref="E42:P42" si="0">+E41/E40</f>
        <v>0.83187817695867072</v>
      </c>
      <c r="F42" s="123">
        <f t="shared" si="0"/>
        <v>1.3607772299889833</v>
      </c>
      <c r="G42" s="123">
        <f>+G41/G40</f>
        <v>0.577043384564776</v>
      </c>
      <c r="H42" s="123">
        <f t="shared" si="0"/>
        <v>0.53079212211020987</v>
      </c>
      <c r="I42" s="123">
        <f t="shared" si="0"/>
        <v>2.1849547228825927</v>
      </c>
      <c r="J42" s="123">
        <f t="shared" si="0"/>
        <v>0.75736070488724971</v>
      </c>
      <c r="K42" s="141">
        <f t="shared" si="0"/>
        <v>0.91291484053154137</v>
      </c>
      <c r="L42" s="141">
        <f t="shared" si="0"/>
        <v>1.2423516911996599</v>
      </c>
      <c r="M42" s="141">
        <f t="shared" si="0"/>
        <v>1.2818766437181002</v>
      </c>
      <c r="N42" s="141">
        <f t="shared" si="0"/>
        <v>1.1482154082257576</v>
      </c>
      <c r="O42" s="141">
        <f t="shared" si="0"/>
        <v>1.2874946509358127</v>
      </c>
      <c r="P42" s="142">
        <f t="shared" si="0"/>
        <v>0</v>
      </c>
    </row>
    <row r="43" spans="2:18">
      <c r="B43" s="143"/>
      <c r="C43" s="144"/>
      <c r="D43" s="145"/>
      <c r="E43" s="144"/>
      <c r="F43" s="146"/>
      <c r="G43" s="144"/>
      <c r="H43" s="144"/>
      <c r="I43" s="144"/>
      <c r="J43" s="144"/>
      <c r="K43" s="144"/>
      <c r="L43" s="144"/>
      <c r="M43" s="144"/>
      <c r="N43" s="144"/>
      <c r="O43" s="144"/>
      <c r="P43" s="147"/>
    </row>
    <row r="44" spans="2:18" ht="18.75" thickBot="1">
      <c r="B44" s="148" t="s">
        <v>225</v>
      </c>
      <c r="C44" s="149">
        <v>1</v>
      </c>
      <c r="D44" s="149">
        <v>1</v>
      </c>
      <c r="E44" s="149">
        <v>1</v>
      </c>
      <c r="F44" s="149">
        <v>1</v>
      </c>
      <c r="G44" s="149">
        <v>1</v>
      </c>
      <c r="H44" s="149">
        <v>1</v>
      </c>
      <c r="I44" s="149">
        <v>1</v>
      </c>
      <c r="J44" s="149">
        <v>1</v>
      </c>
      <c r="K44" s="124">
        <v>1</v>
      </c>
      <c r="L44" s="124">
        <v>1</v>
      </c>
      <c r="M44" s="124">
        <v>1</v>
      </c>
      <c r="N44" s="124">
        <v>1</v>
      </c>
      <c r="O44" s="124">
        <v>1</v>
      </c>
      <c r="P44" s="150">
        <v>1</v>
      </c>
    </row>
    <row r="45" spans="2:18" ht="18" customHeight="1">
      <c r="B45" s="125"/>
      <c r="C45" s="126"/>
      <c r="D45" s="126"/>
      <c r="E45" s="126"/>
      <c r="F45" s="126"/>
      <c r="G45" s="126"/>
      <c r="H45" s="126"/>
      <c r="I45" s="126"/>
      <c r="J45" s="126"/>
      <c r="K45" s="126"/>
      <c r="L45" s="126"/>
      <c r="M45" s="126"/>
      <c r="N45" s="126"/>
      <c r="O45" s="126"/>
      <c r="P45" s="126"/>
    </row>
    <row r="46" spans="2:18">
      <c r="D46" s="127"/>
    </row>
    <row r="48" spans="2:18">
      <c r="E48" s="128"/>
    </row>
    <row r="52" spans="8:8" ht="15" thickBot="1"/>
    <row r="53" spans="8:8" ht="18.75" thickBot="1">
      <c r="H53" s="129"/>
    </row>
  </sheetData>
  <mergeCells count="3">
    <mergeCell ref="B37:B39"/>
    <mergeCell ref="C37:P37"/>
    <mergeCell ref="D38:D39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J32"/>
  <sheetViews>
    <sheetView topLeftCell="A6" zoomScale="90" zoomScaleNormal="90" workbookViewId="0">
      <selection activeCell="F13" sqref="F13"/>
    </sheetView>
  </sheetViews>
  <sheetFormatPr baseColWidth="10" defaultRowHeight="15.75"/>
  <cols>
    <col min="1" max="1" width="15.125" customWidth="1"/>
    <col min="2" max="2" width="28.125" customWidth="1"/>
    <col min="3" max="3" width="32.875" bestFit="1" customWidth="1"/>
    <col min="4" max="4" width="21.625" customWidth="1"/>
    <col min="5" max="6" width="13.5" customWidth="1"/>
    <col min="7" max="7" width="12.125" customWidth="1"/>
    <col min="8" max="8" width="21.875" bestFit="1" customWidth="1"/>
    <col min="9" max="10" width="12.375" bestFit="1" customWidth="1"/>
    <col min="11" max="11" width="11.375" bestFit="1" customWidth="1"/>
    <col min="12" max="12" width="13.75" bestFit="1" customWidth="1"/>
    <col min="13" max="13" width="14.375" bestFit="1" customWidth="1"/>
    <col min="14" max="14" width="11.375" bestFit="1" customWidth="1"/>
    <col min="15" max="15" width="12.375" bestFit="1" customWidth="1"/>
    <col min="16" max="16" width="10.875" customWidth="1"/>
    <col min="17" max="17" width="13.875" bestFit="1" customWidth="1"/>
    <col min="18" max="18" width="14.75" bestFit="1" customWidth="1"/>
  </cols>
  <sheetData>
    <row r="1" spans="1:62" s="5" customFormat="1" ht="35.25" customHeight="1">
      <c r="A1" s="196" t="s">
        <v>124</v>
      </c>
      <c r="B1" s="196"/>
      <c r="C1" s="196"/>
      <c r="D1" s="196"/>
      <c r="E1" s="196"/>
      <c r="F1" s="196"/>
      <c r="G1" s="196"/>
      <c r="H1" s="196"/>
      <c r="I1" s="196"/>
      <c r="J1" s="196"/>
      <c r="K1" s="196"/>
      <c r="L1" s="196"/>
      <c r="M1" s="196"/>
      <c r="N1" s="196"/>
      <c r="O1" s="196"/>
      <c r="P1" s="196"/>
      <c r="Q1" s="196"/>
    </row>
    <row r="2" spans="1:62" s="5" customFormat="1" ht="35.25" customHeight="1">
      <c r="A2" s="196" t="s">
        <v>125</v>
      </c>
      <c r="B2" s="196"/>
      <c r="C2" s="196"/>
      <c r="D2" s="196"/>
      <c r="E2" s="196"/>
      <c r="F2" s="196"/>
      <c r="G2" s="196"/>
      <c r="H2" s="196"/>
      <c r="I2" s="196"/>
      <c r="J2" s="196"/>
      <c r="K2" s="196"/>
      <c r="L2" s="196"/>
      <c r="M2" s="196"/>
      <c r="N2" s="196"/>
      <c r="O2" s="196"/>
      <c r="P2" s="196"/>
      <c r="Q2" s="196"/>
    </row>
    <row r="3" spans="1:62" s="5" customFormat="1" ht="35.25" customHeight="1">
      <c r="A3" s="196" t="s">
        <v>126</v>
      </c>
      <c r="B3" s="196"/>
      <c r="C3" s="196"/>
      <c r="D3" s="196"/>
      <c r="E3" s="196"/>
      <c r="F3" s="196"/>
      <c r="G3" s="196"/>
      <c r="H3" s="196"/>
      <c r="I3" s="196"/>
      <c r="J3" s="196"/>
      <c r="K3" s="196"/>
      <c r="L3" s="196"/>
      <c r="M3" s="196"/>
      <c r="N3" s="196"/>
      <c r="O3" s="196"/>
      <c r="P3" s="196"/>
      <c r="Q3" s="196"/>
    </row>
    <row r="4" spans="1:62"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6" spans="1:62" s="2" customFormat="1" ht="47.25" customHeight="1">
      <c r="A6" s="210" t="s">
        <v>122</v>
      </c>
      <c r="B6" s="210"/>
      <c r="D6" s="9" t="s">
        <v>109</v>
      </c>
      <c r="E6" s="30">
        <v>0.1207</v>
      </c>
      <c r="F6" s="65">
        <v>0.1522</v>
      </c>
      <c r="H6" s="64" t="s">
        <v>110</v>
      </c>
      <c r="M6" s="203" t="s">
        <v>114</v>
      </c>
      <c r="N6" s="203"/>
      <c r="O6" s="203"/>
    </row>
    <row r="7" spans="1:62" s="2" customFormat="1" ht="63" customHeight="1">
      <c r="A7" s="211" t="s">
        <v>123</v>
      </c>
      <c r="B7" s="211"/>
      <c r="D7" s="9" t="s">
        <v>111</v>
      </c>
      <c r="E7" s="30">
        <v>9.2799999999999994E-2</v>
      </c>
      <c r="F7" s="204" t="s">
        <v>112</v>
      </c>
      <c r="G7" s="205"/>
      <c r="H7" s="205"/>
      <c r="I7" s="205"/>
      <c r="J7" s="205"/>
      <c r="K7" s="205"/>
      <c r="L7" s="205"/>
    </row>
    <row r="8" spans="1:62" s="2" customFormat="1" ht="16.5" thickBot="1">
      <c r="D8" s="10"/>
    </row>
    <row r="9" spans="1:62" s="2" customFormat="1" ht="47.25" customHeight="1">
      <c r="A9" s="200" t="s">
        <v>106</v>
      </c>
      <c r="B9" s="212" t="s">
        <v>108</v>
      </c>
      <c r="C9" s="212" t="s">
        <v>107</v>
      </c>
      <c r="D9" s="212" t="s">
        <v>113</v>
      </c>
      <c r="E9" s="197" t="s">
        <v>118</v>
      </c>
      <c r="F9" s="200" t="s">
        <v>116</v>
      </c>
      <c r="G9" s="200" t="s">
        <v>131</v>
      </c>
      <c r="H9" s="212" t="s">
        <v>115</v>
      </c>
      <c r="I9" s="197" t="s">
        <v>117</v>
      </c>
      <c r="J9" s="6" t="s">
        <v>99</v>
      </c>
      <c r="K9" s="7" t="s">
        <v>100</v>
      </c>
      <c r="L9" s="8" t="s">
        <v>101</v>
      </c>
      <c r="M9" s="6" t="s">
        <v>102</v>
      </c>
      <c r="N9" s="7" t="s">
        <v>103</v>
      </c>
      <c r="O9" s="7" t="s">
        <v>104</v>
      </c>
      <c r="P9" s="8" t="s">
        <v>105</v>
      </c>
      <c r="Q9" s="206" t="s">
        <v>119</v>
      </c>
    </row>
    <row r="10" spans="1:62" s="2" customFormat="1">
      <c r="A10" s="201"/>
      <c r="B10" s="213"/>
      <c r="C10" s="213"/>
      <c r="D10" s="213"/>
      <c r="E10" s="198"/>
      <c r="F10" s="201"/>
      <c r="G10" s="201"/>
      <c r="H10" s="213"/>
      <c r="I10" s="198"/>
      <c r="J10" s="215">
        <v>0.12</v>
      </c>
      <c r="K10" s="11">
        <v>5.2199999999999998E-3</v>
      </c>
      <c r="L10" s="219">
        <v>0.04</v>
      </c>
      <c r="M10" s="218">
        <v>8.3299999999999999E-2</v>
      </c>
      <c r="N10" s="217">
        <v>0.01</v>
      </c>
      <c r="O10" s="216">
        <v>8.3299999999999999E-2</v>
      </c>
      <c r="P10" s="208">
        <v>4.1700000000000001E-2</v>
      </c>
      <c r="Q10" s="207"/>
    </row>
    <row r="11" spans="1:62" s="2" customFormat="1">
      <c r="A11" s="201"/>
      <c r="B11" s="213"/>
      <c r="C11" s="213"/>
      <c r="D11" s="213"/>
      <c r="E11" s="198"/>
      <c r="F11" s="201"/>
      <c r="G11" s="201"/>
      <c r="H11" s="213"/>
      <c r="I11" s="198"/>
      <c r="J11" s="215"/>
      <c r="K11" s="12">
        <v>4.3499999999999997E-2</v>
      </c>
      <c r="L11" s="219"/>
      <c r="M11" s="218"/>
      <c r="N11" s="217"/>
      <c r="O11" s="216"/>
      <c r="P11" s="208"/>
      <c r="Q11" s="207"/>
    </row>
    <row r="12" spans="1:62" s="2" customFormat="1">
      <c r="A12" s="202"/>
      <c r="B12" s="214"/>
      <c r="C12" s="214"/>
      <c r="D12" s="214"/>
      <c r="E12" s="199"/>
      <c r="F12" s="202"/>
      <c r="G12" s="202"/>
      <c r="H12" s="214"/>
      <c r="I12" s="199"/>
      <c r="J12" s="215"/>
      <c r="K12" s="13">
        <v>6.9599999999999995E-2</v>
      </c>
      <c r="L12" s="219"/>
      <c r="M12" s="218"/>
      <c r="N12" s="217"/>
      <c r="O12" s="216"/>
      <c r="P12" s="208"/>
      <c r="Q12" s="207"/>
    </row>
    <row r="13" spans="1:62" s="36" customFormat="1" ht="33" customHeight="1">
      <c r="A13" s="14">
        <v>1087561072</v>
      </c>
      <c r="B13" s="2" t="s">
        <v>120</v>
      </c>
      <c r="C13" s="2" t="s">
        <v>128</v>
      </c>
      <c r="D13" s="2" t="s">
        <v>127</v>
      </c>
      <c r="E13" s="15">
        <v>1740000</v>
      </c>
      <c r="F13" s="16">
        <f>(E13*$E$7)+E13</f>
        <v>1901472</v>
      </c>
      <c r="G13" s="10"/>
      <c r="H13" s="15">
        <v>162000</v>
      </c>
      <c r="I13" s="17">
        <f>IF((((1160000*$F$6)+1160000)*2)&gt;=(F13),((140606*$F$6)+140600),0)</f>
        <v>162000.23319999999</v>
      </c>
      <c r="J13" s="16">
        <f>+(F13+H13)*$J$10</f>
        <v>247616.63999999998</v>
      </c>
      <c r="K13" s="18">
        <f>(F13+H13)*$K$10</f>
        <v>10771.323839999999</v>
      </c>
      <c r="L13" s="17">
        <f>(F13+H13)*$L$10</f>
        <v>82538.880000000005</v>
      </c>
      <c r="M13" s="16">
        <f>+(F13+H13+I13)*$M$10</f>
        <v>185381.83702556</v>
      </c>
      <c r="N13" s="10">
        <f>+M13*$N$10</f>
        <v>1853.8183702556</v>
      </c>
      <c r="O13" s="10">
        <f>+(F13+H13+I13)*$O$10</f>
        <v>185381.83702556</v>
      </c>
      <c r="P13" s="17">
        <f>+(F13+H13)*$P$10</f>
        <v>86046.782399999996</v>
      </c>
      <c r="Q13" s="63">
        <f>SUM(F13:P13)</f>
        <v>3025063.3518613758</v>
      </c>
      <c r="R13" s="69">
        <f>+Q13*12</f>
        <v>36300760.222336508</v>
      </c>
      <c r="S13" s="69" t="s">
        <v>217</v>
      </c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</row>
    <row r="14" spans="1:62" s="36" customFormat="1" ht="33" customHeight="1">
      <c r="A14" s="14">
        <v>1004627328</v>
      </c>
      <c r="B14" s="2" t="s">
        <v>121</v>
      </c>
      <c r="C14" s="2" t="s">
        <v>129</v>
      </c>
      <c r="D14" s="2" t="s">
        <v>127</v>
      </c>
      <c r="E14" s="15">
        <v>1200617</v>
      </c>
      <c r="F14" s="16">
        <f>(E14*$E$6)+E14</f>
        <v>1345531.4719</v>
      </c>
      <c r="G14" s="10"/>
      <c r="H14" s="15">
        <v>0</v>
      </c>
      <c r="I14" s="17">
        <f>IF((((1160000*$F$6)+1160000)*2)&gt;=(F14),((140606*$F$6)+140600),0)</f>
        <v>162000.23319999999</v>
      </c>
      <c r="J14" s="16">
        <f>+(F14+H14)*$J$10</f>
        <v>161463.77662799999</v>
      </c>
      <c r="K14" s="18">
        <f>(F14+H14)*$K$10</f>
        <v>7023.6742833179997</v>
      </c>
      <c r="L14" s="17">
        <f>(F14+H14)*$L$10</f>
        <v>53821.258876</v>
      </c>
      <c r="M14" s="16">
        <f>+(F14+H14+I14)*$M$10</f>
        <v>125577.39103483</v>
      </c>
      <c r="N14" s="10">
        <f>+M14*$N$10</f>
        <v>1255.7739103483</v>
      </c>
      <c r="O14" s="10">
        <f>+(F14+H14+I14)*$O$10</f>
        <v>125577.39103483</v>
      </c>
      <c r="P14" s="17">
        <f>+(F14+H14)*$P$10</f>
        <v>56108.662378230001</v>
      </c>
      <c r="Q14" s="67">
        <f>SUM(F14:P14)</f>
        <v>2038359.6332455559</v>
      </c>
      <c r="R14" s="69">
        <f>+Q14*6</f>
        <v>12230157.799473336</v>
      </c>
      <c r="S14" s="69" t="s">
        <v>217</v>
      </c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</row>
    <row r="15" spans="1:62" s="2" customFormat="1" ht="33" customHeight="1" thickBot="1">
      <c r="A15" s="14"/>
      <c r="E15" s="15"/>
      <c r="F15" s="16"/>
      <c r="G15" s="10"/>
      <c r="H15" s="15"/>
      <c r="I15" s="17"/>
      <c r="J15" s="16"/>
      <c r="K15" s="20"/>
      <c r="L15" s="17"/>
      <c r="M15" s="16"/>
      <c r="N15" s="10"/>
      <c r="O15" s="10"/>
      <c r="P15" s="10"/>
      <c r="Q15" s="19"/>
    </row>
    <row r="16" spans="1:62" s="22" customFormat="1" ht="16.5" thickBot="1">
      <c r="A16" s="21"/>
      <c r="E16" s="23">
        <f t="shared" ref="E16:Q16" si="0">SUM(E13:E15)</f>
        <v>2940617</v>
      </c>
      <c r="F16" s="24">
        <f t="shared" si="0"/>
        <v>3247003.4719000002</v>
      </c>
      <c r="G16" s="24">
        <f t="shared" si="0"/>
        <v>0</v>
      </c>
      <c r="H16" s="24">
        <f t="shared" si="0"/>
        <v>162000</v>
      </c>
      <c r="I16" s="24">
        <f t="shared" si="0"/>
        <v>324000.46639999998</v>
      </c>
      <c r="J16" s="24">
        <f t="shared" si="0"/>
        <v>409080.41662799998</v>
      </c>
      <c r="K16" s="23">
        <f t="shared" si="0"/>
        <v>17794.998123318001</v>
      </c>
      <c r="L16" s="25">
        <f t="shared" si="0"/>
        <v>136360.13887600001</v>
      </c>
      <c r="M16" s="24">
        <f t="shared" si="0"/>
        <v>310959.22806038999</v>
      </c>
      <c r="N16" s="23">
        <f t="shared" si="0"/>
        <v>3109.5922806038998</v>
      </c>
      <c r="O16" s="23">
        <f t="shared" si="0"/>
        <v>310959.22806038999</v>
      </c>
      <c r="P16" s="23">
        <f t="shared" si="0"/>
        <v>142155.44477822998</v>
      </c>
      <c r="Q16" s="26">
        <f t="shared" si="0"/>
        <v>5063422.985106932</v>
      </c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</row>
    <row r="17" spans="2:17" s="2" customFormat="1" ht="16.5" thickBot="1">
      <c r="E17" s="10"/>
      <c r="F17" s="209" t="s">
        <v>33</v>
      </c>
      <c r="G17" s="209"/>
      <c r="H17" s="209"/>
      <c r="I17" s="27">
        <f>SUM(F16:I16)</f>
        <v>3733003.9383</v>
      </c>
      <c r="J17" s="209" t="s">
        <v>85</v>
      </c>
      <c r="K17" s="209"/>
      <c r="L17" s="27">
        <f>SUM(J16:L16)</f>
        <v>563235.553627318</v>
      </c>
      <c r="M17" s="209" t="s">
        <v>34</v>
      </c>
      <c r="N17" s="209"/>
      <c r="O17" s="209"/>
      <c r="P17" s="28">
        <f>SUM(M16:P16)</f>
        <v>767183.49317961396</v>
      </c>
      <c r="Q17" s="29">
        <f>+I17+L17+P17</f>
        <v>5063422.985106932</v>
      </c>
    </row>
    <row r="18" spans="2:17" s="2" customFormat="1">
      <c r="E18" s="10"/>
      <c r="F18" s="10"/>
      <c r="G18" s="10"/>
      <c r="H18" s="10"/>
      <c r="I18" s="10">
        <f>SUM(F14:I14)</f>
        <v>1507531.7050999999</v>
      </c>
      <c r="J18" s="10"/>
      <c r="K18" s="10"/>
      <c r="L18" s="10">
        <f>SUM(J14:L14)</f>
        <v>222308.70978731799</v>
      </c>
      <c r="M18" s="10"/>
      <c r="N18" s="10"/>
      <c r="O18" s="10"/>
      <c r="P18" s="10">
        <f>SUM(M14:P14)</f>
        <v>308519.21835823829</v>
      </c>
      <c r="Q18" s="10"/>
    </row>
    <row r="19" spans="2:17" s="2" customFormat="1">
      <c r="B19" s="10" t="s">
        <v>134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</row>
    <row r="20" spans="2:17" s="2" customFormat="1">
      <c r="B20" s="31"/>
      <c r="C20" s="31">
        <v>2023</v>
      </c>
      <c r="D20" s="31">
        <v>2024</v>
      </c>
      <c r="E20" s="10"/>
      <c r="F20" s="10"/>
      <c r="G20" s="10"/>
      <c r="H20" s="68">
        <f>+F13+H13</f>
        <v>2063472</v>
      </c>
      <c r="I20" s="10"/>
      <c r="J20" s="10"/>
      <c r="K20" s="10"/>
      <c r="L20" s="10"/>
      <c r="M20" s="10"/>
      <c r="N20" s="10"/>
    </row>
    <row r="21" spans="2:17" s="2" customFormat="1" ht="31.5">
      <c r="B21" s="32" t="str">
        <f>+C14</f>
        <v>AUXILIAR TECNOLOGIA E INFORMATICA</v>
      </c>
      <c r="C21" s="33">
        <f>+E14</f>
        <v>1200617</v>
      </c>
      <c r="D21" s="33">
        <f>(C21*$E$6)+C21</f>
        <v>1345531.4719</v>
      </c>
      <c r="E21" s="10"/>
      <c r="F21" s="10"/>
      <c r="G21" s="10"/>
      <c r="H21" s="66"/>
      <c r="I21" s="10"/>
      <c r="J21" s="10"/>
      <c r="K21" s="10"/>
      <c r="L21" s="10"/>
      <c r="M21" s="10"/>
      <c r="N21" s="10"/>
    </row>
    <row r="22" spans="2:17" s="2" customFormat="1">
      <c r="B22" s="32" t="s">
        <v>132</v>
      </c>
      <c r="C22" s="33">
        <v>0</v>
      </c>
      <c r="D22" s="33">
        <f>+C22*E6+C22</f>
        <v>0</v>
      </c>
      <c r="E22" s="10"/>
      <c r="F22" s="10"/>
      <c r="G22" s="10"/>
      <c r="H22" s="10"/>
      <c r="I22" s="10"/>
      <c r="J22" s="10"/>
      <c r="K22" s="10"/>
      <c r="L22" s="10"/>
      <c r="M22" s="10"/>
      <c r="N22" s="10"/>
    </row>
    <row r="23" spans="2:17" s="2" customFormat="1">
      <c r="B23" s="32" t="s">
        <v>130</v>
      </c>
      <c r="C23" s="32"/>
      <c r="D23" s="33">
        <v>0</v>
      </c>
      <c r="E23" s="10"/>
      <c r="F23" s="10"/>
      <c r="G23" s="10"/>
      <c r="H23" s="10"/>
      <c r="I23" s="10"/>
      <c r="J23" s="10"/>
      <c r="K23" s="10"/>
      <c r="L23" s="10"/>
      <c r="M23" s="10"/>
      <c r="N23" s="10"/>
    </row>
    <row r="24" spans="2:17" s="2" customFormat="1">
      <c r="B24" s="34" t="s">
        <v>133</v>
      </c>
      <c r="C24" s="34"/>
      <c r="D24" s="35">
        <f>+D22+D23</f>
        <v>0</v>
      </c>
      <c r="E24" s="10"/>
      <c r="F24" s="10"/>
      <c r="G24" s="10"/>
      <c r="H24" s="10"/>
      <c r="I24" s="10"/>
      <c r="J24" s="10"/>
      <c r="K24" s="10"/>
      <c r="L24" s="10"/>
      <c r="M24" s="10"/>
      <c r="N24" s="10"/>
    </row>
    <row r="25" spans="2:17" s="2" customFormat="1"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</row>
    <row r="26" spans="2:17"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2:17"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2:17"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2:17"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 spans="2:17"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 spans="2:17"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  <row r="32" spans="2:17"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</sheetData>
  <autoFilter ref="A12:BJ14" xr:uid="{00000000-0009-0000-0000-000001000000}">
    <sortState xmlns:xlrd2="http://schemas.microsoft.com/office/spreadsheetml/2017/richdata2" ref="A16:BJ44">
      <sortCondition sortBy="cellColor" ref="A12:A44" dxfId="29"/>
    </sortState>
  </autoFilter>
  <mergeCells count="26">
    <mergeCell ref="F17:H17"/>
    <mergeCell ref="J17:K17"/>
    <mergeCell ref="M17:O17"/>
    <mergeCell ref="A6:B6"/>
    <mergeCell ref="A7:B7"/>
    <mergeCell ref="C9:C12"/>
    <mergeCell ref="J10:J12"/>
    <mergeCell ref="B9:B12"/>
    <mergeCell ref="A9:A12"/>
    <mergeCell ref="D9:D12"/>
    <mergeCell ref="O10:O12"/>
    <mergeCell ref="N10:N12"/>
    <mergeCell ref="M10:M12"/>
    <mergeCell ref="L10:L12"/>
    <mergeCell ref="H9:H12"/>
    <mergeCell ref="G9:G12"/>
    <mergeCell ref="A1:Q1"/>
    <mergeCell ref="A2:Q2"/>
    <mergeCell ref="A3:Q3"/>
    <mergeCell ref="E9:E12"/>
    <mergeCell ref="F9:F12"/>
    <mergeCell ref="I9:I12"/>
    <mergeCell ref="M6:O6"/>
    <mergeCell ref="F7:L7"/>
    <mergeCell ref="Q9:Q12"/>
    <mergeCell ref="P10:P12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50"/>
  <sheetViews>
    <sheetView topLeftCell="C18" zoomScale="90" zoomScaleNormal="90" workbookViewId="0">
      <selection activeCell="K12" sqref="K12"/>
    </sheetView>
  </sheetViews>
  <sheetFormatPr baseColWidth="10" defaultRowHeight="15.75"/>
  <cols>
    <col min="3" max="3" width="47.25" bestFit="1" customWidth="1"/>
    <col min="4" max="4" width="18.375" style="4" bestFit="1" customWidth="1"/>
    <col min="5" max="5" width="11.25" customWidth="1"/>
    <col min="6" max="6" width="29.625" bestFit="1" customWidth="1"/>
    <col min="7" max="7" width="18.375" bestFit="1" customWidth="1"/>
    <col min="8" max="8" width="21.625" bestFit="1" customWidth="1"/>
    <col min="9" max="9" width="11.25" customWidth="1"/>
    <col min="10" max="10" width="13.875" bestFit="1" customWidth="1"/>
    <col min="11" max="11" width="15.125" bestFit="1" customWidth="1"/>
  </cols>
  <sheetData>
    <row r="1" spans="3:12">
      <c r="C1" s="42" t="s">
        <v>137</v>
      </c>
      <c r="D1" s="42" t="s">
        <v>150</v>
      </c>
      <c r="E1" s="42" t="s">
        <v>175</v>
      </c>
      <c r="F1" s="42" t="s">
        <v>144</v>
      </c>
      <c r="G1" s="42" t="s">
        <v>151</v>
      </c>
      <c r="H1" s="42" t="s">
        <v>152</v>
      </c>
      <c r="I1" s="42" t="s">
        <v>175</v>
      </c>
      <c r="J1" s="60" t="s">
        <v>176</v>
      </c>
    </row>
    <row r="2" spans="3:12" s="39" customFormat="1" ht="15">
      <c r="C2" s="42" t="s">
        <v>138</v>
      </c>
      <c r="D2" s="45">
        <v>1000000</v>
      </c>
      <c r="E2" s="39" t="s">
        <v>180</v>
      </c>
      <c r="F2" s="42" t="s">
        <v>145</v>
      </c>
      <c r="G2" s="40">
        <f>G6/4</f>
        <v>324750</v>
      </c>
      <c r="H2" s="48">
        <f>Tabla2[[#This Row],[Vlr Cuota]]/2</f>
        <v>162375</v>
      </c>
      <c r="I2" s="39" t="s">
        <v>180</v>
      </c>
      <c r="J2" s="59"/>
    </row>
    <row r="3" spans="3:12" s="39" customFormat="1">
      <c r="C3" s="43" t="s">
        <v>140</v>
      </c>
      <c r="D3" s="45">
        <v>169998</v>
      </c>
      <c r="E3" s="39" t="s">
        <v>180</v>
      </c>
      <c r="F3" s="42" t="s">
        <v>146</v>
      </c>
      <c r="G3" s="40">
        <f>G6/4</f>
        <v>324750</v>
      </c>
      <c r="H3" s="48">
        <f>Tabla2[[#This Row],[Vlr Cuota]]/2</f>
        <v>162375</v>
      </c>
      <c r="I3" s="39" t="s">
        <v>180</v>
      </c>
      <c r="J3" s="59"/>
    </row>
    <row r="4" spans="3:12" s="39" customFormat="1">
      <c r="C4" s="43" t="s">
        <v>141</v>
      </c>
      <c r="D4" s="45">
        <v>169998</v>
      </c>
      <c r="E4" s="39" t="s">
        <v>180</v>
      </c>
      <c r="F4" s="42" t="s">
        <v>147</v>
      </c>
      <c r="G4" s="40">
        <f>G6/4</f>
        <v>324750</v>
      </c>
      <c r="H4" s="48">
        <f>Tabla2[[#This Row],[Vlr Cuota]]/2</f>
        <v>162375</v>
      </c>
      <c r="I4" s="39" t="s">
        <v>180</v>
      </c>
      <c r="J4" s="59"/>
    </row>
    <row r="5" spans="3:12" s="39" customFormat="1">
      <c r="C5" s="43" t="s">
        <v>142</v>
      </c>
      <c r="D5" s="45">
        <v>169998</v>
      </c>
      <c r="E5" s="39" t="s">
        <v>180</v>
      </c>
      <c r="F5" s="42" t="s">
        <v>148</v>
      </c>
      <c r="G5" s="40">
        <f>G6/4</f>
        <v>324750</v>
      </c>
      <c r="H5" s="48">
        <f>Tabla2[[#This Row],[Vlr Cuota]]/2</f>
        <v>162375</v>
      </c>
      <c r="I5" s="39" t="s">
        <v>180</v>
      </c>
      <c r="J5" s="59"/>
    </row>
    <row r="6" spans="3:12" s="39" customFormat="1">
      <c r="C6" s="43" t="s">
        <v>143</v>
      </c>
      <c r="D6" s="45">
        <v>169998</v>
      </c>
      <c r="E6" s="39" t="s">
        <v>180</v>
      </c>
      <c r="F6" s="44" t="s">
        <v>149</v>
      </c>
      <c r="G6" s="41">
        <v>1299000</v>
      </c>
      <c r="H6" s="48">
        <f>Tabla2[[#This Row],[Vlr Cuota]]/2</f>
        <v>649500</v>
      </c>
      <c r="J6" s="59" t="s">
        <v>213</v>
      </c>
    </row>
    <row r="7" spans="3:12" s="39" customFormat="1">
      <c r="C7" s="56" t="s">
        <v>139</v>
      </c>
      <c r="D7" s="47">
        <v>0</v>
      </c>
      <c r="E7" s="57" t="s">
        <v>180</v>
      </c>
    </row>
    <row r="8" spans="3:12" s="39" customFormat="1">
      <c r="C8" s="37" t="s">
        <v>149</v>
      </c>
      <c r="D8" s="46">
        <f>SUM(D2:D7)</f>
        <v>1679992</v>
      </c>
      <c r="E8" s="39" t="s">
        <v>180</v>
      </c>
    </row>
    <row r="9" spans="3:12" s="39" customFormat="1" ht="15">
      <c r="D9" s="42"/>
    </row>
    <row r="10" spans="3:12" s="39" customFormat="1">
      <c r="C10" s="42" t="s">
        <v>135</v>
      </c>
      <c r="D10" s="42" t="s">
        <v>150</v>
      </c>
      <c r="E10" s="42" t="s">
        <v>175</v>
      </c>
      <c r="F10" s="220" t="s">
        <v>157</v>
      </c>
      <c r="G10" s="220"/>
      <c r="H10" s="220"/>
      <c r="J10" s="39" t="s">
        <v>169</v>
      </c>
      <c r="K10" s="39" t="s">
        <v>170</v>
      </c>
      <c r="L10" s="39" t="s">
        <v>175</v>
      </c>
    </row>
    <row r="11" spans="3:12" ht="18">
      <c r="C11" s="1" t="s">
        <v>136</v>
      </c>
      <c r="D11" s="38">
        <v>243460</v>
      </c>
      <c r="E11" s="1" t="s">
        <v>180</v>
      </c>
      <c r="F11" t="s">
        <v>153</v>
      </c>
      <c r="G11" t="s">
        <v>154</v>
      </c>
      <c r="H11" t="s">
        <v>155</v>
      </c>
      <c r="I11" t="s">
        <v>180</v>
      </c>
      <c r="J11" s="39" t="s">
        <v>171</v>
      </c>
      <c r="K11" s="152">
        <v>6500000</v>
      </c>
      <c r="L11" s="39" t="s">
        <v>180</v>
      </c>
    </row>
    <row r="12" spans="3:12" ht="18">
      <c r="C12" s="156" t="s">
        <v>189</v>
      </c>
      <c r="D12" s="155">
        <v>243460</v>
      </c>
      <c r="E12" s="1" t="s">
        <v>180</v>
      </c>
      <c r="F12" t="s">
        <v>156</v>
      </c>
      <c r="G12">
        <v>10</v>
      </c>
      <c r="H12" s="61">
        <v>1733205</v>
      </c>
      <c r="I12" t="s">
        <v>180</v>
      </c>
      <c r="J12" s="39" t="s">
        <v>172</v>
      </c>
      <c r="K12" s="152">
        <v>1000000</v>
      </c>
      <c r="L12" s="39" t="s">
        <v>180</v>
      </c>
    </row>
    <row r="13" spans="3:12" ht="18">
      <c r="C13" s="1" t="s">
        <v>190</v>
      </c>
      <c r="D13" s="38">
        <v>0</v>
      </c>
      <c r="E13" s="1" t="s">
        <v>180</v>
      </c>
      <c r="J13" s="39" t="s">
        <v>173</v>
      </c>
      <c r="K13" s="152">
        <v>500000</v>
      </c>
      <c r="L13" s="39" t="s">
        <v>180</v>
      </c>
    </row>
    <row r="14" spans="3:12" ht="18">
      <c r="C14" s="1" t="s">
        <v>149</v>
      </c>
      <c r="D14" s="38">
        <f>SUM(D11:D13)</f>
        <v>486920</v>
      </c>
      <c r="F14" s="4" t="s">
        <v>158</v>
      </c>
      <c r="G14" s="4" t="s">
        <v>155</v>
      </c>
      <c r="H14" s="4" t="s">
        <v>175</v>
      </c>
      <c r="I14" s="4" t="s">
        <v>176</v>
      </c>
      <c r="J14" s="39" t="s">
        <v>174</v>
      </c>
      <c r="K14" s="53">
        <v>1200000</v>
      </c>
      <c r="L14" s="39" t="s">
        <v>180</v>
      </c>
    </row>
    <row r="15" spans="3:12">
      <c r="F15" t="s">
        <v>159</v>
      </c>
      <c r="G15" s="49">
        <v>1379000</v>
      </c>
      <c r="H15" t="s">
        <v>180</v>
      </c>
      <c r="I15" t="s">
        <v>180</v>
      </c>
    </row>
    <row r="16" spans="3:12">
      <c r="C16" s="4" t="s">
        <v>161</v>
      </c>
      <c r="D16" s="4" t="s">
        <v>155</v>
      </c>
      <c r="E16" s="4" t="s">
        <v>175</v>
      </c>
      <c r="F16" t="s">
        <v>160</v>
      </c>
      <c r="G16" s="49">
        <v>100000</v>
      </c>
      <c r="H16" t="s">
        <v>180</v>
      </c>
      <c r="I16" t="s">
        <v>180</v>
      </c>
    </row>
    <row r="17" spans="1:9">
      <c r="C17" t="s">
        <v>162</v>
      </c>
      <c r="D17" s="51">
        <v>140000</v>
      </c>
      <c r="E17" t="s">
        <v>180</v>
      </c>
      <c r="F17" t="s">
        <v>149</v>
      </c>
      <c r="G17" s="50">
        <f>SUM(G15:G16)</f>
        <v>1479000</v>
      </c>
    </row>
    <row r="18" spans="1:9">
      <c r="C18" t="s">
        <v>163</v>
      </c>
      <c r="D18" s="51">
        <v>140000</v>
      </c>
      <c r="E18" t="s">
        <v>180</v>
      </c>
    </row>
    <row r="19" spans="1:9">
      <c r="C19" t="s">
        <v>164</v>
      </c>
      <c r="D19" s="51">
        <v>140000</v>
      </c>
      <c r="E19" t="s">
        <v>180</v>
      </c>
      <c r="F19" s="4" t="s">
        <v>166</v>
      </c>
      <c r="G19" s="4" t="s">
        <v>155</v>
      </c>
      <c r="H19" s="4" t="s">
        <v>175</v>
      </c>
    </row>
    <row r="20" spans="1:9">
      <c r="C20" t="s">
        <v>165</v>
      </c>
      <c r="D20" s="51">
        <v>140000</v>
      </c>
      <c r="E20" t="s">
        <v>180</v>
      </c>
      <c r="F20" t="s">
        <v>167</v>
      </c>
      <c r="G20" s="151">
        <v>2500000</v>
      </c>
      <c r="H20" t="s">
        <v>180</v>
      </c>
    </row>
    <row r="21" spans="1:9">
      <c r="C21" t="s">
        <v>149</v>
      </c>
      <c r="D21" s="52">
        <f>SUM(D17:D20)</f>
        <v>560000</v>
      </c>
      <c r="F21" t="s">
        <v>168</v>
      </c>
      <c r="G21" s="49">
        <v>2500000</v>
      </c>
      <c r="H21" t="s">
        <v>180</v>
      </c>
    </row>
    <row r="22" spans="1:9">
      <c r="C22" t="s">
        <v>214</v>
      </c>
      <c r="D22" s="62">
        <f>16*90000</f>
        <v>1440000</v>
      </c>
      <c r="F22" t="s">
        <v>149</v>
      </c>
      <c r="G22" s="50">
        <f>SUM(G20:G21)</f>
        <v>5000000</v>
      </c>
    </row>
    <row r="23" spans="1:9">
      <c r="C23" t="s">
        <v>177</v>
      </c>
      <c r="D23" s="4" t="s">
        <v>155</v>
      </c>
      <c r="E23" t="s">
        <v>175</v>
      </c>
    </row>
    <row r="24" spans="1:9">
      <c r="C24" t="s">
        <v>178</v>
      </c>
      <c r="D24" s="54">
        <v>350000</v>
      </c>
      <c r="E24" t="s">
        <v>180</v>
      </c>
      <c r="G24" t="s">
        <v>206</v>
      </c>
      <c r="H24" t="s">
        <v>155</v>
      </c>
      <c r="I24" t="s">
        <v>183</v>
      </c>
    </row>
    <row r="25" spans="1:9">
      <c r="C25" s="153" t="s">
        <v>179</v>
      </c>
      <c r="D25" s="154">
        <v>0</v>
      </c>
      <c r="E25" t="s">
        <v>180</v>
      </c>
      <c r="G25" t="s">
        <v>207</v>
      </c>
      <c r="H25" s="58">
        <v>1200000</v>
      </c>
      <c r="I25" t="s">
        <v>181</v>
      </c>
    </row>
    <row r="26" spans="1:9">
      <c r="C26" t="s">
        <v>149</v>
      </c>
      <c r="D26" s="54">
        <f>SUM(D24:D25)</f>
        <v>350000</v>
      </c>
      <c r="E26" t="s">
        <v>180</v>
      </c>
      <c r="G26" t="s">
        <v>207</v>
      </c>
      <c r="H26" s="58">
        <v>1200000</v>
      </c>
      <c r="I26" t="s">
        <v>181</v>
      </c>
    </row>
    <row r="29" spans="1:9">
      <c r="A29" t="s">
        <v>186</v>
      </c>
      <c r="B29" t="s">
        <v>187</v>
      </c>
      <c r="C29" t="s">
        <v>182</v>
      </c>
      <c r="D29" s="4" t="s">
        <v>155</v>
      </c>
      <c r="E29" t="s">
        <v>183</v>
      </c>
    </row>
    <row r="30" spans="1:9">
      <c r="A30">
        <v>80000</v>
      </c>
      <c r="B30">
        <v>60000</v>
      </c>
      <c r="C30" t="s">
        <v>184</v>
      </c>
      <c r="D30" s="4">
        <f>A30*5+B30*5</f>
        <v>700000</v>
      </c>
      <c r="E30" t="s">
        <v>181</v>
      </c>
    </row>
    <row r="31" spans="1:9">
      <c r="C31" t="s">
        <v>185</v>
      </c>
      <c r="D31" s="4">
        <f>A30*5+B30*5</f>
        <v>700000</v>
      </c>
      <c r="E31" t="s">
        <v>181</v>
      </c>
    </row>
    <row r="32" spans="1:9">
      <c r="C32" t="s">
        <v>188</v>
      </c>
      <c r="D32" s="4">
        <f>D30+D31</f>
        <v>1400000</v>
      </c>
    </row>
    <row r="34" spans="2:5">
      <c r="C34" t="s">
        <v>191</v>
      </c>
      <c r="D34" s="4" t="s">
        <v>155</v>
      </c>
      <c r="E34" t="s">
        <v>183</v>
      </c>
    </row>
    <row r="35" spans="2:5">
      <c r="C35" t="s">
        <v>192</v>
      </c>
      <c r="D35" s="55">
        <v>0</v>
      </c>
      <c r="E35" t="s">
        <v>180</v>
      </c>
    </row>
    <row r="38" spans="2:5">
      <c r="C38" t="s">
        <v>193</v>
      </c>
      <c r="D38" s="4" t="s">
        <v>155</v>
      </c>
      <c r="E38" t="s">
        <v>183</v>
      </c>
    </row>
    <row r="39" spans="2:5">
      <c r="B39">
        <v>1</v>
      </c>
      <c r="C39" t="s">
        <v>194</v>
      </c>
      <c r="D39" s="4">
        <v>100000</v>
      </c>
      <c r="E39" t="s">
        <v>180</v>
      </c>
    </row>
    <row r="40" spans="2:5">
      <c r="B40">
        <v>2</v>
      </c>
      <c r="C40" t="s">
        <v>195</v>
      </c>
      <c r="D40" s="4">
        <v>100000</v>
      </c>
      <c r="E40" t="s">
        <v>180</v>
      </c>
    </row>
    <row r="41" spans="2:5">
      <c r="B41">
        <v>3</v>
      </c>
      <c r="C41" t="s">
        <v>196</v>
      </c>
      <c r="D41" s="4">
        <v>100000</v>
      </c>
      <c r="E41" t="s">
        <v>180</v>
      </c>
    </row>
    <row r="42" spans="2:5">
      <c r="B42">
        <v>4</v>
      </c>
      <c r="C42" t="s">
        <v>197</v>
      </c>
      <c r="D42" s="4">
        <v>100000</v>
      </c>
      <c r="E42" t="s">
        <v>180</v>
      </c>
    </row>
    <row r="43" spans="2:5">
      <c r="B43">
        <v>5</v>
      </c>
      <c r="C43" t="s">
        <v>198</v>
      </c>
      <c r="D43" s="4">
        <v>100000</v>
      </c>
      <c r="E43" t="s">
        <v>180</v>
      </c>
    </row>
    <row r="44" spans="2:5">
      <c r="B44">
        <v>6</v>
      </c>
      <c r="C44" t="s">
        <v>199</v>
      </c>
      <c r="D44" s="4">
        <v>100000</v>
      </c>
      <c r="E44" t="s">
        <v>180</v>
      </c>
    </row>
    <row r="45" spans="2:5">
      <c r="B45">
        <v>7</v>
      </c>
      <c r="C45" t="s">
        <v>200</v>
      </c>
      <c r="D45" s="4">
        <v>100000</v>
      </c>
      <c r="E45" t="s">
        <v>180</v>
      </c>
    </row>
    <row r="46" spans="2:5">
      <c r="B46">
        <v>8</v>
      </c>
      <c r="C46" t="s">
        <v>201</v>
      </c>
      <c r="D46" s="4">
        <v>100000</v>
      </c>
      <c r="E46" t="s">
        <v>180</v>
      </c>
    </row>
    <row r="47" spans="2:5">
      <c r="B47">
        <v>9</v>
      </c>
      <c r="C47" t="s">
        <v>202</v>
      </c>
      <c r="D47" s="4">
        <v>100000</v>
      </c>
      <c r="E47" t="s">
        <v>180</v>
      </c>
    </row>
    <row r="48" spans="2:5">
      <c r="B48">
        <v>10</v>
      </c>
      <c r="C48" t="s">
        <v>203</v>
      </c>
      <c r="D48" s="4">
        <v>100000</v>
      </c>
      <c r="E48" t="s">
        <v>180</v>
      </c>
    </row>
    <row r="49" spans="2:5">
      <c r="B49">
        <v>11</v>
      </c>
      <c r="C49" t="s">
        <v>204</v>
      </c>
      <c r="D49" s="4">
        <v>100000</v>
      </c>
      <c r="E49" t="s">
        <v>180</v>
      </c>
    </row>
    <row r="50" spans="2:5">
      <c r="B50">
        <v>12</v>
      </c>
      <c r="C50" t="s">
        <v>205</v>
      </c>
      <c r="D50" s="4">
        <v>100000</v>
      </c>
      <c r="E50" t="s">
        <v>180</v>
      </c>
    </row>
  </sheetData>
  <mergeCells count="1">
    <mergeCell ref="F10:H10"/>
  </mergeCells>
  <phoneticPr fontId="3" type="noConversion"/>
  <pageMargins left="0.7" right="0.7" top="0.75" bottom="0.75" header="0.3" footer="0.3"/>
  <tableParts count="13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PRESUPUESTO 2024</vt:lpstr>
      <vt:lpstr>INDICADOR</vt:lpstr>
      <vt:lpstr>Anexo 1 Calculo Salarios</vt:lpstr>
      <vt:lpstr>DETALLADO GASTOS</vt:lpstr>
    </vt:vector>
  </TitlesOfParts>
  <Company>Zona Franca Internacional de Pereira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ZFIP-SIG</dc:creator>
  <cp:lastModifiedBy>YULIANA MELISSA MONTOYA GUAPACHA</cp:lastModifiedBy>
  <cp:lastPrinted>2023-11-07T16:22:53Z</cp:lastPrinted>
  <dcterms:created xsi:type="dcterms:W3CDTF">2014-11-05T20:54:15Z</dcterms:created>
  <dcterms:modified xsi:type="dcterms:W3CDTF">2024-12-18T15:02:19Z</dcterms:modified>
</cp:coreProperties>
</file>