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atriz de indicadores\2021\"/>
    </mc:Choice>
  </mc:AlternateContent>
  <bookViews>
    <workbookView xWindow="0" yWindow="0" windowWidth="20490" windowHeight="7755"/>
  </bookViews>
  <sheets>
    <sheet name="2021" sheetId="1" r:id="rId1"/>
    <sheet name="TABLERO DE INDICADORES" sheetId="2" r:id="rId2"/>
  </sheets>
  <definedNames>
    <definedName name="_xlnm.Print_Area" localSheetId="0">'2021'!$A$1:$BL$39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28" i="1" l="1"/>
  <c r="AS28" i="1"/>
  <c r="AG28" i="1"/>
  <c r="U28" i="1"/>
  <c r="BE22" i="1" l="1"/>
  <c r="BA22" i="1"/>
  <c r="AW22" i="1"/>
  <c r="AS22" i="1"/>
  <c r="AO22" i="1"/>
  <c r="AK22" i="1"/>
  <c r="AG22" i="1"/>
  <c r="AC22" i="1"/>
  <c r="Y22" i="1"/>
  <c r="U22" i="1"/>
  <c r="Q22" i="1"/>
  <c r="M22" i="1"/>
  <c r="BE23" i="1"/>
  <c r="BA23" i="1"/>
  <c r="AW23" i="1"/>
  <c r="AS23" i="1"/>
  <c r="AO23" i="1"/>
  <c r="AK23" i="1"/>
  <c r="AG23" i="1"/>
  <c r="AC23" i="1"/>
  <c r="Y23" i="1"/>
  <c r="U23" i="1"/>
  <c r="Q23" i="1"/>
  <c r="M23" i="1"/>
  <c r="BJ34" i="1" l="1"/>
  <c r="BJ27" i="1"/>
  <c r="BJ18" i="1"/>
  <c r="BF17" i="1"/>
  <c r="BB17" i="1"/>
  <c r="AX17" i="1"/>
  <c r="AT17" i="1"/>
  <c r="AP17" i="1"/>
  <c r="AL17" i="1"/>
  <c r="AH17" i="1"/>
  <c r="AD17" i="1"/>
  <c r="Z17" i="1"/>
  <c r="V17" i="1"/>
  <c r="R17" i="1"/>
  <c r="N17" i="1"/>
  <c r="BJ17" i="1"/>
  <c r="BJ12" i="1"/>
  <c r="AK14" i="1"/>
  <c r="AG14" i="1"/>
  <c r="BE16" i="1"/>
  <c r="BA16" i="1"/>
  <c r="AW16" i="1"/>
  <c r="AS16" i="1"/>
  <c r="AO16" i="1"/>
  <c r="AK16" i="1"/>
  <c r="AG16" i="1"/>
  <c r="AC16" i="1"/>
  <c r="Y16" i="1"/>
  <c r="U16" i="1"/>
  <c r="Q16" i="1"/>
  <c r="M16" i="1"/>
  <c r="BE26" i="1"/>
  <c r="BA26" i="1"/>
  <c r="AW26" i="1"/>
  <c r="AS26" i="1"/>
  <c r="AO26" i="1"/>
  <c r="AK26" i="1"/>
  <c r="AG26" i="1"/>
  <c r="AC26" i="1"/>
  <c r="Y26" i="1"/>
  <c r="U26" i="1"/>
  <c r="Q26" i="1"/>
  <c r="M26" i="1"/>
  <c r="BE25" i="1"/>
  <c r="BA25" i="1"/>
  <c r="AW25" i="1"/>
  <c r="AS25" i="1"/>
  <c r="AO25" i="1"/>
  <c r="AK25" i="1"/>
  <c r="AG25" i="1"/>
  <c r="AC25" i="1"/>
  <c r="Y25" i="1"/>
  <c r="U25" i="1"/>
  <c r="Q25" i="1"/>
  <c r="M25" i="1"/>
  <c r="BA27" i="1"/>
  <c r="BB27" i="1"/>
  <c r="BE27" i="1"/>
  <c r="BF27" i="1"/>
  <c r="BG34" i="1"/>
  <c r="BJ31" i="1"/>
  <c r="BH17" i="1"/>
  <c r="BG17" i="1"/>
  <c r="BJ20" i="1"/>
  <c r="BG20" i="1"/>
  <c r="BJ15" i="1"/>
  <c r="BG15" i="1"/>
  <c r="J34" i="1"/>
  <c r="G24" i="1"/>
  <c r="BH34" i="1"/>
  <c r="BG32" i="1"/>
  <c r="BG14" i="1"/>
  <c r="BG10" i="1"/>
  <c r="AG12" i="1"/>
  <c r="AH12" i="1"/>
  <c r="BG18" i="1"/>
  <c r="BH18" i="1"/>
  <c r="BD18" i="1"/>
  <c r="BF18" i="1"/>
  <c r="AZ18" i="1"/>
  <c r="BB18" i="1"/>
  <c r="AV18" i="1"/>
  <c r="AX18" i="1"/>
  <c r="AR18" i="1"/>
  <c r="AT18" i="1"/>
  <c r="AN18" i="1"/>
  <c r="AP18" i="1"/>
  <c r="AJ18" i="1"/>
  <c r="AL18" i="1"/>
  <c r="AF18" i="1"/>
  <c r="AH18" i="1"/>
  <c r="AB18" i="1"/>
  <c r="AD18" i="1"/>
  <c r="X18" i="1"/>
  <c r="Z18" i="1"/>
  <c r="T18" i="1"/>
  <c r="V18" i="1"/>
  <c r="BH35" i="1"/>
  <c r="BG35" i="1"/>
  <c r="BF35" i="1"/>
  <c r="BB35" i="1"/>
  <c r="AX35" i="1"/>
  <c r="AT35" i="1"/>
  <c r="AP35" i="1"/>
  <c r="AL35" i="1"/>
  <c r="AH35" i="1"/>
  <c r="AD35" i="1"/>
  <c r="Z35" i="1"/>
  <c r="V35" i="1"/>
  <c r="R35" i="1"/>
  <c r="N35" i="1"/>
  <c r="BE35" i="1"/>
  <c r="BA35" i="1"/>
  <c r="AW35" i="1"/>
  <c r="AS35" i="1"/>
  <c r="AO35" i="1"/>
  <c r="AK35" i="1"/>
  <c r="AG35" i="1"/>
  <c r="AC35" i="1"/>
  <c r="Y35" i="1"/>
  <c r="U35" i="1"/>
  <c r="Q35" i="1"/>
  <c r="M35" i="1"/>
  <c r="Q17" i="1"/>
  <c r="U17" i="1"/>
  <c r="Y17" i="1"/>
  <c r="AC17" i="1"/>
  <c r="AG17" i="1"/>
  <c r="AK17" i="1"/>
  <c r="AO17" i="1"/>
  <c r="AS17" i="1"/>
  <c r="AW17" i="1"/>
  <c r="BA17" i="1"/>
  <c r="BE17" i="1"/>
  <c r="M17" i="1"/>
  <c r="BG27" i="1"/>
  <c r="BH27" i="1"/>
  <c r="AW27" i="1"/>
  <c r="AX27" i="1"/>
  <c r="AS27" i="1"/>
  <c r="AT27" i="1"/>
  <c r="AO27" i="1"/>
  <c r="AK27" i="1"/>
  <c r="AL27" i="1"/>
  <c r="AG27" i="1"/>
  <c r="AH27" i="1"/>
  <c r="AC27" i="1"/>
  <c r="Y27" i="1"/>
  <c r="U27" i="1"/>
  <c r="Q27" i="1"/>
  <c r="BD27" i="1"/>
  <c r="AZ27" i="1"/>
  <c r="AV27" i="1"/>
  <c r="AR27" i="1"/>
  <c r="AN27" i="1"/>
  <c r="AJ27" i="1"/>
  <c r="AF27" i="1"/>
  <c r="AB27" i="1"/>
  <c r="X27" i="1"/>
  <c r="T27" i="1"/>
  <c r="P27" i="1"/>
  <c r="M27" i="1"/>
  <c r="L27" i="1"/>
  <c r="J27" i="1"/>
  <c r="G16" i="1"/>
  <c r="J18" i="1"/>
  <c r="AF34" i="1"/>
  <c r="AH34" i="1"/>
  <c r="AB34" i="1"/>
  <c r="AD34" i="1"/>
  <c r="X34" i="1"/>
  <c r="Z34" i="1"/>
  <c r="T34" i="1"/>
  <c r="V34" i="1"/>
  <c r="P34" i="1"/>
  <c r="R34" i="1"/>
  <c r="L34" i="1"/>
  <c r="N34" i="1"/>
  <c r="BG19" i="1"/>
  <c r="BL19" i="1" s="1"/>
  <c r="C29" i="2" s="1"/>
  <c r="E29" i="2" s="1"/>
  <c r="BE30" i="1"/>
  <c r="BF30" i="1" s="1"/>
  <c r="BJ30" i="1" s="1"/>
  <c r="BH32" i="1"/>
  <c r="BJ32" i="1" s="1"/>
  <c r="BD32" i="1"/>
  <c r="BF32" i="1"/>
  <c r="BG33" i="1"/>
  <c r="BH33" i="1"/>
  <c r="BE33" i="1"/>
  <c r="AJ34" i="1"/>
  <c r="AL34" i="1"/>
  <c r="AN34" i="1"/>
  <c r="AP34" i="1"/>
  <c r="AR34" i="1"/>
  <c r="AT34" i="1"/>
  <c r="AV34" i="1"/>
  <c r="AX34" i="1"/>
  <c r="AZ34" i="1"/>
  <c r="BB34" i="1"/>
  <c r="BD34" i="1"/>
  <c r="BF34" i="1"/>
  <c r="L31" i="1"/>
  <c r="N31" i="1"/>
  <c r="P31" i="1"/>
  <c r="R31" i="1"/>
  <c r="T31" i="1"/>
  <c r="V31" i="1"/>
  <c r="X31" i="1"/>
  <c r="Z31" i="1"/>
  <c r="AB31" i="1"/>
  <c r="AD31" i="1"/>
  <c r="AF31" i="1"/>
  <c r="AH31" i="1"/>
  <c r="AJ31" i="1"/>
  <c r="AL31" i="1"/>
  <c r="AN31" i="1"/>
  <c r="AP31" i="1"/>
  <c r="AR31" i="1"/>
  <c r="AT31" i="1"/>
  <c r="AV31" i="1"/>
  <c r="AX31" i="1"/>
  <c r="AZ31" i="1"/>
  <c r="BB31" i="1"/>
  <c r="BD31" i="1"/>
  <c r="BF31" i="1"/>
  <c r="BE12" i="1"/>
  <c r="BE11" i="1"/>
  <c r="AS11" i="1"/>
  <c r="AG11" i="1"/>
  <c r="U11" i="1"/>
  <c r="BA30" i="1"/>
  <c r="BB30" i="1"/>
  <c r="Q30" i="1"/>
  <c r="U30" i="1"/>
  <c r="Y30" i="1"/>
  <c r="Z30" i="1"/>
  <c r="AC30" i="1"/>
  <c r="AD30" i="1"/>
  <c r="AG30" i="1"/>
  <c r="AH30" i="1"/>
  <c r="AK30" i="1"/>
  <c r="AL30" i="1"/>
  <c r="AO30" i="1"/>
  <c r="AP30" i="1"/>
  <c r="AS30" i="1"/>
  <c r="AT30" i="1"/>
  <c r="AW30" i="1"/>
  <c r="AX30" i="1"/>
  <c r="AS12" i="1"/>
  <c r="AT12" i="1"/>
  <c r="J31" i="1"/>
  <c r="BG36" i="1"/>
  <c r="BL36" i="1" s="1"/>
  <c r="C35" i="2" s="1"/>
  <c r="E35" i="2" s="1"/>
  <c r="BJ36" i="1"/>
  <c r="BK36" i="1" s="1"/>
  <c r="B35" i="2" s="1"/>
  <c r="D35" i="2" s="1"/>
  <c r="C25" i="2"/>
  <c r="B25" i="2"/>
  <c r="B21" i="2"/>
  <c r="G9" i="1"/>
  <c r="G12" i="1"/>
  <c r="G19" i="1"/>
  <c r="G21" i="1"/>
  <c r="G28" i="1"/>
  <c r="G38" i="1"/>
  <c r="G31" i="1"/>
  <c r="G34" i="1"/>
  <c r="G36" i="1"/>
  <c r="BG37" i="1"/>
  <c r="BL37" i="1"/>
  <c r="C36" i="2"/>
  <c r="E36" i="2"/>
  <c r="J37" i="1"/>
  <c r="BE37" i="1"/>
  <c r="AS37" i="1"/>
  <c r="Y37" i="1"/>
  <c r="AO37" i="1"/>
  <c r="BF33" i="1"/>
  <c r="BB33" i="1"/>
  <c r="BA33" i="1"/>
  <c r="AX33" i="1"/>
  <c r="AW33" i="1"/>
  <c r="AT33" i="1"/>
  <c r="AS33" i="1"/>
  <c r="AP33" i="1"/>
  <c r="AO33" i="1"/>
  <c r="AL33" i="1"/>
  <c r="AK33" i="1"/>
  <c r="AH33" i="1"/>
  <c r="AG33" i="1"/>
  <c r="AD33" i="1"/>
  <c r="AC33" i="1"/>
  <c r="Z33" i="1"/>
  <c r="Y33" i="1"/>
  <c r="V33" i="1"/>
  <c r="U33" i="1"/>
  <c r="R33" i="1"/>
  <c r="Q33" i="1"/>
  <c r="N33" i="1"/>
  <c r="M33" i="1"/>
  <c r="BG31" i="1"/>
  <c r="BH31" i="1"/>
  <c r="BG30" i="1"/>
  <c r="BH30" i="1"/>
  <c r="BL28" i="1" s="1"/>
  <c r="C32" i="2" s="1"/>
  <c r="E32" i="2" s="1"/>
  <c r="J30" i="1"/>
  <c r="BD30" i="1"/>
  <c r="AZ30" i="1"/>
  <c r="AV30" i="1"/>
  <c r="AR30" i="1"/>
  <c r="AN30" i="1"/>
  <c r="AJ30" i="1"/>
  <c r="AF30" i="1"/>
  <c r="AB30" i="1"/>
  <c r="X30" i="1"/>
  <c r="V30" i="1"/>
  <c r="T30" i="1"/>
  <c r="R30" i="1"/>
  <c r="P30" i="1"/>
  <c r="M30" i="1"/>
  <c r="N30" i="1"/>
  <c r="L30" i="1"/>
  <c r="BG29" i="1"/>
  <c r="J29" i="1"/>
  <c r="BE29" i="1"/>
  <c r="BJ29" i="1" s="1"/>
  <c r="J28" i="1"/>
  <c r="BG28" i="1"/>
  <c r="AD27" i="1"/>
  <c r="Z27" i="1"/>
  <c r="BG26" i="1"/>
  <c r="J26" i="1"/>
  <c r="BG25" i="1"/>
  <c r="J25" i="1"/>
  <c r="BG24" i="1"/>
  <c r="J24" i="1"/>
  <c r="BE24" i="1"/>
  <c r="BA24" i="1"/>
  <c r="AW24" i="1"/>
  <c r="AS24" i="1"/>
  <c r="AO24" i="1"/>
  <c r="AK24" i="1"/>
  <c r="AG24" i="1"/>
  <c r="AC24" i="1"/>
  <c r="Y24" i="1"/>
  <c r="U24" i="1"/>
  <c r="Q24" i="1"/>
  <c r="M24" i="1"/>
  <c r="BG23" i="1"/>
  <c r="BJ23" i="1"/>
  <c r="BG22" i="1"/>
  <c r="BL21" i="1" s="1"/>
  <c r="C30" i="2" s="1"/>
  <c r="E30" i="2" s="1"/>
  <c r="BG21" i="1"/>
  <c r="BE21" i="1"/>
  <c r="BA21" i="1"/>
  <c r="AW21" i="1"/>
  <c r="AS21" i="1"/>
  <c r="AO21" i="1"/>
  <c r="AK21" i="1"/>
  <c r="AG21" i="1"/>
  <c r="AC21" i="1"/>
  <c r="Y21" i="1"/>
  <c r="U21" i="1"/>
  <c r="Q21" i="1"/>
  <c r="M21" i="1"/>
  <c r="J20" i="1"/>
  <c r="J19" i="1"/>
  <c r="BE19" i="1"/>
  <c r="BA19" i="1"/>
  <c r="AW19" i="1"/>
  <c r="AS19" i="1"/>
  <c r="AO19" i="1"/>
  <c r="AK19" i="1"/>
  <c r="AG19" i="1"/>
  <c r="AC19" i="1"/>
  <c r="Y19" i="1"/>
  <c r="U19" i="1"/>
  <c r="Q19" i="1"/>
  <c r="M19" i="1"/>
  <c r="J17" i="1"/>
  <c r="BG16" i="1"/>
  <c r="J16" i="1"/>
  <c r="BG12" i="1"/>
  <c r="BH12" i="1"/>
  <c r="BG13" i="1"/>
  <c r="J14" i="1"/>
  <c r="BJ14" i="1"/>
  <c r="BJ13" i="1"/>
  <c r="BK12" i="1"/>
  <c r="B27" i="2" s="1"/>
  <c r="D27" i="2" s="1"/>
  <c r="U12" i="1"/>
  <c r="J12" i="1"/>
  <c r="V12" i="1"/>
  <c r="J11" i="1"/>
  <c r="BG11" i="1"/>
  <c r="J10" i="1"/>
  <c r="AG10" i="1"/>
  <c r="BE10" i="1"/>
  <c r="BJ10" i="1"/>
  <c r="BG9" i="1"/>
  <c r="J9" i="1"/>
  <c r="M9" i="1"/>
  <c r="BA9" i="1"/>
  <c r="AS9" i="1"/>
  <c r="AC9" i="1"/>
  <c r="BF12" i="1"/>
  <c r="Y9" i="1"/>
  <c r="AO9" i="1"/>
  <c r="AW9" i="1"/>
  <c r="AK9" i="1"/>
  <c r="U9" i="1"/>
  <c r="AG9" i="1"/>
  <c r="Q9" i="1"/>
  <c r="BE9" i="1"/>
  <c r="R27" i="1"/>
  <c r="AP27" i="1"/>
  <c r="N27" i="1"/>
  <c r="V27" i="1"/>
  <c r="AK37" i="1"/>
  <c r="U37" i="1"/>
  <c r="AW37" i="1"/>
  <c r="AG37" i="1"/>
  <c r="Q37" i="1"/>
  <c r="BA37" i="1"/>
  <c r="AC37" i="1"/>
  <c r="M37" i="1"/>
  <c r="BJ16" i="1"/>
  <c r="BJ28" i="1"/>
  <c r="BJ19" i="1"/>
  <c r="BK19" i="1" s="1"/>
  <c r="B29" i="2" s="1"/>
  <c r="D29" i="2" s="1"/>
  <c r="BJ24" i="1"/>
  <c r="BJ37" i="1"/>
  <c r="BK37" i="1"/>
  <c r="B36" i="2"/>
  <c r="D36" i="2"/>
  <c r="G36" i="2"/>
  <c r="BI12" i="1"/>
  <c r="BJ11" i="1"/>
  <c r="BJ9" i="1"/>
  <c r="BJ21" i="1"/>
  <c r="BI17" i="1"/>
  <c r="BL16" i="1"/>
  <c r="C28" i="2"/>
  <c r="E28" i="2"/>
  <c r="K28" i="2"/>
  <c r="BK16" i="1"/>
  <c r="B28" i="2"/>
  <c r="D28" i="2"/>
  <c r="BJ22" i="1"/>
  <c r="BI35" i="1"/>
  <c r="BL34" i="1" s="1"/>
  <c r="C34" i="2" s="1"/>
  <c r="E34" i="2" s="1"/>
  <c r="BK9" i="1"/>
  <c r="B26" i="2"/>
  <c r="D26" i="2"/>
  <c r="I26" i="2"/>
  <c r="BL9" i="1"/>
  <c r="C26" i="2"/>
  <c r="E26" i="2"/>
  <c r="K26" i="2"/>
  <c r="BJ25" i="1"/>
  <c r="BL24" i="1"/>
  <c r="C31" i="2"/>
  <c r="E31" i="2"/>
  <c r="K31" i="2"/>
  <c r="M36" i="2"/>
  <c r="K36" i="2"/>
  <c r="M29" i="1"/>
  <c r="AC29" i="1"/>
  <c r="AS29" i="1"/>
  <c r="Q29" i="1"/>
  <c r="AG29" i="1"/>
  <c r="AW29" i="1"/>
  <c r="U29" i="1"/>
  <c r="AK29" i="1"/>
  <c r="BA29" i="1"/>
  <c r="Y29" i="1"/>
  <c r="AO29" i="1"/>
  <c r="I36" i="2"/>
  <c r="BL12" i="1"/>
  <c r="C27" i="2"/>
  <c r="E27" i="2"/>
  <c r="M26" i="2"/>
  <c r="G28" i="2"/>
  <c r="I28" i="2"/>
  <c r="G26" i="2"/>
  <c r="M28" i="2"/>
  <c r="M31" i="2"/>
  <c r="BJ26" i="1"/>
  <c r="BK24" i="1"/>
  <c r="B31" i="2"/>
  <c r="D31" i="2"/>
  <c r="K27" i="2"/>
  <c r="M27" i="2"/>
  <c r="G31" i="2"/>
  <c r="I31" i="2"/>
  <c r="I27" i="2" l="1"/>
  <c r="G27" i="2"/>
  <c r="BK28" i="1"/>
  <c r="B32" i="2" s="1"/>
  <c r="D32" i="2" s="1"/>
  <c r="I32" i="2" s="1"/>
  <c r="M32" i="2"/>
  <c r="K32" i="2"/>
  <c r="BK21" i="1"/>
  <c r="B30" i="2" s="1"/>
  <c r="D30" i="2" s="1"/>
  <c r="G30" i="2" s="1"/>
  <c r="K30" i="2"/>
  <c r="M30" i="2"/>
  <c r="I29" i="2"/>
  <c r="G29" i="2"/>
  <c r="K29" i="2"/>
  <c r="M29" i="2"/>
  <c r="BJ35" i="1"/>
  <c r="BK34" i="1" s="1"/>
  <c r="B34" i="2" s="1"/>
  <c r="D34" i="2" s="1"/>
  <c r="I34" i="2" s="1"/>
  <c r="K34" i="2"/>
  <c r="M34" i="2"/>
  <c r="M35" i="2"/>
  <c r="K35" i="2"/>
  <c r="I35" i="2"/>
  <c r="G35" i="2"/>
  <c r="BI33" i="1"/>
  <c r="BL31" i="1" s="1"/>
  <c r="BJ33" i="1"/>
  <c r="BK31" i="1" s="1"/>
  <c r="B33" i="2" s="1"/>
  <c r="D33" i="2" s="1"/>
  <c r="C33" i="2"/>
  <c r="E33" i="2" s="1"/>
  <c r="BL38" i="1"/>
  <c r="C37" i="2" s="1"/>
  <c r="E37" i="2" s="1"/>
  <c r="G32" i="2" l="1"/>
  <c r="I30" i="2"/>
  <c r="G34" i="2"/>
  <c r="BJ38" i="1"/>
  <c r="B37" i="2" s="1"/>
  <c r="D37" i="2" s="1"/>
  <c r="G37" i="2" s="1"/>
  <c r="I33" i="2"/>
  <c r="G33" i="2"/>
  <c r="M33" i="2"/>
  <c r="K33" i="2"/>
  <c r="M37" i="2"/>
  <c r="K37" i="2"/>
  <c r="I37" i="2" l="1"/>
</calcChain>
</file>

<file path=xl/comments1.xml><?xml version="1.0" encoding="utf-8"?>
<comments xmlns="http://schemas.openxmlformats.org/spreadsheetml/2006/main">
  <authors>
    <author>ZFIP004</author>
    <author>ZFIP-SIG</author>
  </authors>
  <commentList>
    <comment ref="BC10" authorId="0" shapeId="0">
      <text>
        <r>
          <rPr>
            <b/>
            <sz val="9"/>
            <color indexed="81"/>
            <rFont val="Tahoma"/>
            <family val="2"/>
          </rPr>
          <t>ZFIP004:</t>
        </r>
        <r>
          <rPr>
            <sz val="9"/>
            <color indexed="81"/>
            <rFont val="Tahoma"/>
            <family val="2"/>
          </rPr>
          <t xml:space="preserve">
NO SE PRESENTARON PQRS DURANTE EL 2021</t>
        </r>
      </text>
    </comment>
    <comment ref="S11" authorId="0" shapeId="0">
      <text>
        <r>
          <rPr>
            <b/>
            <sz val="9"/>
            <color indexed="81"/>
            <rFont val="Tahoma"/>
            <family val="2"/>
          </rPr>
          <t>ZFIP004:</t>
        </r>
        <r>
          <rPr>
            <sz val="9"/>
            <color indexed="81"/>
            <rFont val="Tahoma"/>
            <family val="2"/>
          </rPr>
          <t xml:space="preserve">
Durante el primer trimestre del año no se han presentado PQRS</t>
        </r>
      </text>
    </comment>
    <comment ref="AE11" authorId="0" shapeId="0">
      <text>
        <r>
          <rPr>
            <b/>
            <sz val="9"/>
            <color indexed="81"/>
            <rFont val="Tahoma"/>
            <family val="2"/>
          </rPr>
          <t>ZFIP004:</t>
        </r>
        <r>
          <rPr>
            <sz val="9"/>
            <color indexed="81"/>
            <rFont val="Tahoma"/>
            <family val="2"/>
          </rPr>
          <t xml:space="preserve">
Para el 2do trimestre del año, tampoco se presetaron PQRS</t>
        </r>
      </text>
    </comment>
    <comment ref="AQ11" authorId="0" shapeId="0">
      <text>
        <r>
          <rPr>
            <b/>
            <sz val="9"/>
            <color indexed="81"/>
            <rFont val="Tahoma"/>
            <family val="2"/>
          </rPr>
          <t>ZFIP004:</t>
        </r>
        <r>
          <rPr>
            <sz val="9"/>
            <color indexed="81"/>
            <rFont val="Tahoma"/>
            <family val="2"/>
          </rPr>
          <t xml:space="preserve">
Para el 3er trimestre del año, tampoco se presetaron PQRS</t>
        </r>
      </text>
    </comment>
    <comment ref="BC11" authorId="0" shapeId="0">
      <text>
        <r>
          <rPr>
            <b/>
            <sz val="9"/>
            <color indexed="81"/>
            <rFont val="Tahoma"/>
            <family val="2"/>
          </rPr>
          <t>ZFIP004:</t>
        </r>
        <r>
          <rPr>
            <sz val="9"/>
            <color indexed="81"/>
            <rFont val="Tahoma"/>
            <family val="2"/>
          </rPr>
          <t xml:space="preserve">
Para el 4to trimestre del año, tampoco se presetaron PQRS</t>
        </r>
      </text>
    </comment>
    <comment ref="F12" authorId="1" shapeId="0">
      <text>
        <r>
          <rPr>
            <b/>
            <sz val="9"/>
            <color indexed="81"/>
            <rFont val="Tahoma"/>
            <family val="2"/>
          </rPr>
          <t>ZFIP-SIG:</t>
        </r>
        <r>
          <rPr>
            <sz val="9"/>
            <color indexed="81"/>
            <rFont val="Tahoma"/>
            <family val="2"/>
          </rPr>
          <t xml:space="preserve">
Se hace seguimiento con gerencia de manera trimestal, pero el resultado sera consolidado de manera anual en esta matriz.</t>
        </r>
      </text>
    </comment>
    <comment ref="F13" authorId="0" shapeId="0">
      <text>
        <r>
          <rPr>
            <b/>
            <sz val="9"/>
            <color indexed="81"/>
            <rFont val="Tahoma"/>
            <family val="2"/>
          </rPr>
          <t>ZFIP004:</t>
        </r>
        <r>
          <rPr>
            <sz val="9"/>
            <color indexed="81"/>
            <rFont val="Tahoma"/>
            <family val="2"/>
          </rPr>
          <t xml:space="preserve">
LA META SE VERÁ CUMPLIDA AL FIN DEL AÑO, YA QUE ES UN INDICADOR CON RESULTADO EXPONENCIAL, OSEA VA SUBIENDO DE ACUERDO A LOS MESES. Se hace seguimiento trimestral por parte del SIG</t>
        </r>
      </text>
    </comment>
    <comment ref="H15" authorId="0" shapeId="0">
      <text>
        <r>
          <rPr>
            <b/>
            <sz val="9"/>
            <color indexed="81"/>
            <rFont val="Tahoma"/>
            <family val="2"/>
          </rPr>
          <t>ZFIP004:</t>
        </r>
        <r>
          <rPr>
            <sz val="9"/>
            <color indexed="81"/>
            <rFont val="Tahoma"/>
            <family val="2"/>
          </rPr>
          <t xml:space="preserve">
esta en periodo de prueba, es un indicador nuevo</t>
        </r>
      </text>
    </comment>
    <comment ref="K16" authorId="0" shapeId="0">
      <text>
        <r>
          <rPr>
            <b/>
            <sz val="9"/>
            <color indexed="81"/>
            <rFont val="Tahoma"/>
            <family val="2"/>
          </rPr>
          <t>ZFIP004:</t>
        </r>
        <r>
          <rPr>
            <sz val="9"/>
            <color indexed="81"/>
            <rFont val="Tahoma"/>
            <family val="2"/>
          </rPr>
          <t xml:space="preserve">
no se programaron mantenimientos dado a la recolección de información del inventario de equipos</t>
        </r>
      </text>
    </comment>
    <comment ref="O16" authorId="0" shapeId="0">
      <text>
        <r>
          <rPr>
            <b/>
            <sz val="9"/>
            <color indexed="81"/>
            <rFont val="Tahoma"/>
            <family val="2"/>
          </rPr>
          <t>ZFIP004:</t>
        </r>
        <r>
          <rPr>
            <sz val="9"/>
            <color indexed="81"/>
            <rFont val="Tahoma"/>
            <family val="2"/>
          </rPr>
          <t xml:space="preserve">
No se programaron mantenimientos para este mes, continuan con el levantamiento de inventario</t>
        </r>
      </text>
    </comment>
    <comment ref="S16" authorId="0" shapeId="0">
      <text>
        <r>
          <rPr>
            <b/>
            <sz val="9"/>
            <color indexed="81"/>
            <rFont val="Tahoma"/>
            <family val="2"/>
          </rPr>
          <t>ZFIP004:</t>
        </r>
        <r>
          <rPr>
            <sz val="9"/>
            <color indexed="81"/>
            <rFont val="Tahoma"/>
            <family val="2"/>
          </rPr>
          <t xml:space="preserve">
Se programaron 59 mmtos y se realizaron 59</t>
        </r>
      </text>
    </comment>
    <comment ref="K17" authorId="0" shapeId="0">
      <text>
        <r>
          <rPr>
            <b/>
            <sz val="9"/>
            <color indexed="81"/>
            <rFont val="Tahoma"/>
            <family val="2"/>
          </rPr>
          <t>ZFIP004:</t>
        </r>
        <r>
          <rPr>
            <sz val="9"/>
            <color indexed="81"/>
            <rFont val="Tahoma"/>
            <family val="2"/>
          </rPr>
          <t xml:space="preserve">
solucionadas dentro del tiempo en el mes</t>
        </r>
      </text>
    </comment>
    <comment ref="L17" authorId="0" shapeId="0">
      <text>
        <r>
          <rPr>
            <b/>
            <sz val="9"/>
            <color indexed="81"/>
            <rFont val="Tahoma"/>
            <family val="2"/>
          </rPr>
          <t>ZFIP004:</t>
        </r>
        <r>
          <rPr>
            <sz val="9"/>
            <color indexed="81"/>
            <rFont val="Tahoma"/>
            <family val="2"/>
          </rPr>
          <t xml:space="preserve">
total solucionadas en el mes</t>
        </r>
      </text>
    </comment>
    <comment ref="O17" authorId="0" shapeId="0">
      <text>
        <r>
          <rPr>
            <b/>
            <sz val="9"/>
            <color indexed="81"/>
            <rFont val="Tahoma"/>
            <family val="2"/>
          </rPr>
          <t>ZFIP004:</t>
        </r>
        <r>
          <rPr>
            <sz val="9"/>
            <color indexed="81"/>
            <rFont val="Tahoma"/>
            <family val="2"/>
          </rPr>
          <t xml:space="preserve">
Solucionadas dentro del tiempo en el mes</t>
        </r>
      </text>
    </comment>
    <comment ref="P17" authorId="0" shapeId="0">
      <text>
        <r>
          <rPr>
            <b/>
            <sz val="9"/>
            <color indexed="81"/>
            <rFont val="Tahoma"/>
            <family val="2"/>
          </rPr>
          <t>ZFIP004:</t>
        </r>
        <r>
          <rPr>
            <sz val="9"/>
            <color indexed="81"/>
            <rFont val="Tahoma"/>
            <family val="2"/>
          </rPr>
          <t xml:space="preserve">
total solucionadas en el mes</t>
        </r>
      </text>
    </comment>
    <comment ref="S17" authorId="0" shapeId="0">
      <text>
        <r>
          <rPr>
            <b/>
            <sz val="9"/>
            <color indexed="81"/>
            <rFont val="Tahoma"/>
            <family val="2"/>
          </rPr>
          <t>ZFIP004:</t>
        </r>
        <r>
          <rPr>
            <sz val="9"/>
            <color indexed="81"/>
            <rFont val="Tahoma"/>
            <family val="2"/>
          </rPr>
          <t xml:space="preserve">
Solucionadas dentro del tiempo en el mes</t>
        </r>
      </text>
    </comment>
    <comment ref="T17" authorId="0" shapeId="0">
      <text>
        <r>
          <rPr>
            <b/>
            <sz val="9"/>
            <color indexed="81"/>
            <rFont val="Tahoma"/>
            <family val="2"/>
          </rPr>
          <t>ZFIP004:</t>
        </r>
        <r>
          <rPr>
            <sz val="9"/>
            <color indexed="81"/>
            <rFont val="Tahoma"/>
            <family val="2"/>
          </rPr>
          <t xml:space="preserve">
total solucionadas en el mes</t>
        </r>
      </text>
    </comment>
    <comment ref="W17" authorId="0" shapeId="0">
      <text>
        <r>
          <rPr>
            <b/>
            <sz val="9"/>
            <color indexed="81"/>
            <rFont val="Tahoma"/>
            <family val="2"/>
          </rPr>
          <t>ZFIP004:</t>
        </r>
        <r>
          <rPr>
            <sz val="9"/>
            <color indexed="81"/>
            <rFont val="Tahoma"/>
            <family val="2"/>
          </rPr>
          <t xml:space="preserve">
Solucionadas dentro del tiempo en el mes</t>
        </r>
      </text>
    </comment>
    <comment ref="X17" authorId="0" shapeId="0">
      <text>
        <r>
          <rPr>
            <b/>
            <sz val="9"/>
            <color indexed="81"/>
            <rFont val="Tahoma"/>
            <family val="2"/>
          </rPr>
          <t>ZFIP004:</t>
        </r>
        <r>
          <rPr>
            <sz val="9"/>
            <color indexed="81"/>
            <rFont val="Tahoma"/>
            <family val="2"/>
          </rPr>
          <t xml:space="preserve">
total solucionadas en el mes</t>
        </r>
      </text>
    </comment>
    <comment ref="AA17" authorId="0" shapeId="0">
      <text>
        <r>
          <rPr>
            <b/>
            <sz val="9"/>
            <color indexed="81"/>
            <rFont val="Tahoma"/>
            <family val="2"/>
          </rPr>
          <t>ZFIP004:</t>
        </r>
        <r>
          <rPr>
            <sz val="9"/>
            <color indexed="81"/>
            <rFont val="Tahoma"/>
            <family val="2"/>
          </rPr>
          <t xml:space="preserve">
Solucionadas dentro del tiempo en el mes</t>
        </r>
      </text>
    </comment>
    <comment ref="AB17" authorId="0" shapeId="0">
      <text>
        <r>
          <rPr>
            <b/>
            <sz val="9"/>
            <color indexed="81"/>
            <rFont val="Tahoma"/>
            <family val="2"/>
          </rPr>
          <t>ZFIP004:</t>
        </r>
        <r>
          <rPr>
            <sz val="9"/>
            <color indexed="81"/>
            <rFont val="Tahoma"/>
            <family val="2"/>
          </rPr>
          <t xml:space="preserve">
total solucionadas en el mes</t>
        </r>
      </text>
    </comment>
    <comment ref="AE17" authorId="0" shapeId="0">
      <text>
        <r>
          <rPr>
            <b/>
            <sz val="9"/>
            <color indexed="81"/>
            <rFont val="Tahoma"/>
            <family val="2"/>
          </rPr>
          <t>ZFIP004:</t>
        </r>
        <r>
          <rPr>
            <sz val="9"/>
            <color indexed="81"/>
            <rFont val="Tahoma"/>
            <family val="2"/>
          </rPr>
          <t xml:space="preserve">
Solucionadas dentro del tiempo en el mes</t>
        </r>
      </text>
    </comment>
    <comment ref="AF17" authorId="0" shapeId="0">
      <text>
        <r>
          <rPr>
            <b/>
            <sz val="9"/>
            <color indexed="81"/>
            <rFont val="Tahoma"/>
            <family val="2"/>
          </rPr>
          <t>ZFIP004:</t>
        </r>
        <r>
          <rPr>
            <sz val="9"/>
            <color indexed="81"/>
            <rFont val="Tahoma"/>
            <family val="2"/>
          </rPr>
          <t xml:space="preserve">
total solucionadas en el mes</t>
        </r>
      </text>
    </comment>
    <comment ref="AI17" authorId="0" shapeId="0">
      <text>
        <r>
          <rPr>
            <b/>
            <sz val="9"/>
            <color indexed="81"/>
            <rFont val="Tahoma"/>
            <family val="2"/>
          </rPr>
          <t>ZFIP004:</t>
        </r>
        <r>
          <rPr>
            <sz val="9"/>
            <color indexed="81"/>
            <rFont val="Tahoma"/>
            <family val="2"/>
          </rPr>
          <t xml:space="preserve">
Solucionadas dentro del tiempo en el mes</t>
        </r>
      </text>
    </comment>
    <comment ref="AJ17" authorId="0" shapeId="0">
      <text>
        <r>
          <rPr>
            <b/>
            <sz val="9"/>
            <color indexed="81"/>
            <rFont val="Tahoma"/>
            <family val="2"/>
          </rPr>
          <t>ZFIP004:</t>
        </r>
        <r>
          <rPr>
            <sz val="9"/>
            <color indexed="81"/>
            <rFont val="Tahoma"/>
            <family val="2"/>
          </rPr>
          <t xml:space="preserve">
total solucionadas en el mes</t>
        </r>
      </text>
    </comment>
    <comment ref="AM17" authorId="0" shapeId="0">
      <text>
        <r>
          <rPr>
            <b/>
            <sz val="9"/>
            <color indexed="81"/>
            <rFont val="Tahoma"/>
            <family val="2"/>
          </rPr>
          <t>ZFIP004:</t>
        </r>
        <r>
          <rPr>
            <sz val="9"/>
            <color indexed="81"/>
            <rFont val="Tahoma"/>
            <family val="2"/>
          </rPr>
          <t xml:space="preserve">
Solucionadas dentro del tiempo en el mes</t>
        </r>
      </text>
    </comment>
    <comment ref="AN17" authorId="0" shapeId="0">
      <text>
        <r>
          <rPr>
            <b/>
            <sz val="9"/>
            <color indexed="81"/>
            <rFont val="Tahoma"/>
            <family val="2"/>
          </rPr>
          <t>ZFIP004:</t>
        </r>
        <r>
          <rPr>
            <sz val="9"/>
            <color indexed="81"/>
            <rFont val="Tahoma"/>
            <family val="2"/>
          </rPr>
          <t xml:space="preserve">
total solucionadas en el mes</t>
        </r>
      </text>
    </comment>
    <comment ref="AQ17" authorId="0" shapeId="0">
      <text>
        <r>
          <rPr>
            <b/>
            <sz val="9"/>
            <color indexed="81"/>
            <rFont val="Tahoma"/>
            <family val="2"/>
          </rPr>
          <t>ZFIP004:</t>
        </r>
        <r>
          <rPr>
            <sz val="9"/>
            <color indexed="81"/>
            <rFont val="Tahoma"/>
            <family val="2"/>
          </rPr>
          <t xml:space="preserve">
Solucionadas dentro del tiempo en el mes</t>
        </r>
      </text>
    </comment>
    <comment ref="AR17" authorId="0" shapeId="0">
      <text>
        <r>
          <rPr>
            <b/>
            <sz val="9"/>
            <color indexed="81"/>
            <rFont val="Tahoma"/>
            <family val="2"/>
          </rPr>
          <t>ZFIP004:</t>
        </r>
        <r>
          <rPr>
            <sz val="9"/>
            <color indexed="81"/>
            <rFont val="Tahoma"/>
            <family val="2"/>
          </rPr>
          <t xml:space="preserve">
total solucionadas en el mes</t>
        </r>
      </text>
    </comment>
    <comment ref="AU17" authorId="0" shapeId="0">
      <text>
        <r>
          <rPr>
            <b/>
            <sz val="9"/>
            <color indexed="81"/>
            <rFont val="Tahoma"/>
            <family val="2"/>
          </rPr>
          <t>ZFIP004:</t>
        </r>
        <r>
          <rPr>
            <sz val="9"/>
            <color indexed="81"/>
            <rFont val="Tahoma"/>
            <family val="2"/>
          </rPr>
          <t xml:space="preserve">
Solucionadas dentro del tiempo en el mes</t>
        </r>
      </text>
    </comment>
    <comment ref="AV17" authorId="0" shapeId="0">
      <text>
        <r>
          <rPr>
            <b/>
            <sz val="9"/>
            <color indexed="81"/>
            <rFont val="Tahoma"/>
            <family val="2"/>
          </rPr>
          <t>ZFIP004:</t>
        </r>
        <r>
          <rPr>
            <sz val="9"/>
            <color indexed="81"/>
            <rFont val="Tahoma"/>
            <family val="2"/>
          </rPr>
          <t xml:space="preserve">
total solucionadas en el mes</t>
        </r>
      </text>
    </comment>
    <comment ref="AY17" authorId="0" shapeId="0">
      <text>
        <r>
          <rPr>
            <b/>
            <sz val="9"/>
            <color indexed="81"/>
            <rFont val="Tahoma"/>
            <family val="2"/>
          </rPr>
          <t>ZFIP004:</t>
        </r>
        <r>
          <rPr>
            <sz val="9"/>
            <color indexed="81"/>
            <rFont val="Tahoma"/>
            <family val="2"/>
          </rPr>
          <t xml:space="preserve">
Solucionadas dentro del tiempo en el mes</t>
        </r>
      </text>
    </comment>
    <comment ref="AZ17" authorId="0" shapeId="0">
      <text>
        <r>
          <rPr>
            <b/>
            <sz val="9"/>
            <color indexed="81"/>
            <rFont val="Tahoma"/>
            <family val="2"/>
          </rPr>
          <t>ZFIP004:</t>
        </r>
        <r>
          <rPr>
            <sz val="9"/>
            <color indexed="81"/>
            <rFont val="Tahoma"/>
            <family val="2"/>
          </rPr>
          <t xml:space="preserve">
total solucionadas en el mes</t>
        </r>
      </text>
    </comment>
    <comment ref="BC17" authorId="0" shapeId="0">
      <text>
        <r>
          <rPr>
            <b/>
            <sz val="9"/>
            <color indexed="81"/>
            <rFont val="Tahoma"/>
            <family val="2"/>
          </rPr>
          <t>ZFIP004:</t>
        </r>
        <r>
          <rPr>
            <sz val="9"/>
            <color indexed="81"/>
            <rFont val="Tahoma"/>
            <family val="2"/>
          </rPr>
          <t xml:space="preserve">
Solucionadas dentro del tiempo en el mes</t>
        </r>
      </text>
    </comment>
    <comment ref="BD17" authorId="0" shapeId="0">
      <text>
        <r>
          <rPr>
            <b/>
            <sz val="9"/>
            <color indexed="81"/>
            <rFont val="Tahoma"/>
            <family val="2"/>
          </rPr>
          <t>ZFIP004:</t>
        </r>
        <r>
          <rPr>
            <sz val="9"/>
            <color indexed="81"/>
            <rFont val="Tahoma"/>
            <family val="2"/>
          </rPr>
          <t xml:space="preserve">
total solucionadas en el mes</t>
        </r>
      </text>
    </comment>
    <comment ref="S18" authorId="0" shapeId="0">
      <text>
        <r>
          <rPr>
            <b/>
            <sz val="9"/>
            <color indexed="81"/>
            <rFont val="Tahoma"/>
            <family val="2"/>
          </rPr>
          <t>ZFIP004:</t>
        </r>
        <r>
          <rPr>
            <sz val="9"/>
            <color indexed="81"/>
            <rFont val="Tahoma"/>
            <family val="2"/>
          </rPr>
          <t xml:space="preserve">
Se inica con la medición en el mes de marzo</t>
        </r>
      </text>
    </comment>
    <comment ref="H20" authorId="0" shapeId="0">
      <text>
        <r>
          <rPr>
            <b/>
            <sz val="9"/>
            <color indexed="81"/>
            <rFont val="Tahoma"/>
            <family val="2"/>
          </rPr>
          <t>ZFIP004:</t>
        </r>
        <r>
          <rPr>
            <sz val="9"/>
            <color indexed="81"/>
            <rFont val="Tahoma"/>
            <family val="2"/>
          </rPr>
          <t xml:space="preserve">
estará en un periodo de prueba, es un indicador nuevo para el 2020, se puede replantear la meta de acuerdo a los resultados obtenidos.</t>
        </r>
      </text>
    </comment>
    <comment ref="K27" authorId="0" shapeId="0">
      <text>
        <r>
          <rPr>
            <b/>
            <sz val="9"/>
            <color indexed="81"/>
            <rFont val="Tahoma"/>
            <family val="2"/>
          </rPr>
          <t>ZFIP004:</t>
        </r>
        <r>
          <rPr>
            <sz val="9"/>
            <color indexed="81"/>
            <rFont val="Tahoma"/>
            <family val="2"/>
          </rPr>
          <t xml:space="preserve">
SOLUCIONADAS FUERA DEL TIEMPO</t>
        </r>
      </text>
    </comment>
    <comment ref="O27" authorId="0" shapeId="0">
      <text>
        <r>
          <rPr>
            <b/>
            <sz val="9"/>
            <color indexed="81"/>
            <rFont val="Tahoma"/>
            <family val="2"/>
          </rPr>
          <t>ZFIP004:</t>
        </r>
        <r>
          <rPr>
            <sz val="9"/>
            <color indexed="81"/>
            <rFont val="Tahoma"/>
            <family val="2"/>
          </rPr>
          <t xml:space="preserve">
SOLUCIONADAS FUERA DEL TIEMPO</t>
        </r>
      </text>
    </comment>
    <comment ref="S27" authorId="0" shapeId="0">
      <text>
        <r>
          <rPr>
            <b/>
            <sz val="9"/>
            <color indexed="81"/>
            <rFont val="Tahoma"/>
            <family val="2"/>
          </rPr>
          <t>ZFIP004:</t>
        </r>
        <r>
          <rPr>
            <sz val="9"/>
            <color indexed="81"/>
            <rFont val="Tahoma"/>
            <family val="2"/>
          </rPr>
          <t xml:space="preserve">
SOLUCIONADAS FUERA DEL TIEMPO</t>
        </r>
      </text>
    </comment>
    <comment ref="W27" authorId="0" shapeId="0">
      <text>
        <r>
          <rPr>
            <b/>
            <sz val="9"/>
            <color indexed="81"/>
            <rFont val="Tahoma"/>
            <family val="2"/>
          </rPr>
          <t>ZFIP004:</t>
        </r>
        <r>
          <rPr>
            <sz val="9"/>
            <color indexed="81"/>
            <rFont val="Tahoma"/>
            <family val="2"/>
          </rPr>
          <t xml:space="preserve">
SOLUCIONADAS FUERA DEL TIEMPO</t>
        </r>
      </text>
    </comment>
    <comment ref="AA27" authorId="0" shapeId="0">
      <text>
        <r>
          <rPr>
            <b/>
            <sz val="9"/>
            <color indexed="81"/>
            <rFont val="Tahoma"/>
            <family val="2"/>
          </rPr>
          <t>ZFIP004:</t>
        </r>
        <r>
          <rPr>
            <sz val="9"/>
            <color indexed="81"/>
            <rFont val="Tahoma"/>
            <family val="2"/>
          </rPr>
          <t xml:space="preserve">
SOLUCIONADAS FUERA DEL TIEMPO</t>
        </r>
      </text>
    </comment>
    <comment ref="I30" authorId="1" shapeId="0">
      <text>
        <r>
          <rPr>
            <b/>
            <sz val="9"/>
            <color indexed="81"/>
            <rFont val="Tahoma"/>
            <family val="2"/>
          </rPr>
          <t>ZFIP-SIG:</t>
        </r>
        <r>
          <rPr>
            <sz val="9"/>
            <color indexed="81"/>
            <rFont val="Tahoma"/>
            <family val="2"/>
          </rPr>
          <t xml:space="preserve">
indicador nuevo. Se CONTINUA CON LA META QUE SE ESTABLECIÓ EN EL 2019 PARA EL 2020.</t>
        </r>
      </text>
    </comment>
    <comment ref="H32" authorId="0" shapeId="0">
      <text>
        <r>
          <rPr>
            <b/>
            <sz val="9"/>
            <color indexed="81"/>
            <rFont val="Tahoma"/>
            <family val="2"/>
          </rPr>
          <t>ZFIP004:</t>
        </r>
        <r>
          <rPr>
            <sz val="9"/>
            <color indexed="81"/>
            <rFont val="Tahoma"/>
            <family val="2"/>
          </rPr>
          <t xml:space="preserve">
se cambia meta del 38 al 21</t>
        </r>
      </text>
    </comment>
    <comment ref="I33" authorId="0" shapeId="0">
      <text>
        <r>
          <rPr>
            <b/>
            <sz val="9"/>
            <color indexed="81"/>
            <rFont val="Tahoma"/>
            <family val="2"/>
          </rPr>
          <t>ZFIP004:</t>
        </r>
        <r>
          <rPr>
            <sz val="9"/>
            <color indexed="81"/>
            <rFont val="Tahoma"/>
            <family val="2"/>
          </rPr>
          <t xml:space="preserve">
TOTAL DE CAPACITACIONES PROGRAMADAS AL AÑO.</t>
        </r>
      </text>
    </comment>
    <comment ref="K33" authorId="0" shapeId="0">
      <text>
        <r>
          <rPr>
            <b/>
            <sz val="9"/>
            <color indexed="81"/>
            <rFont val="Tahoma"/>
            <family val="2"/>
          </rPr>
          <t>ZFIP004:</t>
        </r>
        <r>
          <rPr>
            <sz val="9"/>
            <color indexed="81"/>
            <rFont val="Tahoma"/>
            <family val="2"/>
          </rPr>
          <t xml:space="preserve">
REALIZADAS AL MES</t>
        </r>
      </text>
    </comment>
    <comment ref="L33" authorId="0" shapeId="0">
      <text>
        <r>
          <rPr>
            <b/>
            <sz val="9"/>
            <color indexed="81"/>
            <rFont val="Tahoma"/>
            <family val="2"/>
          </rPr>
          <t>ZFIP004:</t>
        </r>
        <r>
          <rPr>
            <sz val="9"/>
            <color indexed="81"/>
            <rFont val="Tahoma"/>
            <family val="2"/>
          </rPr>
          <t xml:space="preserve">
PROGRAMADAS AL MES</t>
        </r>
      </text>
    </comment>
    <comment ref="M33" authorId="0" shapeId="0">
      <text>
        <r>
          <rPr>
            <b/>
            <sz val="9"/>
            <color indexed="81"/>
            <rFont val="Tahoma"/>
            <family val="2"/>
          </rPr>
          <t>ZFIP004:</t>
        </r>
        <r>
          <rPr>
            <sz val="9"/>
            <color indexed="81"/>
            <rFont val="Tahoma"/>
            <family val="2"/>
          </rPr>
          <t xml:space="preserve">
% CUMPLIMIENTO MENSUAL
</t>
        </r>
      </text>
    </comment>
    <comment ref="N33" authorId="0" shapeId="0">
      <text>
        <r>
          <rPr>
            <b/>
            <sz val="9"/>
            <color indexed="81"/>
            <rFont val="Tahoma"/>
            <family val="2"/>
          </rPr>
          <t>ZFIP004:</t>
        </r>
        <r>
          <rPr>
            <sz val="9"/>
            <color indexed="81"/>
            <rFont val="Tahoma"/>
            <family val="2"/>
          </rPr>
          <t xml:space="preserve">
% CUMPLIMIENTO CON RESPECTO A LO PROGRAMADO AL AÑO</t>
        </r>
      </text>
    </comment>
    <comment ref="O33" authorId="0" shapeId="0">
      <text>
        <r>
          <rPr>
            <b/>
            <sz val="9"/>
            <color indexed="81"/>
            <rFont val="Tahoma"/>
            <family val="2"/>
          </rPr>
          <t>ZFIP004:</t>
        </r>
        <r>
          <rPr>
            <sz val="9"/>
            <color indexed="81"/>
            <rFont val="Tahoma"/>
            <family val="2"/>
          </rPr>
          <t xml:space="preserve">
REALIZADAS AL MES</t>
        </r>
      </text>
    </comment>
    <comment ref="P33" authorId="0" shapeId="0">
      <text>
        <r>
          <rPr>
            <b/>
            <sz val="9"/>
            <color indexed="81"/>
            <rFont val="Tahoma"/>
            <family val="2"/>
          </rPr>
          <t>ZFIP004:</t>
        </r>
        <r>
          <rPr>
            <sz val="9"/>
            <color indexed="81"/>
            <rFont val="Tahoma"/>
            <family val="2"/>
          </rPr>
          <t xml:space="preserve">
PROGRAMADAS AL MES</t>
        </r>
      </text>
    </comment>
    <comment ref="Q33" authorId="0" shapeId="0">
      <text>
        <r>
          <rPr>
            <b/>
            <sz val="9"/>
            <color indexed="81"/>
            <rFont val="Tahoma"/>
            <family val="2"/>
          </rPr>
          <t>ZFIP004:</t>
        </r>
        <r>
          <rPr>
            <sz val="9"/>
            <color indexed="81"/>
            <rFont val="Tahoma"/>
            <family val="2"/>
          </rPr>
          <t xml:space="preserve">
% CUMPLIMIENTO MENSUAL
</t>
        </r>
      </text>
    </comment>
    <comment ref="R33" authorId="0" shapeId="0">
      <text>
        <r>
          <rPr>
            <b/>
            <sz val="9"/>
            <color indexed="81"/>
            <rFont val="Tahoma"/>
            <family val="2"/>
          </rPr>
          <t>ZFIP004:</t>
        </r>
        <r>
          <rPr>
            <sz val="9"/>
            <color indexed="81"/>
            <rFont val="Tahoma"/>
            <family val="2"/>
          </rPr>
          <t xml:space="preserve">
% CUMPLIMIENTO CON RESPECTO A LO PROGRAMADO AL AÑO</t>
        </r>
      </text>
    </comment>
    <comment ref="S33" authorId="0" shapeId="0">
      <text>
        <r>
          <rPr>
            <b/>
            <sz val="9"/>
            <color indexed="81"/>
            <rFont val="Tahoma"/>
            <family val="2"/>
          </rPr>
          <t>ZFIP004:</t>
        </r>
        <r>
          <rPr>
            <sz val="9"/>
            <color indexed="81"/>
            <rFont val="Tahoma"/>
            <family val="2"/>
          </rPr>
          <t xml:space="preserve">
REALIZADAS AL MES</t>
        </r>
      </text>
    </comment>
    <comment ref="T33" authorId="0" shapeId="0">
      <text>
        <r>
          <rPr>
            <b/>
            <sz val="9"/>
            <color indexed="81"/>
            <rFont val="Tahoma"/>
            <family val="2"/>
          </rPr>
          <t>ZFIP004:</t>
        </r>
        <r>
          <rPr>
            <sz val="9"/>
            <color indexed="81"/>
            <rFont val="Tahoma"/>
            <family val="2"/>
          </rPr>
          <t xml:space="preserve">
PROGRAMADAS AL MES</t>
        </r>
      </text>
    </comment>
    <comment ref="U33" authorId="0" shapeId="0">
      <text>
        <r>
          <rPr>
            <b/>
            <sz val="9"/>
            <color indexed="81"/>
            <rFont val="Tahoma"/>
            <family val="2"/>
          </rPr>
          <t>ZFIP004:</t>
        </r>
        <r>
          <rPr>
            <sz val="9"/>
            <color indexed="81"/>
            <rFont val="Tahoma"/>
            <family val="2"/>
          </rPr>
          <t xml:space="preserve">
% CUMPLIMIENTO MENSUAL
</t>
        </r>
      </text>
    </comment>
    <comment ref="V33" authorId="0" shapeId="0">
      <text>
        <r>
          <rPr>
            <b/>
            <sz val="9"/>
            <color indexed="81"/>
            <rFont val="Tahoma"/>
            <family val="2"/>
          </rPr>
          <t>ZFIP004:</t>
        </r>
        <r>
          <rPr>
            <sz val="9"/>
            <color indexed="81"/>
            <rFont val="Tahoma"/>
            <family val="2"/>
          </rPr>
          <t xml:space="preserve">
% CUMPLIMIENTO CON RESPECTO A LO PROGRAMADO AL AÑO</t>
        </r>
      </text>
    </comment>
    <comment ref="W33" authorId="0" shapeId="0">
      <text>
        <r>
          <rPr>
            <b/>
            <sz val="9"/>
            <color indexed="81"/>
            <rFont val="Tahoma"/>
            <family val="2"/>
          </rPr>
          <t>ZFIP004:</t>
        </r>
        <r>
          <rPr>
            <sz val="9"/>
            <color indexed="81"/>
            <rFont val="Tahoma"/>
            <family val="2"/>
          </rPr>
          <t xml:space="preserve">
REALIZADAS AL MES</t>
        </r>
      </text>
    </comment>
    <comment ref="X33" authorId="0" shapeId="0">
      <text>
        <r>
          <rPr>
            <b/>
            <sz val="9"/>
            <color indexed="81"/>
            <rFont val="Tahoma"/>
            <family val="2"/>
          </rPr>
          <t>ZFIP004:</t>
        </r>
        <r>
          <rPr>
            <sz val="9"/>
            <color indexed="81"/>
            <rFont val="Tahoma"/>
            <family val="2"/>
          </rPr>
          <t xml:space="preserve">
PROGRAMADAS AL MES</t>
        </r>
      </text>
    </comment>
    <comment ref="Y33" authorId="0" shapeId="0">
      <text>
        <r>
          <rPr>
            <b/>
            <sz val="9"/>
            <color indexed="81"/>
            <rFont val="Tahoma"/>
            <family val="2"/>
          </rPr>
          <t>ZFIP004:</t>
        </r>
        <r>
          <rPr>
            <sz val="9"/>
            <color indexed="81"/>
            <rFont val="Tahoma"/>
            <family val="2"/>
          </rPr>
          <t xml:space="preserve">
% CUMPLIMIENTO MENSUAL
</t>
        </r>
      </text>
    </comment>
    <comment ref="Z33" authorId="0" shapeId="0">
      <text>
        <r>
          <rPr>
            <b/>
            <sz val="9"/>
            <color indexed="81"/>
            <rFont val="Tahoma"/>
            <family val="2"/>
          </rPr>
          <t>ZFIP004:</t>
        </r>
        <r>
          <rPr>
            <sz val="9"/>
            <color indexed="81"/>
            <rFont val="Tahoma"/>
            <family val="2"/>
          </rPr>
          <t xml:space="preserve">
% CUMPLIMIENTO CON RESPECTO A LO PROGRAMADO AL AÑO</t>
        </r>
      </text>
    </comment>
    <comment ref="AA33" authorId="0" shapeId="0">
      <text>
        <r>
          <rPr>
            <b/>
            <sz val="9"/>
            <color indexed="81"/>
            <rFont val="Tahoma"/>
            <family val="2"/>
          </rPr>
          <t>ZFIP004:</t>
        </r>
        <r>
          <rPr>
            <sz val="9"/>
            <color indexed="81"/>
            <rFont val="Tahoma"/>
            <family val="2"/>
          </rPr>
          <t xml:space="preserve">
REALIZADAS AL MES</t>
        </r>
      </text>
    </comment>
    <comment ref="AB33" authorId="0" shapeId="0">
      <text>
        <r>
          <rPr>
            <b/>
            <sz val="9"/>
            <color indexed="81"/>
            <rFont val="Tahoma"/>
            <family val="2"/>
          </rPr>
          <t>ZFIP004:</t>
        </r>
        <r>
          <rPr>
            <sz val="9"/>
            <color indexed="81"/>
            <rFont val="Tahoma"/>
            <family val="2"/>
          </rPr>
          <t xml:space="preserve">
PROGRAMADAS AL MES</t>
        </r>
      </text>
    </comment>
    <comment ref="AC33" authorId="0" shapeId="0">
      <text>
        <r>
          <rPr>
            <b/>
            <sz val="9"/>
            <color indexed="81"/>
            <rFont val="Tahoma"/>
            <family val="2"/>
          </rPr>
          <t>ZFIP004:</t>
        </r>
        <r>
          <rPr>
            <sz val="9"/>
            <color indexed="81"/>
            <rFont val="Tahoma"/>
            <family val="2"/>
          </rPr>
          <t xml:space="preserve">
% CUMPLIMIENTO MENSUAL
</t>
        </r>
      </text>
    </comment>
    <comment ref="AD33" authorId="0" shapeId="0">
      <text>
        <r>
          <rPr>
            <b/>
            <sz val="9"/>
            <color indexed="81"/>
            <rFont val="Tahoma"/>
            <family val="2"/>
          </rPr>
          <t>ZFIP004:</t>
        </r>
        <r>
          <rPr>
            <sz val="9"/>
            <color indexed="81"/>
            <rFont val="Tahoma"/>
            <family val="2"/>
          </rPr>
          <t xml:space="preserve">
% CUMPLIMIENTO CON RESPECTO A LO PROGRAMADO AL AÑO</t>
        </r>
      </text>
    </comment>
    <comment ref="AE33" authorId="0" shapeId="0">
      <text>
        <r>
          <rPr>
            <b/>
            <sz val="9"/>
            <color indexed="81"/>
            <rFont val="Tahoma"/>
            <family val="2"/>
          </rPr>
          <t>ZFIP004:</t>
        </r>
        <r>
          <rPr>
            <sz val="9"/>
            <color indexed="81"/>
            <rFont val="Tahoma"/>
            <family val="2"/>
          </rPr>
          <t xml:space="preserve">
REALIZADAS AL MES</t>
        </r>
      </text>
    </comment>
    <comment ref="AF33" authorId="0" shapeId="0">
      <text>
        <r>
          <rPr>
            <b/>
            <sz val="9"/>
            <color indexed="81"/>
            <rFont val="Tahoma"/>
            <family val="2"/>
          </rPr>
          <t>ZFIP004:</t>
        </r>
        <r>
          <rPr>
            <sz val="9"/>
            <color indexed="81"/>
            <rFont val="Tahoma"/>
            <family val="2"/>
          </rPr>
          <t xml:space="preserve">
PROGRAMADAS AL MES</t>
        </r>
      </text>
    </comment>
    <comment ref="AG33" authorId="0" shapeId="0">
      <text>
        <r>
          <rPr>
            <b/>
            <sz val="9"/>
            <color indexed="81"/>
            <rFont val="Tahoma"/>
            <family val="2"/>
          </rPr>
          <t>ZFIP004:</t>
        </r>
        <r>
          <rPr>
            <sz val="9"/>
            <color indexed="81"/>
            <rFont val="Tahoma"/>
            <family val="2"/>
          </rPr>
          <t xml:space="preserve">
% CUMPLIMIENTO MENSUAL
</t>
        </r>
      </text>
    </comment>
    <comment ref="AH33" authorId="0" shapeId="0">
      <text>
        <r>
          <rPr>
            <b/>
            <sz val="9"/>
            <color indexed="81"/>
            <rFont val="Tahoma"/>
            <family val="2"/>
          </rPr>
          <t>ZFIP004:</t>
        </r>
        <r>
          <rPr>
            <sz val="9"/>
            <color indexed="81"/>
            <rFont val="Tahoma"/>
            <family val="2"/>
          </rPr>
          <t xml:space="preserve">
% CUMPLIMIENTO CON RESPECTO A LO PROGRAMADO AL AÑO</t>
        </r>
      </text>
    </comment>
    <comment ref="AI33" authorId="0" shapeId="0">
      <text>
        <r>
          <rPr>
            <b/>
            <sz val="9"/>
            <color indexed="81"/>
            <rFont val="Tahoma"/>
            <family val="2"/>
          </rPr>
          <t>ZFIP004:</t>
        </r>
        <r>
          <rPr>
            <sz val="9"/>
            <color indexed="81"/>
            <rFont val="Tahoma"/>
            <family val="2"/>
          </rPr>
          <t xml:space="preserve">
REALIZADAS AL MES</t>
        </r>
      </text>
    </comment>
    <comment ref="AJ33" authorId="0" shapeId="0">
      <text>
        <r>
          <rPr>
            <b/>
            <sz val="9"/>
            <color indexed="81"/>
            <rFont val="Tahoma"/>
            <family val="2"/>
          </rPr>
          <t>ZFIP004:</t>
        </r>
        <r>
          <rPr>
            <sz val="9"/>
            <color indexed="81"/>
            <rFont val="Tahoma"/>
            <family val="2"/>
          </rPr>
          <t xml:space="preserve">
PROGRAMADAS AL MES</t>
        </r>
      </text>
    </comment>
    <comment ref="AK33" authorId="0" shapeId="0">
      <text>
        <r>
          <rPr>
            <b/>
            <sz val="9"/>
            <color indexed="81"/>
            <rFont val="Tahoma"/>
            <family val="2"/>
          </rPr>
          <t>ZFIP004:</t>
        </r>
        <r>
          <rPr>
            <sz val="9"/>
            <color indexed="81"/>
            <rFont val="Tahoma"/>
            <family val="2"/>
          </rPr>
          <t xml:space="preserve">
% CUMPLIMIENTO MENSUAL
</t>
        </r>
      </text>
    </comment>
    <comment ref="AL33" authorId="0" shapeId="0">
      <text>
        <r>
          <rPr>
            <b/>
            <sz val="9"/>
            <color indexed="81"/>
            <rFont val="Tahoma"/>
            <family val="2"/>
          </rPr>
          <t>ZFIP004:</t>
        </r>
        <r>
          <rPr>
            <sz val="9"/>
            <color indexed="81"/>
            <rFont val="Tahoma"/>
            <family val="2"/>
          </rPr>
          <t xml:space="preserve">
% CUMPLIMIENTO CON RESPECTO A LO PROGRAMADO AL AÑO</t>
        </r>
      </text>
    </comment>
    <comment ref="AM33" authorId="0" shapeId="0">
      <text>
        <r>
          <rPr>
            <b/>
            <sz val="9"/>
            <color indexed="81"/>
            <rFont val="Tahoma"/>
            <family val="2"/>
          </rPr>
          <t>ZFIP004:</t>
        </r>
        <r>
          <rPr>
            <sz val="9"/>
            <color indexed="81"/>
            <rFont val="Tahoma"/>
            <family val="2"/>
          </rPr>
          <t xml:space="preserve">
REALIZADAS AL MES</t>
        </r>
      </text>
    </comment>
    <comment ref="AN33" authorId="0" shapeId="0">
      <text>
        <r>
          <rPr>
            <b/>
            <sz val="9"/>
            <color indexed="81"/>
            <rFont val="Tahoma"/>
            <family val="2"/>
          </rPr>
          <t>ZFIP004:</t>
        </r>
        <r>
          <rPr>
            <sz val="9"/>
            <color indexed="81"/>
            <rFont val="Tahoma"/>
            <family val="2"/>
          </rPr>
          <t xml:space="preserve">
PROGRAMADAS AL MES</t>
        </r>
      </text>
    </comment>
    <comment ref="AO33" authorId="0" shapeId="0">
      <text>
        <r>
          <rPr>
            <b/>
            <sz val="9"/>
            <color indexed="81"/>
            <rFont val="Tahoma"/>
            <family val="2"/>
          </rPr>
          <t>ZFIP004:</t>
        </r>
        <r>
          <rPr>
            <sz val="9"/>
            <color indexed="81"/>
            <rFont val="Tahoma"/>
            <family val="2"/>
          </rPr>
          <t xml:space="preserve">
% CUMPLIMIENTO MENSUAL
</t>
        </r>
      </text>
    </comment>
    <comment ref="AP33" authorId="0" shapeId="0">
      <text>
        <r>
          <rPr>
            <b/>
            <sz val="9"/>
            <color indexed="81"/>
            <rFont val="Tahoma"/>
            <family val="2"/>
          </rPr>
          <t>ZFIP004:</t>
        </r>
        <r>
          <rPr>
            <sz val="9"/>
            <color indexed="81"/>
            <rFont val="Tahoma"/>
            <family val="2"/>
          </rPr>
          <t xml:space="preserve">
% CUMPLIMIENTO CON RESPECTO A LO PROGRAMADO AL AÑO</t>
        </r>
      </text>
    </comment>
    <comment ref="AQ33" authorId="0" shapeId="0">
      <text>
        <r>
          <rPr>
            <b/>
            <sz val="9"/>
            <color indexed="81"/>
            <rFont val="Tahoma"/>
            <family val="2"/>
          </rPr>
          <t>ZFIP004:</t>
        </r>
        <r>
          <rPr>
            <sz val="9"/>
            <color indexed="81"/>
            <rFont val="Tahoma"/>
            <family val="2"/>
          </rPr>
          <t xml:space="preserve">
REALIZADAS AL MES</t>
        </r>
      </text>
    </comment>
    <comment ref="AR33" authorId="0" shapeId="0">
      <text>
        <r>
          <rPr>
            <b/>
            <sz val="9"/>
            <color indexed="81"/>
            <rFont val="Tahoma"/>
            <family val="2"/>
          </rPr>
          <t>ZFIP004:</t>
        </r>
        <r>
          <rPr>
            <sz val="9"/>
            <color indexed="81"/>
            <rFont val="Tahoma"/>
            <family val="2"/>
          </rPr>
          <t xml:space="preserve">
PROGRAMADAS AL MES</t>
        </r>
      </text>
    </comment>
    <comment ref="AS33" authorId="0" shapeId="0">
      <text>
        <r>
          <rPr>
            <b/>
            <sz val="9"/>
            <color indexed="81"/>
            <rFont val="Tahoma"/>
            <family val="2"/>
          </rPr>
          <t>ZFIP004:</t>
        </r>
        <r>
          <rPr>
            <sz val="9"/>
            <color indexed="81"/>
            <rFont val="Tahoma"/>
            <family val="2"/>
          </rPr>
          <t xml:space="preserve">
% CUMPLIMIENTO MENSUAL
</t>
        </r>
      </text>
    </comment>
    <comment ref="AT33" authorId="0" shapeId="0">
      <text>
        <r>
          <rPr>
            <b/>
            <sz val="9"/>
            <color indexed="81"/>
            <rFont val="Tahoma"/>
            <family val="2"/>
          </rPr>
          <t>ZFIP004:</t>
        </r>
        <r>
          <rPr>
            <sz val="9"/>
            <color indexed="81"/>
            <rFont val="Tahoma"/>
            <family val="2"/>
          </rPr>
          <t xml:space="preserve">
% CUMPLIMIENTO CON RESPECTO A LO PROGRAMADO AL AÑO</t>
        </r>
      </text>
    </comment>
    <comment ref="AU33" authorId="0" shapeId="0">
      <text>
        <r>
          <rPr>
            <b/>
            <sz val="9"/>
            <color indexed="81"/>
            <rFont val="Tahoma"/>
            <family val="2"/>
          </rPr>
          <t>ZFIP004:</t>
        </r>
        <r>
          <rPr>
            <sz val="9"/>
            <color indexed="81"/>
            <rFont val="Tahoma"/>
            <family val="2"/>
          </rPr>
          <t xml:space="preserve">
REALIZADAS AL MES</t>
        </r>
      </text>
    </comment>
    <comment ref="AV33" authorId="0" shapeId="0">
      <text>
        <r>
          <rPr>
            <b/>
            <sz val="9"/>
            <color indexed="81"/>
            <rFont val="Tahoma"/>
            <family val="2"/>
          </rPr>
          <t>ZFIP004:</t>
        </r>
        <r>
          <rPr>
            <sz val="9"/>
            <color indexed="81"/>
            <rFont val="Tahoma"/>
            <family val="2"/>
          </rPr>
          <t xml:space="preserve">
PROGRAMADAS AL MES</t>
        </r>
      </text>
    </comment>
    <comment ref="AW33" authorId="0" shapeId="0">
      <text>
        <r>
          <rPr>
            <b/>
            <sz val="9"/>
            <color indexed="81"/>
            <rFont val="Tahoma"/>
            <family val="2"/>
          </rPr>
          <t>ZFIP004:</t>
        </r>
        <r>
          <rPr>
            <sz val="9"/>
            <color indexed="81"/>
            <rFont val="Tahoma"/>
            <family val="2"/>
          </rPr>
          <t xml:space="preserve">
% CUMPLIMIENTO MENSUAL
</t>
        </r>
      </text>
    </comment>
    <comment ref="AX33" authorId="0" shapeId="0">
      <text>
        <r>
          <rPr>
            <b/>
            <sz val="9"/>
            <color indexed="81"/>
            <rFont val="Tahoma"/>
            <family val="2"/>
          </rPr>
          <t>ZFIP004:</t>
        </r>
        <r>
          <rPr>
            <sz val="9"/>
            <color indexed="81"/>
            <rFont val="Tahoma"/>
            <family val="2"/>
          </rPr>
          <t xml:space="preserve">
% CUMPLIMIENTO CON RESPECTO A LO PROGRAMADO AL AÑO</t>
        </r>
      </text>
    </comment>
    <comment ref="AY33" authorId="0" shapeId="0">
      <text>
        <r>
          <rPr>
            <b/>
            <sz val="9"/>
            <color indexed="81"/>
            <rFont val="Tahoma"/>
            <family val="2"/>
          </rPr>
          <t>ZFIP004:</t>
        </r>
        <r>
          <rPr>
            <sz val="9"/>
            <color indexed="81"/>
            <rFont val="Tahoma"/>
            <family val="2"/>
          </rPr>
          <t xml:space="preserve">
REALIZADAS AL MES</t>
        </r>
      </text>
    </comment>
    <comment ref="AZ33" authorId="0" shapeId="0">
      <text>
        <r>
          <rPr>
            <b/>
            <sz val="9"/>
            <color indexed="81"/>
            <rFont val="Tahoma"/>
            <family val="2"/>
          </rPr>
          <t>ZFIP004:</t>
        </r>
        <r>
          <rPr>
            <sz val="9"/>
            <color indexed="81"/>
            <rFont val="Tahoma"/>
            <family val="2"/>
          </rPr>
          <t xml:space="preserve">
PROGRAMADAS AL MES</t>
        </r>
      </text>
    </comment>
    <comment ref="BA33" authorId="0" shapeId="0">
      <text>
        <r>
          <rPr>
            <b/>
            <sz val="9"/>
            <color indexed="81"/>
            <rFont val="Tahoma"/>
            <family val="2"/>
          </rPr>
          <t>ZFIP004:</t>
        </r>
        <r>
          <rPr>
            <sz val="9"/>
            <color indexed="81"/>
            <rFont val="Tahoma"/>
            <family val="2"/>
          </rPr>
          <t xml:space="preserve">
% CUMPLIMIENTO MENSUAL
</t>
        </r>
      </text>
    </comment>
    <comment ref="BB33" authorId="0" shapeId="0">
      <text>
        <r>
          <rPr>
            <b/>
            <sz val="9"/>
            <color indexed="81"/>
            <rFont val="Tahoma"/>
            <family val="2"/>
          </rPr>
          <t>ZFIP004:</t>
        </r>
        <r>
          <rPr>
            <sz val="9"/>
            <color indexed="81"/>
            <rFont val="Tahoma"/>
            <family val="2"/>
          </rPr>
          <t xml:space="preserve">
% CUMPLIMIENTO CON RESPECTO A LO PROGRAMADO AL AÑO</t>
        </r>
      </text>
    </comment>
    <comment ref="BC33" authorId="0" shapeId="0">
      <text>
        <r>
          <rPr>
            <b/>
            <sz val="9"/>
            <color indexed="81"/>
            <rFont val="Tahoma"/>
            <family val="2"/>
          </rPr>
          <t>ZFIP004:</t>
        </r>
        <r>
          <rPr>
            <sz val="9"/>
            <color indexed="81"/>
            <rFont val="Tahoma"/>
            <family val="2"/>
          </rPr>
          <t xml:space="preserve">
REALIZADAS AL MES</t>
        </r>
      </text>
    </comment>
    <comment ref="BD33" authorId="0" shapeId="0">
      <text>
        <r>
          <rPr>
            <b/>
            <sz val="9"/>
            <color indexed="81"/>
            <rFont val="Tahoma"/>
            <family val="2"/>
          </rPr>
          <t>ZFIP004:</t>
        </r>
        <r>
          <rPr>
            <sz val="9"/>
            <color indexed="81"/>
            <rFont val="Tahoma"/>
            <family val="2"/>
          </rPr>
          <t xml:space="preserve">
PROGRAMADAS AL MES</t>
        </r>
      </text>
    </comment>
    <comment ref="BE33" authorId="0" shapeId="0">
      <text>
        <r>
          <rPr>
            <b/>
            <sz val="9"/>
            <color indexed="81"/>
            <rFont val="Tahoma"/>
            <family val="2"/>
          </rPr>
          <t>ZFIP004:</t>
        </r>
        <r>
          <rPr>
            <sz val="9"/>
            <color indexed="81"/>
            <rFont val="Tahoma"/>
            <family val="2"/>
          </rPr>
          <t xml:space="preserve">
% CUMPLIMIENTO MENSUAL
</t>
        </r>
      </text>
    </comment>
    <comment ref="BF33" authorId="0" shapeId="0">
      <text>
        <r>
          <rPr>
            <b/>
            <sz val="9"/>
            <color indexed="81"/>
            <rFont val="Tahoma"/>
            <family val="2"/>
          </rPr>
          <t>ZFIP004:</t>
        </r>
        <r>
          <rPr>
            <sz val="9"/>
            <color indexed="81"/>
            <rFont val="Tahoma"/>
            <family val="2"/>
          </rPr>
          <t xml:space="preserve">
% CUMPLIMIENTO CON RESPECTO A LO PROGRAMADO AL AÑO</t>
        </r>
      </text>
    </comment>
    <comment ref="I35" authorId="0" shapeId="0">
      <text>
        <r>
          <rPr>
            <b/>
            <sz val="9"/>
            <color indexed="81"/>
            <rFont val="Tahoma"/>
            <family val="2"/>
          </rPr>
          <t>ZFIP004:</t>
        </r>
        <r>
          <rPr>
            <sz val="9"/>
            <color indexed="81"/>
            <rFont val="Tahoma"/>
            <family val="2"/>
          </rPr>
          <t xml:space="preserve">
total de capacitaciones programadas para SST al año, incluyen los grupos de apoyo: brigadas, COPASST, COCOLA, PESV.</t>
        </r>
      </text>
    </comment>
    <comment ref="K35" authorId="0" shapeId="0">
      <text>
        <r>
          <rPr>
            <b/>
            <sz val="9"/>
            <color indexed="81"/>
            <rFont val="Tahoma"/>
            <family val="2"/>
          </rPr>
          <t>ZFIP004:</t>
        </r>
        <r>
          <rPr>
            <sz val="9"/>
            <color indexed="81"/>
            <rFont val="Tahoma"/>
            <family val="2"/>
          </rPr>
          <t xml:space="preserve">
REALIZADAS AL MES</t>
        </r>
      </text>
    </comment>
    <comment ref="L35" authorId="0" shapeId="0">
      <text>
        <r>
          <rPr>
            <b/>
            <sz val="9"/>
            <color indexed="81"/>
            <rFont val="Tahoma"/>
            <family val="2"/>
          </rPr>
          <t>ZFIP004:</t>
        </r>
        <r>
          <rPr>
            <sz val="9"/>
            <color indexed="81"/>
            <rFont val="Tahoma"/>
            <family val="2"/>
          </rPr>
          <t xml:space="preserve">
PROGRAMADAS AL MES</t>
        </r>
      </text>
    </comment>
    <comment ref="M35" authorId="0" shapeId="0">
      <text>
        <r>
          <rPr>
            <b/>
            <sz val="9"/>
            <color indexed="81"/>
            <rFont val="Tahoma"/>
            <family val="2"/>
          </rPr>
          <t>ZFIP004:</t>
        </r>
        <r>
          <rPr>
            <sz val="9"/>
            <color indexed="81"/>
            <rFont val="Tahoma"/>
            <family val="2"/>
          </rPr>
          <t xml:space="preserve">
% CUMPLIMIENTO MENSUAL
</t>
        </r>
      </text>
    </comment>
    <comment ref="N35" authorId="0" shapeId="0">
      <text>
        <r>
          <rPr>
            <b/>
            <sz val="9"/>
            <color indexed="81"/>
            <rFont val="Tahoma"/>
            <family val="2"/>
          </rPr>
          <t>ZFIP004:</t>
        </r>
        <r>
          <rPr>
            <sz val="9"/>
            <color indexed="81"/>
            <rFont val="Tahoma"/>
            <family val="2"/>
          </rPr>
          <t xml:space="preserve">
% CUMPLIMIENTO CON RESPECTO A LO PROGRAMADO AL AÑO</t>
        </r>
      </text>
    </comment>
    <comment ref="O35" authorId="0" shapeId="0">
      <text>
        <r>
          <rPr>
            <b/>
            <sz val="9"/>
            <color indexed="81"/>
            <rFont val="Tahoma"/>
            <family val="2"/>
          </rPr>
          <t>ZFIP004:</t>
        </r>
        <r>
          <rPr>
            <sz val="9"/>
            <color indexed="81"/>
            <rFont val="Tahoma"/>
            <family val="2"/>
          </rPr>
          <t xml:space="preserve">
REALIZADAS AL MES</t>
        </r>
      </text>
    </comment>
    <comment ref="P35" authorId="0" shapeId="0">
      <text>
        <r>
          <rPr>
            <b/>
            <sz val="9"/>
            <color indexed="81"/>
            <rFont val="Tahoma"/>
            <family val="2"/>
          </rPr>
          <t>ZFIP004:</t>
        </r>
        <r>
          <rPr>
            <sz val="9"/>
            <color indexed="81"/>
            <rFont val="Tahoma"/>
            <family val="2"/>
          </rPr>
          <t xml:space="preserve">
PROGRAMADAS AL MES</t>
        </r>
      </text>
    </comment>
    <comment ref="Q35" authorId="0" shapeId="0">
      <text>
        <r>
          <rPr>
            <b/>
            <sz val="9"/>
            <color indexed="81"/>
            <rFont val="Tahoma"/>
            <family val="2"/>
          </rPr>
          <t>ZFIP004:</t>
        </r>
        <r>
          <rPr>
            <sz val="9"/>
            <color indexed="81"/>
            <rFont val="Tahoma"/>
            <family val="2"/>
          </rPr>
          <t xml:space="preserve">
% CUMPLIMIENTO MENSUAL
</t>
        </r>
      </text>
    </comment>
    <comment ref="R35" authorId="0" shapeId="0">
      <text>
        <r>
          <rPr>
            <b/>
            <sz val="9"/>
            <color indexed="81"/>
            <rFont val="Tahoma"/>
            <family val="2"/>
          </rPr>
          <t>ZFIP004:</t>
        </r>
        <r>
          <rPr>
            <sz val="9"/>
            <color indexed="81"/>
            <rFont val="Tahoma"/>
            <family val="2"/>
          </rPr>
          <t xml:space="preserve">
% CUMPLIMIENTO CON RESPECTO A LO PROGRAMADO AL AÑO</t>
        </r>
      </text>
    </comment>
    <comment ref="S35" authorId="0" shapeId="0">
      <text>
        <r>
          <rPr>
            <b/>
            <sz val="9"/>
            <color indexed="81"/>
            <rFont val="Tahoma"/>
            <family val="2"/>
          </rPr>
          <t>ZFIP004:</t>
        </r>
        <r>
          <rPr>
            <sz val="9"/>
            <color indexed="81"/>
            <rFont val="Tahoma"/>
            <family val="2"/>
          </rPr>
          <t xml:space="preserve">
REALIZADAS AL MES</t>
        </r>
      </text>
    </comment>
    <comment ref="T35" authorId="0" shapeId="0">
      <text>
        <r>
          <rPr>
            <b/>
            <sz val="9"/>
            <color indexed="81"/>
            <rFont val="Tahoma"/>
            <family val="2"/>
          </rPr>
          <t>ZFIP004:</t>
        </r>
        <r>
          <rPr>
            <sz val="9"/>
            <color indexed="81"/>
            <rFont val="Tahoma"/>
            <family val="2"/>
          </rPr>
          <t xml:space="preserve">
PROGRAMADAS AL MES</t>
        </r>
      </text>
    </comment>
    <comment ref="U35" authorId="0" shapeId="0">
      <text>
        <r>
          <rPr>
            <b/>
            <sz val="9"/>
            <color indexed="81"/>
            <rFont val="Tahoma"/>
            <family val="2"/>
          </rPr>
          <t>ZFIP004:</t>
        </r>
        <r>
          <rPr>
            <sz val="9"/>
            <color indexed="81"/>
            <rFont val="Tahoma"/>
            <family val="2"/>
          </rPr>
          <t xml:space="preserve">
% CUMPLIMIENTO MENSUAL
</t>
        </r>
      </text>
    </comment>
    <comment ref="V35" authorId="0" shapeId="0">
      <text>
        <r>
          <rPr>
            <b/>
            <sz val="9"/>
            <color indexed="81"/>
            <rFont val="Tahoma"/>
            <family val="2"/>
          </rPr>
          <t>ZFIP004:</t>
        </r>
        <r>
          <rPr>
            <sz val="9"/>
            <color indexed="81"/>
            <rFont val="Tahoma"/>
            <family val="2"/>
          </rPr>
          <t xml:space="preserve">
% CUMPLIMIENTO CON RESPECTO A LO PROGRAMADO AL AÑO</t>
        </r>
      </text>
    </comment>
    <comment ref="W35" authorId="0" shapeId="0">
      <text>
        <r>
          <rPr>
            <b/>
            <sz val="9"/>
            <color indexed="81"/>
            <rFont val="Tahoma"/>
            <family val="2"/>
          </rPr>
          <t>ZFIP004:</t>
        </r>
        <r>
          <rPr>
            <sz val="9"/>
            <color indexed="81"/>
            <rFont val="Tahoma"/>
            <family val="2"/>
          </rPr>
          <t xml:space="preserve">
REALIZADAS AL MES</t>
        </r>
      </text>
    </comment>
    <comment ref="X35" authorId="0" shapeId="0">
      <text>
        <r>
          <rPr>
            <b/>
            <sz val="9"/>
            <color indexed="81"/>
            <rFont val="Tahoma"/>
            <family val="2"/>
          </rPr>
          <t>ZFIP004:</t>
        </r>
        <r>
          <rPr>
            <sz val="9"/>
            <color indexed="81"/>
            <rFont val="Tahoma"/>
            <family val="2"/>
          </rPr>
          <t xml:space="preserve">
PROGRAMADAS AL MES</t>
        </r>
      </text>
    </comment>
    <comment ref="Y35" authorId="0" shapeId="0">
      <text>
        <r>
          <rPr>
            <b/>
            <sz val="9"/>
            <color indexed="81"/>
            <rFont val="Tahoma"/>
            <family val="2"/>
          </rPr>
          <t>ZFIP004:</t>
        </r>
        <r>
          <rPr>
            <sz val="9"/>
            <color indexed="81"/>
            <rFont val="Tahoma"/>
            <family val="2"/>
          </rPr>
          <t xml:space="preserve">
% CUMPLIMIENTO MENSUAL
</t>
        </r>
      </text>
    </comment>
    <comment ref="Z35" authorId="0" shapeId="0">
      <text>
        <r>
          <rPr>
            <b/>
            <sz val="9"/>
            <color indexed="81"/>
            <rFont val="Tahoma"/>
            <family val="2"/>
          </rPr>
          <t>ZFIP004:</t>
        </r>
        <r>
          <rPr>
            <sz val="9"/>
            <color indexed="81"/>
            <rFont val="Tahoma"/>
            <family val="2"/>
          </rPr>
          <t xml:space="preserve">
% CUMPLIMIENTO CON RESPECTO A LO PROGRAMADO AL AÑO</t>
        </r>
      </text>
    </comment>
    <comment ref="AA35" authorId="0" shapeId="0">
      <text>
        <r>
          <rPr>
            <b/>
            <sz val="9"/>
            <color indexed="81"/>
            <rFont val="Tahoma"/>
            <family val="2"/>
          </rPr>
          <t>ZFIP004:</t>
        </r>
        <r>
          <rPr>
            <sz val="9"/>
            <color indexed="81"/>
            <rFont val="Tahoma"/>
            <family val="2"/>
          </rPr>
          <t xml:space="preserve">
REALIZADAS AL MES</t>
        </r>
      </text>
    </comment>
    <comment ref="AB35" authorId="0" shapeId="0">
      <text>
        <r>
          <rPr>
            <b/>
            <sz val="9"/>
            <color indexed="81"/>
            <rFont val="Tahoma"/>
            <family val="2"/>
          </rPr>
          <t>ZFIP004:</t>
        </r>
        <r>
          <rPr>
            <sz val="9"/>
            <color indexed="81"/>
            <rFont val="Tahoma"/>
            <family val="2"/>
          </rPr>
          <t xml:space="preserve">
PROGRAMADAS AL MES</t>
        </r>
      </text>
    </comment>
    <comment ref="AC35" authorId="0" shapeId="0">
      <text>
        <r>
          <rPr>
            <b/>
            <sz val="9"/>
            <color indexed="81"/>
            <rFont val="Tahoma"/>
            <family val="2"/>
          </rPr>
          <t>ZFIP004:</t>
        </r>
        <r>
          <rPr>
            <sz val="9"/>
            <color indexed="81"/>
            <rFont val="Tahoma"/>
            <family val="2"/>
          </rPr>
          <t xml:space="preserve">
% CUMPLIMIENTO MENSUAL
</t>
        </r>
      </text>
    </comment>
    <comment ref="AD35" authorId="0" shapeId="0">
      <text>
        <r>
          <rPr>
            <b/>
            <sz val="9"/>
            <color indexed="81"/>
            <rFont val="Tahoma"/>
            <family val="2"/>
          </rPr>
          <t>ZFIP004:</t>
        </r>
        <r>
          <rPr>
            <sz val="9"/>
            <color indexed="81"/>
            <rFont val="Tahoma"/>
            <family val="2"/>
          </rPr>
          <t xml:space="preserve">
% CUMPLIMIENTO CON RESPECTO A LO PROGRAMADO AL AÑO</t>
        </r>
      </text>
    </comment>
    <comment ref="AE35" authorId="0" shapeId="0">
      <text>
        <r>
          <rPr>
            <b/>
            <sz val="9"/>
            <color indexed="81"/>
            <rFont val="Tahoma"/>
            <family val="2"/>
          </rPr>
          <t>ZFIP004:</t>
        </r>
        <r>
          <rPr>
            <sz val="9"/>
            <color indexed="81"/>
            <rFont val="Tahoma"/>
            <family val="2"/>
          </rPr>
          <t xml:space="preserve">
REALIZADAS AL MES</t>
        </r>
      </text>
    </comment>
    <comment ref="AF35" authorId="0" shapeId="0">
      <text>
        <r>
          <rPr>
            <b/>
            <sz val="9"/>
            <color indexed="81"/>
            <rFont val="Tahoma"/>
            <family val="2"/>
          </rPr>
          <t>ZFIP004:</t>
        </r>
        <r>
          <rPr>
            <sz val="9"/>
            <color indexed="81"/>
            <rFont val="Tahoma"/>
            <family val="2"/>
          </rPr>
          <t xml:space="preserve">
PROGRAMADAS AL MES</t>
        </r>
      </text>
    </comment>
    <comment ref="AG35" authorId="0" shapeId="0">
      <text>
        <r>
          <rPr>
            <b/>
            <sz val="9"/>
            <color indexed="81"/>
            <rFont val="Tahoma"/>
            <family val="2"/>
          </rPr>
          <t>ZFIP004:</t>
        </r>
        <r>
          <rPr>
            <sz val="9"/>
            <color indexed="81"/>
            <rFont val="Tahoma"/>
            <family val="2"/>
          </rPr>
          <t xml:space="preserve">
% CUMPLIMIENTO MENSUAL
</t>
        </r>
      </text>
    </comment>
    <comment ref="AH35" authorId="0" shapeId="0">
      <text>
        <r>
          <rPr>
            <b/>
            <sz val="9"/>
            <color indexed="81"/>
            <rFont val="Tahoma"/>
            <family val="2"/>
          </rPr>
          <t>ZFIP004:</t>
        </r>
        <r>
          <rPr>
            <sz val="9"/>
            <color indexed="81"/>
            <rFont val="Tahoma"/>
            <family val="2"/>
          </rPr>
          <t xml:space="preserve">
% CUMPLIMIENTO CON RESPECTO A LO PROGRAMADO AL AÑO</t>
        </r>
      </text>
    </comment>
    <comment ref="AI35" authorId="0" shapeId="0">
      <text>
        <r>
          <rPr>
            <b/>
            <sz val="9"/>
            <color indexed="81"/>
            <rFont val="Tahoma"/>
            <family val="2"/>
          </rPr>
          <t>ZFIP004:</t>
        </r>
        <r>
          <rPr>
            <sz val="9"/>
            <color indexed="81"/>
            <rFont val="Tahoma"/>
            <family val="2"/>
          </rPr>
          <t xml:space="preserve">
REALIZADAS AL MES</t>
        </r>
      </text>
    </comment>
    <comment ref="AJ35" authorId="0" shapeId="0">
      <text>
        <r>
          <rPr>
            <b/>
            <sz val="9"/>
            <color indexed="81"/>
            <rFont val="Tahoma"/>
            <family val="2"/>
          </rPr>
          <t>ZFIP004:</t>
        </r>
        <r>
          <rPr>
            <sz val="9"/>
            <color indexed="81"/>
            <rFont val="Tahoma"/>
            <family val="2"/>
          </rPr>
          <t xml:space="preserve">
PROGRAMADAS AL MES</t>
        </r>
      </text>
    </comment>
    <comment ref="AK35" authorId="0" shapeId="0">
      <text>
        <r>
          <rPr>
            <b/>
            <sz val="9"/>
            <color indexed="81"/>
            <rFont val="Tahoma"/>
            <family val="2"/>
          </rPr>
          <t>ZFIP004:</t>
        </r>
        <r>
          <rPr>
            <sz val="9"/>
            <color indexed="81"/>
            <rFont val="Tahoma"/>
            <family val="2"/>
          </rPr>
          <t xml:space="preserve">
% CUMPLIMIENTO MENSUAL
</t>
        </r>
      </text>
    </comment>
    <comment ref="AL35" authorId="0" shapeId="0">
      <text>
        <r>
          <rPr>
            <b/>
            <sz val="9"/>
            <color indexed="81"/>
            <rFont val="Tahoma"/>
            <family val="2"/>
          </rPr>
          <t>ZFIP004:</t>
        </r>
        <r>
          <rPr>
            <sz val="9"/>
            <color indexed="81"/>
            <rFont val="Tahoma"/>
            <family val="2"/>
          </rPr>
          <t xml:space="preserve">
% CUMPLIMIENTO CON RESPECTO A LO PROGRAMADO AL AÑO</t>
        </r>
      </text>
    </comment>
    <comment ref="AM35" authorId="0" shapeId="0">
      <text>
        <r>
          <rPr>
            <b/>
            <sz val="9"/>
            <color indexed="81"/>
            <rFont val="Tahoma"/>
            <family val="2"/>
          </rPr>
          <t>ZFIP004:</t>
        </r>
        <r>
          <rPr>
            <sz val="9"/>
            <color indexed="81"/>
            <rFont val="Tahoma"/>
            <family val="2"/>
          </rPr>
          <t xml:space="preserve">
REALIZADAS AL MES</t>
        </r>
      </text>
    </comment>
    <comment ref="AN35" authorId="0" shapeId="0">
      <text>
        <r>
          <rPr>
            <b/>
            <sz val="9"/>
            <color indexed="81"/>
            <rFont val="Tahoma"/>
            <family val="2"/>
          </rPr>
          <t>ZFIP004:</t>
        </r>
        <r>
          <rPr>
            <sz val="9"/>
            <color indexed="81"/>
            <rFont val="Tahoma"/>
            <family val="2"/>
          </rPr>
          <t xml:space="preserve">
PROGRAMADAS AL MES</t>
        </r>
      </text>
    </comment>
    <comment ref="AO35" authorId="0" shapeId="0">
      <text>
        <r>
          <rPr>
            <b/>
            <sz val="9"/>
            <color indexed="81"/>
            <rFont val="Tahoma"/>
            <family val="2"/>
          </rPr>
          <t>ZFIP004:</t>
        </r>
        <r>
          <rPr>
            <sz val="9"/>
            <color indexed="81"/>
            <rFont val="Tahoma"/>
            <family val="2"/>
          </rPr>
          <t xml:space="preserve">
% CUMPLIMIENTO MENSUAL
</t>
        </r>
      </text>
    </comment>
    <comment ref="AP35" authorId="0" shapeId="0">
      <text>
        <r>
          <rPr>
            <b/>
            <sz val="9"/>
            <color indexed="81"/>
            <rFont val="Tahoma"/>
            <family val="2"/>
          </rPr>
          <t>ZFIP004:</t>
        </r>
        <r>
          <rPr>
            <sz val="9"/>
            <color indexed="81"/>
            <rFont val="Tahoma"/>
            <family val="2"/>
          </rPr>
          <t xml:space="preserve">
% CUMPLIMIENTO CON RESPECTO A LO PROGRAMADO AL AÑO</t>
        </r>
      </text>
    </comment>
    <comment ref="AQ35" authorId="0" shapeId="0">
      <text>
        <r>
          <rPr>
            <b/>
            <sz val="9"/>
            <color indexed="81"/>
            <rFont val="Tahoma"/>
            <family val="2"/>
          </rPr>
          <t>ZFIP004:</t>
        </r>
        <r>
          <rPr>
            <sz val="9"/>
            <color indexed="81"/>
            <rFont val="Tahoma"/>
            <family val="2"/>
          </rPr>
          <t xml:space="preserve">
REALIZADAS AL MES</t>
        </r>
      </text>
    </comment>
    <comment ref="AR35" authorId="0" shapeId="0">
      <text>
        <r>
          <rPr>
            <b/>
            <sz val="9"/>
            <color indexed="81"/>
            <rFont val="Tahoma"/>
            <family val="2"/>
          </rPr>
          <t>ZFIP004:</t>
        </r>
        <r>
          <rPr>
            <sz val="9"/>
            <color indexed="81"/>
            <rFont val="Tahoma"/>
            <family val="2"/>
          </rPr>
          <t xml:space="preserve">
PROGRAMADAS AL MES</t>
        </r>
      </text>
    </comment>
    <comment ref="AS35" authorId="0" shapeId="0">
      <text>
        <r>
          <rPr>
            <b/>
            <sz val="9"/>
            <color indexed="81"/>
            <rFont val="Tahoma"/>
            <family val="2"/>
          </rPr>
          <t>ZFIP004:</t>
        </r>
        <r>
          <rPr>
            <sz val="9"/>
            <color indexed="81"/>
            <rFont val="Tahoma"/>
            <family val="2"/>
          </rPr>
          <t xml:space="preserve">
% CUMPLIMIENTO MENSUAL
</t>
        </r>
      </text>
    </comment>
    <comment ref="AT35" authorId="0" shapeId="0">
      <text>
        <r>
          <rPr>
            <b/>
            <sz val="9"/>
            <color indexed="81"/>
            <rFont val="Tahoma"/>
            <family val="2"/>
          </rPr>
          <t>ZFIP004:</t>
        </r>
        <r>
          <rPr>
            <sz val="9"/>
            <color indexed="81"/>
            <rFont val="Tahoma"/>
            <family val="2"/>
          </rPr>
          <t xml:space="preserve">
% CUMPLIMIENTO CON RESPECTO A LO PROGRAMADO AL AÑO</t>
        </r>
      </text>
    </comment>
    <comment ref="AU35" authorId="0" shapeId="0">
      <text>
        <r>
          <rPr>
            <b/>
            <sz val="9"/>
            <color indexed="81"/>
            <rFont val="Tahoma"/>
            <family val="2"/>
          </rPr>
          <t>ZFIP004:</t>
        </r>
        <r>
          <rPr>
            <sz val="9"/>
            <color indexed="81"/>
            <rFont val="Tahoma"/>
            <family val="2"/>
          </rPr>
          <t xml:space="preserve">
REALIZADAS AL MES</t>
        </r>
      </text>
    </comment>
    <comment ref="AV35" authorId="0" shapeId="0">
      <text>
        <r>
          <rPr>
            <b/>
            <sz val="9"/>
            <color indexed="81"/>
            <rFont val="Tahoma"/>
            <family val="2"/>
          </rPr>
          <t>ZFIP004:</t>
        </r>
        <r>
          <rPr>
            <sz val="9"/>
            <color indexed="81"/>
            <rFont val="Tahoma"/>
            <family val="2"/>
          </rPr>
          <t xml:space="preserve">
PROGRAMADAS AL MES</t>
        </r>
      </text>
    </comment>
    <comment ref="AW35" authorId="0" shapeId="0">
      <text>
        <r>
          <rPr>
            <b/>
            <sz val="9"/>
            <color indexed="81"/>
            <rFont val="Tahoma"/>
            <family val="2"/>
          </rPr>
          <t>ZFIP004:</t>
        </r>
        <r>
          <rPr>
            <sz val="9"/>
            <color indexed="81"/>
            <rFont val="Tahoma"/>
            <family val="2"/>
          </rPr>
          <t xml:space="preserve">
% CUMPLIMIENTO MENSUAL
</t>
        </r>
      </text>
    </comment>
    <comment ref="AX35" authorId="0" shapeId="0">
      <text>
        <r>
          <rPr>
            <b/>
            <sz val="9"/>
            <color indexed="81"/>
            <rFont val="Tahoma"/>
            <family val="2"/>
          </rPr>
          <t>ZFIP004:</t>
        </r>
        <r>
          <rPr>
            <sz val="9"/>
            <color indexed="81"/>
            <rFont val="Tahoma"/>
            <family val="2"/>
          </rPr>
          <t xml:space="preserve">
% CUMPLIMIENTO CON RESPECTO A LO PROGRAMADO AL AÑO</t>
        </r>
      </text>
    </comment>
    <comment ref="AY35" authorId="0" shapeId="0">
      <text>
        <r>
          <rPr>
            <b/>
            <sz val="9"/>
            <color indexed="81"/>
            <rFont val="Tahoma"/>
            <family val="2"/>
          </rPr>
          <t>ZFIP004:</t>
        </r>
        <r>
          <rPr>
            <sz val="9"/>
            <color indexed="81"/>
            <rFont val="Tahoma"/>
            <family val="2"/>
          </rPr>
          <t xml:space="preserve">
REALIZADAS AL MES</t>
        </r>
      </text>
    </comment>
    <comment ref="AZ35" authorId="0" shapeId="0">
      <text>
        <r>
          <rPr>
            <b/>
            <sz val="9"/>
            <color indexed="81"/>
            <rFont val="Tahoma"/>
            <family val="2"/>
          </rPr>
          <t>ZFIP004:</t>
        </r>
        <r>
          <rPr>
            <sz val="9"/>
            <color indexed="81"/>
            <rFont val="Tahoma"/>
            <family val="2"/>
          </rPr>
          <t xml:space="preserve">
PROGRAMADAS AL MES</t>
        </r>
      </text>
    </comment>
    <comment ref="BA35" authorId="0" shapeId="0">
      <text>
        <r>
          <rPr>
            <b/>
            <sz val="9"/>
            <color indexed="81"/>
            <rFont val="Tahoma"/>
            <family val="2"/>
          </rPr>
          <t>ZFIP004:</t>
        </r>
        <r>
          <rPr>
            <sz val="9"/>
            <color indexed="81"/>
            <rFont val="Tahoma"/>
            <family val="2"/>
          </rPr>
          <t xml:space="preserve">
% CUMPLIMIENTO MENSUAL
</t>
        </r>
      </text>
    </comment>
    <comment ref="BB35" authorId="0" shapeId="0">
      <text>
        <r>
          <rPr>
            <b/>
            <sz val="9"/>
            <color indexed="81"/>
            <rFont val="Tahoma"/>
            <family val="2"/>
          </rPr>
          <t>ZFIP004:</t>
        </r>
        <r>
          <rPr>
            <sz val="9"/>
            <color indexed="81"/>
            <rFont val="Tahoma"/>
            <family val="2"/>
          </rPr>
          <t xml:space="preserve">
% CUMPLIMIENTO CON RESPECTO A LO PROGRAMADO AL AÑO</t>
        </r>
      </text>
    </comment>
    <comment ref="BC35" authorId="0" shapeId="0">
      <text>
        <r>
          <rPr>
            <b/>
            <sz val="9"/>
            <color indexed="81"/>
            <rFont val="Tahoma"/>
            <family val="2"/>
          </rPr>
          <t>ZFIP004:</t>
        </r>
        <r>
          <rPr>
            <sz val="9"/>
            <color indexed="81"/>
            <rFont val="Tahoma"/>
            <family val="2"/>
          </rPr>
          <t xml:space="preserve">
REALIZADAS AL MES</t>
        </r>
      </text>
    </comment>
    <comment ref="BD35" authorId="0" shapeId="0">
      <text>
        <r>
          <rPr>
            <b/>
            <sz val="9"/>
            <color indexed="81"/>
            <rFont val="Tahoma"/>
            <family val="2"/>
          </rPr>
          <t>ZFIP004:</t>
        </r>
        <r>
          <rPr>
            <sz val="9"/>
            <color indexed="81"/>
            <rFont val="Tahoma"/>
            <family val="2"/>
          </rPr>
          <t xml:space="preserve">
PROGRAMADAS AL MES</t>
        </r>
      </text>
    </comment>
    <comment ref="BE35" authorId="0" shapeId="0">
      <text>
        <r>
          <rPr>
            <b/>
            <sz val="9"/>
            <color indexed="81"/>
            <rFont val="Tahoma"/>
            <family val="2"/>
          </rPr>
          <t>ZFIP004:</t>
        </r>
        <r>
          <rPr>
            <sz val="9"/>
            <color indexed="81"/>
            <rFont val="Tahoma"/>
            <family val="2"/>
          </rPr>
          <t xml:space="preserve">
% CUMPLIMIENTO MENSUAL
</t>
        </r>
      </text>
    </comment>
    <comment ref="BF35" authorId="0" shapeId="0">
      <text>
        <r>
          <rPr>
            <b/>
            <sz val="9"/>
            <color indexed="81"/>
            <rFont val="Tahoma"/>
            <family val="2"/>
          </rPr>
          <t>ZFIP004:</t>
        </r>
        <r>
          <rPr>
            <sz val="9"/>
            <color indexed="81"/>
            <rFont val="Tahoma"/>
            <family val="2"/>
          </rPr>
          <t xml:space="preserve">
% CUMPLIMIENTO CON RESPECTO A LO PROGRAMADO AL AÑO</t>
        </r>
      </text>
    </comment>
    <comment ref="F38" authorId="1" shapeId="0">
      <text>
        <r>
          <rPr>
            <b/>
            <sz val="9"/>
            <color indexed="81"/>
            <rFont val="Tahoma"/>
            <family val="2"/>
          </rPr>
          <t>ZFIP-SIG:</t>
        </r>
        <r>
          <rPr>
            <sz val="9"/>
            <color indexed="81"/>
            <rFont val="Tahoma"/>
            <family val="2"/>
          </rPr>
          <t xml:space="preserve">
se hace seguimiento en cada comité de Gerencia, pero el cumplimiento de la meta se verifica anual. Esta actividad de consolidar este indicador se inicará desde el mes de septiembre del 2020.</t>
        </r>
      </text>
    </comment>
  </commentList>
</comments>
</file>

<file path=xl/sharedStrings.xml><?xml version="1.0" encoding="utf-8"?>
<sst xmlns="http://schemas.openxmlformats.org/spreadsheetml/2006/main" count="217" uniqueCount="176">
  <si>
    <t>PROCESO</t>
  </si>
  <si>
    <t>OBJETIVO</t>
  </si>
  <si>
    <t>Nombre</t>
  </si>
  <si>
    <t>Fórmula</t>
  </si>
  <si>
    <t>Objetivo</t>
  </si>
  <si>
    <t>RESULTADOS</t>
  </si>
  <si>
    <t>feb</t>
  </si>
  <si>
    <t>mar</t>
  </si>
  <si>
    <t>abr</t>
  </si>
  <si>
    <t>may</t>
  </si>
  <si>
    <t>jun</t>
  </si>
  <si>
    <t>jul</t>
  </si>
  <si>
    <t>ago</t>
  </si>
  <si>
    <t>sep</t>
  </si>
  <si>
    <t>oct</t>
  </si>
  <si>
    <t>nov</t>
  </si>
  <si>
    <t>dic</t>
  </si>
  <si>
    <t>ene</t>
  </si>
  <si>
    <t>GESTIÓN TECNOLOGÍA E INFORMÁTICA</t>
  </si>
  <si>
    <t>Soporte Técnico</t>
  </si>
  <si>
    <t>Mantener y mejorar la infraestructura tecnológica de manera que garantice la Operación de la Zona Franca Internacional de Pereira y la Seguridad Informática</t>
  </si>
  <si>
    <t xml:space="preserve">MATRIZ DE INDICADORES </t>
  </si>
  <si>
    <t xml:space="preserve">FECHA DE
IMPLEMENTACIÒN </t>
  </si>
  <si>
    <t xml:space="preserve">FECHA DE 
ACTUALIZACIÒN </t>
  </si>
  <si>
    <t xml:space="preserve">VERSIÒN </t>
  </si>
  <si>
    <t xml:space="preserve">PÁGINA </t>
  </si>
  <si>
    <t xml:space="preserve">CÓDIGO </t>
  </si>
  <si>
    <t>Mantenimiento Preventivo</t>
  </si>
  <si>
    <t>SISTEMA INTEGRADO DE GESTIÒN</t>
  </si>
  <si>
    <t xml:space="preserve">GESTIÒN JURIDICA Y PH </t>
  </si>
  <si>
    <t xml:space="preserve">Garantizar el mantenimiento, conservación y seguridad de los bienes comunes de la ZFIP, mediante la prestación de servicios y la correcta administración de los recursos, buscando siempre la satisfacción de las necesidades de las partes interesadas.
</t>
  </si>
  <si>
    <t xml:space="preserve">GESTIÒN TECNICA </t>
  </si>
  <si>
    <t xml:space="preserve">Mantener y mejorar de manera eficiente la infraestructura del parque industrial garantizando las condiciones operativas, ambientales y de desarrollo continuo del mismo.
</t>
  </si>
  <si>
    <t xml:space="preserve">GESTIÒN DE OPERACIONES </t>
  </si>
  <si>
    <t xml:space="preserve">Dar cumplimiento al régimen franco legal vigente en todas las operaciones realizadas por los usuarios de la Zona Franca Internacional de Pereira, brindándoles asesoría y apoyo permanente para el mejor uso y aprovechamiento del mismo.
</t>
  </si>
  <si>
    <t xml:space="preserve">GESTIÒN ADMINISTRATIVA </t>
  </si>
  <si>
    <t xml:space="preserve">GESTIÒN CONTABLE Y FINANCIERA </t>
  </si>
  <si>
    <t xml:space="preserve">Oportunidad de respuesta </t>
  </si>
  <si>
    <t>Representar de manera grafica las PQRS que han recibido un tratamiento oportuno de acuerdo a los lineamientos del  procedimiento PR-CSC-03, donde se debe notificar y posteriormente dar una respuesta al cliente.</t>
  </si>
  <si>
    <t>Promedio de las calificaciones</t>
  </si>
  <si>
    <t>Semestral</t>
  </si>
  <si>
    <t>Mensual</t>
  </si>
  <si>
    <t>Trimestral</t>
  </si>
  <si>
    <t xml:space="preserve">SNC con respuesta oportuna </t>
  </si>
  <si>
    <t>Aportar al mejoramiento de la calidad de vida de los grupos de interés, mediante la ejecución de actividades sociales que favorezcan el crecimiento económico, el desarrollo social y el equilibrio ambiental de la zona.</t>
  </si>
  <si>
    <t>Anual</t>
  </si>
  <si>
    <t>Eficacia en las solicitudes legales</t>
  </si>
  <si>
    <t>Seguridad Interna</t>
  </si>
  <si>
    <t>Seguridad Externa Etapa 1.</t>
  </si>
  <si>
    <t>Seguridad Externa Etapa 2.</t>
  </si>
  <si>
    <t xml:space="preserve">Evidenciar a través de la medición el estado de la seguridad física interna y externa de la ZFIP. </t>
  </si>
  <si>
    <t>Mantenimiento preventivo de básculas</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</si>
  <si>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</si>
  <si>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Confiabilidad de Inventarios</t>
  </si>
  <si>
    <t>Indicador de Oportunidad</t>
  </si>
  <si>
    <t>Verificar que la aprobación de FMM se realice en el tiempo previsto</t>
  </si>
  <si>
    <t>Ausentismo Laboral por toda causa</t>
  </si>
  <si>
    <t>No. de horas de ausencia por toda causa/No. total horas que deben ser trabajadas*100</t>
  </si>
  <si>
    <t>Ausentismo por Accidente de Trabajo</t>
  </si>
  <si>
    <t xml:space="preserve">Medir el ausentismo presentado dentro de la organización a causa de Accidentes de Trabajo. </t>
  </si>
  <si>
    <t>Rotación de personal</t>
  </si>
  <si>
    <t>Cartera</t>
  </si>
  <si>
    <t xml:space="preserve">Medir el recaudo oportuno de la cartera generada por la facturación de los servicios prestados. </t>
  </si>
  <si>
    <t>Soporte técnico</t>
  </si>
  <si>
    <t>INDICADOR</t>
  </si>
  <si>
    <t>Conocer el cumplimiento a la capacitaciones realizadas en la Zona Franca Internacional de Pereira, establecido en el plan anual de formación.</t>
  </si>
  <si>
    <t>(Mantenimientos realizados / mantenimientos Programados) x 100</t>
  </si>
  <si>
    <t>Medir la acción de respuesta a las solicitudes   o requerimientos solicitados al proceso de Gestión TI presentadas por los colaboradores de la ZFIP- Usuario Operador y Agrupación ZF.</t>
  </si>
  <si>
    <t>Medir la acción de respuesta a las solicitudes legales.</t>
  </si>
  <si>
    <t>Evaluar el cumplimiento de mantenimiento, mejoramiento, monitoreo y supervisión de todas las actividades asociadas a garantizar el funcionamiento y desarrollo del parque Industrial en el cumplimiento de las normas técnicas y ambientales.</t>
  </si>
  <si>
    <t>Cumplimiento de Requisitos normativos</t>
  </si>
  <si>
    <t>GERENCIA</t>
  </si>
  <si>
    <t>Medir de acuerdo al cumplimiento de cada objetivo la eficacia de los sistemas de gestión.</t>
  </si>
  <si>
    <t>Medir la oportunidad de envio de la planilla de recepción al usuario</t>
  </si>
  <si>
    <t>Tránsitos</t>
  </si>
  <si>
    <t>Nº de horas desde la inspección hasta el envío de la planilla.</t>
  </si>
  <si>
    <t>&lt;=3 hrs</t>
  </si>
  <si>
    <t>Controlar los mantenimientos preventivos (evitando de esta manera la materialización de daños) realizados por el proceso de Tecnología e Informática.</t>
  </si>
  <si>
    <t>1 de 1</t>
  </si>
  <si>
    <t>Sumatoria del los resultados de cumplimiento de objetivos/ Nº total de objetivos*100</t>
  </si>
  <si>
    <t>Cumplimiento de metas APM</t>
  </si>
  <si>
    <t>Representar de manera gráfica las APM radicadas de todos los procesos, de tal manera que permita realizar un seguimiento al cumplimiento de la meta establecida para el año y el dinamismo en la mejora continua de los sistemas.</t>
  </si>
  <si>
    <t>Seguimiento a propuestas comerciales</t>
  </si>
  <si>
    <t>GESTIÓN COMERCIAL Y DE SERVICIO AL CLIENTE</t>
  </si>
  <si>
    <t>Desarrollar estrategias con valor agregado que permitan la materialización de nuevos negocios y el reconocimiento a nivel nacional e internacional. Asegurar la calidad del servicio atendiendo adecuadamente peticiones, quejas y reclamos a nuestros grupos de interés.</t>
  </si>
  <si>
    <t># de items en cumplimiento / # total de items evaluados * 100</t>
  </si>
  <si>
    <t>(Cantidad encontrada física de la muestra / Cantidad Muestra Total )*100</t>
  </si>
  <si>
    <t>(operaciones aprobadas que cumplen en oportunidad / total operaciones aprobadas)*100</t>
  </si>
  <si>
    <t xml:space="preserve">Lograr una óptima gestión contable y financiera que asegure el uso eficiente de los recursos, mediante el desarrollo de capital de trabajo y apoyo en la ejecución presupuestal, generando sostenibilidad en la compañía. </t>
  </si>
  <si>
    <t>Medir el cumplimiento en la ejecución de las actividades programadas para RSE.</t>
  </si>
  <si>
    <t>Actividades RSE.</t>
  </si>
  <si>
    <t>Evidenciar por medio del indicador el correcto seguimiento  que se le da a las propuestas comerciales enviadas a los clientes.</t>
  </si>
  <si>
    <t>Calificación de PQRS.</t>
  </si>
  <si>
    <t>(# PQRS con respuesta oportuna/# total de PQRS)*100</t>
  </si>
  <si>
    <t>Demostrar la efectividad de respuesta que tienen los procesos en atender las SNC, en los tiempos que ellos establecen en en cada plan de acción.</t>
  </si>
  <si>
    <t>(Sumatoria total de APM radicadas /Sumatria total APM proyectadas) * 100</t>
  </si>
  <si>
    <t>(Cantidad de solicitudes solucionadas/cantidad de solicitudes recibidas)*100</t>
  </si>
  <si>
    <t>(# total de items en cumplimiento en el mes/ # total de items evaluados en el mes) * 100</t>
  </si>
  <si>
    <t>(Nº de items evaluados en cumplimiento en 5 semanas / Nº total de items evaluados 5 Semanas )*100.</t>
  </si>
  <si>
    <r>
      <t xml:space="preserve">(Actividades ejecutadas </t>
    </r>
    <r>
      <rPr>
        <b/>
        <sz val="11"/>
        <color theme="1"/>
        <rFont val="Arial"/>
        <family val="2"/>
      </rPr>
      <t>(INFRAESTRUCTURA)</t>
    </r>
    <r>
      <rPr>
        <sz val="11"/>
        <color theme="1"/>
        <rFont val="Arial"/>
        <family val="2"/>
      </rPr>
      <t xml:space="preserve"> / actividades programadas) * 100</t>
    </r>
  </si>
  <si>
    <r>
      <t xml:space="preserve">(Actividades ejecutadas </t>
    </r>
    <r>
      <rPr>
        <b/>
        <sz val="11"/>
        <color theme="1"/>
        <rFont val="Arial"/>
        <family val="2"/>
      </rPr>
      <t>(EQUIPOS Y HERRAMIENTAS</t>
    </r>
    <r>
      <rPr>
        <sz val="11"/>
        <color theme="1"/>
        <rFont val="Arial"/>
        <family val="2"/>
      </rPr>
      <t xml:space="preserve"> / actividades programadas) * 100</t>
    </r>
  </si>
  <si>
    <t>Verificar un adecuado manejo de los inventarios, controlando que las actividades desarrolladas por los usuarios correspondan a aquellas para las cuales fueron calificadas.</t>
  </si>
  <si>
    <t>Proveer, desarrollar y mantener el recurso humano de la organización, a través de actividades encaminadas al fortalecimiento de competencias y conocimientos tecnicos requeridos, para así contribuir al cumplimiento de los objetivos de la organización.</t>
  </si>
  <si>
    <t>Medir el porcentaje de retiro - ingreso  del personal al año.</t>
  </si>
  <si>
    <t>Alcanzar y mantener un ambiente de trabajo sano y seguro, evitando posibles afectaciones en la salud de los colaboradores, a través de la implementación, mantenimiento y mejora continua de un sistema de gestión de seguridad y salud en el trabajo.</t>
  </si>
  <si>
    <t>Programa de Capacitación SST</t>
  </si>
  <si>
    <t>Mostrar la calificación que dan los usuarios a las PQRS atendidas por cada proceso.</t>
  </si>
  <si>
    <t>Medir ausentismo laboral dentro de la organización por toda causa.</t>
  </si>
  <si>
    <t>&lt;=3%</t>
  </si>
  <si>
    <t>(No de capacitaciones realizadas / total capacitaciones programadas) * 100</t>
  </si>
  <si>
    <t>(No de ausencia por AT/ No trabajadores) *100</t>
  </si>
  <si>
    <t>Conocer el cumplimiento a la capacitaciones realizadas en la Zona Franca Internacional de Pereira, establecido en el plan anual de formación de SST.</t>
  </si>
  <si>
    <t>(Actividades ejecutadas RSE / Actividades programadas RSE) * 100</t>
  </si>
  <si>
    <t>Eficacia de los sistemas de gestión</t>
  </si>
  <si>
    <t>FO-GG-01</t>
  </si>
  <si>
    <t>IRP = (personal desvinculado en el periodo/(Personal al incicio del periodo + Personal al final del periodo)/2) * 100</t>
  </si>
  <si>
    <t>Programa de mantenimiento general (INFRAESTRUCTURA)</t>
  </si>
  <si>
    <t>Programa de mantenimiento general (EQUIPOS Y HERRAMIENTAS)</t>
  </si>
  <si>
    <t>Sumatoria de valores de las categorías de cartera A y B /valor total de cartera mensual*100</t>
  </si>
  <si>
    <t>(Cantidad de SNC cerrdas dentro del tiempo /cantidad total de SNC) *  100</t>
  </si>
  <si>
    <t>Programa de Capacitación General</t>
  </si>
  <si>
    <t>((# de clientes contactados en el mes * # de contactos realizados a esos clientes-) / (# Numero de propuestas en el mes *  # de contactos esperados x cada ciente)) * 100</t>
  </si>
  <si>
    <t>&lt;=4%</t>
  </si>
  <si>
    <t>EFICACIA AÑO 2020</t>
  </si>
  <si>
    <t xml:space="preserve">Medir la eficacia del sistema de gestión por medio del cumplimiento de los numerales exigidos por las normas, según el resultado de las auditorias internas y externas. </t>
  </si>
  <si>
    <t>Cumplimiento de todos los objetivos de los sistemas de gestión a cargo de los procesos de la Compañía</t>
  </si>
  <si>
    <t>Indicador de Gestión del Riesgo</t>
  </si>
  <si>
    <t xml:space="preserve"> ((riesgos bajos + riesgos medios)/total de riesgos)*100</t>
  </si>
  <si>
    <t>Medir la gestión de la empresa en mantener o disminuir el nivel de riesgos, ya que mientras más riesgos bajos se garantizan más controles.</t>
  </si>
  <si>
    <t>Cumplimiento de requisitos legales</t>
  </si>
  <si>
    <t>(Cantidad de requisitos legales en cumplimiento/ total de requisitos legales suscritos)*100</t>
  </si>
  <si>
    <t>Demostrar de manera gráfica el cumplimiento de los requisitos legales suscritos por la organización, de tal manera que se garantice el seguimiento  y cumplimiento de los mismos.</t>
  </si>
  <si>
    <t>Frecuencia de revisión</t>
  </si>
  <si>
    <t>Logro de indicador</t>
  </si>
  <si>
    <t>LOGRO DE OBJETIVO</t>
  </si>
  <si>
    <t xml:space="preserve">Promover la mejora continua del sistema de gestión mediante el  desarrollo de actividades que integren los requisitos normativos aplicables, teniendo como pilar la prevención y promoción  de la seguridad y salud, prácticas de seguridad apoyando  de manera integral a la gestión de riesgos y a la eficacia de los diferentes procesos, reflejados en una cultura organizacional.  
</t>
  </si>
  <si>
    <t>logro según frecuencia</t>
  </si>
  <si>
    <t>Meta Objetivo</t>
  </si>
  <si>
    <t>Meta anual del indicador</t>
  </si>
  <si>
    <t>N/A</t>
  </si>
  <si>
    <t xml:space="preserve">Brindar acompañamiento y soporte jurídico a todos los procesos de la ZFIP, con el fin de garantizar el cumplimiento y desarrollo de sus objetivos, previniendo, controlando y minimizando los riesgos que se puedan presentar por actividades ilícitas, corrupción y soborno. 
</t>
  </si>
  <si>
    <t>escala</t>
  </si>
  <si>
    <t>%</t>
  </si>
  <si>
    <t>Avance GCSC</t>
  </si>
  <si>
    <t>Avance SIG</t>
  </si>
  <si>
    <t>Avance GTI</t>
  </si>
  <si>
    <t>Avance GTC</t>
  </si>
  <si>
    <t>Avance GOP</t>
  </si>
  <si>
    <t>Avance GCFI</t>
  </si>
  <si>
    <t>Avance GER</t>
  </si>
  <si>
    <t>Avance GAD (GH)</t>
  </si>
  <si>
    <t>Avance GJU-PH (JU)</t>
  </si>
  <si>
    <t>Avance GJU-PH (SEG)</t>
  </si>
  <si>
    <t>Avance GAD (SST)</t>
  </si>
  <si>
    <t>Avance GAD (RSE)</t>
  </si>
  <si>
    <t>X</t>
  </si>
  <si>
    <t>Y</t>
  </si>
  <si>
    <t>INICIO</t>
  </si>
  <si>
    <t>FIN</t>
  </si>
  <si>
    <t>PUNTOS</t>
  </si>
  <si>
    <t>PRPMEDIO CUMPL OBJETIVO</t>
  </si>
  <si>
    <t>PROM CUMPL POR INDICADOR</t>
  </si>
  <si>
    <r>
      <rPr>
        <b/>
        <sz val="11"/>
        <color theme="1"/>
        <rFont val="Calibri"/>
        <family val="2"/>
        <scheme val="minor"/>
      </rPr>
      <t xml:space="preserve">GRADO </t>
    </r>
    <r>
      <rPr>
        <sz val="11"/>
        <color theme="1"/>
        <rFont val="Calibri"/>
        <family val="2"/>
        <scheme val="minor"/>
      </rPr>
      <t>CUMPLI OBJETIVO</t>
    </r>
  </si>
  <si>
    <r>
      <t xml:space="preserve">GRADO </t>
    </r>
    <r>
      <rPr>
        <sz val="11"/>
        <color rgb="FF00B050"/>
        <rFont val="Calibri"/>
        <family val="2"/>
        <scheme val="minor"/>
      </rPr>
      <t>LOGR OBJETIVO</t>
    </r>
  </si>
  <si>
    <t>PUNTOS 2</t>
  </si>
  <si>
    <t>EFICACIA AÑO 2021</t>
  </si>
  <si>
    <t>&lt;=21%</t>
  </si>
  <si>
    <t>Seguridad Informática</t>
  </si>
  <si>
    <t>&lt;=30%</t>
  </si>
  <si>
    <t>(intentos de vulneración de seguridad exitosos/total intentos identificados)*100</t>
  </si>
  <si>
    <t>Medir la eficacia de los controles de seguridad informatica, teniendo como insumo el sistema Fortigate 60-D</t>
  </si>
  <si>
    <t>&lt;=2</t>
  </si>
  <si>
    <t>Cantidad solicitudes ejecutadas  fuera del tiempo establecido, equivalencia a 100% si se mantiene &lt;=2</t>
  </si>
  <si>
    <t>(Cantidad solicitudes ejecutadas en el mes en los tiempos establecidos) / (cantidad de solicitudes soluacionadas en el mes)* 100</t>
  </si>
  <si>
    <t>Medir el cumplimiento de las solitudes realizadas al proceso de gestión tecnica de acuerdo al criterio de prioridad de las solicitudes, teniendo en cuenta no incumplir el indicador en mas de 2 solicitudes.</t>
  </si>
  <si>
    <r>
      <rPr>
        <b/>
        <sz val="11"/>
        <color theme="1"/>
        <rFont val="Arial"/>
        <family val="2"/>
      </rPr>
      <t>* Conformidad: 10 PTS. 
* Observación: 5 PTS.
* No Conformidad menor: 2 PTS.
* No Confomridad Mayor: 0 PTS
* BASC+28000:68 ITEMS, 9001:59 ITEMS.
(</t>
    </r>
    <r>
      <rPr>
        <sz val="11"/>
        <color theme="1"/>
        <rFont val="Arial"/>
        <family val="2"/>
      </rPr>
      <t>Total de puntos obtenidos / Total de puntos requeridos</t>
    </r>
    <r>
      <rPr>
        <b/>
        <sz val="11"/>
        <color theme="1"/>
        <rFont val="Arial"/>
        <family val="2"/>
      </rPr>
      <t xml:space="preserve">)* </t>
    </r>
    <r>
      <rPr>
        <sz val="11"/>
        <color theme="1"/>
        <rFont val="Arial"/>
        <family val="2"/>
      </rPr>
      <t>100</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</si>
</sst>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2" x14ac:knownFonts="1">
    <font>
      <sz val="11"/>
      <color theme="1"/>
      <name val="Calibri"/>
      <family val="2"/>
      <scheme val="minor"/>
    </font>
    <font>
      <sz val="11"/>
      <color theme="1"/>
      <name val="Calibri"/>
      <family val="2"/>
      <scheme val="minor"/>
    </font>
    <font>
      <sz val="11"/>
      <color theme="1"/>
      <name val="Arial"/>
      <family val="2"/>
    </font>
    <font>
      <b/>
      <sz val="14"/>
      <color theme="1"/>
      <name val="Arial"/>
      <family val="2"/>
    </font>
    <font>
      <b/>
      <sz val="11"/>
      <color theme="1"/>
      <name val="Arial"/>
      <family val="2"/>
    </font>
    <font>
      <sz val="11"/>
      <name val="Arial"/>
      <family val="2"/>
    </font>
    <font>
      <sz val="9"/>
      <color indexed="81"/>
      <name val="Tahoma"/>
      <family val="2"/>
    </font>
    <font>
      <b/>
      <sz val="9"/>
      <color indexed="81"/>
      <name val="Tahoma"/>
      <family val="2"/>
    </font>
    <font>
      <b/>
      <sz val="12"/>
      <color theme="1"/>
      <name val="Arial"/>
      <family val="2"/>
    </font>
    <font>
      <b/>
      <sz val="18"/>
      <color theme="1"/>
      <name val="Arial"/>
      <family val="2"/>
    </font>
    <font>
      <b/>
      <sz val="20"/>
      <color rgb="FF00B050"/>
      <name val="Arial"/>
      <family val="2"/>
    </font>
    <font>
      <sz val="12"/>
      <color theme="1"/>
      <name val="Arial"/>
      <family val="2"/>
    </font>
    <font>
      <sz val="11"/>
      <color theme="0" tint="-0.34998626667073579"/>
      <name val="Arial"/>
      <family val="2"/>
    </font>
    <font>
      <b/>
      <sz val="12"/>
      <color rgb="FF00FF00"/>
      <name val="Arial"/>
      <family val="2"/>
    </font>
    <font>
      <b/>
      <sz val="11"/>
      <color theme="1"/>
      <name val="Calibri"/>
      <family val="2"/>
      <scheme val="minor"/>
    </font>
    <font>
      <sz val="11"/>
      <color theme="2" tint="-0.249977111117893"/>
      <name val="Arial"/>
      <family val="2"/>
    </font>
    <font>
      <b/>
      <sz val="18"/>
      <color rgb="FF00B050"/>
      <name val="Arial"/>
      <family val="2"/>
    </font>
    <font>
      <b/>
      <sz val="11"/>
      <color rgb="FF00B050"/>
      <name val="Arial"/>
      <family val="2"/>
    </font>
    <font>
      <b/>
      <sz val="12"/>
      <color rgb="FF00B050"/>
      <name val="Arial"/>
      <family val="2"/>
    </font>
    <font>
      <b/>
      <sz val="11"/>
      <color rgb="FF00B050"/>
      <name val="Calibri"/>
      <family val="2"/>
      <scheme val="minor"/>
    </font>
    <font>
      <b/>
      <sz val="11"/>
      <name val="Calibri"/>
      <family val="2"/>
      <scheme val="minor"/>
    </font>
    <font>
      <sz val="11"/>
      <color rgb="FF00B050"/>
      <name val="Calibri"/>
      <family val="2"/>
      <scheme val="minor"/>
    </font>
  </fonts>
  <fills count="10">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8585"/>
        <bgColor indexed="64"/>
      </patternFill>
    </fill>
    <fill>
      <patternFill patternType="solid">
        <fgColor theme="0"/>
        <bgColor indexed="64"/>
      </patternFill>
    </fill>
    <fill>
      <patternFill patternType="solid">
        <fgColor rgb="FF00B0F0"/>
        <bgColor indexed="64"/>
      </patternFill>
    </fill>
    <fill>
      <patternFill patternType="solid">
        <fgColor rgb="FFFF99FF"/>
        <bgColor indexed="64"/>
      </patternFill>
    </fill>
    <fill>
      <patternFill patternType="solid">
        <fgColor rgb="FF66FF99"/>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top/>
      <bottom style="thin">
        <color indexed="64"/>
      </bottom>
      <diagonal/>
    </border>
    <border>
      <left/>
      <right/>
      <top/>
      <bottom style="medium">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498">
    <xf numFmtId="0" fontId="0" fillId="0" borderId="0" xfId="0"/>
    <xf numFmtId="0" fontId="2" fillId="0" borderId="0" xfId="0" applyFont="1" applyAlignme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4" fillId="0" borderId="0" xfId="0" applyFont="1" applyAlignment="1">
      <alignment vertical="center"/>
    </xf>
    <xf numFmtId="0" fontId="2" fillId="0" borderId="3" xfId="0" applyFont="1" applyBorder="1" applyAlignment="1">
      <alignment vertical="center"/>
    </xf>
    <xf numFmtId="0" fontId="2" fillId="0" borderId="0" xfId="0" applyFont="1" applyBorder="1" applyAlignment="1">
      <alignment vertical="center"/>
    </xf>
    <xf numFmtId="0" fontId="2" fillId="0" borderId="0" xfId="0" applyFont="1" applyAlignment="1">
      <alignment horizontal="center" vertical="top"/>
    </xf>
    <xf numFmtId="0" fontId="2" fillId="0" borderId="15" xfId="0" applyFont="1" applyBorder="1" applyAlignment="1">
      <alignment horizontal="center" vertical="center"/>
    </xf>
    <xf numFmtId="0" fontId="2" fillId="0" borderId="1" xfId="0" applyFont="1" applyBorder="1" applyAlignment="1">
      <alignment vertical="center" wrapText="1"/>
    </xf>
    <xf numFmtId="0" fontId="2" fillId="0" borderId="15" xfId="0" applyFont="1" applyBorder="1" applyAlignment="1">
      <alignment vertical="center" wrapText="1"/>
    </xf>
    <xf numFmtId="9" fontId="2" fillId="0" borderId="15" xfId="1" applyFont="1" applyBorder="1" applyAlignment="1">
      <alignment horizontal="center" vertical="center"/>
    </xf>
    <xf numFmtId="0" fontId="4" fillId="3" borderId="18" xfId="0" applyFont="1" applyFill="1" applyBorder="1" applyAlignment="1">
      <alignment horizontal="center" vertical="center"/>
    </xf>
    <xf numFmtId="0" fontId="2" fillId="0" borderId="15" xfId="0" applyFont="1" applyBorder="1" applyAlignment="1">
      <alignment horizontal="left" vertical="center" wrapText="1"/>
    </xf>
    <xf numFmtId="0" fontId="2" fillId="0" borderId="1" xfId="0" applyFont="1" applyBorder="1" applyAlignment="1">
      <alignment horizontal="left" vertical="center" wrapText="1"/>
    </xf>
    <xf numFmtId="0" fontId="2" fillId="6" borderId="29"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0" borderId="18" xfId="0" applyFont="1" applyBorder="1" applyAlignment="1">
      <alignment horizontal="left" vertical="center" wrapText="1"/>
    </xf>
    <xf numFmtId="0" fontId="2" fillId="0" borderId="14" xfId="0" applyFont="1" applyBorder="1" applyAlignment="1">
      <alignment horizontal="left" vertical="center" wrapText="1"/>
    </xf>
    <xf numFmtId="0" fontId="2" fillId="6" borderId="33"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26" xfId="0" applyFont="1" applyBorder="1" applyAlignment="1">
      <alignment horizontal="left" vertical="center" wrapText="1"/>
    </xf>
    <xf numFmtId="0" fontId="2" fillId="0" borderId="26" xfId="0" applyFont="1" applyBorder="1" applyAlignment="1">
      <alignment horizontal="left" vertical="center"/>
    </xf>
    <xf numFmtId="0" fontId="4" fillId="0" borderId="35"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xf>
    <xf numFmtId="0" fontId="2" fillId="0" borderId="9" xfId="0" applyFont="1" applyBorder="1" applyAlignment="1">
      <alignment horizontal="left" vertical="center" wrapText="1"/>
    </xf>
    <xf numFmtId="0" fontId="2" fillId="0" borderId="17" xfId="0" applyFont="1" applyBorder="1" applyAlignment="1">
      <alignment horizontal="left" vertical="center"/>
    </xf>
    <xf numFmtId="0" fontId="2" fillId="0" borderId="7" xfId="0" applyFont="1" applyBorder="1" applyAlignment="1">
      <alignment horizontal="left" vertical="center"/>
    </xf>
    <xf numFmtId="0" fontId="2" fillId="0" borderId="18" xfId="0" applyFont="1" applyBorder="1" applyAlignment="1">
      <alignment horizontal="center" vertical="center"/>
    </xf>
    <xf numFmtId="0" fontId="2" fillId="0" borderId="0" xfId="0" applyFont="1" applyBorder="1" applyAlignment="1">
      <alignment horizontal="center" vertical="top"/>
    </xf>
    <xf numFmtId="0" fontId="2" fillId="0" borderId="7" xfId="0" applyFont="1" applyBorder="1" applyAlignment="1">
      <alignment horizontal="left" vertical="center" wrapText="1"/>
    </xf>
    <xf numFmtId="0" fontId="2" fillId="0" borderId="18" xfId="0" applyFont="1" applyBorder="1" applyAlignment="1">
      <alignment vertical="center" wrapText="1"/>
    </xf>
    <xf numFmtId="0" fontId="5" fillId="6" borderId="42" xfId="0" applyFont="1" applyFill="1" applyBorder="1" applyAlignment="1">
      <alignment horizontal="left" vertical="center" wrapText="1"/>
    </xf>
    <xf numFmtId="0" fontId="5" fillId="6" borderId="44" xfId="0" applyFont="1" applyFill="1" applyBorder="1" applyAlignment="1">
      <alignment horizontal="left" vertical="center" wrapText="1"/>
    </xf>
    <xf numFmtId="0" fontId="2" fillId="0" borderId="42" xfId="0" applyFont="1" applyBorder="1" applyAlignment="1">
      <alignment horizontal="left" vertical="center"/>
    </xf>
    <xf numFmtId="9" fontId="8" fillId="0" borderId="15" xfId="1" applyFont="1" applyBorder="1" applyAlignment="1">
      <alignment horizontal="center" vertical="center"/>
    </xf>
    <xf numFmtId="9" fontId="8" fillId="0" borderId="18" xfId="1" applyFont="1" applyBorder="1" applyAlignment="1">
      <alignment horizontal="center" vertical="center"/>
    </xf>
    <xf numFmtId="0" fontId="2" fillId="0" borderId="1" xfId="0" applyFont="1" applyFill="1" applyBorder="1" applyAlignment="1">
      <alignment horizontal="left" vertical="center" wrapText="1"/>
    </xf>
    <xf numFmtId="0" fontId="2" fillId="0" borderId="28" xfId="0" applyFont="1" applyFill="1" applyBorder="1" applyAlignment="1">
      <alignment horizontal="center" vertical="center" wrapText="1"/>
    </xf>
    <xf numFmtId="9" fontId="8" fillId="0" borderId="20" xfId="1" applyFont="1" applyBorder="1" applyAlignment="1">
      <alignment horizontal="center" vertical="center"/>
    </xf>
    <xf numFmtId="1" fontId="2" fillId="0" borderId="18" xfId="1" applyNumberFormat="1" applyFont="1" applyBorder="1" applyAlignment="1">
      <alignment horizontal="center" vertical="center"/>
    </xf>
    <xf numFmtId="0" fontId="5" fillId="6" borderId="1" xfId="0" applyFont="1" applyFill="1" applyBorder="1" applyAlignment="1">
      <alignment horizontal="left" vertical="center" wrapText="1"/>
    </xf>
    <xf numFmtId="0" fontId="5" fillId="6" borderId="13" xfId="0" applyFont="1" applyFill="1" applyBorder="1" applyAlignment="1">
      <alignment horizontal="left" vertical="center" wrapText="1"/>
    </xf>
    <xf numFmtId="0" fontId="2" fillId="0" borderId="46" xfId="0" applyFont="1" applyBorder="1" applyAlignment="1">
      <alignment vertical="center" wrapText="1"/>
    </xf>
    <xf numFmtId="0" fontId="5" fillId="0" borderId="31" xfId="0" applyFont="1" applyFill="1" applyBorder="1" applyAlignment="1">
      <alignment horizontal="left" vertical="center" wrapText="1"/>
    </xf>
    <xf numFmtId="0" fontId="2" fillId="0" borderId="43" xfId="0" applyFont="1" applyBorder="1" applyAlignment="1">
      <alignment horizontal="left" vertical="center" wrapText="1"/>
    </xf>
    <xf numFmtId="0" fontId="2" fillId="6" borderId="20" xfId="0" applyFont="1" applyFill="1" applyBorder="1" applyAlignment="1">
      <alignment horizontal="center" vertical="center" wrapText="1"/>
    </xf>
    <xf numFmtId="0" fontId="2" fillId="0" borderId="20" xfId="0" applyFont="1" applyBorder="1" applyAlignment="1">
      <alignment horizontal="center" vertical="center"/>
    </xf>
    <xf numFmtId="0" fontId="4" fillId="3" borderId="18" xfId="0" applyFont="1" applyFill="1" applyBorder="1" applyAlignment="1">
      <alignment horizontal="center" vertical="center" wrapText="1"/>
    </xf>
    <xf numFmtId="9" fontId="9" fillId="0" borderId="11" xfId="0" applyNumberFormat="1" applyFont="1" applyBorder="1" applyAlignment="1">
      <alignment horizontal="center" vertical="center"/>
    </xf>
    <xf numFmtId="9" fontId="8" fillId="0" borderId="1" xfId="1" applyFont="1" applyBorder="1" applyAlignment="1">
      <alignment horizontal="center" vertical="center"/>
    </xf>
    <xf numFmtId="0" fontId="2" fillId="0" borderId="24" xfId="0" applyFont="1" applyBorder="1" applyAlignment="1">
      <alignment horizontal="left" vertical="center" wrapText="1"/>
    </xf>
    <xf numFmtId="9" fontId="8" fillId="0" borderId="33" xfId="1" applyFont="1" applyBorder="1" applyAlignment="1">
      <alignment horizontal="center" vertical="center"/>
    </xf>
    <xf numFmtId="0" fontId="2" fillId="0" borderId="20" xfId="0" applyFont="1" applyBorder="1" applyAlignment="1">
      <alignment horizontal="left" vertical="center" wrapText="1"/>
    </xf>
    <xf numFmtId="0" fontId="4" fillId="3" borderId="30" xfId="0" applyFont="1" applyFill="1" applyBorder="1" applyAlignment="1">
      <alignment horizontal="center" vertical="center" wrapText="1"/>
    </xf>
    <xf numFmtId="9" fontId="8" fillId="0" borderId="40" xfId="1" applyFont="1" applyBorder="1" applyAlignment="1">
      <alignment horizontal="center" vertical="center"/>
    </xf>
    <xf numFmtId="9" fontId="8" fillId="0" borderId="30" xfId="1" applyFont="1" applyBorder="1" applyAlignment="1">
      <alignment horizontal="center" vertical="center"/>
    </xf>
    <xf numFmtId="9" fontId="9" fillId="0" borderId="19" xfId="1" applyFont="1" applyFill="1" applyBorder="1" applyAlignment="1">
      <alignment horizontal="center" vertical="center"/>
    </xf>
    <xf numFmtId="9" fontId="13" fillId="0" borderId="33" xfId="1" applyFont="1" applyBorder="1" applyAlignment="1">
      <alignment horizontal="center" vertical="center" wrapText="1"/>
    </xf>
    <xf numFmtId="9" fontId="13" fillId="0" borderId="30" xfId="1" applyFont="1" applyBorder="1" applyAlignment="1">
      <alignment horizontal="center" vertical="center" wrapText="1"/>
    </xf>
    <xf numFmtId="9" fontId="13" fillId="0" borderId="20" xfId="1" applyFont="1" applyBorder="1" applyAlignment="1">
      <alignment horizontal="center" vertical="center" wrapText="1"/>
    </xf>
    <xf numFmtId="9" fontId="13" fillId="0" borderId="1" xfId="1" applyFont="1" applyBorder="1" applyAlignment="1">
      <alignment horizontal="center" vertical="center" wrapText="1"/>
    </xf>
    <xf numFmtId="9" fontId="13" fillId="0" borderId="15" xfId="1" applyFont="1" applyBorder="1" applyAlignment="1">
      <alignment horizontal="center" vertical="center" wrapText="1"/>
    </xf>
    <xf numFmtId="9" fontId="13" fillId="0" borderId="58" xfId="1" applyFont="1" applyBorder="1" applyAlignment="1">
      <alignment horizontal="center" vertical="center" wrapText="1"/>
    </xf>
    <xf numFmtId="1" fontId="2" fillId="0" borderId="39" xfId="1" applyNumberFormat="1" applyFont="1" applyBorder="1" applyAlignment="1">
      <alignment horizontal="center" vertical="center"/>
    </xf>
    <xf numFmtId="0" fontId="4" fillId="3" borderId="19" xfId="0" applyFont="1" applyFill="1" applyBorder="1" applyAlignment="1">
      <alignment horizontal="center" vertical="center" wrapText="1"/>
    </xf>
    <xf numFmtId="9" fontId="8" fillId="0" borderId="16" xfId="0" applyNumberFormat="1" applyFont="1" applyBorder="1" applyAlignment="1">
      <alignment horizontal="center" vertical="center" wrapText="1"/>
    </xf>
    <xf numFmtId="9" fontId="8" fillId="0" borderId="22" xfId="0" applyNumberFormat="1" applyFont="1" applyBorder="1" applyAlignment="1">
      <alignment horizontal="center" vertical="center" wrapText="1"/>
    </xf>
    <xf numFmtId="9" fontId="8" fillId="0" borderId="19" xfId="0" applyNumberFormat="1" applyFont="1" applyBorder="1" applyAlignment="1">
      <alignment horizontal="center" vertical="center" wrapText="1"/>
    </xf>
    <xf numFmtId="9" fontId="8" fillId="0" borderId="16" xfId="1" applyFont="1" applyBorder="1" applyAlignment="1">
      <alignment horizontal="center" vertical="center"/>
    </xf>
    <xf numFmtId="9" fontId="8" fillId="0" borderId="22" xfId="1" applyFont="1" applyFill="1" applyBorder="1" applyAlignment="1">
      <alignment horizontal="center" vertical="center"/>
    </xf>
    <xf numFmtId="9" fontId="8" fillId="0" borderId="22" xfId="1" applyFont="1" applyBorder="1" applyAlignment="1">
      <alignment horizontal="center" vertical="center"/>
    </xf>
    <xf numFmtId="9" fontId="8" fillId="0" borderId="38" xfId="1" applyFont="1" applyBorder="1" applyAlignment="1">
      <alignment horizontal="center" vertical="center"/>
    </xf>
    <xf numFmtId="9" fontId="8" fillId="0" borderId="19" xfId="1" applyFont="1" applyBorder="1" applyAlignment="1">
      <alignment horizontal="center" vertical="center"/>
    </xf>
    <xf numFmtId="9" fontId="8" fillId="0" borderId="16" xfId="0" applyNumberFormat="1" applyFont="1" applyBorder="1" applyAlignment="1">
      <alignment horizontal="center" vertical="center"/>
    </xf>
    <xf numFmtId="9" fontId="8" fillId="0" borderId="22" xfId="0" applyNumberFormat="1" applyFont="1" applyBorder="1" applyAlignment="1">
      <alignment horizontal="center" vertical="center"/>
    </xf>
    <xf numFmtId="9" fontId="8" fillId="0" borderId="19" xfId="0" applyNumberFormat="1" applyFont="1" applyBorder="1" applyAlignment="1">
      <alignment horizontal="center" vertical="center"/>
    </xf>
    <xf numFmtId="9" fontId="8" fillId="0" borderId="27" xfId="1" applyFont="1" applyBorder="1" applyAlignment="1">
      <alignment horizontal="center" vertical="center"/>
    </xf>
    <xf numFmtId="9" fontId="8" fillId="0" borderId="38" xfId="0" applyNumberFormat="1" applyFont="1" applyBorder="1" applyAlignment="1">
      <alignment horizontal="center" vertical="center"/>
    </xf>
    <xf numFmtId="9" fontId="13" fillId="0" borderId="18" xfId="1" applyFont="1" applyBorder="1" applyAlignment="1">
      <alignment horizontal="center" vertical="center" wrapText="1"/>
    </xf>
    <xf numFmtId="1" fontId="2" fillId="0" borderId="17" xfId="1" applyNumberFormat="1" applyFont="1" applyBorder="1" applyAlignment="1">
      <alignment horizontal="center" vertical="center" wrapText="1"/>
    </xf>
    <xf numFmtId="9" fontId="12" fillId="0" borderId="18" xfId="1" applyFont="1" applyBorder="1" applyAlignment="1">
      <alignment horizontal="center" vertical="center"/>
    </xf>
    <xf numFmtId="9" fontId="12" fillId="0" borderId="41" xfId="1" applyFont="1" applyBorder="1" applyAlignment="1">
      <alignment horizontal="center" vertical="center"/>
    </xf>
    <xf numFmtId="9" fontId="13" fillId="0" borderId="51" xfId="1" applyFont="1" applyBorder="1" applyAlignment="1">
      <alignment horizontal="center" vertical="center" wrapText="1"/>
    </xf>
    <xf numFmtId="1" fontId="2" fillId="0" borderId="65" xfId="1" applyNumberFormat="1" applyFont="1" applyBorder="1" applyAlignment="1">
      <alignment horizontal="center" vertical="center" wrapText="1"/>
    </xf>
    <xf numFmtId="9" fontId="11" fillId="0" borderId="18" xfId="1" applyFont="1" applyBorder="1" applyAlignment="1">
      <alignment horizontal="center" vertical="center" wrapText="1"/>
    </xf>
    <xf numFmtId="9" fontId="12" fillId="0" borderId="39" xfId="1" applyFont="1" applyBorder="1" applyAlignment="1">
      <alignment horizontal="center" vertical="center" wrapText="1"/>
    </xf>
    <xf numFmtId="9" fontId="13" fillId="0" borderId="54" xfId="1" applyFont="1" applyBorder="1" applyAlignment="1">
      <alignment horizontal="center" vertical="center" wrapText="1"/>
    </xf>
    <xf numFmtId="9" fontId="13" fillId="0" borderId="1" xfId="1" applyFont="1" applyFill="1" applyBorder="1" applyAlignment="1">
      <alignment horizontal="center" vertical="center" wrapText="1"/>
    </xf>
    <xf numFmtId="9" fontId="9" fillId="0" borderId="12" xfId="1" applyFont="1" applyBorder="1" applyAlignment="1">
      <alignment horizontal="center" vertical="center" wrapText="1"/>
    </xf>
    <xf numFmtId="9" fontId="8" fillId="0" borderId="12" xfId="1" applyFont="1" applyBorder="1" applyAlignment="1">
      <alignment horizontal="center" vertical="center" wrapText="1"/>
    </xf>
    <xf numFmtId="9" fontId="9" fillId="0" borderId="28" xfId="0" applyNumberFormat="1" applyFont="1" applyFill="1" applyBorder="1" applyAlignment="1">
      <alignment horizontal="center" vertical="center"/>
    </xf>
    <xf numFmtId="9" fontId="9" fillId="0" borderId="11" xfId="0" applyNumberFormat="1" applyFont="1" applyFill="1" applyBorder="1" applyAlignment="1">
      <alignment horizontal="center" vertical="center"/>
    </xf>
    <xf numFmtId="0" fontId="5"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52" xfId="0" applyFont="1" applyFill="1" applyBorder="1" applyAlignment="1">
      <alignment horizontal="center" vertical="center" wrapText="1"/>
    </xf>
    <xf numFmtId="9" fontId="8" fillId="0" borderId="16" xfId="1" applyFont="1" applyFill="1" applyBorder="1" applyAlignment="1">
      <alignment horizontal="center" vertical="center"/>
    </xf>
    <xf numFmtId="1" fontId="2" fillId="0" borderId="15" xfId="1" applyNumberFormat="1" applyFont="1" applyFill="1" applyBorder="1" applyAlignment="1">
      <alignment horizontal="center" vertical="center"/>
    </xf>
    <xf numFmtId="9" fontId="8" fillId="0" borderId="15" xfId="1" applyFont="1" applyFill="1" applyBorder="1" applyAlignment="1">
      <alignment horizontal="center" vertical="center"/>
    </xf>
    <xf numFmtId="0" fontId="2" fillId="0" borderId="15" xfId="1" applyNumberFormat="1" applyFont="1" applyFill="1" applyBorder="1" applyAlignment="1">
      <alignment horizontal="center" vertical="center"/>
    </xf>
    <xf numFmtId="9" fontId="8" fillId="0" borderId="15" xfId="1" applyFont="1" applyFill="1" applyBorder="1" applyAlignment="1">
      <alignment horizontal="center" vertical="center" wrapText="1"/>
    </xf>
    <xf numFmtId="1" fontId="2" fillId="0" borderId="31" xfId="1" applyNumberFormat="1" applyFont="1" applyFill="1" applyBorder="1" applyAlignment="1">
      <alignment horizontal="center" vertical="center" wrapText="1"/>
    </xf>
    <xf numFmtId="1" fontId="2" fillId="0" borderId="20" xfId="1" applyNumberFormat="1" applyFont="1" applyFill="1" applyBorder="1" applyAlignment="1">
      <alignment horizontal="center" vertical="center" wrapText="1"/>
    </xf>
    <xf numFmtId="9" fontId="2" fillId="0" borderId="20" xfId="1" applyFont="1" applyFill="1" applyBorder="1" applyAlignment="1">
      <alignment horizontal="center" vertical="center" wrapText="1"/>
    </xf>
    <xf numFmtId="9" fontId="13" fillId="0" borderId="21" xfId="1" applyFont="1" applyFill="1" applyBorder="1" applyAlignment="1">
      <alignment horizontal="center" vertical="center" wrapText="1"/>
    </xf>
    <xf numFmtId="9" fontId="13" fillId="0" borderId="42" xfId="1" applyFont="1" applyFill="1" applyBorder="1" applyAlignment="1">
      <alignment horizontal="center" vertical="center" wrapText="1"/>
    </xf>
    <xf numFmtId="0" fontId="5" fillId="0" borderId="26" xfId="0" applyFont="1" applyFill="1" applyBorder="1" applyAlignment="1">
      <alignment horizontal="left" vertical="center" wrapText="1"/>
    </xf>
    <xf numFmtId="0" fontId="2" fillId="0" borderId="1" xfId="0" applyFont="1" applyFill="1" applyBorder="1" applyAlignment="1">
      <alignment horizontal="center" vertical="center" wrapText="1"/>
    </xf>
    <xf numFmtId="9" fontId="13" fillId="0" borderId="20" xfId="1" applyFont="1" applyFill="1" applyBorder="1" applyAlignment="1">
      <alignment horizontal="center" vertical="center" wrapText="1"/>
    </xf>
    <xf numFmtId="0" fontId="5" fillId="0" borderId="17"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8" xfId="0" applyFont="1" applyFill="1" applyBorder="1" applyAlignment="1">
      <alignment horizontal="center" vertical="center" wrapText="1"/>
    </xf>
    <xf numFmtId="9" fontId="8" fillId="0" borderId="19" xfId="1" applyFont="1" applyFill="1" applyBorder="1" applyAlignment="1">
      <alignment horizontal="center" vertical="center"/>
    </xf>
    <xf numFmtId="9" fontId="13" fillId="0" borderId="30" xfId="1" applyFont="1" applyFill="1" applyBorder="1" applyAlignment="1">
      <alignment horizontal="center" vertical="center" wrapText="1"/>
    </xf>
    <xf numFmtId="0" fontId="2" fillId="0" borderId="31" xfId="0" applyFont="1" applyFill="1" applyBorder="1" applyAlignment="1">
      <alignment horizontal="left" vertical="center" wrapText="1"/>
    </xf>
    <xf numFmtId="0" fontId="2" fillId="0" borderId="21" xfId="0" applyFont="1" applyFill="1" applyBorder="1" applyAlignment="1">
      <alignment horizontal="left" vertical="center" wrapText="1"/>
    </xf>
    <xf numFmtId="9" fontId="12" fillId="0" borderId="40" xfId="1" applyFont="1" applyFill="1" applyBorder="1" applyAlignment="1">
      <alignment horizontal="center" vertical="center" wrapText="1"/>
    </xf>
    <xf numFmtId="9" fontId="12" fillId="0" borderId="40" xfId="1" applyNumberFormat="1" applyFont="1" applyFill="1" applyBorder="1" applyAlignment="1">
      <alignment horizontal="center" vertical="center" wrapText="1"/>
    </xf>
    <xf numFmtId="9" fontId="2" fillId="0" borderId="20" xfId="1" applyFont="1" applyBorder="1" applyAlignment="1">
      <alignment horizontal="center" vertical="center"/>
    </xf>
    <xf numFmtId="9" fontId="12" fillId="0" borderId="43" xfId="1" applyFont="1" applyBorder="1" applyAlignment="1">
      <alignment horizontal="center" vertical="center"/>
    </xf>
    <xf numFmtId="9" fontId="13" fillId="0" borderId="18" xfId="1" applyFont="1" applyFill="1" applyBorder="1" applyAlignment="1">
      <alignment horizontal="center" vertical="center" wrapText="1"/>
    </xf>
    <xf numFmtId="9" fontId="8" fillId="0" borderId="1" xfId="1" applyFont="1" applyBorder="1" applyAlignment="1">
      <alignment horizontal="center" vertical="center"/>
    </xf>
    <xf numFmtId="9" fontId="2" fillId="0" borderId="42" xfId="1" applyFont="1" applyBorder="1" applyAlignment="1">
      <alignment horizontal="center" vertical="center" wrapText="1"/>
    </xf>
    <xf numFmtId="9" fontId="8" fillId="0" borderId="33" xfId="1" applyFont="1" applyBorder="1" applyAlignment="1">
      <alignment horizontal="center" vertical="center"/>
    </xf>
    <xf numFmtId="0" fontId="8" fillId="0" borderId="1" xfId="1" applyNumberFormat="1" applyFont="1" applyBorder="1" applyAlignment="1">
      <alignment horizontal="center" vertical="center"/>
    </xf>
    <xf numFmtId="0" fontId="2" fillId="0" borderId="60" xfId="1" applyNumberFormat="1" applyFont="1" applyBorder="1" applyAlignment="1">
      <alignment horizontal="center" vertical="center"/>
    </xf>
    <xf numFmtId="0" fontId="2" fillId="0" borderId="1" xfId="1" applyNumberFormat="1" applyFont="1" applyBorder="1" applyAlignment="1">
      <alignment horizontal="center" vertical="center"/>
    </xf>
    <xf numFmtId="0" fontId="2" fillId="0" borderId="50" xfId="1" applyNumberFormat="1" applyFont="1" applyBorder="1" applyAlignment="1">
      <alignment horizontal="center" vertical="center"/>
    </xf>
    <xf numFmtId="9" fontId="12" fillId="0" borderId="1" xfId="1" applyFont="1" applyBorder="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0" fontId="14" fillId="0" borderId="0" xfId="0" applyFont="1" applyAlignment="1">
      <alignment horizontal="center" vertical="center"/>
    </xf>
    <xf numFmtId="0" fontId="0" fillId="0" borderId="0" xfId="0" applyAlignment="1">
      <alignment horizontal="center" vertical="center"/>
    </xf>
    <xf numFmtId="0" fontId="4" fillId="5" borderId="0" xfId="0" applyFont="1" applyFill="1" applyBorder="1" applyAlignment="1">
      <alignment vertical="center" wrapText="1"/>
    </xf>
    <xf numFmtId="9" fontId="16" fillId="0" borderId="19" xfId="1" applyFont="1" applyFill="1" applyBorder="1" applyAlignment="1">
      <alignment horizontal="center" vertical="center"/>
    </xf>
    <xf numFmtId="9" fontId="16" fillId="0" borderId="12" xfId="1" applyFont="1" applyBorder="1" applyAlignment="1">
      <alignment horizontal="center" vertical="center" wrapText="1"/>
    </xf>
    <xf numFmtId="0" fontId="4" fillId="7" borderId="69"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8" borderId="37" xfId="0" applyFont="1" applyFill="1" applyBorder="1" applyAlignment="1">
      <alignment horizontal="center" vertical="center" wrapText="1"/>
    </xf>
    <xf numFmtId="9" fontId="2" fillId="0" borderId="62" xfId="0" applyNumberFormat="1" applyFont="1" applyBorder="1" applyAlignment="1">
      <alignment horizontal="center" vertical="center" wrapText="1"/>
    </xf>
    <xf numFmtId="9" fontId="9" fillId="0" borderId="35" xfId="1" applyFont="1" applyBorder="1" applyAlignment="1">
      <alignment horizontal="center" vertical="center" wrapText="1"/>
    </xf>
    <xf numFmtId="9" fontId="17" fillId="0" borderId="1" xfId="0" applyNumberFormat="1" applyFont="1" applyBorder="1" applyAlignment="1">
      <alignment horizontal="center" vertical="center"/>
    </xf>
    <xf numFmtId="9" fontId="4" fillId="0" borderId="1" xfId="0" applyNumberFormat="1" applyFont="1" applyBorder="1" applyAlignment="1">
      <alignment horizontal="center" vertical="center"/>
    </xf>
    <xf numFmtId="0" fontId="19" fillId="0" borderId="1" xfId="0" applyFont="1" applyBorder="1"/>
    <xf numFmtId="0" fontId="0" fillId="0" borderId="14" xfId="0" applyBorder="1" applyAlignment="1">
      <alignment horizontal="center" vertical="center"/>
    </xf>
    <xf numFmtId="0" fontId="0" fillId="0" borderId="15" xfId="0" applyBorder="1" applyAlignment="1">
      <alignment horizontal="center" vertical="center"/>
    </xf>
    <xf numFmtId="0" fontId="0" fillId="0" borderId="26" xfId="0" applyBorder="1" applyAlignment="1">
      <alignment horizontal="center" vertical="center"/>
    </xf>
    <xf numFmtId="0" fontId="20" fillId="0" borderId="22" xfId="0" applyFont="1" applyBorder="1" applyAlignment="1">
      <alignment horizontal="center" vertical="center"/>
    </xf>
    <xf numFmtId="0" fontId="14" fillId="0" borderId="26" xfId="0" applyFont="1" applyBorder="1" applyAlignment="1">
      <alignment horizontal="left" vertical="center"/>
    </xf>
    <xf numFmtId="0" fontId="14" fillId="0" borderId="17" xfId="0" applyFont="1" applyBorder="1" applyAlignment="1">
      <alignment horizontal="left" vertical="center"/>
    </xf>
    <xf numFmtId="9" fontId="18" fillId="0" borderId="18" xfId="0" applyNumberFormat="1" applyFont="1" applyBorder="1" applyAlignment="1">
      <alignment horizontal="center" vertical="center"/>
    </xf>
    <xf numFmtId="9" fontId="8" fillId="0" borderId="18" xfId="0" applyNumberFormat="1" applyFont="1" applyBorder="1" applyAlignment="1">
      <alignment horizontal="center" vertical="center"/>
    </xf>
    <xf numFmtId="0" fontId="19" fillId="0" borderId="18" xfId="0" applyFont="1" applyBorder="1"/>
    <xf numFmtId="0" fontId="20" fillId="0" borderId="19" xfId="0" applyFont="1" applyBorder="1" applyAlignment="1">
      <alignment horizontal="center" vertical="center"/>
    </xf>
    <xf numFmtId="0" fontId="19" fillId="9"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20" fillId="7" borderId="22" xfId="0" applyFont="1" applyFill="1" applyBorder="1" applyAlignment="1">
      <alignment horizontal="center" vertical="center"/>
    </xf>
    <xf numFmtId="0" fontId="0" fillId="0" borderId="40" xfId="0" applyBorder="1"/>
    <xf numFmtId="0" fontId="0" fillId="7" borderId="33" xfId="0" applyFill="1" applyBorder="1" applyAlignment="1">
      <alignment horizontal="center" vertical="center" wrapText="1"/>
    </xf>
    <xf numFmtId="0" fontId="20" fillId="0" borderId="33" xfId="0" applyFont="1" applyBorder="1"/>
    <xf numFmtId="0" fontId="20" fillId="0" borderId="30" xfId="0" applyFont="1" applyBorder="1"/>
    <xf numFmtId="0" fontId="19" fillId="9" borderId="42" xfId="0" applyFont="1" applyFill="1" applyBorder="1" applyAlignment="1">
      <alignment horizontal="center" vertical="center"/>
    </xf>
    <xf numFmtId="0" fontId="19" fillId="0" borderId="42" xfId="0" applyFont="1" applyBorder="1" applyAlignment="1">
      <alignment horizontal="center" vertical="center"/>
    </xf>
    <xf numFmtId="0" fontId="19" fillId="0" borderId="39" xfId="0" applyFont="1" applyBorder="1" applyAlignment="1">
      <alignment horizontal="center" vertical="center"/>
    </xf>
    <xf numFmtId="0" fontId="19" fillId="9" borderId="26" xfId="0" applyFont="1" applyFill="1" applyBorder="1" applyAlignment="1">
      <alignment horizontal="center" vertical="center"/>
    </xf>
    <xf numFmtId="0" fontId="19" fillId="9" borderId="22" xfId="0" applyFont="1" applyFill="1" applyBorder="1" applyAlignment="1">
      <alignment horizontal="center" vertical="center"/>
    </xf>
    <xf numFmtId="0" fontId="19" fillId="0" borderId="26" xfId="0" applyFont="1" applyBorder="1" applyAlignment="1">
      <alignment horizontal="center" vertical="center"/>
    </xf>
    <xf numFmtId="0" fontId="19" fillId="0" borderId="22" xfId="0" applyFont="1" applyBorder="1"/>
    <xf numFmtId="0" fontId="19" fillId="0" borderId="17" xfId="0" applyFont="1" applyBorder="1" applyAlignment="1">
      <alignment horizontal="center" vertical="center"/>
    </xf>
    <xf numFmtId="0" fontId="19" fillId="0" borderId="19" xfId="0" applyFont="1" applyBorder="1"/>
    <xf numFmtId="0" fontId="19" fillId="9" borderId="33" xfId="0" applyFont="1" applyFill="1" applyBorder="1" applyAlignment="1">
      <alignment horizontal="center" vertical="center"/>
    </xf>
    <xf numFmtId="0" fontId="19" fillId="0" borderId="33" xfId="0" applyFont="1" applyBorder="1"/>
    <xf numFmtId="0" fontId="19" fillId="0" borderId="30" xfId="0" applyFont="1" applyBorder="1"/>
    <xf numFmtId="0" fontId="20" fillId="7" borderId="42" xfId="0" applyFont="1" applyFill="1" applyBorder="1" applyAlignment="1">
      <alignment horizontal="center" vertical="center"/>
    </xf>
    <xf numFmtId="0" fontId="20" fillId="0" borderId="42" xfId="0" applyFont="1" applyBorder="1" applyAlignment="1">
      <alignment horizontal="center" vertical="center"/>
    </xf>
    <xf numFmtId="0" fontId="20" fillId="0" borderId="39" xfId="0" applyFont="1" applyBorder="1" applyAlignment="1">
      <alignment horizontal="center" vertical="center"/>
    </xf>
    <xf numFmtId="0" fontId="20" fillId="7" borderId="26" xfId="0" applyFont="1" applyFill="1" applyBorder="1" applyAlignment="1">
      <alignment horizontal="center" vertical="center"/>
    </xf>
    <xf numFmtId="0" fontId="20" fillId="0" borderId="26" xfId="0" applyFont="1" applyBorder="1" applyAlignment="1">
      <alignment horizontal="center" vertical="center"/>
    </xf>
    <xf numFmtId="0" fontId="20" fillId="0" borderId="17" xfId="0" applyFont="1" applyBorder="1" applyAlignment="1">
      <alignment horizontal="center" vertical="center"/>
    </xf>
    <xf numFmtId="0" fontId="0" fillId="7" borderId="0" xfId="0" applyFill="1"/>
    <xf numFmtId="0" fontId="0" fillId="9" borderId="15" xfId="0" applyFill="1" applyBorder="1"/>
    <xf numFmtId="9" fontId="2" fillId="0" borderId="41" xfId="1" applyFont="1" applyBorder="1" applyAlignment="1">
      <alignment horizontal="center" vertical="center"/>
    </xf>
    <xf numFmtId="0" fontId="2" fillId="0" borderId="26"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9" fontId="12" fillId="0" borderId="41" xfId="1" applyFont="1" applyBorder="1" applyAlignment="1">
      <alignment horizontal="center" vertical="center"/>
    </xf>
    <xf numFmtId="9" fontId="8" fillId="0" borderId="1" xfId="1" applyFont="1" applyBorder="1" applyAlignment="1">
      <alignment horizontal="center" vertical="center" wrapText="1"/>
    </xf>
    <xf numFmtId="9" fontId="12" fillId="0" borderId="43" xfId="1" applyFont="1" applyBorder="1" applyAlignment="1">
      <alignment horizontal="center" vertical="center" wrapText="1"/>
    </xf>
    <xf numFmtId="9" fontId="12" fillId="0" borderId="59" xfId="1" applyFont="1" applyBorder="1" applyAlignment="1">
      <alignment horizontal="center" vertical="center"/>
    </xf>
    <xf numFmtId="9" fontId="2" fillId="0" borderId="68" xfId="0" applyNumberFormat="1" applyFont="1" applyBorder="1" applyAlignment="1">
      <alignment horizontal="center" vertical="center" wrapText="1"/>
    </xf>
    <xf numFmtId="0" fontId="2" fillId="0" borderId="13" xfId="0" applyFont="1" applyBorder="1" applyAlignment="1">
      <alignment horizontal="left" vertical="center" wrapText="1"/>
    </xf>
    <xf numFmtId="0" fontId="2" fillId="0" borderId="20" xfId="0" applyFont="1" applyBorder="1" applyAlignment="1">
      <alignment horizontal="left" vertical="center" wrapText="1"/>
    </xf>
    <xf numFmtId="9" fontId="8" fillId="0" borderId="30" xfId="1" applyFont="1" applyBorder="1" applyAlignment="1">
      <alignment horizontal="center" vertical="center"/>
    </xf>
    <xf numFmtId="0" fontId="2" fillId="0" borderId="43" xfId="0" applyFont="1" applyBorder="1" applyAlignment="1">
      <alignment horizontal="left" vertical="center"/>
    </xf>
    <xf numFmtId="0" fontId="2" fillId="6" borderId="18" xfId="0" applyFont="1" applyFill="1" applyBorder="1" applyAlignment="1">
      <alignment horizontal="center" vertical="center" wrapText="1"/>
    </xf>
    <xf numFmtId="9" fontId="8" fillId="0" borderId="30" xfId="0" applyNumberFormat="1" applyFont="1" applyBorder="1" applyAlignment="1">
      <alignment horizontal="center" vertical="center"/>
    </xf>
    <xf numFmtId="9" fontId="8" fillId="0" borderId="1" xfId="1" applyFont="1" applyBorder="1" applyAlignment="1">
      <alignment horizontal="center" vertical="center"/>
    </xf>
    <xf numFmtId="9" fontId="8" fillId="0" borderId="1" xfId="1" applyFont="1" applyBorder="1" applyAlignment="1">
      <alignment horizontal="center" vertical="center" wrapText="1"/>
    </xf>
    <xf numFmtId="9" fontId="8" fillId="0" borderId="33" xfId="1" applyFont="1" applyBorder="1" applyAlignment="1">
      <alignment horizontal="center" vertical="center" wrapText="1"/>
    </xf>
    <xf numFmtId="9" fontId="2" fillId="0" borderId="42" xfId="1" applyFont="1" applyBorder="1" applyAlignment="1">
      <alignment horizontal="center" vertical="center" wrapText="1"/>
    </xf>
    <xf numFmtId="9" fontId="8" fillId="0" borderId="28" xfId="1" applyFont="1" applyBorder="1" applyAlignment="1">
      <alignment horizontal="center" vertical="center"/>
    </xf>
    <xf numFmtId="9" fontId="8" fillId="0" borderId="30" xfId="1" applyFont="1" applyBorder="1" applyAlignment="1">
      <alignment horizontal="center" vertical="center" wrapText="1"/>
    </xf>
    <xf numFmtId="9" fontId="8" fillId="0" borderId="55" xfId="1" applyFont="1" applyBorder="1" applyAlignment="1">
      <alignment horizontal="center" vertical="center"/>
    </xf>
    <xf numFmtId="1" fontId="8" fillId="0" borderId="1" xfId="1" applyNumberFormat="1" applyFont="1" applyBorder="1" applyAlignment="1">
      <alignment horizontal="center" vertical="center" wrapText="1"/>
    </xf>
    <xf numFmtId="9" fontId="2" fillId="0" borderId="1" xfId="1" applyFont="1" applyBorder="1" applyAlignment="1">
      <alignment horizontal="center" vertical="center"/>
    </xf>
    <xf numFmtId="1" fontId="11" fillId="0" borderId="26" xfId="1" applyNumberFormat="1" applyFont="1" applyBorder="1" applyAlignment="1">
      <alignment horizontal="center" vertical="center" wrapText="1"/>
    </xf>
    <xf numFmtId="1" fontId="11" fillId="0" borderId="1" xfId="1" applyNumberFormat="1" applyFont="1" applyBorder="1" applyAlignment="1">
      <alignment horizontal="center" vertical="center" wrapText="1"/>
    </xf>
    <xf numFmtId="9" fontId="2" fillId="0" borderId="65" xfId="1" applyFont="1" applyBorder="1" applyAlignment="1">
      <alignment horizontal="center" vertical="center" wrapText="1"/>
    </xf>
    <xf numFmtId="1" fontId="2" fillId="0" borderId="26" xfId="1" applyNumberFormat="1" applyFont="1" applyBorder="1" applyAlignment="1">
      <alignment horizontal="center" vertical="center" wrapText="1"/>
    </xf>
    <xf numFmtId="1" fontId="2" fillId="0" borderId="42" xfId="1" applyNumberFormat="1" applyFont="1" applyBorder="1" applyAlignment="1">
      <alignment horizontal="center" vertical="center" wrapText="1"/>
    </xf>
    <xf numFmtId="9" fontId="2" fillId="0" borderId="60" xfId="1" applyFont="1" applyFill="1" applyBorder="1" applyAlignment="1">
      <alignment horizontal="center" vertical="center" wrapText="1"/>
    </xf>
    <xf numFmtId="9" fontId="12" fillId="0" borderId="33" xfId="1" applyFont="1" applyBorder="1" applyAlignment="1">
      <alignment horizontal="center" vertical="center" wrapText="1"/>
    </xf>
    <xf numFmtId="9" fontId="2" fillId="0" borderId="1" xfId="1" applyFont="1" applyBorder="1" applyAlignment="1">
      <alignment horizontal="center" vertical="center" wrapText="1"/>
    </xf>
    <xf numFmtId="9" fontId="13" fillId="0" borderId="57" xfId="1" applyFont="1" applyBorder="1" applyAlignment="1">
      <alignment horizontal="center" vertical="center" wrapText="1"/>
    </xf>
    <xf numFmtId="165" fontId="2" fillId="0" borderId="18" xfId="1" applyNumberFormat="1" applyFont="1" applyBorder="1" applyAlignment="1">
      <alignment horizontal="center" vertical="center"/>
    </xf>
    <xf numFmtId="2" fontId="2" fillId="0" borderId="18" xfId="1" applyNumberFormat="1" applyFont="1" applyBorder="1" applyAlignment="1">
      <alignment horizontal="center" vertical="center"/>
    </xf>
    <xf numFmtId="9" fontId="12" fillId="0" borderId="33" xfId="1" applyFont="1" applyBorder="1" applyAlignment="1">
      <alignment horizontal="center" vertical="center" wrapText="1"/>
    </xf>
    <xf numFmtId="164" fontId="12" fillId="0" borderId="1" xfId="1" applyNumberFormat="1" applyFont="1" applyBorder="1" applyAlignment="1">
      <alignment horizontal="center" vertical="center"/>
    </xf>
    <xf numFmtId="9" fontId="13" fillId="0" borderId="54" xfId="1" applyNumberFormat="1" applyFont="1" applyBorder="1" applyAlignment="1">
      <alignment horizontal="center" vertical="center" wrapText="1"/>
    </xf>
    <xf numFmtId="9" fontId="12" fillId="0" borderId="33" xfId="1" applyFont="1" applyBorder="1" applyAlignment="1">
      <alignment horizontal="center" vertical="center"/>
    </xf>
    <xf numFmtId="9" fontId="12" fillId="0" borderId="50" xfId="1" applyFont="1" applyBorder="1" applyAlignment="1">
      <alignment horizontal="center" vertical="center"/>
    </xf>
    <xf numFmtId="9" fontId="8" fillId="0" borderId="1" xfId="1" applyFont="1" applyBorder="1" applyAlignment="1">
      <alignment horizontal="center" vertical="center"/>
    </xf>
    <xf numFmtId="9" fontId="9" fillId="0" borderId="36" xfId="1" applyFont="1" applyBorder="1" applyAlignment="1">
      <alignment horizontal="center" vertical="center" wrapText="1"/>
    </xf>
    <xf numFmtId="9" fontId="9" fillId="0" borderId="27" xfId="1" applyFont="1" applyBorder="1" applyAlignment="1">
      <alignment horizontal="center" vertical="center" wrapText="1"/>
    </xf>
    <xf numFmtId="9" fontId="9" fillId="0" borderId="38" xfId="1" applyFont="1" applyBorder="1" applyAlignment="1">
      <alignment horizontal="center" vertical="center" wrapText="1"/>
    </xf>
    <xf numFmtId="9" fontId="9" fillId="0" borderId="45" xfId="1" applyFont="1" applyFill="1" applyBorder="1" applyAlignment="1">
      <alignment horizontal="center" vertical="center" wrapText="1"/>
    </xf>
    <xf numFmtId="9" fontId="9" fillId="0" borderId="38" xfId="1" applyFont="1" applyFill="1" applyBorder="1" applyAlignment="1">
      <alignment horizontal="center" vertical="center" wrapText="1"/>
    </xf>
    <xf numFmtId="9" fontId="2" fillId="0" borderId="48" xfId="1" applyFont="1" applyBorder="1" applyAlignment="1">
      <alignment horizontal="center" vertical="center"/>
    </xf>
    <xf numFmtId="9" fontId="2" fillId="0" borderId="9" xfId="1" applyFont="1" applyBorder="1" applyAlignment="1">
      <alignment horizontal="center" vertical="center"/>
    </xf>
    <xf numFmtId="9" fontId="2" fillId="0" borderId="47" xfId="1" applyFont="1" applyBorder="1" applyAlignment="1">
      <alignment horizontal="center" vertical="center"/>
    </xf>
    <xf numFmtId="9" fontId="3" fillId="0" borderId="0" xfId="1" applyFont="1" applyBorder="1" applyAlignment="1">
      <alignment horizontal="center" vertical="center"/>
    </xf>
    <xf numFmtId="9" fontId="2" fillId="0" borderId="61" xfId="1" applyFont="1" applyBorder="1" applyAlignment="1">
      <alignment horizontal="center" vertical="center"/>
    </xf>
    <xf numFmtId="9" fontId="2" fillId="0" borderId="51" xfId="1" applyFont="1" applyBorder="1" applyAlignment="1">
      <alignment horizontal="center" vertical="center"/>
    </xf>
    <xf numFmtId="9" fontId="2" fillId="0" borderId="39" xfId="1" applyFont="1" applyBorder="1" applyAlignment="1">
      <alignment horizontal="center" vertical="center"/>
    </xf>
    <xf numFmtId="9" fontId="2" fillId="0" borderId="30" xfId="1" applyFont="1" applyBorder="1" applyAlignment="1">
      <alignment horizontal="center" vertical="center"/>
    </xf>
    <xf numFmtId="9" fontId="2" fillId="0" borderId="60" xfId="1" applyFont="1" applyBorder="1" applyAlignment="1">
      <alignment horizontal="center" vertical="center"/>
    </xf>
    <xf numFmtId="9" fontId="2" fillId="0" borderId="50" xfId="1" applyFont="1" applyBorder="1" applyAlignment="1">
      <alignment horizontal="center" vertical="center"/>
    </xf>
    <xf numFmtId="9" fontId="2" fillId="0" borderId="44" xfId="1" applyFont="1" applyBorder="1" applyAlignment="1">
      <alignment horizontal="center" vertical="center"/>
    </xf>
    <xf numFmtId="9" fontId="2" fillId="0" borderId="33" xfId="1" applyFont="1" applyBorder="1" applyAlignment="1">
      <alignment horizontal="center" vertical="center"/>
    </xf>
    <xf numFmtId="9" fontId="2" fillId="0" borderId="42" xfId="1"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64" xfId="0" applyFont="1" applyBorder="1" applyAlignment="1">
      <alignment horizontal="center" vertical="center"/>
    </xf>
    <xf numFmtId="0" fontId="3" fillId="0" borderId="55" xfId="0" applyFont="1" applyBorder="1" applyAlignment="1">
      <alignment horizontal="center" vertical="center"/>
    </xf>
    <xf numFmtId="0" fontId="3" fillId="0" borderId="66" xfId="0" applyFont="1" applyBorder="1" applyAlignment="1">
      <alignment horizontal="center" vertical="center"/>
    </xf>
    <xf numFmtId="0" fontId="4" fillId="0" borderId="48" xfId="0" applyFont="1" applyBorder="1" applyAlignment="1">
      <alignment horizontal="center" vertical="center"/>
    </xf>
    <xf numFmtId="0" fontId="4" fillId="0" borderId="9" xfId="0" applyFont="1" applyBorder="1" applyAlignment="1">
      <alignment horizontal="center" vertical="center"/>
    </xf>
    <xf numFmtId="0" fontId="4" fillId="0" borderId="47" xfId="0" applyFont="1" applyBorder="1" applyAlignment="1">
      <alignment horizontal="center" vertical="center"/>
    </xf>
    <xf numFmtId="0" fontId="2" fillId="0" borderId="48" xfId="0" applyFont="1" applyBorder="1" applyAlignment="1">
      <alignment horizontal="center" vertical="center"/>
    </xf>
    <xf numFmtId="0" fontId="2" fillId="0" borderId="9" xfId="0" applyFont="1" applyBorder="1" applyAlignment="1">
      <alignment horizontal="center" vertical="center"/>
    </xf>
    <xf numFmtId="0" fontId="2" fillId="0" borderId="47" xfId="0" applyFont="1" applyBorder="1" applyAlignment="1">
      <alignment horizontal="center" vertical="center"/>
    </xf>
    <xf numFmtId="0" fontId="4" fillId="2" borderId="4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4" xfId="0" applyFont="1" applyFill="1" applyBorder="1" applyAlignment="1">
      <alignment horizontal="center" vertical="center"/>
    </xf>
    <xf numFmtId="9" fontId="9" fillId="0" borderId="37" xfId="1" applyFont="1" applyBorder="1" applyAlignment="1">
      <alignment horizontal="center" vertical="center" wrapText="1"/>
    </xf>
    <xf numFmtId="9" fontId="9" fillId="0" borderId="5" xfId="1" applyFont="1" applyBorder="1" applyAlignment="1">
      <alignment horizontal="center" vertical="center" wrapText="1"/>
    </xf>
    <xf numFmtId="9" fontId="4" fillId="0" borderId="67" xfId="1" applyFont="1" applyBorder="1" applyAlignment="1">
      <alignment horizontal="center" vertical="center"/>
    </xf>
    <xf numFmtId="9" fontId="4" fillId="0" borderId="43" xfId="1" applyFont="1" applyBorder="1" applyAlignment="1">
      <alignment horizontal="center" vertical="center"/>
    </xf>
    <xf numFmtId="9" fontId="2" fillId="0" borderId="67" xfId="1" applyFont="1" applyBorder="1" applyAlignment="1">
      <alignment horizontal="center" vertical="center" wrapText="1"/>
    </xf>
    <xf numFmtId="9" fontId="2" fillId="0" borderId="43" xfId="1" applyFont="1" applyBorder="1" applyAlignment="1">
      <alignment horizontal="center" vertical="center" wrapText="1"/>
    </xf>
    <xf numFmtId="9" fontId="9" fillId="0" borderId="16" xfId="1" applyFont="1" applyBorder="1" applyAlignment="1">
      <alignment horizontal="center" vertical="center" wrapText="1"/>
    </xf>
    <xf numFmtId="9" fontId="9" fillId="0" borderId="22" xfId="1" applyFont="1" applyBorder="1" applyAlignment="1">
      <alignment horizontal="center" vertical="center" wrapText="1"/>
    </xf>
    <xf numFmtId="9" fontId="9" fillId="0" borderId="19" xfId="1" applyFont="1" applyBorder="1" applyAlignment="1">
      <alignment horizontal="center" vertical="center" wrapText="1"/>
    </xf>
    <xf numFmtId="0" fontId="2" fillId="0" borderId="23" xfId="0" applyFont="1" applyBorder="1" applyAlignment="1">
      <alignment horizontal="left"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9" fontId="8" fillId="0" borderId="33" xfId="1" applyFont="1" applyBorder="1" applyAlignment="1">
      <alignment horizontal="center" vertical="center" wrapText="1"/>
    </xf>
    <xf numFmtId="9" fontId="8" fillId="0" borderId="42" xfId="1" applyFont="1" applyBorder="1" applyAlignment="1">
      <alignment horizontal="center" vertical="center" wrapText="1"/>
    </xf>
    <xf numFmtId="9" fontId="12" fillId="0" borderId="33" xfId="1" applyFont="1" applyBorder="1" applyAlignment="1">
      <alignment horizontal="center" vertical="center" wrapText="1"/>
    </xf>
    <xf numFmtId="9" fontId="12" fillId="0" borderId="42" xfId="1" applyFont="1" applyBorder="1" applyAlignment="1">
      <alignment horizontal="center" vertical="center" wrapText="1"/>
    </xf>
    <xf numFmtId="9" fontId="8" fillId="0" borderId="40" xfId="1" applyFont="1" applyBorder="1" applyAlignment="1">
      <alignment horizontal="center" vertical="center" wrapText="1"/>
    </xf>
    <xf numFmtId="9" fontId="8" fillId="0" borderId="41" xfId="1" applyFont="1" applyBorder="1" applyAlignment="1">
      <alignment horizontal="center" vertical="center" wrapText="1"/>
    </xf>
    <xf numFmtId="9" fontId="8" fillId="0" borderId="18" xfId="1" applyFont="1" applyBorder="1" applyAlignment="1">
      <alignment horizontal="center" vertical="center" wrapText="1"/>
    </xf>
    <xf numFmtId="9" fontId="8" fillId="0" borderId="1" xfId="1" applyFont="1" applyBorder="1" applyAlignment="1">
      <alignment horizontal="center" vertical="center" wrapText="1"/>
    </xf>
    <xf numFmtId="9" fontId="12" fillId="0" borderId="50" xfId="1" applyFont="1" applyBorder="1" applyAlignment="1">
      <alignment horizontal="center" vertical="center" wrapText="1"/>
    </xf>
    <xf numFmtId="9" fontId="2" fillId="0" borderId="40" xfId="1" applyFont="1" applyBorder="1" applyAlignment="1">
      <alignment horizontal="center" vertical="center"/>
    </xf>
    <xf numFmtId="9" fontId="2" fillId="0" borderId="49" xfId="1" applyFont="1" applyBorder="1" applyAlignment="1">
      <alignment horizontal="center" vertical="center"/>
    </xf>
    <xf numFmtId="9" fontId="2" fillId="0" borderId="41" xfId="1" applyFont="1" applyBorder="1" applyAlignment="1">
      <alignment horizontal="center" vertical="center"/>
    </xf>
    <xf numFmtId="9" fontId="4" fillId="0" borderId="40" xfId="1" applyFont="1" applyBorder="1" applyAlignment="1">
      <alignment horizontal="center" vertical="center"/>
    </xf>
    <xf numFmtId="9" fontId="4" fillId="0" borderId="41" xfId="1" applyFont="1" applyBorder="1" applyAlignment="1">
      <alignment horizontal="center" vertical="center"/>
    </xf>
    <xf numFmtId="9" fontId="12" fillId="0" borderId="40" xfId="1" applyFont="1" applyBorder="1" applyAlignment="1">
      <alignment horizontal="center" vertical="center" wrapText="1"/>
    </xf>
    <xf numFmtId="9" fontId="12" fillId="0" borderId="41" xfId="1" applyFont="1" applyBorder="1" applyAlignment="1">
      <alignment horizontal="center" vertical="center" wrapText="1"/>
    </xf>
    <xf numFmtId="9" fontId="8" fillId="0" borderId="40" xfId="1" applyFont="1" applyBorder="1" applyAlignment="1">
      <alignment horizontal="center" vertical="center"/>
    </xf>
    <xf numFmtId="9" fontId="8" fillId="0" borderId="49" xfId="1" applyFont="1" applyBorder="1" applyAlignment="1">
      <alignment horizontal="center" vertical="center"/>
    </xf>
    <xf numFmtId="9" fontId="12" fillId="0" borderId="40" xfId="1" applyFont="1" applyBorder="1" applyAlignment="1">
      <alignment horizontal="center" vertical="center"/>
    </xf>
    <xf numFmtId="9" fontId="12" fillId="0" borderId="41" xfId="1" applyFont="1" applyBorder="1" applyAlignment="1">
      <alignment horizontal="center" vertical="center"/>
    </xf>
    <xf numFmtId="9" fontId="12" fillId="0" borderId="30" xfId="1" applyFont="1" applyBorder="1" applyAlignment="1">
      <alignment horizontal="center" vertical="center" wrapText="1"/>
    </xf>
    <xf numFmtId="9" fontId="12" fillId="0" borderId="51" xfId="1" applyFont="1" applyBorder="1" applyAlignment="1">
      <alignment horizontal="center" vertical="center" wrapText="1"/>
    </xf>
    <xf numFmtId="9" fontId="8" fillId="0" borderId="49" xfId="1" applyFont="1" applyBorder="1" applyAlignment="1">
      <alignment horizontal="center" vertical="center" wrapText="1"/>
    </xf>
    <xf numFmtId="0" fontId="4" fillId="8" borderId="62" xfId="0" applyFont="1" applyFill="1" applyBorder="1" applyAlignment="1">
      <alignment horizontal="center" vertical="center" wrapText="1"/>
    </xf>
    <xf numFmtId="0" fontId="4" fillId="8" borderId="49" xfId="0" applyFont="1" applyFill="1" applyBorder="1" applyAlignment="1">
      <alignment horizontal="center" vertical="center" wrapText="1"/>
    </xf>
    <xf numFmtId="0" fontId="4" fillId="8" borderId="41" xfId="0" applyFont="1" applyFill="1" applyBorder="1" applyAlignment="1">
      <alignment horizontal="center" vertical="center" wrapText="1"/>
    </xf>
    <xf numFmtId="9" fontId="2" fillId="0" borderId="63" xfId="0" applyNumberFormat="1" applyFont="1" applyBorder="1" applyAlignment="1">
      <alignment horizontal="center" vertical="center" wrapText="1"/>
    </xf>
    <xf numFmtId="9" fontId="2" fillId="0" borderId="56" xfId="0" applyNumberFormat="1" applyFont="1" applyBorder="1" applyAlignment="1">
      <alignment horizontal="center" vertical="center" wrapText="1"/>
    </xf>
    <xf numFmtId="9" fontId="2" fillId="0" borderId="44" xfId="0" applyNumberFormat="1" applyFont="1" applyBorder="1" applyAlignment="1">
      <alignment horizontal="center" vertical="center" wrapText="1"/>
    </xf>
    <xf numFmtId="9" fontId="2" fillId="0" borderId="26"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9" fontId="2" fillId="0" borderId="61" xfId="0" applyNumberFormat="1" applyFont="1" applyBorder="1" applyAlignment="1">
      <alignment horizontal="center" vertical="center"/>
    </xf>
    <xf numFmtId="9" fontId="2" fillId="0" borderId="51" xfId="0" applyNumberFormat="1" applyFont="1" applyBorder="1" applyAlignment="1">
      <alignment horizontal="center" vertical="center"/>
    </xf>
    <xf numFmtId="9" fontId="2" fillId="0" borderId="39" xfId="0" applyNumberFormat="1" applyFont="1" applyBorder="1" applyAlignment="1">
      <alignment horizontal="center" vertical="center"/>
    </xf>
    <xf numFmtId="9" fontId="12" fillId="0" borderId="52" xfId="1" applyFont="1" applyBorder="1" applyAlignment="1">
      <alignment horizontal="center" vertical="center"/>
    </xf>
    <xf numFmtId="9" fontId="12" fillId="0" borderId="53" xfId="1" applyFont="1" applyBorder="1" applyAlignment="1">
      <alignment horizontal="center" vertical="center"/>
    </xf>
    <xf numFmtId="9" fontId="11" fillId="0" borderId="60" xfId="1" applyFont="1" applyFill="1" applyBorder="1" applyAlignment="1">
      <alignment horizontal="center" vertical="center" wrapText="1"/>
    </xf>
    <xf numFmtId="9" fontId="11" fillId="0" borderId="50" xfId="1" applyFont="1" applyFill="1" applyBorder="1" applyAlignment="1">
      <alignment horizontal="center" vertical="center" wrapText="1"/>
    </xf>
    <xf numFmtId="9" fontId="2" fillId="0" borderId="2" xfId="1" applyFont="1" applyBorder="1" applyAlignment="1">
      <alignment horizontal="center" vertical="center" wrapText="1"/>
    </xf>
    <xf numFmtId="9" fontId="2" fillId="0" borderId="49" xfId="1" applyFont="1" applyBorder="1" applyAlignment="1">
      <alignment horizontal="center" vertical="center" wrapText="1"/>
    </xf>
    <xf numFmtId="9" fontId="2" fillId="0" borderId="41" xfId="1" applyFont="1" applyBorder="1" applyAlignment="1">
      <alignment horizontal="center" vertical="center" wrapText="1"/>
    </xf>
    <xf numFmtId="9" fontId="15" fillId="0" borderId="33" xfId="1" applyFont="1" applyBorder="1" applyAlignment="1">
      <alignment horizontal="center" vertical="center"/>
    </xf>
    <xf numFmtId="9" fontId="15" fillId="0" borderId="50" xfId="1" applyFont="1" applyBorder="1" applyAlignment="1">
      <alignment horizontal="center" vertical="center"/>
    </xf>
    <xf numFmtId="9" fontId="15" fillId="0" borderId="42" xfId="1" applyFont="1" applyBorder="1" applyAlignment="1">
      <alignment horizontal="center" vertical="center"/>
    </xf>
    <xf numFmtId="9" fontId="15" fillId="0" borderId="30" xfId="1" applyFont="1" applyBorder="1" applyAlignment="1">
      <alignment horizontal="center" vertical="center"/>
    </xf>
    <xf numFmtId="9" fontId="15" fillId="0" borderId="51" xfId="1" applyFont="1" applyBorder="1" applyAlignment="1">
      <alignment horizontal="center" vertical="center"/>
    </xf>
    <xf numFmtId="9" fontId="15" fillId="0" borderId="39" xfId="1" applyFont="1" applyBorder="1" applyAlignment="1">
      <alignment horizontal="center" vertical="center"/>
    </xf>
    <xf numFmtId="9" fontId="2" fillId="0" borderId="33" xfId="1" applyFont="1" applyFill="1" applyBorder="1" applyAlignment="1">
      <alignment horizontal="center" vertical="center"/>
    </xf>
    <xf numFmtId="9" fontId="2" fillId="0" borderId="50" xfId="1" applyFont="1" applyFill="1" applyBorder="1" applyAlignment="1">
      <alignment horizontal="center" vertical="center"/>
    </xf>
    <xf numFmtId="9" fontId="2" fillId="0" borderId="42" xfId="1" applyFont="1" applyFill="1" applyBorder="1" applyAlignment="1">
      <alignment horizontal="center" vertical="center"/>
    </xf>
    <xf numFmtId="9" fontId="2" fillId="0" borderId="40" xfId="1" applyFont="1" applyFill="1" applyBorder="1" applyAlignment="1">
      <alignment horizontal="center" vertical="center"/>
    </xf>
    <xf numFmtId="9" fontId="2" fillId="0" borderId="49" xfId="1" applyFont="1" applyFill="1" applyBorder="1" applyAlignment="1">
      <alignment horizontal="center" vertical="center"/>
    </xf>
    <xf numFmtId="9" fontId="2" fillId="0" borderId="41" xfId="1" applyFont="1" applyFill="1" applyBorder="1" applyAlignment="1">
      <alignment horizontal="center" vertical="center"/>
    </xf>
    <xf numFmtId="9" fontId="2" fillId="0" borderId="40" xfId="1" applyFont="1" applyFill="1" applyBorder="1" applyAlignment="1">
      <alignment horizontal="center" vertical="center" wrapText="1"/>
    </xf>
    <xf numFmtId="9" fontId="2" fillId="0" borderId="49" xfId="1" applyFont="1" applyFill="1" applyBorder="1" applyAlignment="1">
      <alignment horizontal="center" vertical="center" wrapText="1"/>
    </xf>
    <xf numFmtId="9" fontId="2" fillId="0" borderId="41" xfId="1" applyFont="1" applyFill="1" applyBorder="1" applyAlignment="1">
      <alignment horizontal="center" vertical="center" wrapText="1"/>
    </xf>
    <xf numFmtId="9" fontId="2" fillId="0" borderId="33" xfId="1" applyFont="1" applyFill="1" applyBorder="1" applyAlignment="1">
      <alignment horizontal="center" vertical="center" wrapText="1"/>
    </xf>
    <xf numFmtId="9" fontId="2" fillId="0" borderId="50" xfId="1" applyFont="1" applyFill="1" applyBorder="1" applyAlignment="1">
      <alignment horizontal="center" vertical="center" wrapText="1"/>
    </xf>
    <xf numFmtId="9" fontId="2" fillId="0" borderId="42" xfId="1" applyFont="1" applyFill="1" applyBorder="1" applyAlignment="1">
      <alignment horizontal="center" vertical="center" wrapText="1"/>
    </xf>
    <xf numFmtId="0" fontId="4" fillId="4" borderId="67" xfId="0" applyFont="1" applyFill="1" applyBorder="1" applyAlignment="1">
      <alignment horizontal="center" vertical="center"/>
    </xf>
    <xf numFmtId="0" fontId="4" fillId="4" borderId="54" xfId="0" applyFont="1" applyFill="1" applyBorder="1" applyAlignment="1">
      <alignment horizontal="center" vertical="center"/>
    </xf>
    <xf numFmtId="0" fontId="4" fillId="4" borderId="43" xfId="0" applyFont="1" applyFill="1" applyBorder="1" applyAlignment="1">
      <alignment horizontal="center" vertical="center"/>
    </xf>
    <xf numFmtId="9" fontId="16" fillId="0" borderId="27" xfId="1" applyFont="1" applyBorder="1" applyAlignment="1">
      <alignment horizontal="center" vertical="center" wrapText="1"/>
    </xf>
    <xf numFmtId="9" fontId="16" fillId="0" borderId="37" xfId="1"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2" fillId="0" borderId="24" xfId="0" applyFont="1" applyBorder="1" applyAlignment="1">
      <alignment horizontal="center" vertical="center" wrapText="1"/>
    </xf>
    <xf numFmtId="9" fontId="2" fillId="0" borderId="3" xfId="1" applyFont="1" applyFill="1" applyBorder="1" applyAlignment="1">
      <alignment horizontal="center" vertical="center" wrapText="1"/>
    </xf>
    <xf numFmtId="9" fontId="2" fillId="0" borderId="53" xfId="1" applyFont="1" applyFill="1" applyBorder="1" applyAlignment="1">
      <alignment horizontal="center" vertical="center" wrapText="1"/>
    </xf>
    <xf numFmtId="9" fontId="2" fillId="0" borderId="1" xfId="1" applyFont="1" applyFill="1" applyBorder="1" applyAlignment="1">
      <alignment horizontal="center" vertical="center" wrapText="1"/>
    </xf>
    <xf numFmtId="9" fontId="2" fillId="0" borderId="30" xfId="1" applyFont="1" applyFill="1" applyBorder="1" applyAlignment="1">
      <alignment horizontal="center" vertical="center"/>
    </xf>
    <xf numFmtId="9" fontId="2" fillId="0" borderId="51" xfId="1" applyFont="1" applyFill="1" applyBorder="1" applyAlignment="1">
      <alignment horizontal="center" vertical="center"/>
    </xf>
    <xf numFmtId="9" fontId="2" fillId="0" borderId="39" xfId="1" applyFont="1" applyFill="1" applyBorder="1" applyAlignment="1">
      <alignment horizontal="center" vertical="center"/>
    </xf>
    <xf numFmtId="9" fontId="8" fillId="0" borderId="52" xfId="1" applyFont="1" applyBorder="1" applyAlignment="1">
      <alignment horizontal="center" vertical="center" wrapText="1"/>
    </xf>
    <xf numFmtId="9" fontId="8" fillId="0" borderId="3" xfId="1" applyFont="1" applyBorder="1" applyAlignment="1">
      <alignment horizontal="center" vertical="center" wrapText="1"/>
    </xf>
    <xf numFmtId="9" fontId="12" fillId="0" borderId="49" xfId="1" applyFont="1" applyBorder="1" applyAlignment="1">
      <alignment horizontal="center" vertical="center"/>
    </xf>
    <xf numFmtId="9" fontId="16" fillId="0" borderId="36" xfId="1" applyFont="1" applyBorder="1" applyAlignment="1">
      <alignment horizontal="center" vertical="center" wrapText="1"/>
    </xf>
    <xf numFmtId="9" fontId="16" fillId="0" borderId="38" xfId="1" applyFont="1" applyBorder="1" applyAlignment="1">
      <alignment horizontal="center" vertical="center" wrapText="1"/>
    </xf>
    <xf numFmtId="0" fontId="2" fillId="0" borderId="32" xfId="0" applyFont="1" applyBorder="1" applyAlignment="1">
      <alignment horizontal="left" vertical="center" wrapText="1"/>
    </xf>
    <xf numFmtId="0" fontId="2" fillId="0" borderId="34" xfId="0" applyFont="1" applyBorder="1" applyAlignment="1">
      <alignment horizontal="left" vertical="center" wrapText="1"/>
    </xf>
    <xf numFmtId="9" fontId="8" fillId="0" borderId="40" xfId="0" applyNumberFormat="1" applyFont="1" applyBorder="1" applyAlignment="1">
      <alignment horizontal="center" vertical="center" wrapText="1"/>
    </xf>
    <xf numFmtId="9" fontId="8" fillId="0" borderId="41" xfId="0" applyNumberFormat="1" applyFont="1" applyBorder="1" applyAlignment="1">
      <alignment horizontal="center" vertical="center" wrapText="1"/>
    </xf>
    <xf numFmtId="9" fontId="8" fillId="0" borderId="33" xfId="0" applyNumberFormat="1" applyFont="1" applyBorder="1" applyAlignment="1">
      <alignment horizontal="center" vertical="center" wrapText="1"/>
    </xf>
    <xf numFmtId="9" fontId="8" fillId="0" borderId="42" xfId="0" applyNumberFormat="1" applyFont="1" applyBorder="1" applyAlignment="1">
      <alignment horizontal="center" vertical="center" wrapText="1"/>
    </xf>
    <xf numFmtId="9" fontId="9" fillId="0" borderId="58" xfId="0" applyNumberFormat="1" applyFont="1" applyFill="1" applyBorder="1" applyAlignment="1">
      <alignment horizontal="center" vertical="center" wrapText="1"/>
    </xf>
    <xf numFmtId="0" fontId="9" fillId="0" borderId="21" xfId="0" applyFont="1" applyFill="1" applyBorder="1" applyAlignment="1">
      <alignment horizontal="center" vertical="center" wrapText="1"/>
    </xf>
    <xf numFmtId="0" fontId="9" fillId="0" borderId="57" xfId="0" applyFont="1" applyFill="1" applyBorder="1" applyAlignment="1">
      <alignment horizontal="center" vertical="center" wrapText="1"/>
    </xf>
    <xf numFmtId="9" fontId="8" fillId="0" borderId="30" xfId="1" applyFont="1" applyFill="1" applyBorder="1" applyAlignment="1">
      <alignment horizontal="center" vertical="center"/>
    </xf>
    <xf numFmtId="9" fontId="8" fillId="0" borderId="51" xfId="1" applyFont="1" applyFill="1" applyBorder="1" applyAlignment="1">
      <alignment horizontal="center" vertical="center"/>
    </xf>
    <xf numFmtId="9" fontId="8" fillId="0" borderId="39" xfId="1" applyFont="1" applyFill="1" applyBorder="1" applyAlignment="1">
      <alignment horizontal="center" vertical="center"/>
    </xf>
    <xf numFmtId="9" fontId="8" fillId="0" borderId="33" xfId="1" applyFont="1" applyFill="1" applyBorder="1" applyAlignment="1">
      <alignment horizontal="center" vertical="center" wrapText="1"/>
    </xf>
    <xf numFmtId="9" fontId="8" fillId="0" borderId="50" xfId="1" applyFont="1" applyFill="1" applyBorder="1" applyAlignment="1">
      <alignment horizontal="center" vertical="center" wrapText="1"/>
    </xf>
    <xf numFmtId="9" fontId="8" fillId="0" borderId="42" xfId="1" applyFont="1" applyFill="1" applyBorder="1" applyAlignment="1">
      <alignment horizontal="center" vertical="center" wrapText="1"/>
    </xf>
    <xf numFmtId="0" fontId="2" fillId="0" borderId="13" xfId="0" applyFont="1" applyBorder="1" applyAlignment="1">
      <alignment horizontal="left" vertical="center" wrapText="1"/>
    </xf>
    <xf numFmtId="0" fontId="2" fillId="0" borderId="20" xfId="0" applyFont="1" applyBorder="1" applyAlignment="1">
      <alignment horizontal="left" vertical="center" wrapText="1"/>
    </xf>
    <xf numFmtId="0" fontId="2" fillId="0" borderId="23" xfId="0" applyFont="1" applyFill="1" applyBorder="1" applyAlignment="1">
      <alignment horizontal="left" vertical="center" wrapText="1"/>
    </xf>
    <xf numFmtId="0" fontId="2" fillId="0" borderId="24" xfId="0" applyFont="1" applyFill="1" applyBorder="1" applyAlignment="1">
      <alignment horizontal="left" vertical="center" wrapText="1"/>
    </xf>
    <xf numFmtId="0" fontId="2" fillId="0" borderId="25" xfId="0" applyFont="1" applyFill="1" applyBorder="1" applyAlignment="1">
      <alignment horizontal="left" vertical="center" wrapText="1"/>
    </xf>
    <xf numFmtId="9" fontId="8" fillId="0" borderId="33" xfId="1" applyFont="1" applyFill="1" applyBorder="1" applyAlignment="1">
      <alignment horizontal="center" vertical="center"/>
    </xf>
    <xf numFmtId="9" fontId="8" fillId="0" borderId="42" xfId="1" applyFont="1" applyFill="1" applyBorder="1" applyAlignment="1">
      <alignment horizontal="center" vertical="center"/>
    </xf>
    <xf numFmtId="164" fontId="12" fillId="0" borderId="40" xfId="1" applyNumberFormat="1" applyFont="1" applyBorder="1" applyAlignment="1">
      <alignment horizontal="center" vertical="center"/>
    </xf>
    <xf numFmtId="164" fontId="12" fillId="0" borderId="41" xfId="1" applyNumberFormat="1" applyFont="1" applyBorder="1" applyAlignment="1">
      <alignment horizontal="center" vertical="center"/>
    </xf>
    <xf numFmtId="9" fontId="8" fillId="0" borderId="62" xfId="1" applyFont="1" applyBorder="1" applyAlignment="1">
      <alignment horizontal="center" vertical="center" wrapText="1"/>
    </xf>
    <xf numFmtId="9" fontId="8" fillId="0" borderId="60" xfId="1" applyFont="1" applyBorder="1" applyAlignment="1">
      <alignment horizontal="center" vertical="center" wrapText="1"/>
    </xf>
    <xf numFmtId="9" fontId="8" fillId="0" borderId="50" xfId="1" applyFont="1" applyBorder="1" applyAlignment="1">
      <alignment horizontal="center" vertical="center" wrapText="1"/>
    </xf>
    <xf numFmtId="9" fontId="2" fillId="0" borderId="62" xfId="1" applyFont="1" applyBorder="1" applyAlignment="1">
      <alignment horizontal="center" vertical="center" wrapText="1"/>
    </xf>
    <xf numFmtId="9" fontId="8" fillId="0" borderId="3" xfId="1" applyFont="1" applyBorder="1" applyAlignment="1">
      <alignment horizontal="center" vertical="center"/>
    </xf>
    <xf numFmtId="9" fontId="8" fillId="0" borderId="33" xfId="0" applyNumberFormat="1" applyFont="1" applyBorder="1" applyAlignment="1">
      <alignment horizontal="center" vertical="center"/>
    </xf>
    <xf numFmtId="9" fontId="8" fillId="0" borderId="42" xfId="0" applyNumberFormat="1" applyFont="1" applyBorder="1" applyAlignment="1">
      <alignment horizontal="center" vertical="center"/>
    </xf>
    <xf numFmtId="0" fontId="2" fillId="0" borderId="50" xfId="0" applyFont="1" applyBorder="1" applyAlignment="1">
      <alignment horizontal="center" vertical="center" wrapText="1"/>
    </xf>
    <xf numFmtId="0" fontId="2" fillId="0" borderId="42" xfId="0" applyFont="1" applyBorder="1" applyAlignment="1">
      <alignment horizontal="center" vertical="center" wrapText="1"/>
    </xf>
    <xf numFmtId="9" fontId="16" fillId="0" borderId="16" xfId="1" applyFont="1" applyBorder="1" applyAlignment="1">
      <alignment horizontal="center" vertical="center" wrapText="1"/>
    </xf>
    <xf numFmtId="9" fontId="16" fillId="0" borderId="22" xfId="1" applyFont="1" applyBorder="1" applyAlignment="1">
      <alignment horizontal="center" vertical="center" wrapText="1"/>
    </xf>
    <xf numFmtId="9" fontId="16" fillId="0" borderId="19" xfId="1" applyFont="1" applyBorder="1" applyAlignment="1">
      <alignment horizontal="center" vertical="center" wrapText="1"/>
    </xf>
    <xf numFmtId="0" fontId="2" fillId="0" borderId="21" xfId="0" applyFont="1" applyBorder="1" applyAlignment="1">
      <alignment horizontal="left" vertical="center" wrapText="1"/>
    </xf>
    <xf numFmtId="0" fontId="2" fillId="0" borderId="32" xfId="0" applyFont="1" applyBorder="1" applyAlignment="1">
      <alignment horizontal="left" vertical="top" wrapText="1"/>
    </xf>
    <xf numFmtId="0" fontId="2" fillId="0" borderId="24" xfId="0" applyFont="1" applyBorder="1" applyAlignment="1">
      <alignment horizontal="left" vertical="top"/>
    </xf>
    <xf numFmtId="0" fontId="2" fillId="0" borderId="25" xfId="0" applyFont="1" applyBorder="1" applyAlignment="1">
      <alignment horizontal="left" vertical="top"/>
    </xf>
    <xf numFmtId="0" fontId="2" fillId="0" borderId="0" xfId="0" applyFont="1" applyBorder="1" applyAlignment="1">
      <alignment horizontal="left" vertical="center" wrapText="1"/>
    </xf>
    <xf numFmtId="0" fontId="2" fillId="0" borderId="0" xfId="0" applyFont="1" applyBorder="1" applyAlignment="1">
      <alignment horizontal="left" vertical="center"/>
    </xf>
    <xf numFmtId="9" fontId="2" fillId="0" borderId="60" xfId="1" applyFont="1" applyBorder="1" applyAlignment="1">
      <alignment horizontal="center" vertical="center" wrapText="1"/>
    </xf>
    <xf numFmtId="9" fontId="2" fillId="0" borderId="50" xfId="1" applyFont="1" applyBorder="1" applyAlignment="1">
      <alignment horizontal="center" vertical="center" wrapText="1"/>
    </xf>
    <xf numFmtId="9" fontId="2" fillId="0" borderId="42" xfId="1" applyFont="1" applyBorder="1" applyAlignment="1">
      <alignment horizontal="center" vertical="center" wrapText="1"/>
    </xf>
    <xf numFmtId="9" fontId="2" fillId="0" borderId="61" xfId="1" applyFont="1" applyBorder="1" applyAlignment="1">
      <alignment horizontal="center" vertical="center" wrapText="1"/>
    </xf>
    <xf numFmtId="9" fontId="2" fillId="0" borderId="51" xfId="1" applyFont="1" applyBorder="1" applyAlignment="1">
      <alignment horizontal="center" vertical="center" wrapText="1"/>
    </xf>
    <xf numFmtId="9" fontId="2" fillId="0" borderId="39" xfId="1" applyFont="1" applyBorder="1" applyAlignment="1">
      <alignment horizontal="center" vertical="center" wrapText="1"/>
    </xf>
    <xf numFmtId="0" fontId="4" fillId="2" borderId="14"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8" xfId="0" applyFont="1" applyFill="1" applyBorder="1" applyAlignment="1">
      <alignment horizontal="center" vertical="center"/>
    </xf>
    <xf numFmtId="0" fontId="4" fillId="3" borderId="30"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2" fillId="0" borderId="24" xfId="0" applyFont="1" applyBorder="1" applyAlignment="1">
      <alignment horizontal="left" vertical="center"/>
    </xf>
    <xf numFmtId="9" fontId="8" fillId="0" borderId="30" xfId="0" applyNumberFormat="1" applyFont="1" applyBorder="1" applyAlignment="1">
      <alignment horizontal="center" vertical="center" wrapText="1"/>
    </xf>
    <xf numFmtId="9" fontId="8" fillId="0" borderId="39" xfId="0" applyNumberFormat="1" applyFont="1" applyBorder="1" applyAlignment="1">
      <alignment horizontal="center" vertical="center" wrapText="1"/>
    </xf>
    <xf numFmtId="0" fontId="4" fillId="4" borderId="54" xfId="0" applyFont="1" applyFill="1" applyBorder="1" applyAlignment="1">
      <alignment horizontal="center" vertical="center" wrapText="1"/>
    </xf>
    <xf numFmtId="0" fontId="4" fillId="4" borderId="43" xfId="0" applyFont="1" applyFill="1" applyBorder="1" applyAlignment="1">
      <alignment horizontal="center" vertical="center" wrapText="1"/>
    </xf>
    <xf numFmtId="0" fontId="2" fillId="0" borderId="33" xfId="0" applyFont="1" applyBorder="1" applyAlignment="1">
      <alignment horizontal="center" vertical="center"/>
    </xf>
    <xf numFmtId="0" fontId="2" fillId="0" borderId="50" xfId="0" applyFont="1" applyBorder="1" applyAlignment="1">
      <alignment horizontal="center" vertical="center"/>
    </xf>
    <xf numFmtId="0" fontId="2" fillId="0" borderId="42" xfId="0" applyFont="1" applyBorder="1" applyAlignment="1">
      <alignment horizontal="center" vertical="center"/>
    </xf>
    <xf numFmtId="9" fontId="12" fillId="0" borderId="39" xfId="1" applyFont="1" applyBorder="1" applyAlignment="1">
      <alignment horizontal="center" vertical="center" wrapText="1"/>
    </xf>
    <xf numFmtId="0" fontId="2" fillId="0" borderId="33" xfId="0" applyFont="1" applyBorder="1" applyAlignment="1">
      <alignment horizontal="center" vertical="center" wrapText="1"/>
    </xf>
    <xf numFmtId="9" fontId="2" fillId="0" borderId="30" xfId="1" applyFont="1" applyBorder="1" applyAlignment="1">
      <alignment horizontal="center" vertical="center" wrapText="1"/>
    </xf>
    <xf numFmtId="0" fontId="4" fillId="2" borderId="40" xfId="0" applyFont="1" applyFill="1" applyBorder="1" applyAlignment="1">
      <alignment horizontal="center" vertical="center"/>
    </xf>
    <xf numFmtId="0" fontId="4" fillId="2" borderId="49" xfId="0" applyFont="1" applyFill="1" applyBorder="1" applyAlignment="1">
      <alignment horizontal="center" vertical="center"/>
    </xf>
    <xf numFmtId="0" fontId="4" fillId="2" borderId="59" xfId="0" applyFont="1" applyFill="1" applyBorder="1" applyAlignment="1">
      <alignment horizontal="center" vertical="center"/>
    </xf>
    <xf numFmtId="0" fontId="4" fillId="4" borderId="67" xfId="0" applyFont="1" applyFill="1" applyBorder="1" applyAlignment="1">
      <alignment horizontal="center" vertical="center" wrapText="1"/>
    </xf>
    <xf numFmtId="9" fontId="8" fillId="0" borderId="11" xfId="1" applyFont="1" applyBorder="1" applyAlignment="1">
      <alignment horizontal="center" vertical="center" wrapText="1"/>
    </xf>
    <xf numFmtId="9" fontId="8" fillId="0" borderId="9" xfId="1" applyFont="1" applyBorder="1" applyAlignment="1">
      <alignment horizontal="center" vertical="center" wrapText="1"/>
    </xf>
    <xf numFmtId="9" fontId="8" fillId="0" borderId="60" xfId="1" applyFont="1" applyBorder="1" applyAlignment="1">
      <alignment horizontal="center" vertical="center"/>
    </xf>
    <xf numFmtId="9" fontId="8" fillId="0" borderId="50" xfId="1" applyFont="1" applyBorder="1" applyAlignment="1">
      <alignment horizontal="center" vertical="center"/>
    </xf>
    <xf numFmtId="9" fontId="8" fillId="0" borderId="61" xfId="1" applyFont="1" applyBorder="1" applyAlignment="1">
      <alignment horizontal="center" vertical="center" wrapText="1"/>
    </xf>
    <xf numFmtId="9" fontId="8" fillId="0" borderId="51" xfId="1" applyFont="1" applyBorder="1" applyAlignment="1">
      <alignment horizontal="center" vertical="center" wrapText="1"/>
    </xf>
    <xf numFmtId="9" fontId="8" fillId="0" borderId="47" xfId="1" applyFont="1" applyBorder="1" applyAlignment="1">
      <alignment horizontal="center" vertical="center" wrapText="1"/>
    </xf>
    <xf numFmtId="9" fontId="8" fillId="0" borderId="41" xfId="1" applyFont="1" applyBorder="1" applyAlignment="1">
      <alignment horizontal="center" vertical="center"/>
    </xf>
    <xf numFmtId="9" fontId="8" fillId="0" borderId="28" xfId="1" applyFont="1" applyBorder="1" applyAlignment="1">
      <alignment horizontal="center" vertical="center"/>
    </xf>
    <xf numFmtId="9" fontId="8" fillId="0" borderId="44" xfId="1" applyFont="1" applyBorder="1" applyAlignment="1">
      <alignment horizontal="center" vertical="center"/>
    </xf>
    <xf numFmtId="9" fontId="8" fillId="0" borderId="40" xfId="0" applyNumberFormat="1" applyFont="1" applyBorder="1" applyAlignment="1">
      <alignment horizontal="center" vertical="center"/>
    </xf>
    <xf numFmtId="9" fontId="8" fillId="0" borderId="41" xfId="0" applyNumberFormat="1" applyFont="1" applyBorder="1" applyAlignment="1">
      <alignment horizontal="center" vertical="center"/>
    </xf>
    <xf numFmtId="9" fontId="8" fillId="0" borderId="30" xfId="0" applyNumberFormat="1" applyFont="1" applyBorder="1" applyAlignment="1">
      <alignment horizontal="center" vertical="center"/>
    </xf>
    <xf numFmtId="9" fontId="8" fillId="0" borderId="39" xfId="0" applyNumberFormat="1" applyFont="1" applyBorder="1" applyAlignment="1">
      <alignment horizontal="center" vertical="center"/>
    </xf>
    <xf numFmtId="0" fontId="9" fillId="0" borderId="20" xfId="0" applyFont="1" applyFill="1" applyBorder="1" applyAlignment="1">
      <alignment horizontal="center" vertical="center" wrapText="1"/>
    </xf>
    <xf numFmtId="9" fontId="9" fillId="0" borderId="13" xfId="0" applyNumberFormat="1" applyFont="1" applyFill="1" applyBorder="1" applyAlignment="1">
      <alignment horizontal="center" vertical="center" wrapText="1"/>
    </xf>
    <xf numFmtId="9" fontId="8" fillId="0" borderId="33" xfId="1" applyFont="1" applyBorder="1" applyAlignment="1">
      <alignment horizontal="center" vertical="center"/>
    </xf>
    <xf numFmtId="9" fontId="8" fillId="0" borderId="42" xfId="1" applyFont="1" applyBorder="1" applyAlignment="1">
      <alignment horizontal="center" vertical="center"/>
    </xf>
    <xf numFmtId="9" fontId="8" fillId="0" borderId="30" xfId="1" applyFont="1" applyBorder="1" applyAlignment="1">
      <alignment horizontal="center" vertical="center"/>
    </xf>
    <xf numFmtId="9" fontId="8" fillId="0" borderId="39" xfId="1" applyFont="1" applyBorder="1" applyAlignment="1">
      <alignment horizontal="center" vertical="center"/>
    </xf>
    <xf numFmtId="9" fontId="8" fillId="0" borderId="11" xfId="1" applyFont="1" applyBorder="1" applyAlignment="1">
      <alignment horizontal="center" vertical="center"/>
    </xf>
    <xf numFmtId="9" fontId="8" fillId="0" borderId="10" xfId="1" applyFont="1" applyBorder="1" applyAlignment="1">
      <alignment horizontal="center" vertical="center"/>
    </xf>
    <xf numFmtId="9" fontId="2" fillId="0" borderId="40" xfId="1" applyFont="1" applyBorder="1" applyAlignment="1">
      <alignment horizontal="center" vertical="center" wrapText="1"/>
    </xf>
    <xf numFmtId="9" fontId="12" fillId="0" borderId="49" xfId="1" applyFont="1" applyBorder="1" applyAlignment="1">
      <alignment horizontal="center" vertical="center" wrapText="1"/>
    </xf>
    <xf numFmtId="9" fontId="16" fillId="0" borderId="5" xfId="1" applyFont="1" applyBorder="1" applyAlignment="1">
      <alignment horizontal="center" vertical="center" wrapText="1"/>
    </xf>
    <xf numFmtId="9" fontId="2" fillId="0" borderId="61" xfId="0" applyNumberFormat="1" applyFont="1" applyFill="1" applyBorder="1" applyAlignment="1">
      <alignment horizontal="center" vertical="center"/>
    </xf>
    <xf numFmtId="0" fontId="2" fillId="0" borderId="51" xfId="0" applyFont="1" applyFill="1" applyBorder="1" applyAlignment="1">
      <alignment horizontal="center" vertical="center"/>
    </xf>
    <xf numFmtId="0" fontId="2" fillId="0" borderId="39" xfId="0" applyFont="1" applyFill="1" applyBorder="1" applyAlignment="1">
      <alignment horizontal="center" vertical="center"/>
    </xf>
    <xf numFmtId="9" fontId="2" fillId="0" borderId="60" xfId="0" applyNumberFormat="1" applyFont="1" applyFill="1" applyBorder="1" applyAlignment="1">
      <alignment horizontal="center" vertical="center" wrapText="1"/>
    </xf>
    <xf numFmtId="0" fontId="2" fillId="0" borderId="50" xfId="0" applyFont="1" applyFill="1" applyBorder="1" applyAlignment="1">
      <alignment horizontal="center" vertical="center" wrapText="1"/>
    </xf>
    <xf numFmtId="0" fontId="2" fillId="0" borderId="42" xfId="0" applyFont="1" applyFill="1" applyBorder="1" applyAlignment="1">
      <alignment horizontal="center" vertical="center" wrapText="1"/>
    </xf>
    <xf numFmtId="9" fontId="2" fillId="0" borderId="54" xfId="1" applyFont="1" applyFill="1" applyBorder="1" applyAlignment="1">
      <alignment horizontal="center" vertical="center" wrapText="1"/>
    </xf>
    <xf numFmtId="9" fontId="2" fillId="0" borderId="43" xfId="1" applyFont="1" applyFill="1" applyBorder="1" applyAlignment="1">
      <alignment horizontal="center" vertical="center" wrapText="1"/>
    </xf>
    <xf numFmtId="9" fontId="2" fillId="0" borderId="51" xfId="1" applyFont="1" applyFill="1" applyBorder="1" applyAlignment="1">
      <alignment horizontal="center" vertical="center" wrapText="1"/>
    </xf>
    <xf numFmtId="9" fontId="2" fillId="0" borderId="39" xfId="1" applyFont="1" applyFill="1" applyBorder="1" applyAlignment="1">
      <alignment horizontal="center" vertical="center" wrapText="1"/>
    </xf>
    <xf numFmtId="9" fontId="8" fillId="0" borderId="40" xfId="1" applyFont="1" applyFill="1" applyBorder="1" applyAlignment="1">
      <alignment horizontal="center" vertical="center"/>
    </xf>
    <xf numFmtId="9" fontId="8" fillId="0" borderId="41" xfId="1" applyFont="1" applyFill="1" applyBorder="1" applyAlignment="1">
      <alignment horizontal="center" vertical="center"/>
    </xf>
    <xf numFmtId="9" fontId="8" fillId="0" borderId="69" xfId="1" applyFont="1" applyBorder="1" applyAlignment="1">
      <alignment horizontal="center" vertical="center"/>
    </xf>
    <xf numFmtId="9" fontId="8" fillId="0" borderId="70" xfId="1" applyFont="1" applyBorder="1" applyAlignment="1">
      <alignment horizontal="center" vertical="center"/>
    </xf>
    <xf numFmtId="9" fontId="9" fillId="0" borderId="21" xfId="0" applyNumberFormat="1" applyFont="1" applyFill="1" applyBorder="1" applyAlignment="1">
      <alignment horizontal="center" vertical="center" wrapText="1"/>
    </xf>
    <xf numFmtId="9" fontId="9" fillId="0" borderId="57" xfId="0" applyNumberFormat="1" applyFont="1" applyFill="1" applyBorder="1" applyAlignment="1">
      <alignment horizontal="center" vertical="center" wrapText="1"/>
    </xf>
    <xf numFmtId="9" fontId="8" fillId="0" borderId="50" xfId="1" applyFont="1" applyFill="1" applyBorder="1" applyAlignment="1">
      <alignment horizontal="center" vertical="center"/>
    </xf>
    <xf numFmtId="9" fontId="12" fillId="0" borderId="33" xfId="1" applyFont="1" applyFill="1" applyBorder="1" applyAlignment="1">
      <alignment horizontal="center" vertical="center"/>
    </xf>
    <xf numFmtId="9" fontId="12" fillId="0" borderId="42" xfId="1" applyFont="1" applyFill="1" applyBorder="1" applyAlignment="1">
      <alignment horizontal="center" vertical="center"/>
    </xf>
    <xf numFmtId="9" fontId="4" fillId="0" borderId="33" xfId="1" applyFont="1" applyBorder="1" applyAlignment="1">
      <alignment horizontal="center" vertical="center" wrapText="1"/>
    </xf>
    <xf numFmtId="9" fontId="4" fillId="0" borderId="42" xfId="1" applyFont="1" applyBorder="1" applyAlignment="1">
      <alignment horizontal="center" vertical="center" wrapText="1"/>
    </xf>
    <xf numFmtId="0" fontId="4" fillId="0" borderId="64" xfId="0" applyFont="1" applyBorder="1" applyAlignment="1">
      <alignment horizontal="center" vertical="center" wrapText="1"/>
    </xf>
    <xf numFmtId="0" fontId="4" fillId="0" borderId="55" xfId="0" applyFont="1" applyBorder="1" applyAlignment="1">
      <alignment horizontal="center" vertical="center" wrapText="1"/>
    </xf>
    <xf numFmtId="0" fontId="4" fillId="0" borderId="66" xfId="0" applyFont="1" applyBorder="1" applyAlignment="1">
      <alignment horizontal="center" vertical="center" wrapText="1"/>
    </xf>
    <xf numFmtId="14" fontId="2" fillId="0" borderId="48" xfId="0" applyNumberFormat="1" applyFont="1" applyBorder="1" applyAlignment="1">
      <alignment horizontal="center" vertical="center"/>
    </xf>
    <xf numFmtId="14" fontId="2" fillId="0" borderId="9" xfId="0" applyNumberFormat="1" applyFont="1" applyBorder="1" applyAlignment="1">
      <alignment horizontal="center" vertical="center"/>
    </xf>
    <xf numFmtId="14" fontId="2" fillId="0" borderId="47" xfId="0" applyNumberFormat="1" applyFont="1" applyBorder="1" applyAlignment="1">
      <alignment horizontal="center" vertical="center"/>
    </xf>
    <xf numFmtId="0" fontId="4" fillId="0" borderId="64" xfId="0" applyFont="1" applyBorder="1" applyAlignment="1">
      <alignment horizontal="center" vertical="center"/>
    </xf>
    <xf numFmtId="0" fontId="4" fillId="0" borderId="55" xfId="0" applyFont="1" applyBorder="1" applyAlignment="1">
      <alignment horizontal="center" vertical="center"/>
    </xf>
    <xf numFmtId="0" fontId="4" fillId="0" borderId="66" xfId="0" applyFont="1" applyBorder="1" applyAlignment="1">
      <alignment horizontal="center" vertical="center"/>
    </xf>
    <xf numFmtId="0" fontId="4" fillId="0" borderId="6" xfId="0" applyFont="1" applyBorder="1" applyAlignment="1">
      <alignment horizontal="center" vertical="center" wrapText="1"/>
    </xf>
    <xf numFmtId="0" fontId="4" fillId="0" borderId="0" xfId="0" applyFont="1" applyBorder="1" applyAlignment="1">
      <alignment horizontal="center" vertical="center" wrapText="1"/>
    </xf>
    <xf numFmtId="9" fontId="8" fillId="0" borderId="48" xfId="1" applyFont="1" applyBorder="1" applyAlignment="1">
      <alignment horizontal="center" vertical="center"/>
    </xf>
    <xf numFmtId="9" fontId="8" fillId="0" borderId="9" xfId="1" applyFont="1" applyBorder="1" applyAlignment="1">
      <alignment horizontal="center" vertical="center"/>
    </xf>
    <xf numFmtId="9" fontId="12" fillId="0" borderId="11" xfId="1" applyFont="1" applyBorder="1" applyAlignment="1">
      <alignment horizontal="center" vertical="center"/>
    </xf>
    <xf numFmtId="9" fontId="12" fillId="0" borderId="10" xfId="1" applyFont="1" applyBorder="1" applyAlignment="1">
      <alignment horizontal="center" vertical="center"/>
    </xf>
    <xf numFmtId="9" fontId="10" fillId="0" borderId="48" xfId="1" applyFont="1" applyBorder="1" applyAlignment="1">
      <alignment horizontal="center" vertical="center" wrapText="1"/>
    </xf>
    <xf numFmtId="9" fontId="10" fillId="0" borderId="47" xfId="1" applyFont="1" applyBorder="1" applyAlignment="1">
      <alignment horizontal="center" vertical="center" wrapText="1"/>
    </xf>
    <xf numFmtId="9" fontId="2" fillId="0" borderId="48" xfId="1" applyFont="1" applyBorder="1" applyAlignment="1">
      <alignment horizontal="center" vertical="center" wrapText="1"/>
    </xf>
    <xf numFmtId="9" fontId="2" fillId="0" borderId="9" xfId="1" applyFont="1" applyBorder="1" applyAlignment="1">
      <alignment horizontal="center" vertical="center" wrapText="1"/>
    </xf>
    <xf numFmtId="9" fontId="2" fillId="0" borderId="10" xfId="1" applyFont="1" applyBorder="1" applyAlignment="1">
      <alignment horizontal="center" vertical="center" wrapText="1"/>
    </xf>
    <xf numFmtId="9" fontId="2" fillId="0" borderId="61" xfId="1" applyFont="1" applyFill="1" applyBorder="1" applyAlignment="1">
      <alignment horizontal="center" vertical="center" wrapText="1"/>
    </xf>
    <xf numFmtId="9" fontId="16" fillId="0" borderId="45" xfId="1" applyFont="1" applyFill="1" applyBorder="1" applyAlignment="1">
      <alignment horizontal="center" vertical="center" wrapText="1"/>
    </xf>
    <xf numFmtId="9" fontId="16" fillId="0" borderId="38" xfId="1" applyFont="1" applyFill="1" applyBorder="1" applyAlignment="1">
      <alignment horizontal="center" vertical="center" wrapText="1"/>
    </xf>
    <xf numFmtId="9" fontId="2" fillId="0" borderId="69" xfId="1" applyFont="1" applyBorder="1" applyAlignment="1">
      <alignment horizontal="center" vertical="center" wrapText="1"/>
    </xf>
    <xf numFmtId="9" fontId="2" fillId="0" borderId="70" xfId="1" applyFont="1" applyBorder="1" applyAlignment="1">
      <alignment horizontal="center" vertical="center" wrapText="1"/>
    </xf>
    <xf numFmtId="9" fontId="9" fillId="0" borderId="23" xfId="1" applyFont="1" applyBorder="1" applyAlignment="1">
      <alignment horizontal="center" vertical="center" wrapText="1"/>
    </xf>
    <xf numFmtId="9" fontId="9" fillId="0" borderId="24" xfId="1" applyFont="1" applyBorder="1" applyAlignment="1">
      <alignment horizontal="center" vertical="center" wrapText="1"/>
    </xf>
    <xf numFmtId="9" fontId="9" fillId="0" borderId="25" xfId="1" applyFont="1" applyBorder="1" applyAlignment="1">
      <alignment horizontal="center" vertical="center" wrapText="1"/>
    </xf>
    <xf numFmtId="9" fontId="8" fillId="0" borderId="30" xfId="1" applyFont="1" applyBorder="1" applyAlignment="1">
      <alignment horizontal="center" vertical="center" wrapText="1"/>
    </xf>
    <xf numFmtId="9" fontId="8" fillId="0" borderId="39" xfId="1" applyFont="1" applyBorder="1" applyAlignment="1">
      <alignment horizontal="center" vertical="center" wrapText="1"/>
    </xf>
    <xf numFmtId="0" fontId="19" fillId="9" borderId="14"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41" xfId="0" applyFont="1" applyFill="1" applyBorder="1" applyAlignment="1">
      <alignment horizontal="center" vertical="center"/>
    </xf>
    <xf numFmtId="0" fontId="19" fillId="9" borderId="40" xfId="0" applyFont="1" applyFill="1" applyBorder="1" applyAlignment="1">
      <alignment horizontal="center" vertical="center"/>
    </xf>
    <xf numFmtId="0" fontId="20" fillId="7" borderId="14" xfId="0" applyFont="1" applyFill="1" applyBorder="1" applyAlignment="1">
      <alignment horizontal="center" vertical="center"/>
    </xf>
    <xf numFmtId="0" fontId="20" fillId="7" borderId="16" xfId="0" applyFont="1" applyFill="1" applyBorder="1" applyAlignment="1">
      <alignment horizontal="center" vertical="center"/>
    </xf>
    <xf numFmtId="0" fontId="20" fillId="7" borderId="41"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colors>
    <mruColors>
      <color rgb="FF00FF00"/>
      <color rgb="FF0DE8F3"/>
      <color rgb="FF66FF99"/>
      <color rgb="FFFF99FF"/>
      <color rgb="FFFFCC66"/>
      <color rgb="FF66CCFF"/>
      <color rgb="FFFFFF99"/>
      <color rgb="FF66FFFF"/>
      <color rgb="FFCCFF66"/>
      <color rgb="FFFF8C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84206920178143"/>
          <c:y val="9.8098514384731036E-2"/>
          <c:w val="0.54031586159643719"/>
          <c:h val="0.8038029712305379"/>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7645F5D9-C3C8-408C-9F02-8303E62CEAC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C0912945-3393-40C7-BA11-EEE40A960A2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F0E210F7-F678-4484-B6AD-B7F4603334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1036D657-1C0B-4A81-9FFE-C4129128563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FA95909E-EE3C-4511-A8C1-E3D320916D7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706FD07A-E67B-451C-8EEA-7772D17446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9618EABE-BFF0-4A8C-8A3B-54864124454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2E6A8150-93F9-4B62-8D1D-3D57B7561F1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547D0371-B88B-42B0-B11A-2A6D2B8FAB1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E492973D-DA7B-46A7-8855-B44716389D9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ECF181B1-405A-402C-9249-B32E6B800A4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31CABB2D-3476-492F-9BE3-6CD1EEBDDDC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A9EFF5E1-B4A8-460A-82C1-F10AFF471C4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5221821D-2C11-4688-95A1-2622D056428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59672EA3-0042-434B-B259-74C407EE8F1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09723E80-E494-47A4-9DBA-390A8D1951B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FFD4D501-F3E7-4BA2-8037-2AD4C6FE096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EC4AC76F-1018-4721-B356-51758DE8922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014337101747174"/>
                  <c:y val="-1.1769742374436265E-2"/>
                </c:manualLayout>
              </c:layout>
              <c:tx>
                <c:rich>
                  <a:bodyPr/>
                  <a:lstStyle/>
                  <a:p>
                    <a:fld id="{28579ED7-95F8-4EB5-8252-39D7403F902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1275" cap="rnd">
              <a:solidFill>
                <a:schemeClr val="bg1"/>
              </a:solidFill>
              <a:round/>
              <a:headEnd type="oval" w="lg" len="lg"/>
              <a:tailEnd type="triangle" w="lg" len="lg"/>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INDICADORES'!$F$26:$G$26</c:f>
              <c:numCache>
                <c:formatCode>General</c:formatCode>
                <c:ptCount val="2"/>
                <c:pt idx="0">
                  <c:v>0</c:v>
                </c:pt>
                <c:pt idx="1">
                  <c:v>0.99649285924950437</c:v>
                </c:pt>
              </c:numCache>
            </c:numRef>
          </c:xVal>
          <c:yVal>
            <c:numRef>
              <c:f>'TABLERO DE INDICADORES'!$H$26:$I$26</c:f>
              <c:numCache>
                <c:formatCode>General</c:formatCode>
                <c:ptCount val="2"/>
                <c:pt idx="0">
                  <c:v>0</c:v>
                </c:pt>
                <c:pt idx="1">
                  <c:v>8.3677843332315732E-2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cmpd="sng">
                <a:solidFill>
                  <a:srgbClr val="0DE8F3"/>
                </a:solidFill>
                <a:prstDash val="solid"/>
                <a:round/>
                <a:headEnd type="diamond" w="med" len="sm"/>
                <a:tailEnd type="arrow" w="med" len="sm"/>
              </a:ln>
              <a:effectLst/>
            </c:spPr>
          </c:dPt>
          <c:xVal>
            <c:numRef>
              <c:f>'TABLERO DE INDICADORES'!$J$26:$K$26</c:f>
              <c:numCache>
                <c:formatCode>General</c:formatCode>
                <c:ptCount val="2"/>
                <c:pt idx="0">
                  <c:v>0</c:v>
                </c:pt>
                <c:pt idx="1">
                  <c:v>0.99531217816126549</c:v>
                </c:pt>
              </c:numCache>
            </c:numRef>
          </c:xVal>
          <c:yVal>
            <c:numRef>
              <c:f>'TABLERO DE INDICADORES'!$L$26:$M$26</c:f>
              <c:numCache>
                <c:formatCode>General</c:formatCode>
                <c:ptCount val="2"/>
                <c:pt idx="0">
                  <c:v>0</c:v>
                </c:pt>
                <c:pt idx="1">
                  <c:v>9.6714362965783895E-2</c:v>
                </c:pt>
              </c:numCache>
            </c:numRef>
          </c:yVal>
          <c:smooth val="1"/>
        </c:ser>
        <c:dLbls>
          <c:showLegendKey val="0"/>
          <c:showVal val="0"/>
          <c:showCatName val="0"/>
          <c:showSerName val="0"/>
          <c:showPercent val="0"/>
          <c:showBubbleSize val="0"/>
        </c:dLbls>
        <c:axId val="233380704"/>
        <c:axId val="233380160"/>
      </c:scatterChart>
      <c:valAx>
        <c:axId val="233380160"/>
        <c:scaling>
          <c:orientation val="minMax"/>
          <c:max val="1"/>
          <c:min val="-1"/>
        </c:scaling>
        <c:delete val="1"/>
        <c:axPos val="l"/>
        <c:numFmt formatCode="General" sourceLinked="1"/>
        <c:majorTickMark val="out"/>
        <c:minorTickMark val="none"/>
        <c:tickLblPos val="nextTo"/>
        <c:crossAx val="233380704"/>
        <c:crosses val="autoZero"/>
        <c:crossBetween val="midCat"/>
      </c:valAx>
      <c:valAx>
        <c:axId val="233380704"/>
        <c:scaling>
          <c:orientation val="minMax"/>
          <c:max val="1"/>
          <c:min val="-1"/>
        </c:scaling>
        <c:delete val="1"/>
        <c:axPos val="b"/>
        <c:numFmt formatCode="General" sourceLinked="1"/>
        <c:majorTickMark val="out"/>
        <c:minorTickMark val="none"/>
        <c:tickLblPos val="nextTo"/>
        <c:crossAx val="23338016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1DE76385-9770-4029-9275-BBA5AD2A075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9B2ED996-2D1C-41E4-B319-930B598AEFE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CB42AC8B-0B9A-4D0E-B1B7-0C2D8FA2691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D826A061-2C2B-470C-A614-808079B8265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770A2CF0-7AE7-41E3-979F-9D50C82E00A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BB5D4DBF-93C3-40B6-962B-05D1F8E1277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E7832B04-1B68-436F-8786-B754D3DE972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8E49291A-660C-4F1F-B08A-97881ABDDB3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AC8A6333-269E-4FE4-82FD-01F662379B2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B54F90DF-EEE1-4143-80D8-6B31FEC08E4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402CE78D-23A7-4D5C-8780-EA648FAA08E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63824221-2C4C-4FFA-9A4F-231587894A4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2F2A4C14-A8FB-4282-84C6-652B391D75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AA0E6AEA-BCB4-40CA-A6C8-6B329F8D568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3D887DA6-000D-4B16-8E2C-775347837CE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9E301957-E4EF-4E31-A92D-DDE2AAE4F42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8971D832-8D62-41CF-9F99-435F56BBEAD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0.10739034079883983"/>
                  <c:y val="-3.6587162041638061E-2"/>
                </c:manualLayout>
              </c:layout>
              <c:tx>
                <c:rich>
                  <a:bodyPr/>
                  <a:lstStyle/>
                  <a:p>
                    <a:fld id="{A8F4F6D2-FD51-48FC-870F-7A311E4BB48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491273221197535"/>
                  <c:y val="-1.5005988329128762E-2"/>
                </c:manualLayout>
              </c:layout>
              <c:tx>
                <c:rich>
                  <a:bodyPr/>
                  <a:lstStyle/>
                  <a:p>
                    <a:fld id="{16CE45A2-677E-4423-9B90-94DD43388A0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INDICADORES'!$F$35:$G$35</c:f>
              <c:numCache>
                <c:formatCode>General</c:formatCode>
                <c:ptCount val="2"/>
                <c:pt idx="0">
                  <c:v>0</c:v>
                </c:pt>
                <c:pt idx="1">
                  <c:v>1</c:v>
                </c:pt>
              </c:numCache>
            </c:numRef>
          </c:xVal>
          <c:yVal>
            <c:numRef>
              <c:f>'TABLERO DE INDICADORES'!$H$35:$I$35</c:f>
              <c:numCache>
                <c:formatCode>General</c:formatCode>
                <c:ptCount val="2"/>
                <c:pt idx="0">
                  <c:v>0</c:v>
                </c:pt>
                <c:pt idx="1">
                  <c:v>1.22514845490862E-16</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triangle"/>
            </a:ln>
            <a:effectLst/>
          </c:spPr>
          <c:marker>
            <c:symbol val="none"/>
          </c:marker>
          <c:xVal>
            <c:numRef>
              <c:f>'TABLERO DE INDICADORES'!$J$35:$K$35</c:f>
              <c:numCache>
                <c:formatCode>General</c:formatCode>
                <c:ptCount val="2"/>
                <c:pt idx="0">
                  <c:v>0</c:v>
                </c:pt>
                <c:pt idx="1">
                  <c:v>1</c:v>
                </c:pt>
              </c:numCache>
            </c:numRef>
          </c:xVal>
          <c:yVal>
            <c:numRef>
              <c:f>'TABLERO DE INDICADORES'!$L$35:$M$35</c:f>
              <c:numCache>
                <c:formatCode>General</c:formatCode>
                <c:ptCount val="2"/>
                <c:pt idx="0">
                  <c:v>0</c:v>
                </c:pt>
                <c:pt idx="1">
                  <c:v>1.22514845490862E-16</c:v>
                </c:pt>
              </c:numCache>
            </c:numRef>
          </c:yVal>
          <c:smooth val="1"/>
        </c:ser>
        <c:dLbls>
          <c:showLegendKey val="0"/>
          <c:showVal val="0"/>
          <c:showCatName val="0"/>
          <c:showSerName val="0"/>
          <c:showPercent val="0"/>
          <c:showBubbleSize val="0"/>
        </c:dLbls>
        <c:axId val="353631792"/>
        <c:axId val="353626352"/>
      </c:scatterChart>
      <c:valAx>
        <c:axId val="353626352"/>
        <c:scaling>
          <c:orientation val="minMax"/>
          <c:max val="1"/>
          <c:min val="-1"/>
        </c:scaling>
        <c:delete val="1"/>
        <c:axPos val="l"/>
        <c:numFmt formatCode="General" sourceLinked="1"/>
        <c:majorTickMark val="out"/>
        <c:minorTickMark val="none"/>
        <c:tickLblPos val="nextTo"/>
        <c:crossAx val="353631792"/>
        <c:crosses val="autoZero"/>
        <c:crossBetween val="midCat"/>
      </c:valAx>
      <c:valAx>
        <c:axId val="353631792"/>
        <c:scaling>
          <c:orientation val="minMax"/>
          <c:max val="1"/>
          <c:min val="-1"/>
        </c:scaling>
        <c:delete val="1"/>
        <c:axPos val="b"/>
        <c:numFmt formatCode="General" sourceLinked="1"/>
        <c:majorTickMark val="out"/>
        <c:minorTickMark val="none"/>
        <c:tickLblPos val="nextTo"/>
        <c:crossAx val="35362635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9CCA242B-BAEC-4448-B414-AB85377CFFE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B6FE632E-FC1D-4BB9-9BC6-864B2A47051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1DDBB3D9-FDC0-41C6-97C6-A0BC6788F45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E9DFE948-3089-4B1C-B10D-41607A781C6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B0F37211-935D-4F40-ABE3-7773D70671A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AFB277F8-9737-446D-BA98-96CE522DC00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D896CF4F-EA75-4CE9-9FE2-96D893518CD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DCEACC94-7C3D-43DE-9372-22BBF928E86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F95AEA1F-7EDA-4E64-9F18-536E33A3D1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49443398-F248-4206-9329-5CDB1949A78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1E7737E5-6B2A-4A84-A3D3-F15E92D327F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CF2B3869-7584-48E0-A911-337F54E1B73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4ED5ACCB-8113-4E0B-BCB6-3B7DF6FA2B6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DE83BEEE-C1D4-4140-99AE-72FA94DF7CD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0809B367-4CAE-4112-8D5D-EB5D592F2D0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95422435-D755-44C6-9243-E98C85B89A1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865A2AFE-026D-4AF4-AAE8-34A865397B0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D91CDA75-7A74-4591-9524-0D68D3E9389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231883196074441"/>
                  <c:y val="-2.4714726193206433E-2"/>
                </c:manualLayout>
              </c:layout>
              <c:tx>
                <c:rich>
                  <a:bodyPr/>
                  <a:lstStyle/>
                  <a:p>
                    <a:fld id="{E9E525E4-BFF4-46A0-9443-2C78A9B152C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INDICADORES'!$F$36:$G$36</c:f>
              <c:numCache>
                <c:formatCode>General</c:formatCode>
                <c:ptCount val="2"/>
                <c:pt idx="0">
                  <c:v>0</c:v>
                </c:pt>
                <c:pt idx="1">
                  <c:v>0.99479214176172648</c:v>
                </c:pt>
              </c:numCache>
            </c:numRef>
          </c:xVal>
          <c:yVal>
            <c:numRef>
              <c:f>'TABLERO DE INDICADORES'!$H$36:$I$36</c:f>
              <c:numCache>
                <c:formatCode>General</c:formatCode>
                <c:ptCount val="2"/>
                <c:pt idx="0">
                  <c:v>0</c:v>
                </c:pt>
                <c:pt idx="1">
                  <c:v>0.10192445579505002</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INDICADORES'!$J$36:$K$36</c:f>
              <c:numCache>
                <c:formatCode>General</c:formatCode>
                <c:ptCount val="2"/>
                <c:pt idx="0">
                  <c:v>0</c:v>
                </c:pt>
                <c:pt idx="1">
                  <c:v>0.99479214176172648</c:v>
                </c:pt>
              </c:numCache>
            </c:numRef>
          </c:xVal>
          <c:yVal>
            <c:numRef>
              <c:f>'TABLERO DE INDICADORES'!$L$36:$M$36</c:f>
              <c:numCache>
                <c:formatCode>General</c:formatCode>
                <c:ptCount val="2"/>
                <c:pt idx="0">
                  <c:v>0</c:v>
                </c:pt>
                <c:pt idx="1">
                  <c:v>0.10192445579505047</c:v>
                </c:pt>
              </c:numCache>
            </c:numRef>
          </c:yVal>
          <c:smooth val="1"/>
        </c:ser>
        <c:dLbls>
          <c:showLegendKey val="0"/>
          <c:showVal val="0"/>
          <c:showCatName val="0"/>
          <c:showSerName val="0"/>
          <c:showPercent val="0"/>
          <c:showBubbleSize val="0"/>
        </c:dLbls>
        <c:axId val="353620912"/>
        <c:axId val="353634512"/>
      </c:scatterChart>
      <c:valAx>
        <c:axId val="353634512"/>
        <c:scaling>
          <c:orientation val="minMax"/>
          <c:max val="1"/>
          <c:min val="-1"/>
        </c:scaling>
        <c:delete val="1"/>
        <c:axPos val="l"/>
        <c:numFmt formatCode="General" sourceLinked="1"/>
        <c:majorTickMark val="out"/>
        <c:minorTickMark val="none"/>
        <c:tickLblPos val="nextTo"/>
        <c:crossAx val="353620912"/>
        <c:crosses val="autoZero"/>
        <c:crossBetween val="midCat"/>
      </c:valAx>
      <c:valAx>
        <c:axId val="353620912"/>
        <c:scaling>
          <c:orientation val="minMax"/>
          <c:max val="1"/>
          <c:min val="-1"/>
        </c:scaling>
        <c:delete val="1"/>
        <c:axPos val="b"/>
        <c:numFmt formatCode="General" sourceLinked="1"/>
        <c:majorTickMark val="out"/>
        <c:minorTickMark val="none"/>
        <c:tickLblPos val="nextTo"/>
        <c:crossAx val="35363451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87E83150-058A-4D97-8189-461BA7F6C6A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429EB29F-D965-4ECE-89C3-8B4D442D8BA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FBC3009F-A953-4FB2-8C33-E7AE8DF8BA6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389B3779-6F27-43ED-BF84-5B838646EFE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655C5F30-FE80-49A9-A972-B5462AF117A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D145B2AD-C27A-42C6-B02D-67092F48D66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9D2D2000-8246-4D08-9D3E-6CA3C17997E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6955BC72-3770-4531-B0C5-C323170D2D8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9E48765C-9522-48B3-93F7-7A215B7FA50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44C4FCA3-6F2F-4808-9B88-3B44A60B919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DFF07C33-771A-45FE-8180-6F1F55E4300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0E2584BF-B72E-41BF-A131-053896DE9C4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13A9C130-DC29-4DFD-B141-B52795DADD8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4C47F652-571D-40DE-B773-28AC67F2B57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57F4E01D-96F3-404E-B4C8-0DAD248DB70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DEBF1E90-324B-4316-B2F4-8DD66A1B427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AC3E26C3-11AA-4443-AB42-A71B87CAECB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3576463617E-2"/>
                  <c:y val="-5.2768391815100783E-2"/>
                </c:manualLayout>
              </c:layout>
              <c:tx>
                <c:rich>
                  <a:bodyPr/>
                  <a:lstStyle/>
                  <a:p>
                    <a:fld id="{4093D55F-FDA3-46C8-9E71-43DBA1829AF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231883927467755"/>
                  <c:y val="-4.7368447876054327E-2"/>
                </c:manualLayout>
              </c:layout>
              <c:tx>
                <c:rich>
                  <a:bodyPr/>
                  <a:lstStyle/>
                  <a:p>
                    <a:fld id="{237F4A6D-5B1F-4F83-A37C-53EBDFC290C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INDICADORES'!$F$37:$G$37</c:f>
              <c:numCache>
                <c:formatCode>General</c:formatCode>
                <c:ptCount val="2"/>
                <c:pt idx="0">
                  <c:v>0</c:v>
                </c:pt>
                <c:pt idx="1">
                  <c:v>0.99377096807193599</c:v>
                </c:pt>
              </c:numCache>
            </c:numRef>
          </c:xVal>
          <c:yVal>
            <c:numRef>
              <c:f>'TABLERO DE INDICADORES'!$H$37:$I$37</c:f>
              <c:numCache>
                <c:formatCode>General</c:formatCode>
                <c:ptCount val="2"/>
                <c:pt idx="0">
                  <c:v>0</c:v>
                </c:pt>
                <c:pt idx="1">
                  <c:v>0.11144174719272495</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INDICADORES'!$J$37:$K$37</c:f>
              <c:numCache>
                <c:formatCode>General</c:formatCode>
                <c:ptCount val="2"/>
                <c:pt idx="0">
                  <c:v>0</c:v>
                </c:pt>
                <c:pt idx="1">
                  <c:v>0.99821500000369012</c:v>
                </c:pt>
              </c:numCache>
            </c:numRef>
          </c:xVal>
          <c:yVal>
            <c:numRef>
              <c:f>'TABLERO DE INDICADORES'!$L$37:$M$37</c:f>
              <c:numCache>
                <c:formatCode>General</c:formatCode>
                <c:ptCount val="2"/>
                <c:pt idx="0">
                  <c:v>0</c:v>
                </c:pt>
                <c:pt idx="1">
                  <c:v>5.9722807767493002E-2</c:v>
                </c:pt>
              </c:numCache>
            </c:numRef>
          </c:yVal>
          <c:smooth val="1"/>
        </c:ser>
        <c:dLbls>
          <c:showLegendKey val="0"/>
          <c:showVal val="0"/>
          <c:showCatName val="0"/>
          <c:showSerName val="0"/>
          <c:showPercent val="0"/>
          <c:showBubbleSize val="0"/>
        </c:dLbls>
        <c:axId val="353632880"/>
        <c:axId val="353624720"/>
      </c:scatterChart>
      <c:valAx>
        <c:axId val="353624720"/>
        <c:scaling>
          <c:orientation val="minMax"/>
          <c:max val="1"/>
          <c:min val="-1"/>
        </c:scaling>
        <c:delete val="1"/>
        <c:axPos val="l"/>
        <c:numFmt formatCode="General" sourceLinked="1"/>
        <c:majorTickMark val="out"/>
        <c:minorTickMark val="none"/>
        <c:tickLblPos val="nextTo"/>
        <c:crossAx val="353632880"/>
        <c:crosses val="autoZero"/>
        <c:crossBetween val="midCat"/>
      </c:valAx>
      <c:valAx>
        <c:axId val="353632880"/>
        <c:scaling>
          <c:orientation val="minMax"/>
          <c:max val="1"/>
          <c:min val="-1"/>
        </c:scaling>
        <c:delete val="1"/>
        <c:axPos val="b"/>
        <c:numFmt formatCode="General" sourceLinked="1"/>
        <c:majorTickMark val="out"/>
        <c:minorTickMark val="none"/>
        <c:tickLblPos val="nextTo"/>
        <c:crossAx val="35362472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85348815833818"/>
          <c:y val="9.8098539382447669E-2"/>
          <c:w val="0.64429322793794741"/>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A069C59B-DE39-433D-BD4B-93F604F9960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7F0574BD-B5FF-498A-92A2-7943B9FC743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46A74738-E629-4014-A016-FC2AA1C062A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04E61A2A-7932-47B5-A94B-1CEC4695937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37F4730E-2B94-489A-A888-A93FC9588AD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85153892-C536-4B74-B24C-F12D5941C1A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1E69152D-4FBF-4F07-B663-33774CA40D2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6DFE7804-41E9-4DD0-82D3-811CEA0A7D4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0A7967E8-163B-4BA6-8E2B-58243E5FDF7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91A3F4A5-200A-47C3-97C1-4791D5697FE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B29F4F1F-13B0-4DDC-9F85-EB5E585D293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86AC6484-4C59-4D11-B5C1-771D4ABA44F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841F897F-5651-43E9-BCC2-390E7A134A5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C0D84ECB-C2A2-4B65-BA9A-23429570EAA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1907ED19-5142-470C-8665-FB51B9C1B4A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29EC1C61-B194-4D70-A365-1BC8818647E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64728B3B-1DEA-4E1B-928A-40B52128173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B70E8120-A3AE-411B-A449-63CE04DF16E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231869848953697"/>
                  <c:y val="-2.7950979270437912E-2"/>
                </c:manualLayout>
              </c:layout>
              <c:tx>
                <c:rich>
                  <a:bodyPr/>
                  <a:lstStyle/>
                  <a:p>
                    <a:fld id="{FD21B680-CC3E-4DF2-92B7-A37A0606455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4450" cap="rnd">
              <a:solidFill>
                <a:schemeClr val="bg1"/>
              </a:solidFill>
              <a:round/>
              <a:headEnd type="oval" w="lg" len="lg"/>
              <a:tailEnd type="stealth" w="lg" len="lg"/>
            </a:ln>
            <a:effectLst/>
          </c:spPr>
          <c:marker>
            <c:symbol val="none"/>
          </c:marker>
          <c:xVal>
            <c:numRef>
              <c:f>'TABLERO DE INDICADORES'!$F$27:$G$27</c:f>
              <c:numCache>
                <c:formatCode>General</c:formatCode>
                <c:ptCount val="2"/>
                <c:pt idx="0">
                  <c:v>0</c:v>
                </c:pt>
                <c:pt idx="1">
                  <c:v>0.97069551403051868</c:v>
                </c:pt>
              </c:numCache>
            </c:numRef>
          </c:xVal>
          <c:yVal>
            <c:numRef>
              <c:f>'TABLERO DE INDICADORES'!$H$27:$I$27</c:f>
              <c:numCache>
                <c:formatCode>General</c:formatCode>
                <c:ptCount val="2"/>
                <c:pt idx="0">
                  <c:v>0</c:v>
                </c:pt>
                <c:pt idx="1">
                  <c:v>0.24031275255597032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w="med" len="sm"/>
                <a:tailEnd type="arrow"/>
              </a:ln>
              <a:effectLst/>
            </c:spPr>
          </c:dPt>
          <c:xVal>
            <c:numRef>
              <c:f>'TABLERO DE INDICADORES'!$J$27:$K$27</c:f>
              <c:numCache>
                <c:formatCode>General</c:formatCode>
                <c:ptCount val="2"/>
                <c:pt idx="0">
                  <c:v>0</c:v>
                </c:pt>
                <c:pt idx="1">
                  <c:v>0.99691733373312796</c:v>
                </c:pt>
              </c:numCache>
            </c:numRef>
          </c:xVal>
          <c:yVal>
            <c:numRef>
              <c:f>'TABLERO DE INDICADORES'!$L$27:$M$27</c:f>
              <c:numCache>
                <c:formatCode>General</c:formatCode>
                <c:ptCount val="2"/>
                <c:pt idx="0">
                  <c:v>0</c:v>
                </c:pt>
                <c:pt idx="1">
                  <c:v>7.8459095727845068E-2</c:v>
                </c:pt>
              </c:numCache>
            </c:numRef>
          </c:yVal>
          <c:smooth val="1"/>
        </c:ser>
        <c:dLbls>
          <c:showLegendKey val="0"/>
          <c:showVal val="0"/>
          <c:showCatName val="0"/>
          <c:showSerName val="0"/>
          <c:showPercent val="0"/>
          <c:showBubbleSize val="0"/>
        </c:dLbls>
        <c:axId val="233368192"/>
        <c:axId val="233373632"/>
      </c:scatterChart>
      <c:valAx>
        <c:axId val="233373632"/>
        <c:scaling>
          <c:orientation val="minMax"/>
          <c:max val="1"/>
          <c:min val="-1"/>
        </c:scaling>
        <c:delete val="1"/>
        <c:axPos val="l"/>
        <c:numFmt formatCode="General" sourceLinked="1"/>
        <c:majorTickMark val="out"/>
        <c:minorTickMark val="none"/>
        <c:tickLblPos val="nextTo"/>
        <c:crossAx val="233368192"/>
        <c:crosses val="autoZero"/>
        <c:crossBetween val="midCat"/>
      </c:valAx>
      <c:valAx>
        <c:axId val="233368192"/>
        <c:scaling>
          <c:orientation val="minMax"/>
          <c:max val="1"/>
          <c:min val="-1"/>
        </c:scaling>
        <c:delete val="1"/>
        <c:axPos val="b"/>
        <c:numFmt formatCode="General" sourceLinked="1"/>
        <c:majorTickMark val="out"/>
        <c:minorTickMark val="none"/>
        <c:tickLblPos val="nextTo"/>
        <c:crossAx val="23337363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93606732554303"/>
          <c:y val="9.1626146788990823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F2CAB04A-9C37-49C6-8169-514C981B5EB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71D36E44-1C4C-4595-9A04-5DD1DDF69A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66D40541-12AC-44DC-907C-7A07203016A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A788A530-1BC6-477C-BEFA-F4D946221FF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D9E8C247-9A0E-4EA5-BFC9-9A6D7743695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50BFCF64-898F-455A-9F1E-A95519170EA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F433DC2C-FC5A-4FE5-B921-A136C12E159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91580B73-BE22-494E-A4AF-4D84B62C5B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4BFAF958-8215-45CC-B123-ACB78DDF7F4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D9A76CA7-C4BE-4F9B-96E7-EF26FF1A06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C1CBCADD-9568-4E91-83DE-0CA8913A3DD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68BFF38B-07E9-4F95-ADFB-7F7CCC19DE5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82FF5D95-0239-4037-B591-F3B98588C99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B1D6CBD2-4D21-44EF-92A7-D065A948734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334C7AC0-C8B6-4CB2-92FE-78CAB54B543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C0CB6B62-2F74-4F41-AEFF-792113BE00A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81548F1F-3016-47C6-B0DC-B9CA9FB2DA2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FEA9C13A-B9AC-41F3-AA7F-0854B496E91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231867358043659"/>
                  <c:y val="-2.7953109072375186E-2"/>
                </c:manualLayout>
              </c:layout>
              <c:tx>
                <c:rich>
                  <a:bodyPr/>
                  <a:lstStyle/>
                  <a:p>
                    <a:fld id="{55DD50CF-5315-4D8E-99DE-87E122D6ACE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INDICADORES'!$F$29:$G$29</c:f>
              <c:numCache>
                <c:formatCode>General</c:formatCode>
                <c:ptCount val="2"/>
                <c:pt idx="0">
                  <c:v>0</c:v>
                </c:pt>
                <c:pt idx="1">
                  <c:v>0.99990446375063202</c:v>
                </c:pt>
              </c:numCache>
            </c:numRef>
          </c:xVal>
          <c:yVal>
            <c:numRef>
              <c:f>'TABLERO DE INDICADORES'!$H$29:$I$29</c:f>
              <c:numCache>
                <c:formatCode>General</c:formatCode>
                <c:ptCount val="2"/>
                <c:pt idx="0">
                  <c:v>0</c:v>
                </c:pt>
                <c:pt idx="1">
                  <c:v>1.382256747355531E-2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w="med" len="med"/>
                <a:tailEnd type="arrow"/>
              </a:ln>
              <a:effectLst/>
            </c:spPr>
          </c:dPt>
          <c:xVal>
            <c:numRef>
              <c:f>'TABLERO DE INDICADORES'!$J$29:$K$29</c:f>
              <c:numCache>
                <c:formatCode>General</c:formatCode>
                <c:ptCount val="2"/>
                <c:pt idx="0">
                  <c:v>0</c:v>
                </c:pt>
                <c:pt idx="1">
                  <c:v>0.99990446375063202</c:v>
                </c:pt>
              </c:numCache>
            </c:numRef>
          </c:xVal>
          <c:yVal>
            <c:numRef>
              <c:f>'TABLERO DE INDICADORES'!$L$29:$M$29</c:f>
              <c:numCache>
                <c:formatCode>General</c:formatCode>
                <c:ptCount val="2"/>
                <c:pt idx="0">
                  <c:v>0</c:v>
                </c:pt>
                <c:pt idx="1">
                  <c:v>1.382256747355531E-2</c:v>
                </c:pt>
              </c:numCache>
            </c:numRef>
          </c:yVal>
          <c:smooth val="1"/>
        </c:ser>
        <c:dLbls>
          <c:showLegendKey val="0"/>
          <c:showVal val="0"/>
          <c:showCatName val="0"/>
          <c:showSerName val="0"/>
          <c:showPercent val="0"/>
          <c:showBubbleSize val="0"/>
        </c:dLbls>
        <c:axId val="233374720"/>
        <c:axId val="233374176"/>
      </c:scatterChart>
      <c:valAx>
        <c:axId val="233374176"/>
        <c:scaling>
          <c:orientation val="minMax"/>
          <c:max val="1"/>
          <c:min val="-1"/>
        </c:scaling>
        <c:delete val="1"/>
        <c:axPos val="l"/>
        <c:numFmt formatCode="General" sourceLinked="1"/>
        <c:majorTickMark val="out"/>
        <c:minorTickMark val="none"/>
        <c:tickLblPos val="nextTo"/>
        <c:crossAx val="233374720"/>
        <c:crosses val="autoZero"/>
        <c:crossBetween val="midCat"/>
      </c:valAx>
      <c:valAx>
        <c:axId val="233374720"/>
        <c:scaling>
          <c:orientation val="minMax"/>
          <c:max val="1"/>
          <c:min val="-1"/>
        </c:scaling>
        <c:delete val="1"/>
        <c:axPos val="b"/>
        <c:numFmt formatCode="General" sourceLinked="1"/>
        <c:majorTickMark val="out"/>
        <c:minorTickMark val="none"/>
        <c:tickLblPos val="nextTo"/>
        <c:crossAx val="23337417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54205138053806"/>
          <c:y val="9.8015139092798451E-2"/>
          <c:w val="0.62291589723892393"/>
          <c:h val="0.80396972181440307"/>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7E4F42FD-096C-4B67-A616-C6AB59F51BD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layout>
                <c:manualLayout>
                  <c:x val="-0.10007239529841379"/>
                  <c:y val="-3.2131486098437884E-2"/>
                </c:manualLayout>
              </c:layout>
              <c:tx>
                <c:rich>
                  <a:bodyPr/>
                  <a:lstStyle/>
                  <a:p>
                    <a:fld id="{5061497D-A323-4D24-8032-3045E5393B3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2"/>
              <c:layout>
                <c:manualLayout>
                  <c:x val="-0.10007239529841379"/>
                  <c:y val="-4.2841898042364136E-2"/>
                </c:manualLayout>
              </c:layout>
              <c:tx>
                <c:rich>
                  <a:bodyPr/>
                  <a:lstStyle/>
                  <a:p>
                    <a:fld id="{6330FA8A-ECC1-425C-BEFE-36B8F14D00D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3"/>
              <c:layout>
                <c:manualLayout>
                  <c:x val="-9.173917608125072E-2"/>
                  <c:y val="-6.799319675113831E-2"/>
                </c:manualLayout>
              </c:layout>
              <c:tx>
                <c:rich>
                  <a:bodyPr/>
                  <a:lstStyle/>
                  <a:p>
                    <a:fld id="{A1EB4388-014E-49DD-844C-925B678A81F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4"/>
              <c:layout>
                <c:manualLayout>
                  <c:x val="-7.5507292023279743E-2"/>
                  <c:y val="-8.6511678193114769E-2"/>
                </c:manualLayout>
              </c:layout>
              <c:tx>
                <c:rich>
                  <a:bodyPr/>
                  <a:lstStyle/>
                  <a:p>
                    <a:fld id="{5A4DEF4F-83D5-4F45-85F0-802322B2ABB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5"/>
              <c:layout>
                <c:manualLayout>
                  <c:x val="-6.5772908821180004E-2"/>
                  <c:y val="-0.1064814559913588"/>
                </c:manualLayout>
              </c:layout>
              <c:tx>
                <c:rich>
                  <a:bodyPr/>
                  <a:lstStyle/>
                  <a:p>
                    <a:fld id="{D5E002D1-DF40-4101-9176-C7F553A152C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6"/>
              <c:layout>
                <c:manualLayout>
                  <c:x val="-5.4227091178820082E-2"/>
                  <c:y val="-0.11629265982904786"/>
                </c:manualLayout>
              </c:layout>
              <c:tx>
                <c:rich>
                  <a:bodyPr/>
                  <a:lstStyle/>
                  <a:p>
                    <a:fld id="{CCD1B483-E7B9-44ED-B440-CFBF0C87063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7"/>
              <c:layout>
                <c:manualLayout>
                  <c:x val="-3.8454045418235765E-2"/>
                  <c:y val="-0.13135671057511777"/>
                </c:manualLayout>
              </c:layout>
              <c:tx>
                <c:rich>
                  <a:bodyPr/>
                  <a:lstStyle/>
                  <a:p>
                    <a:fld id="{2DC97F59-0793-4B9E-8D91-F68EA384727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8"/>
              <c:layout>
                <c:manualLayout>
                  <c:x val="-2.0869565217391306E-2"/>
                  <c:y val="-0.13653823148564795"/>
                </c:manualLayout>
              </c:layout>
              <c:tx>
                <c:rich>
                  <a:bodyPr/>
                  <a:lstStyle/>
                  <a:p>
                    <a:fld id="{22021B3A-BDA4-4B4C-BC99-A0DE32BA511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9"/>
              <c:layout>
                <c:manualLayout>
                  <c:x val="9.1785918064581247E-4"/>
                  <c:y val="-0.13626218736063275"/>
                </c:manualLayout>
              </c:layout>
              <c:tx>
                <c:rich>
                  <a:bodyPr/>
                  <a:lstStyle/>
                  <a:p>
                    <a:fld id="{C1404EFF-00F4-4EF4-B08B-12AD5BFC54F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0"/>
              <c:layout>
                <c:manualLayout>
                  <c:x val="2.8768047472326745E-2"/>
                  <c:y val="-0.12962962036049411"/>
                </c:manualLayout>
              </c:layout>
              <c:tx>
                <c:rich>
                  <a:bodyPr/>
                  <a:lstStyle/>
                  <a:p>
                    <a:fld id="{E5B36CD5-CCAD-48A1-8674-844AEBEA797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1"/>
              <c:layout>
                <c:manualLayout>
                  <c:x val="5.2391372817528245E-2"/>
                  <c:y val="-0.12990541421885018"/>
                </c:manualLayout>
              </c:layout>
              <c:tx>
                <c:rich>
                  <a:bodyPr/>
                  <a:lstStyle/>
                  <a:p>
                    <a:fld id="{45A9FEF2-D63E-4F71-86A2-FB80D263D42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2"/>
              <c:layout>
                <c:manualLayout>
                  <c:x val="6.0724592034691313E-2"/>
                  <c:y val="-0.11691607407692897"/>
                </c:manualLayout>
              </c:layout>
              <c:tx>
                <c:rich>
                  <a:bodyPr/>
                  <a:lstStyle/>
                  <a:p>
                    <a:fld id="{CA37BAF9-FFDD-49F5-A83C-223CA25A5CF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3"/>
              <c:layout>
                <c:manualLayout>
                  <c:x val="7.780184868195815E-2"/>
                  <c:y val="-9.6874469747515984E-2"/>
                </c:manualLayout>
              </c:layout>
              <c:tx>
                <c:rich>
                  <a:bodyPr/>
                  <a:lstStyle/>
                  <a:p>
                    <a:fld id="{5D92A86C-8720-4A60-9184-C9A90D6B858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4"/>
              <c:layout>
                <c:manualLayout>
                  <c:x val="8.3429875613374421E-2"/>
                  <c:y val="-7.9051229084589628E-2"/>
                </c:manualLayout>
              </c:layout>
              <c:tx>
                <c:rich>
                  <a:bodyPr/>
                  <a:lstStyle/>
                  <a:p>
                    <a:fld id="{E6A04059-8BED-4984-9222-D1879E9AD33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5"/>
              <c:layout>
                <c:manualLayout>
                  <c:x val="8.9806687207577313E-2"/>
                  <c:y val="-6.211643506155809E-2"/>
                </c:manualLayout>
              </c:layout>
              <c:tx>
                <c:rich>
                  <a:bodyPr/>
                  <a:lstStyle/>
                  <a:p>
                    <a:fld id="{6F4414D2-65F7-414C-9EF3-0C53427D6C6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6"/>
              <c:layout>
                <c:manualLayout>
                  <c:x val="9.5434714138993501E-2"/>
                  <c:y val="-5.6179108840469519E-2"/>
                </c:manualLayout>
              </c:layout>
              <c:tx>
                <c:rich>
                  <a:bodyPr/>
                  <a:lstStyle/>
                  <a:p>
                    <a:fld id="{E761F935-9DD0-4E8B-8EFF-08AC40772E3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7"/>
              <c:layout>
                <c:manualLayout>
                  <c:x val="9.4420267031838243E-2"/>
                  <c:y val="-2.6878388923397882E-2"/>
                </c:manualLayout>
              </c:layout>
              <c:tx>
                <c:rich>
                  <a:bodyPr/>
                  <a:lstStyle/>
                  <a:p>
                    <a:fld id="{13FA62DB-1E52-494C-8802-61678D3F8A7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8"/>
              <c:layout>
                <c:manualLayout>
                  <c:x val="0.1023186735804365"/>
                  <c:y val="-1.819665567143974E-2"/>
                </c:manualLayout>
              </c:layout>
              <c:tx>
                <c:rich>
                  <a:bodyPr/>
                  <a:lstStyle/>
                  <a:p>
                    <a:fld id="{525F6F7C-959F-4FA1-BC8D-D4DD5161C2A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47625" cap="rnd">
              <a:solidFill>
                <a:schemeClr val="bg1"/>
              </a:solidFill>
              <a:round/>
              <a:headEnd type="oval" w="lg" len="lg"/>
              <a:tailEnd type="stealth" w="lg" len="lg"/>
            </a:ln>
            <a:effectLst/>
          </c:spPr>
          <c:marker>
            <c:symbol val="none"/>
          </c:marker>
          <c:xVal>
            <c:numRef>
              <c:f>'TABLERO DE INDICADORES'!$F$28:$G$28</c:f>
              <c:numCache>
                <c:formatCode>General</c:formatCode>
                <c:ptCount val="2"/>
                <c:pt idx="0">
                  <c:v>0</c:v>
                </c:pt>
                <c:pt idx="1">
                  <c:v>0.99984769515639127</c:v>
                </c:pt>
              </c:numCache>
            </c:numRef>
          </c:xVal>
          <c:yVal>
            <c:numRef>
              <c:f>'TABLERO DE INDICADORES'!$H$28:$I$28</c:f>
              <c:numCache>
                <c:formatCode>General</c:formatCode>
                <c:ptCount val="2"/>
                <c:pt idx="0">
                  <c:v>0</c:v>
                </c:pt>
                <c:pt idx="1">
                  <c:v>1.7452406437283439E-2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INDICADORES'!$J$28:$K$28</c:f>
              <c:numCache>
                <c:formatCode>General</c:formatCode>
                <c:ptCount val="2"/>
                <c:pt idx="0">
                  <c:v>0</c:v>
                </c:pt>
                <c:pt idx="1">
                  <c:v>0.99991064321037804</c:v>
                </c:pt>
              </c:numCache>
            </c:numRef>
          </c:xVal>
          <c:yVal>
            <c:numRef>
              <c:f>'TABLERO DE INDICADORES'!$L$28:$M$28</c:f>
              <c:numCache>
                <c:formatCode>General</c:formatCode>
                <c:ptCount val="2"/>
                <c:pt idx="0">
                  <c:v>0</c:v>
                </c:pt>
                <c:pt idx="1">
                  <c:v>1.3368081186472871E-2</c:v>
                </c:pt>
              </c:numCache>
            </c:numRef>
          </c:yVal>
          <c:smooth val="1"/>
        </c:ser>
        <c:dLbls>
          <c:showLegendKey val="0"/>
          <c:showVal val="0"/>
          <c:showCatName val="0"/>
          <c:showSerName val="0"/>
          <c:showPercent val="0"/>
          <c:showBubbleSize val="0"/>
        </c:dLbls>
        <c:axId val="233368736"/>
        <c:axId val="233370368"/>
      </c:scatterChart>
      <c:valAx>
        <c:axId val="233370368"/>
        <c:scaling>
          <c:orientation val="minMax"/>
          <c:max val="1"/>
          <c:min val="-1"/>
        </c:scaling>
        <c:delete val="1"/>
        <c:axPos val="l"/>
        <c:numFmt formatCode="General" sourceLinked="1"/>
        <c:majorTickMark val="out"/>
        <c:minorTickMark val="none"/>
        <c:tickLblPos val="nextTo"/>
        <c:crossAx val="233368736"/>
        <c:crosses val="autoZero"/>
        <c:crossBetween val="midCat"/>
      </c:valAx>
      <c:valAx>
        <c:axId val="233368736"/>
        <c:scaling>
          <c:orientation val="minMax"/>
          <c:max val="1"/>
          <c:min val="-1"/>
        </c:scaling>
        <c:delete val="1"/>
        <c:axPos val="b"/>
        <c:numFmt formatCode="General" sourceLinked="1"/>
        <c:majorTickMark val="out"/>
        <c:minorTickMark val="none"/>
        <c:tickLblPos val="nextTo"/>
        <c:crossAx val="233370368"/>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D1E63223-A8CF-4387-BF3C-96F56E82CE2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78514CE3-DF5F-4F04-BD48-B37F637A212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29B3B653-5F5A-476E-B6CC-3C08BF85475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62625901-5E38-4407-B78E-F847717A284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CDFFB1E6-D456-4CD8-BAFF-0B7E65B2D92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8140ABA8-632A-4B71-9336-2A8DF3D7D40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3CC762E3-54B6-4B4E-B37A-51324E87D97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2E3E3C70-4604-4781-83BA-235921143B3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12C859F2-6C3E-4146-98EC-671C1376A39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4497DA87-076A-4B42-BB83-BE4BEC062E7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F99F5472-8145-43A7-8AE4-C2D2CA4D43E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5DDD0720-AFBB-4FB2-8377-65C5CC68860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73D49065-3AAF-4B5D-BE44-C44DC00C6B8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C2C64791-D4C2-4255-BFA3-7DC98A2A892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389821C4-1091-4DD4-9B9F-C87CC4046A9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414C0407-89C6-4D48-8366-94DFD6BA7D8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1FCEC4EA-4BFF-4A9D-B9EA-CCA003F159A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A2B4EDC6-4631-479B-926C-AE484535582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9.981678486997636E-2"/>
                  <c:y val="-2.7950979270437853E-2"/>
                </c:manualLayout>
              </c:layout>
              <c:tx>
                <c:rich>
                  <a:bodyPr/>
                  <a:lstStyle/>
                  <a:p>
                    <a:fld id="{15EE1287-A66C-402A-A189-0A6A4766287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INDICADORES'!$F$30:$G$30</c:f>
              <c:numCache>
                <c:formatCode>General</c:formatCode>
                <c:ptCount val="2"/>
                <c:pt idx="0">
                  <c:v>0</c:v>
                </c:pt>
                <c:pt idx="1">
                  <c:v>0.99705181163865086</c:v>
                </c:pt>
              </c:numCache>
            </c:numRef>
          </c:xVal>
          <c:yVal>
            <c:numRef>
              <c:f>'TABLERO DE INDICADORES'!$H$30:$I$30</c:f>
              <c:numCache>
                <c:formatCode>General</c:formatCode>
                <c:ptCount val="2"/>
                <c:pt idx="0">
                  <c:v>0</c:v>
                </c:pt>
                <c:pt idx="1">
                  <c:v>7.6731251182841659E-2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INDICADORES'!$J$30:$K$30</c:f>
              <c:numCache>
                <c:formatCode>General</c:formatCode>
                <c:ptCount val="2"/>
                <c:pt idx="0">
                  <c:v>0</c:v>
                </c:pt>
                <c:pt idx="1">
                  <c:v>0.99705275222692025</c:v>
                </c:pt>
              </c:numCache>
            </c:numRef>
          </c:xVal>
          <c:yVal>
            <c:numRef>
              <c:f>'TABLERO DE INDICADORES'!$L$30:$M$30</c:f>
              <c:numCache>
                <c:formatCode>General</c:formatCode>
                <c:ptCount val="2"/>
                <c:pt idx="0">
                  <c:v>0</c:v>
                </c:pt>
                <c:pt idx="1">
                  <c:v>7.6719028126819314E-2</c:v>
                </c:pt>
              </c:numCache>
            </c:numRef>
          </c:yVal>
          <c:smooth val="1"/>
        </c:ser>
        <c:dLbls>
          <c:showLegendKey val="0"/>
          <c:showVal val="0"/>
          <c:showCatName val="0"/>
          <c:showSerName val="0"/>
          <c:showPercent val="0"/>
          <c:showBubbleSize val="0"/>
        </c:dLbls>
        <c:axId val="233369824"/>
        <c:axId val="233376352"/>
      </c:scatterChart>
      <c:valAx>
        <c:axId val="233376352"/>
        <c:scaling>
          <c:orientation val="minMax"/>
          <c:max val="1"/>
          <c:min val="-1"/>
        </c:scaling>
        <c:delete val="1"/>
        <c:axPos val="l"/>
        <c:numFmt formatCode="General" sourceLinked="1"/>
        <c:majorTickMark val="out"/>
        <c:minorTickMark val="none"/>
        <c:tickLblPos val="nextTo"/>
        <c:crossAx val="233369824"/>
        <c:crosses val="autoZero"/>
        <c:crossBetween val="midCat"/>
      </c:valAx>
      <c:valAx>
        <c:axId val="233369824"/>
        <c:scaling>
          <c:orientation val="minMax"/>
          <c:max val="1"/>
          <c:min val="-1"/>
        </c:scaling>
        <c:delete val="1"/>
        <c:axPos val="b"/>
        <c:numFmt formatCode="General" sourceLinked="1"/>
        <c:majorTickMark val="out"/>
        <c:minorTickMark val="none"/>
        <c:tickLblPos val="nextTo"/>
        <c:crossAx val="23337635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32FC2A12-C08B-4892-82F0-3FAD8397BAB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435CFA3F-1F45-4169-82D4-DB266A5D7C8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171B9240-0705-4168-9429-7B0CDFB9999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D71E2340-7FC6-40E2-9588-B6705EE4DE2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7D8FC4BD-D706-4C25-9823-22730CB9D56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0AD114E3-B529-4E64-A4BC-1FD26FF7375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3EABABF6-0580-445E-A244-2DA1DB72A31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21BA4CEE-F6C2-47F5-A2FF-67C3166ED20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5758CBD6-8015-40FC-A482-DC29FBC64E3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82B44077-7976-4797-9F18-13EE843A11F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FC6D24D3-D920-4572-9524-C2DD4FBEAF7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6ABE5F69-0D4B-4A6D-9896-91E655E82D2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1E9D6678-2EF6-4230-8A3C-5D6E3FD84CBD}"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EEF1210B-975E-4C05-8A28-9462F75270D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7375A127-EC37-4F64-B13E-757C2C5F782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28629CDC-8095-4A48-AB1A-88EE3FA0B93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9CBB14F3-EAB5-485E-8EC5-830979F6BC6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44253094088E-2"/>
                  <c:y val="-4.6295899905715671E-2"/>
                </c:manualLayout>
              </c:layout>
              <c:tx>
                <c:rich>
                  <a:bodyPr/>
                  <a:lstStyle/>
                  <a:p>
                    <a:fld id="{9813B4BB-0823-4281-8C19-443D11D5FD8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9.9719728016454082E-2"/>
                  <c:y val="-5.0604693830746887E-2"/>
                </c:manualLayout>
              </c:layout>
              <c:tx>
                <c:rich>
                  <a:bodyPr/>
                  <a:lstStyle/>
                  <a:p>
                    <a:fld id="{4837973C-FA39-42E5-92E4-9DCC571C368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INDICADORES'!$F$31:$G$31</c:f>
              <c:numCache>
                <c:formatCode>General</c:formatCode>
                <c:ptCount val="2"/>
                <c:pt idx="0">
                  <c:v>0</c:v>
                </c:pt>
                <c:pt idx="1">
                  <c:v>0.99342681815732825</c:v>
                </c:pt>
              </c:numCache>
            </c:numRef>
          </c:xVal>
          <c:yVal>
            <c:numRef>
              <c:f>'TABLERO DE INDICADORES'!$H$31:$I$31</c:f>
              <c:numCache>
                <c:formatCode>General</c:formatCode>
                <c:ptCount val="2"/>
                <c:pt idx="0">
                  <c:v>0</c:v>
                </c:pt>
                <c:pt idx="1">
                  <c:v>0.11446902186096719</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INDICADORES'!$J$31:$K$31</c:f>
              <c:numCache>
                <c:formatCode>General</c:formatCode>
                <c:ptCount val="2"/>
                <c:pt idx="0">
                  <c:v>0</c:v>
                </c:pt>
                <c:pt idx="1">
                  <c:v>0.99509838017456853</c:v>
                </c:pt>
              </c:numCache>
            </c:numRef>
          </c:xVal>
          <c:yVal>
            <c:numRef>
              <c:f>'TABLERO DE INDICADORES'!$L$31:$M$31</c:f>
              <c:numCache>
                <c:formatCode>General</c:formatCode>
                <c:ptCount val="2"/>
                <c:pt idx="0">
                  <c:v>0</c:v>
                </c:pt>
                <c:pt idx="1">
                  <c:v>9.88899073411936E-2</c:v>
                </c:pt>
              </c:numCache>
            </c:numRef>
          </c:yVal>
          <c:smooth val="1"/>
        </c:ser>
        <c:dLbls>
          <c:showLegendKey val="0"/>
          <c:showVal val="0"/>
          <c:showCatName val="0"/>
          <c:showSerName val="0"/>
          <c:showPercent val="0"/>
          <c:showBubbleSize val="0"/>
        </c:dLbls>
        <c:axId val="233371456"/>
        <c:axId val="233370912"/>
      </c:scatterChart>
      <c:valAx>
        <c:axId val="233370912"/>
        <c:scaling>
          <c:orientation val="minMax"/>
          <c:max val="1"/>
          <c:min val="-1"/>
        </c:scaling>
        <c:delete val="1"/>
        <c:axPos val="l"/>
        <c:numFmt formatCode="General" sourceLinked="1"/>
        <c:majorTickMark val="out"/>
        <c:minorTickMark val="none"/>
        <c:tickLblPos val="nextTo"/>
        <c:crossAx val="233371456"/>
        <c:crosses val="autoZero"/>
        <c:crossBetween val="midCat"/>
      </c:valAx>
      <c:valAx>
        <c:axId val="233371456"/>
        <c:scaling>
          <c:orientation val="minMax"/>
          <c:max val="1"/>
          <c:min val="-1"/>
        </c:scaling>
        <c:delete val="1"/>
        <c:axPos val="b"/>
        <c:numFmt formatCode="General" sourceLinked="1"/>
        <c:majorTickMark val="out"/>
        <c:minorTickMark val="none"/>
        <c:tickLblPos val="nextTo"/>
        <c:crossAx val="233370912"/>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5C34DBD4-C885-45B5-AA05-08115A1BCDD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CC04E3F5-E6E0-4EF3-9FD1-AF408294187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9D67BE87-E35E-455E-9867-16B96257E85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BB80BC7F-13DB-4F79-A2AE-C813D9BBFB3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7DB6947D-925E-4AC1-971C-1B0F9D68591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456B3B8A-758B-4E3F-A5D1-DE22EE4E66E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F0523802-0720-4BA6-B475-12D42FE5153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CBBAFBB2-0163-4B60-9BC2-D1E43D8E808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08E16B24-D093-4B1B-9DFD-8A649254002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69F75CE9-9E22-462B-9BA5-C37D5674A7F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CE431A6D-6CAE-401C-99A3-3662389E25D4}"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92EDE3E5-CF8A-49FA-B2AD-F6945251C7A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9FD8CC5A-977C-4BC3-B154-0F149DD1E02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B739E8C9-F662-4F30-B76A-D1AFC7DD530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2F57A015-6319-48E5-BF48-AC1E85F9645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8BFF7145-34A2-438E-B1C1-98DA37DD1FE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B56CDCA1-BDC6-4B17-8C4B-E2C61DA0F71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FD3D027D-1DF9-462C-867F-E4E64781915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5492513781"/>
                  <c:y val="-1.824223428382132E-2"/>
                </c:manualLayout>
              </c:layout>
              <c:tx>
                <c:rich>
                  <a:bodyPr/>
                  <a:lstStyle/>
                  <a:p>
                    <a:fld id="{9EE9FE05-7DE0-43F1-A62D-15580BFF303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INDICADORES'!$F$32:$G$32</c:f>
              <c:numCache>
                <c:formatCode>General</c:formatCode>
                <c:ptCount val="2"/>
                <c:pt idx="0">
                  <c:v>0</c:v>
                </c:pt>
                <c:pt idx="1">
                  <c:v>0.99974300513909808</c:v>
                </c:pt>
              </c:numCache>
            </c:numRef>
          </c:xVal>
          <c:yVal>
            <c:numRef>
              <c:f>'TABLERO DE INDICADORES'!$H$32:$I$32</c:f>
              <c:numCache>
                <c:formatCode>General</c:formatCode>
                <c:ptCount val="2"/>
                <c:pt idx="0">
                  <c:v>0</c:v>
                </c:pt>
                <c:pt idx="1">
                  <c:v>2.2669884769121473E-2</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INDICADORES'!$J$32:$K$32</c:f>
              <c:numCache>
                <c:formatCode>General</c:formatCode>
                <c:ptCount val="2"/>
                <c:pt idx="0">
                  <c:v>0</c:v>
                </c:pt>
                <c:pt idx="1">
                  <c:v>0.99992515628126533</c:v>
                </c:pt>
              </c:numCache>
            </c:numRef>
          </c:xVal>
          <c:yVal>
            <c:numRef>
              <c:f>'TABLERO DE INDICADORES'!$L$32:$M$32</c:f>
              <c:numCache>
                <c:formatCode>General</c:formatCode>
                <c:ptCount val="2"/>
                <c:pt idx="0">
                  <c:v>0</c:v>
                </c:pt>
                <c:pt idx="1">
                  <c:v>1.2234452823359863E-2</c:v>
                </c:pt>
              </c:numCache>
            </c:numRef>
          </c:yVal>
          <c:smooth val="1"/>
        </c:ser>
        <c:dLbls>
          <c:showLegendKey val="0"/>
          <c:showVal val="0"/>
          <c:showCatName val="0"/>
          <c:showSerName val="0"/>
          <c:showPercent val="0"/>
          <c:showBubbleSize val="0"/>
        </c:dLbls>
        <c:axId val="233377440"/>
        <c:axId val="233372000"/>
      </c:scatterChart>
      <c:valAx>
        <c:axId val="233372000"/>
        <c:scaling>
          <c:orientation val="minMax"/>
          <c:max val="1"/>
          <c:min val="-1"/>
        </c:scaling>
        <c:delete val="1"/>
        <c:axPos val="l"/>
        <c:numFmt formatCode="General" sourceLinked="1"/>
        <c:majorTickMark val="out"/>
        <c:minorTickMark val="none"/>
        <c:tickLblPos val="nextTo"/>
        <c:crossAx val="233377440"/>
        <c:crosses val="autoZero"/>
        <c:crossBetween val="midCat"/>
      </c:valAx>
      <c:valAx>
        <c:axId val="233377440"/>
        <c:scaling>
          <c:orientation val="minMax"/>
          <c:max val="1"/>
          <c:min val="-1"/>
        </c:scaling>
        <c:delete val="1"/>
        <c:axPos val="b"/>
        <c:numFmt formatCode="General" sourceLinked="1"/>
        <c:majorTickMark val="out"/>
        <c:minorTickMark val="none"/>
        <c:tickLblPos val="nextTo"/>
        <c:crossAx val="233372000"/>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10E83727-AB40-470F-B5F3-354B37DB901B}"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9E278B20-E8B7-4BFA-90C4-02046AC4462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049A0FED-500A-4DDA-B484-A8DA757FBD7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8F97E8C0-E280-4547-A550-39026A0F762E}"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8CA1A04B-0EE2-477F-8186-5CC5C42F9C2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8639F157-4FEE-4D6C-A14A-B052DC0B7C8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5A13BF46-FE1B-46D2-83EE-06CB6BF6FD1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BF300715-0811-44F6-B640-F03C8FE67CF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14817928-E956-4625-A3C1-F425CCA2662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FE495550-17BA-43D2-ADEA-FE553379F5D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3C684F25-D9CE-470C-A82B-A96723142029}"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4241060E-D4F4-4086-A0E1-1AEF143F5D76}"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3CB7B90C-853E-47D0-BE3B-0D8213648AC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EB31EDA8-878B-4FFE-9F4A-13CCCBA7AEC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9404F911-9F2C-425D-9583-F025B7AC9F8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B9B4FD3B-2009-4482-8BFE-23271985980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FBBAD6B1-1FDB-419A-9E34-3F3813BF69E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4420267031838243E-2"/>
                  <c:y val="-2.6878388923397882E-2"/>
                </c:manualLayout>
              </c:layout>
              <c:tx>
                <c:rich>
                  <a:bodyPr/>
                  <a:lstStyle/>
                  <a:p>
                    <a:fld id="{F0F359DF-9906-494F-B7EF-DE6E647395A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0.10231874928677394"/>
                  <c:y val="1.1752522312523995E-3"/>
                </c:manualLayout>
              </c:layout>
              <c:tx>
                <c:rich>
                  <a:bodyPr/>
                  <a:lstStyle/>
                  <a:p>
                    <a:fld id="{06C5B1DA-6674-41B0-9631-B99FCF5F658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28575" cap="rnd">
              <a:solidFill>
                <a:schemeClr val="accent2"/>
              </a:solidFill>
              <a:round/>
            </a:ln>
            <a:effectLst/>
          </c:spPr>
          <c:marker>
            <c:symbol val="none"/>
          </c:marker>
          <c:dPt>
            <c:idx val="1"/>
            <c:marker>
              <c:symbol val="none"/>
            </c:marker>
            <c:bubble3D val="0"/>
            <c:spPr>
              <a:ln w="50800" cap="rnd">
                <a:solidFill>
                  <a:schemeClr val="bg1"/>
                </a:solidFill>
                <a:round/>
                <a:headEnd type="oval" w="lg" len="lg"/>
                <a:tailEnd type="stealth" w="lg" len="lg"/>
              </a:ln>
              <a:effectLst/>
            </c:spPr>
          </c:dPt>
          <c:xVal>
            <c:numRef>
              <c:f>'TABLERO DE INDICADORES'!$F$33:$G$33</c:f>
              <c:numCache>
                <c:formatCode>General</c:formatCode>
                <c:ptCount val="2"/>
                <c:pt idx="0">
                  <c:v>0</c:v>
                </c:pt>
                <c:pt idx="1">
                  <c:v>0.86666764912563421</c:v>
                </c:pt>
              </c:numCache>
            </c:numRef>
          </c:xVal>
          <c:yVal>
            <c:numRef>
              <c:f>'TABLERO DE INDICADORES'!$H$33:$I$33</c:f>
              <c:numCache>
                <c:formatCode>General</c:formatCode>
                <c:ptCount val="2"/>
                <c:pt idx="0">
                  <c:v>0</c:v>
                </c:pt>
                <c:pt idx="1">
                  <c:v>0.49888594484014748</c:v>
                </c:pt>
              </c:numCache>
            </c:numRef>
          </c:yVal>
          <c:smooth val="1"/>
        </c:ser>
        <c:ser>
          <c:idx val="2"/>
          <c:order val="2"/>
          <c:tx>
            <c:strRef>
              <c:f>'TABLERO DE INDICADORES'!$K$23</c:f>
              <c:strCache>
                <c:ptCount val="1"/>
                <c:pt idx="0">
                  <c:v>PUNTOS 2</c:v>
                </c:pt>
              </c:strCache>
            </c:strRef>
          </c:tx>
          <c:spPr>
            <a:ln w="28575" cap="rnd">
              <a:solidFill>
                <a:schemeClr val="accent3"/>
              </a:solidFill>
              <a:round/>
            </a:ln>
            <a:effectLst/>
          </c:spPr>
          <c:marker>
            <c:symbol val="none"/>
          </c:marker>
          <c:dPt>
            <c:idx val="1"/>
            <c:marker>
              <c:symbol val="none"/>
            </c:marker>
            <c:bubble3D val="0"/>
            <c:spPr>
              <a:ln w="50800" cap="rnd">
                <a:solidFill>
                  <a:srgbClr val="0DE8F3"/>
                </a:solidFill>
                <a:round/>
                <a:headEnd type="diamond"/>
                <a:tailEnd type="arrow"/>
              </a:ln>
              <a:effectLst/>
            </c:spPr>
          </c:dPt>
          <c:xVal>
            <c:numRef>
              <c:f>'TABLERO DE INDICADORES'!$J$33:$K$33</c:f>
              <c:numCache>
                <c:formatCode>General</c:formatCode>
                <c:ptCount val="2"/>
                <c:pt idx="0">
                  <c:v>0</c:v>
                </c:pt>
                <c:pt idx="1">
                  <c:v>0.99123403614799166</c:v>
                </c:pt>
              </c:numCache>
            </c:numRef>
          </c:xVal>
          <c:yVal>
            <c:numRef>
              <c:f>'TABLERO DE INDICADORES'!$L$33:$M$33</c:f>
              <c:numCache>
                <c:formatCode>General</c:formatCode>
                <c:ptCount val="2"/>
                <c:pt idx="0">
                  <c:v>0</c:v>
                </c:pt>
                <c:pt idx="1">
                  <c:v>0.13211769594479753</c:v>
                </c:pt>
              </c:numCache>
            </c:numRef>
          </c:yVal>
          <c:smooth val="1"/>
        </c:ser>
        <c:dLbls>
          <c:showLegendKey val="0"/>
          <c:showVal val="0"/>
          <c:showCatName val="0"/>
          <c:showSerName val="0"/>
          <c:showPercent val="0"/>
          <c:showBubbleSize val="0"/>
        </c:dLbls>
        <c:axId val="233379072"/>
        <c:axId val="233377984"/>
      </c:scatterChart>
      <c:valAx>
        <c:axId val="233377984"/>
        <c:scaling>
          <c:orientation val="minMax"/>
          <c:max val="1"/>
          <c:min val="-1"/>
        </c:scaling>
        <c:delete val="1"/>
        <c:axPos val="l"/>
        <c:numFmt formatCode="General" sourceLinked="1"/>
        <c:majorTickMark val="out"/>
        <c:minorTickMark val="none"/>
        <c:tickLblPos val="nextTo"/>
        <c:crossAx val="233379072"/>
        <c:crosses val="autoZero"/>
        <c:crossBetween val="midCat"/>
      </c:valAx>
      <c:valAx>
        <c:axId val="233379072"/>
        <c:scaling>
          <c:orientation val="minMax"/>
          <c:max val="1"/>
          <c:min val="-1"/>
        </c:scaling>
        <c:delete val="1"/>
        <c:axPos val="b"/>
        <c:numFmt formatCode="General" sourceLinked="1"/>
        <c:majorTickMark val="out"/>
        <c:minorTickMark val="none"/>
        <c:tickLblPos val="nextTo"/>
        <c:crossAx val="233377984"/>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83547295800029"/>
          <c:y val="9.1626045823725466E-2"/>
          <c:w val="0.62132592712965284"/>
          <c:h val="0.80380292123510466"/>
        </c:manualLayout>
      </c:layout>
      <c:doughnutChart>
        <c:varyColors val="1"/>
        <c:ser>
          <c:idx val="0"/>
          <c:order val="0"/>
          <c:spPr>
            <a:ln>
              <a:noFill/>
            </a:ln>
            <a:scene3d>
              <a:camera prst="orthographicFront"/>
              <a:lightRig rig="threePt" dir="t"/>
            </a:scene3d>
            <a:sp3d>
              <a:bevelT w="165100" prst="coolSlant"/>
            </a:sp3d>
          </c:spPr>
          <c:explosion val="7"/>
          <c:dPt>
            <c:idx val="0"/>
            <c:bubble3D val="0"/>
            <c:spPr>
              <a:solidFill>
                <a:srgbClr val="FF0000"/>
              </a:solidFill>
              <a:ln w="19050">
                <a:noFill/>
              </a:ln>
              <a:effectLst/>
              <a:scene3d>
                <a:camera prst="orthographicFront"/>
                <a:lightRig rig="threePt" dir="t"/>
              </a:scene3d>
              <a:sp3d>
                <a:bevelT w="165100" prst="coolSlant"/>
              </a:sp3d>
            </c:spPr>
          </c:dPt>
          <c:dPt>
            <c:idx val="1"/>
            <c:bubble3D val="0"/>
            <c:spPr>
              <a:solidFill>
                <a:srgbClr val="FF0000"/>
              </a:solidFill>
              <a:ln w="19050">
                <a:noFill/>
              </a:ln>
              <a:effectLst/>
              <a:scene3d>
                <a:camera prst="orthographicFront"/>
                <a:lightRig rig="threePt" dir="t"/>
              </a:scene3d>
              <a:sp3d>
                <a:bevelT w="165100" prst="coolSlant"/>
              </a:sp3d>
            </c:spPr>
          </c:dPt>
          <c:dPt>
            <c:idx val="2"/>
            <c:bubble3D val="0"/>
            <c:spPr>
              <a:solidFill>
                <a:srgbClr val="FF0000"/>
              </a:solidFill>
              <a:ln w="19050">
                <a:noFill/>
              </a:ln>
              <a:effectLst/>
              <a:scene3d>
                <a:camera prst="orthographicFront"/>
                <a:lightRig rig="threePt" dir="t"/>
              </a:scene3d>
              <a:sp3d>
                <a:bevelT w="165100" prst="coolSlant"/>
              </a:sp3d>
            </c:spPr>
          </c:dPt>
          <c:dPt>
            <c:idx val="3"/>
            <c:bubble3D val="0"/>
            <c:spPr>
              <a:solidFill>
                <a:srgbClr val="FF0000"/>
              </a:solidFill>
              <a:ln w="19050">
                <a:noFill/>
              </a:ln>
              <a:effectLst/>
              <a:scene3d>
                <a:camera prst="orthographicFront"/>
                <a:lightRig rig="threePt" dir="t"/>
              </a:scene3d>
              <a:sp3d>
                <a:bevelT w="165100" prst="coolSlant"/>
              </a:sp3d>
            </c:spPr>
          </c:dPt>
          <c:dPt>
            <c:idx val="4"/>
            <c:bubble3D val="0"/>
            <c:spPr>
              <a:gradFill flip="none" rotWithShape="1">
                <a:gsLst>
                  <a:gs pos="0">
                    <a:srgbClr val="FF0000"/>
                  </a:gs>
                  <a:gs pos="29000">
                    <a:srgbClr val="FF0000"/>
                  </a:gs>
                  <a:gs pos="87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5"/>
            <c:bubble3D val="0"/>
            <c:spPr>
              <a:gradFill flip="none" rotWithShape="1">
                <a:gsLst>
                  <a:gs pos="0">
                    <a:srgbClr val="FF0000"/>
                  </a:gs>
                  <a:gs pos="33000">
                    <a:srgbClr val="FF0000"/>
                  </a:gs>
                  <a:gs pos="52000">
                    <a:srgbClr val="FF8C19"/>
                  </a:gs>
                  <a:gs pos="100000">
                    <a:srgbClr val="FF8C19"/>
                  </a:gs>
                </a:gsLst>
                <a:lin ang="18900000" scaled="1"/>
                <a:tileRect/>
              </a:gradFill>
              <a:ln w="19050">
                <a:noFill/>
              </a:ln>
              <a:effectLst/>
              <a:scene3d>
                <a:camera prst="orthographicFront"/>
                <a:lightRig rig="threePt" dir="t"/>
              </a:scene3d>
              <a:sp3d>
                <a:bevelT w="165100" prst="coolSlant"/>
              </a:sp3d>
            </c:spPr>
          </c:dPt>
          <c:dPt>
            <c:idx val="6"/>
            <c:bubble3D val="0"/>
            <c:spPr>
              <a:solidFill>
                <a:srgbClr val="FF8C19"/>
              </a:solidFill>
              <a:ln w="19050">
                <a:noFill/>
              </a:ln>
              <a:effectLst/>
              <a:scene3d>
                <a:camera prst="orthographicFront"/>
                <a:lightRig rig="threePt" dir="t"/>
              </a:scene3d>
              <a:sp3d>
                <a:bevelT w="165100" prst="coolSlant"/>
              </a:sp3d>
            </c:spPr>
          </c:dPt>
          <c:dPt>
            <c:idx val="7"/>
            <c:bubble3D val="0"/>
            <c:spPr>
              <a:solidFill>
                <a:srgbClr val="FF8C19"/>
              </a:solidFill>
              <a:ln w="19050">
                <a:noFill/>
              </a:ln>
              <a:effectLst/>
              <a:scene3d>
                <a:camera prst="orthographicFront"/>
                <a:lightRig rig="threePt" dir="t"/>
              </a:scene3d>
              <a:sp3d>
                <a:bevelT w="165100" prst="coolSlant"/>
              </a:sp3d>
            </c:spPr>
          </c:dPt>
          <c:dPt>
            <c:idx val="8"/>
            <c:bubble3D val="0"/>
            <c:spPr>
              <a:solidFill>
                <a:srgbClr val="FF8C19"/>
              </a:solidFill>
              <a:ln w="19050">
                <a:noFill/>
              </a:ln>
              <a:effectLst/>
              <a:scene3d>
                <a:camera prst="orthographicFront"/>
                <a:lightRig rig="threePt" dir="t"/>
              </a:scene3d>
              <a:sp3d>
                <a:bevelT w="165100" prst="coolSlant"/>
              </a:sp3d>
            </c:spPr>
          </c:dPt>
          <c:dPt>
            <c:idx val="9"/>
            <c:bubble3D val="0"/>
            <c:spPr>
              <a:solidFill>
                <a:srgbClr val="FF8C19"/>
              </a:solidFill>
              <a:ln w="19050">
                <a:noFill/>
              </a:ln>
              <a:effectLst/>
              <a:scene3d>
                <a:camera prst="orthographicFront"/>
                <a:lightRig rig="threePt" dir="t"/>
              </a:scene3d>
              <a:sp3d>
                <a:bevelT w="165100" prst="coolSlant"/>
              </a:sp3d>
            </c:spPr>
          </c:dPt>
          <c:dPt>
            <c:idx val="10"/>
            <c:bubble3D val="0"/>
            <c:spPr>
              <a:gradFill flip="none" rotWithShape="1">
                <a:gsLst>
                  <a:gs pos="0">
                    <a:srgbClr val="FF8C19"/>
                  </a:gs>
                  <a:gs pos="15000">
                    <a:srgbClr val="FF8C19"/>
                  </a:gs>
                  <a:gs pos="61000">
                    <a:srgbClr val="FFFF00"/>
                  </a:gs>
                  <a:gs pos="100000">
                    <a:srgbClr val="FFFF00"/>
                  </a:gs>
                </a:gsLst>
                <a:lin ang="600000" scaled="0"/>
                <a:tileRect/>
              </a:gradFill>
              <a:ln w="19050">
                <a:noFill/>
              </a:ln>
              <a:effectLst/>
              <a:scene3d>
                <a:camera prst="orthographicFront"/>
                <a:lightRig rig="threePt" dir="t"/>
              </a:scene3d>
              <a:sp3d>
                <a:bevelT w="165100" prst="coolSlant"/>
              </a:sp3d>
            </c:spPr>
          </c:dPt>
          <c:dPt>
            <c:idx val="11"/>
            <c:bubble3D val="0"/>
            <c:spPr>
              <a:solidFill>
                <a:srgbClr val="FFFF00"/>
              </a:solidFill>
              <a:ln w="19050">
                <a:noFill/>
              </a:ln>
              <a:effectLst/>
              <a:scene3d>
                <a:camera prst="orthographicFront"/>
                <a:lightRig rig="threePt" dir="t"/>
              </a:scene3d>
              <a:sp3d>
                <a:bevelT w="165100" prst="coolSlant"/>
              </a:sp3d>
            </c:spPr>
          </c:dPt>
          <c:dPt>
            <c:idx val="12"/>
            <c:bubble3D val="0"/>
            <c:spPr>
              <a:solidFill>
                <a:srgbClr val="FFFF00"/>
              </a:solidFill>
              <a:ln w="19050">
                <a:noFill/>
              </a:ln>
              <a:effectLst/>
              <a:scene3d>
                <a:camera prst="orthographicFront"/>
                <a:lightRig rig="threePt" dir="t"/>
              </a:scene3d>
              <a:sp3d>
                <a:bevelT w="165100" prst="coolSlant"/>
              </a:sp3d>
            </c:spPr>
          </c:dPt>
          <c:dPt>
            <c:idx val="13"/>
            <c:bubble3D val="0"/>
            <c:spPr>
              <a:solidFill>
                <a:srgbClr val="FFFF00"/>
              </a:solidFill>
              <a:ln w="19050">
                <a:noFill/>
              </a:ln>
              <a:effectLst/>
              <a:scene3d>
                <a:camera prst="orthographicFront"/>
                <a:lightRig rig="threePt" dir="t"/>
              </a:scene3d>
              <a:sp3d>
                <a:bevelT w="165100" prst="coolSlant"/>
              </a:sp3d>
            </c:spPr>
          </c:dPt>
          <c:dPt>
            <c:idx val="14"/>
            <c:bubble3D val="0"/>
            <c:spPr>
              <a:solidFill>
                <a:srgbClr val="FFFF00"/>
              </a:solidFill>
              <a:ln w="19050">
                <a:noFill/>
              </a:ln>
              <a:effectLst/>
              <a:scene3d>
                <a:camera prst="orthographicFront"/>
                <a:lightRig rig="threePt" dir="t"/>
              </a:scene3d>
              <a:sp3d>
                <a:bevelT w="165100" prst="coolSlant"/>
              </a:sp3d>
            </c:spPr>
          </c:dPt>
          <c:dPt>
            <c:idx val="15"/>
            <c:bubble3D val="0"/>
            <c:spPr>
              <a:gradFill flip="none" rotWithShape="1">
                <a:gsLst>
                  <a:gs pos="0">
                    <a:srgbClr val="FFFF00"/>
                  </a:gs>
                  <a:gs pos="45000">
                    <a:srgbClr val="FFFF00"/>
                  </a:gs>
                  <a:gs pos="75000">
                    <a:srgbClr val="00FF00"/>
                  </a:gs>
                  <a:gs pos="100000">
                    <a:srgbClr val="00FF00"/>
                  </a:gs>
                </a:gsLst>
                <a:lin ang="3600000" scaled="0"/>
                <a:tileRect/>
              </a:gradFill>
              <a:ln w="19050">
                <a:noFill/>
              </a:ln>
              <a:effectLst/>
              <a:scene3d>
                <a:camera prst="orthographicFront"/>
                <a:lightRig rig="threePt" dir="t"/>
              </a:scene3d>
              <a:sp3d>
                <a:bevelT w="165100" prst="coolSlant"/>
              </a:sp3d>
            </c:spPr>
          </c:dPt>
          <c:dPt>
            <c:idx val="16"/>
            <c:bubble3D val="0"/>
            <c:spPr>
              <a:solidFill>
                <a:srgbClr val="00FF00"/>
              </a:solidFill>
              <a:ln w="19050">
                <a:noFill/>
              </a:ln>
              <a:effectLst/>
              <a:scene3d>
                <a:camera prst="orthographicFront"/>
                <a:lightRig rig="threePt" dir="t"/>
              </a:scene3d>
              <a:sp3d>
                <a:bevelT w="165100" prst="coolSlant"/>
              </a:sp3d>
            </c:spPr>
          </c:dPt>
          <c:dPt>
            <c:idx val="17"/>
            <c:bubble3D val="0"/>
            <c:spPr>
              <a:solidFill>
                <a:srgbClr val="00FF00"/>
              </a:solidFill>
              <a:ln w="19050">
                <a:noFill/>
              </a:ln>
              <a:effectLst/>
              <a:scene3d>
                <a:camera prst="orthographicFront"/>
                <a:lightRig rig="threePt" dir="t"/>
              </a:scene3d>
              <a:sp3d>
                <a:bevelT w="165100" prst="coolSlant"/>
              </a:sp3d>
            </c:spPr>
          </c:dPt>
          <c:dPt>
            <c:idx val="18"/>
            <c:bubble3D val="0"/>
            <c:spPr>
              <a:solidFill>
                <a:srgbClr val="00FF00"/>
              </a:solidFill>
              <a:ln w="19050">
                <a:noFill/>
              </a:ln>
              <a:effectLst/>
              <a:scene3d>
                <a:camera prst="orthographicFront"/>
                <a:lightRig rig="threePt" dir="t"/>
              </a:scene3d>
              <a:sp3d>
                <a:bevelT w="165100" prst="coolSlant"/>
              </a:sp3d>
            </c:spPr>
          </c:dPt>
          <c:dPt>
            <c:idx val="19"/>
            <c:bubble3D val="0"/>
            <c:spPr>
              <a:noFill/>
              <a:ln w="19050">
                <a:noFill/>
              </a:ln>
              <a:effectLst/>
            </c:spPr>
          </c:dPt>
          <c:dLbls>
            <c:dLbl>
              <c:idx val="0"/>
              <c:layout>
                <c:manualLayout>
                  <c:x val="-0.10606285518657994"/>
                  <c:y val="-1.361300465646146E-2"/>
                </c:manualLayout>
              </c:layout>
              <c:tx>
                <c:rich>
                  <a:bodyPr/>
                  <a:lstStyle/>
                  <a:p>
                    <a:fld id="{3E19F9CE-620B-4ADA-83DB-FFE1F4CD648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manualLayout>
                  <c:x val="-0.10007239529841379"/>
                  <c:y val="-3.2131486098437884E-2"/>
                </c:manualLayout>
              </c:layout>
              <c:tx>
                <c:rich>
                  <a:bodyPr/>
                  <a:lstStyle/>
                  <a:p>
                    <a:fld id="{4D9A216F-5DFB-49AF-B5C6-4AFF4890C943}"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2"/>
              <c:layout>
                <c:manualLayout>
                  <c:x val="-0.10007239529841379"/>
                  <c:y val="-4.2841898042364136E-2"/>
                </c:manualLayout>
              </c:layout>
              <c:tx>
                <c:rich>
                  <a:bodyPr/>
                  <a:lstStyle/>
                  <a:p>
                    <a:fld id="{1B0A0BE0-C91F-4D15-B471-256A41708C2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3"/>
              <c:layout>
                <c:manualLayout>
                  <c:x val="-9.173917608125072E-2"/>
                  <c:y val="-6.799319675113831E-2"/>
                </c:manualLayout>
              </c:layout>
              <c:tx>
                <c:rich>
                  <a:bodyPr/>
                  <a:lstStyle/>
                  <a:p>
                    <a:fld id="{37CBAD70-C3F7-4AF7-9B60-93464CD1A66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4"/>
              <c:layout>
                <c:manualLayout>
                  <c:x val="-7.5507292023279743E-2"/>
                  <c:y val="-8.6511678193114769E-2"/>
                </c:manualLayout>
              </c:layout>
              <c:tx>
                <c:rich>
                  <a:bodyPr/>
                  <a:lstStyle/>
                  <a:p>
                    <a:fld id="{12E6152F-A69D-4E97-9D07-83099723BEF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5"/>
              <c:layout>
                <c:manualLayout>
                  <c:x val="-6.5772908821180004E-2"/>
                  <c:y val="-0.1064814559913588"/>
                </c:manualLayout>
              </c:layout>
              <c:tx>
                <c:rich>
                  <a:bodyPr/>
                  <a:lstStyle/>
                  <a:p>
                    <a:fld id="{D508DB3B-8386-473D-8010-E35D1E1ADCEF}"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6"/>
              <c:layout>
                <c:manualLayout>
                  <c:x val="-5.4227091178820082E-2"/>
                  <c:y val="-0.11629265982904786"/>
                </c:manualLayout>
              </c:layout>
              <c:tx>
                <c:rich>
                  <a:bodyPr/>
                  <a:lstStyle/>
                  <a:p>
                    <a:fld id="{8574D04D-B90A-4DF6-AE4E-7772590F52D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7"/>
              <c:layout>
                <c:manualLayout>
                  <c:x val="-3.8454045418235765E-2"/>
                  <c:y val="-0.13135671057511777"/>
                </c:manualLayout>
              </c:layout>
              <c:tx>
                <c:rich>
                  <a:bodyPr/>
                  <a:lstStyle/>
                  <a:p>
                    <a:fld id="{696CA243-622B-4C5E-A2FC-02CC461D7605}"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8"/>
              <c:layout>
                <c:manualLayout>
                  <c:x val="-2.0869565217391306E-2"/>
                  <c:y val="-0.13653823148564795"/>
                </c:manualLayout>
              </c:layout>
              <c:tx>
                <c:rich>
                  <a:bodyPr/>
                  <a:lstStyle/>
                  <a:p>
                    <a:fld id="{53FC706F-DAB5-4CCA-B4A0-389CCC2759C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9"/>
              <c:layout>
                <c:manualLayout>
                  <c:x val="9.1785918064581247E-4"/>
                  <c:y val="-0.13626218736063275"/>
                </c:manualLayout>
              </c:layout>
              <c:tx>
                <c:rich>
                  <a:bodyPr/>
                  <a:lstStyle/>
                  <a:p>
                    <a:fld id="{1B20EC83-5DFA-4463-9BFD-8244BCAAEB6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0"/>
              <c:layout>
                <c:manualLayout>
                  <c:x val="2.8768047472326745E-2"/>
                  <c:y val="-0.12962962036049411"/>
                </c:manualLayout>
              </c:layout>
              <c:tx>
                <c:rich>
                  <a:bodyPr/>
                  <a:lstStyle/>
                  <a:p>
                    <a:fld id="{8B5B36DB-1CF6-4C90-B844-DB324FB6E81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1"/>
              <c:layout>
                <c:manualLayout>
                  <c:x val="5.2391372817528245E-2"/>
                  <c:y val="-0.12990541421885018"/>
                </c:manualLayout>
              </c:layout>
              <c:tx>
                <c:rich>
                  <a:bodyPr/>
                  <a:lstStyle/>
                  <a:p>
                    <a:fld id="{5E92A4BA-4C11-42FC-BCB8-DA09D86FA2B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2"/>
              <c:layout>
                <c:manualLayout>
                  <c:x val="6.0724592034691313E-2"/>
                  <c:y val="-0.11691607407692897"/>
                </c:manualLayout>
              </c:layout>
              <c:tx>
                <c:rich>
                  <a:bodyPr/>
                  <a:lstStyle/>
                  <a:p>
                    <a:fld id="{C14CAE00-EB97-4160-B3B1-248F3ABB3838}"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3"/>
              <c:layout>
                <c:manualLayout>
                  <c:x val="7.780184868195815E-2"/>
                  <c:y val="-9.6874469747515984E-2"/>
                </c:manualLayout>
              </c:layout>
              <c:tx>
                <c:rich>
                  <a:bodyPr/>
                  <a:lstStyle/>
                  <a:p>
                    <a:fld id="{672755E1-C9C4-4F42-BDB7-689868A8F7D1}"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4"/>
              <c:layout>
                <c:manualLayout>
                  <c:x val="8.3429875613374421E-2"/>
                  <c:y val="-7.9051229084589628E-2"/>
                </c:manualLayout>
              </c:layout>
              <c:tx>
                <c:rich>
                  <a:bodyPr/>
                  <a:lstStyle/>
                  <a:p>
                    <a:fld id="{254351F0-0C1E-40E4-AB2E-80074EFBB4E2}"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5"/>
              <c:layout>
                <c:manualLayout>
                  <c:x val="8.9806687207577313E-2"/>
                  <c:y val="-6.211643506155809E-2"/>
                </c:manualLayout>
              </c:layout>
              <c:tx>
                <c:rich>
                  <a:bodyPr/>
                  <a:lstStyle/>
                  <a:p>
                    <a:fld id="{60A556C9-389A-470F-ABD8-1FF3DCE98C90}"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6"/>
              <c:layout>
                <c:manualLayout>
                  <c:x val="9.5434714138993501E-2"/>
                  <c:y val="-5.6179108840469519E-2"/>
                </c:manualLayout>
              </c:layout>
              <c:tx>
                <c:rich>
                  <a:bodyPr/>
                  <a:lstStyle/>
                  <a:p>
                    <a:fld id="{8140DA78-942F-479A-9B59-687381C68237}"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7"/>
              <c:layout>
                <c:manualLayout>
                  <c:x val="9.6922182821118988E-2"/>
                  <c:y val="-3.9823407996330613E-2"/>
                </c:manualLayout>
              </c:layout>
              <c:tx>
                <c:rich>
                  <a:bodyPr/>
                  <a:lstStyle/>
                  <a:p>
                    <a:fld id="{801909A8-30BC-4DAA-9261-940BB2DB6FBA}"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8"/>
              <c:layout>
                <c:manualLayout>
                  <c:x val="9.7314814814814729E-2"/>
                  <c:y val="-3.7659710011976655E-2"/>
                </c:manualLayout>
              </c:layout>
              <c:tx>
                <c:rich>
                  <a:bodyPr/>
                  <a:lstStyle/>
                  <a:p>
                    <a:fld id="{09442138-851E-4040-8881-A67E2CFD6ECC}" type="CELLRANGE">
                      <a:rPr lang="en-US"/>
                      <a:pPr/>
                      <a:t>[CELLRANGE]</a:t>
                    </a:fld>
                    <a:endParaRPr lang="es-CO"/>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9"/>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s-CO"/>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'TABLERO DE INDICADORES'!$B$2:$B$21</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19</c:v>
                </c:pt>
              </c:numCache>
            </c:numRef>
          </c:val>
          <c:extLst>
            <c:ext xmlns:c15="http://schemas.microsoft.com/office/drawing/2012/chart" uri="{02D57815-91ED-43cb-92C2-25804820EDAC}">
              <c15:datalabelsRange>
                <c15:f>'TABLERO DE INDICADORES'!$A$2:$A$21</c15:f>
                <c15:dlblRangeCache>
                  <c:ptCount val="20"/>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15:dlblRangeCache>
              </c15:datalabelsRange>
            </c:ext>
          </c:extLst>
        </c:ser>
        <c:dLbls>
          <c:showLegendKey val="0"/>
          <c:showVal val="0"/>
          <c:showCatName val="0"/>
          <c:showSerName val="0"/>
          <c:showPercent val="0"/>
          <c:showBubbleSize val="0"/>
          <c:showLeaderLines val="0"/>
        </c:dLbls>
        <c:firstSliceAng val="270"/>
        <c:holeSize val="51"/>
      </c:doughnutChart>
      <c:scatterChart>
        <c:scatterStyle val="smoothMarker"/>
        <c:varyColors val="0"/>
        <c:ser>
          <c:idx val="1"/>
          <c:order val="1"/>
          <c:tx>
            <c:strRef>
              <c:f>'TABLERO DE INDICADORES'!$D$24</c:f>
              <c:strCache>
                <c:ptCount val="1"/>
                <c:pt idx="0">
                  <c:v>PUNTOS</c:v>
                </c:pt>
              </c:strCache>
            </c:strRef>
          </c:tx>
          <c:spPr>
            <a:ln w="50800" cap="rnd">
              <a:solidFill>
                <a:schemeClr val="bg1"/>
              </a:solidFill>
              <a:round/>
              <a:headEnd type="oval" w="lg" len="lg"/>
              <a:tailEnd type="stealth" w="lg" len="lg"/>
            </a:ln>
            <a:effectLst/>
          </c:spPr>
          <c:marker>
            <c:symbol val="none"/>
          </c:marker>
          <c:xVal>
            <c:numRef>
              <c:f>'TABLERO DE INDICADORES'!$F$34:$G$34</c:f>
              <c:numCache>
                <c:formatCode>General</c:formatCode>
                <c:ptCount val="2"/>
                <c:pt idx="0">
                  <c:v>0</c:v>
                </c:pt>
                <c:pt idx="1">
                  <c:v>0.99948621620068789</c:v>
                </c:pt>
              </c:numCache>
            </c:numRef>
          </c:xVal>
          <c:yVal>
            <c:numRef>
              <c:f>'TABLERO DE INDICADORES'!$H$34:$I$34</c:f>
              <c:numCache>
                <c:formatCode>General</c:formatCode>
                <c:ptCount val="2"/>
                <c:pt idx="0">
                  <c:v>0</c:v>
                </c:pt>
                <c:pt idx="1">
                  <c:v>3.2051577571655165E-2</c:v>
                </c:pt>
              </c:numCache>
            </c:numRef>
          </c:yVal>
          <c:smooth val="1"/>
        </c:ser>
        <c:ser>
          <c:idx val="2"/>
          <c:order val="2"/>
          <c:tx>
            <c:strRef>
              <c:f>'TABLERO DE INDICADORES'!$K$23</c:f>
              <c:strCache>
                <c:ptCount val="1"/>
                <c:pt idx="0">
                  <c:v>PUNTOS 2</c:v>
                </c:pt>
              </c:strCache>
            </c:strRef>
          </c:tx>
          <c:spPr>
            <a:ln w="50800" cap="rnd">
              <a:solidFill>
                <a:srgbClr val="0DE8F3"/>
              </a:solidFill>
              <a:round/>
              <a:headEnd type="diamond"/>
              <a:tailEnd type="arrow"/>
            </a:ln>
            <a:effectLst/>
          </c:spPr>
          <c:marker>
            <c:symbol val="none"/>
          </c:marker>
          <c:xVal>
            <c:numRef>
              <c:f>'TABLERO DE INDICADORES'!$J$34:$K$34</c:f>
              <c:numCache>
                <c:formatCode>General</c:formatCode>
                <c:ptCount val="2"/>
                <c:pt idx="0">
                  <c:v>0</c:v>
                </c:pt>
                <c:pt idx="1">
                  <c:v>0.99948621620068789</c:v>
                </c:pt>
              </c:numCache>
            </c:numRef>
          </c:xVal>
          <c:yVal>
            <c:numRef>
              <c:f>'TABLERO DE INDICADORES'!$L$34:$M$34</c:f>
              <c:numCache>
                <c:formatCode>General</c:formatCode>
                <c:ptCount val="2"/>
                <c:pt idx="0">
                  <c:v>0</c:v>
                </c:pt>
                <c:pt idx="1">
                  <c:v>3.2051577571655165E-2</c:v>
                </c:pt>
              </c:numCache>
            </c:numRef>
          </c:yVal>
          <c:smooth val="1"/>
        </c:ser>
        <c:dLbls>
          <c:showLegendKey val="0"/>
          <c:showVal val="0"/>
          <c:showCatName val="0"/>
          <c:showSerName val="0"/>
          <c:showPercent val="0"/>
          <c:showBubbleSize val="0"/>
        </c:dLbls>
        <c:axId val="353636144"/>
        <c:axId val="2134760656"/>
      </c:scatterChart>
      <c:valAx>
        <c:axId val="2134760656"/>
        <c:scaling>
          <c:orientation val="minMax"/>
          <c:max val="1"/>
          <c:min val="-1"/>
        </c:scaling>
        <c:delete val="1"/>
        <c:axPos val="l"/>
        <c:numFmt formatCode="General" sourceLinked="1"/>
        <c:majorTickMark val="out"/>
        <c:minorTickMark val="none"/>
        <c:tickLblPos val="nextTo"/>
        <c:crossAx val="353636144"/>
        <c:crosses val="autoZero"/>
        <c:crossBetween val="midCat"/>
      </c:valAx>
      <c:valAx>
        <c:axId val="353636144"/>
        <c:scaling>
          <c:orientation val="minMax"/>
          <c:max val="1"/>
          <c:min val="-1"/>
        </c:scaling>
        <c:delete val="1"/>
        <c:axPos val="b"/>
        <c:numFmt formatCode="General" sourceLinked="1"/>
        <c:majorTickMark val="out"/>
        <c:minorTickMark val="none"/>
        <c:tickLblPos val="nextTo"/>
        <c:crossAx val="2134760656"/>
        <c:crosses val="autoZero"/>
        <c:crossBetween val="midCat"/>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266700</xdr:colOff>
      <xdr:row>1</xdr:row>
      <xdr:rowOff>47625</xdr:rowOff>
    </xdr:from>
    <xdr:to>
      <xdr:col>1</xdr:col>
      <xdr:colOff>57150</xdr:colOff>
      <xdr:row>2</xdr:row>
      <xdr:rowOff>333231</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38125"/>
          <a:ext cx="1476375" cy="666606"/>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0.48369</cdr:x>
      <cdr:y>0.29965</cdr:y>
    </cdr:from>
    <cdr:to>
      <cdr:x>0.675</cdr:x>
      <cdr:y>0.49648</cdr:y>
    </cdr:to>
    <cdr:sp macro="" textlink="'TABLERO DE INDICADORES'!$B$33">
      <cdr:nvSpPr>
        <cdr:cNvPr id="3" name="Conector 1"/>
        <cdr:cNvSpPr/>
      </cdr:nvSpPr>
      <cdr:spPr>
        <a:xfrm xmlns:a="http://schemas.openxmlformats.org/drawingml/2006/main">
          <a:off x="2369086" y="1175936"/>
          <a:ext cx="937030"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40806BD4-9B80-4000-BA0A-6BEB62865ED3}"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83%</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0.51721</cdr:x>
      <cdr:y>0.33311</cdr:y>
    </cdr:from>
    <cdr:to>
      <cdr:x>0.70852</cdr:x>
      <cdr:y>0.52994</cdr:y>
    </cdr:to>
    <cdr:sp macro="" textlink="'TABLERO DE INDICADORES'!$B$34">
      <cdr:nvSpPr>
        <cdr:cNvPr id="3" name="Conector 1"/>
        <cdr:cNvSpPr/>
      </cdr:nvSpPr>
      <cdr:spPr>
        <a:xfrm xmlns:a="http://schemas.openxmlformats.org/drawingml/2006/main">
          <a:off x="2626467" y="1307209"/>
          <a:ext cx="971495"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0924F369-7D64-48FD-B2BE-56624B4D3E4A}"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99%</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0.47111</cdr:x>
      <cdr:y>0.31207</cdr:y>
    </cdr:from>
    <cdr:to>
      <cdr:x>0.69814</cdr:x>
      <cdr:y>0.5089</cdr:y>
    </cdr:to>
    <cdr:sp macro="" textlink="'TABLERO DE INDICADORES'!$B$35">
      <cdr:nvSpPr>
        <cdr:cNvPr id="3" name="Conector 1"/>
        <cdr:cNvSpPr/>
      </cdr:nvSpPr>
      <cdr:spPr>
        <a:xfrm xmlns:a="http://schemas.openxmlformats.org/drawingml/2006/main">
          <a:off x="2307493" y="1224647"/>
          <a:ext cx="1111982"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A9091AEB-EE06-4254-B69B-B94A43D676BF}"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100%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0.50533</cdr:x>
      <cdr:y>0.31936</cdr:y>
    </cdr:from>
    <cdr:to>
      <cdr:x>0.69664</cdr:x>
      <cdr:y>0.51619</cdr:y>
    </cdr:to>
    <cdr:sp macro="" textlink="'TABLERO DE INDICADORES'!$B$36">
      <cdr:nvSpPr>
        <cdr:cNvPr id="3" name="Conector 1"/>
        <cdr:cNvSpPr/>
      </cdr:nvSpPr>
      <cdr:spPr>
        <a:xfrm xmlns:a="http://schemas.openxmlformats.org/drawingml/2006/main">
          <a:off x="2566148" y="1253250"/>
          <a:ext cx="971494"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5C4ECE40-4AC1-46B5-86C7-F1BA80A30E30}"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97%</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0.38336</cdr:x>
      <cdr:y>0.78964</cdr:y>
    </cdr:from>
    <cdr:to>
      <cdr:x>0.59725</cdr:x>
      <cdr:y>0.98139</cdr:y>
    </cdr:to>
    <cdr:sp macro="" textlink="'2021'!$G$37">
      <cdr:nvSpPr>
        <cdr:cNvPr id="4" name="Hexágono 3"/>
        <cdr:cNvSpPr/>
      </cdr:nvSpPr>
      <cdr:spPr>
        <a:xfrm xmlns:a="http://schemas.openxmlformats.org/drawingml/2006/main">
          <a:off x="1946275" y="3098800"/>
          <a:ext cx="1085850" cy="752475"/>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1016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Overflow="clip" horzOverflow="clip"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indent="0" algn="ctr"/>
          <a:fld id="{5CDD726B-1146-44CA-A8C1-A13AA8E9651B}"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87%</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0.49014</cdr:x>
      <cdr:y>0.30939</cdr:y>
    </cdr:from>
    <cdr:to>
      <cdr:x>0.68145</cdr:x>
      <cdr:y>0.50622</cdr:y>
    </cdr:to>
    <cdr:sp macro="" textlink="'TABLERO DE INDICADORES'!$B$37">
      <cdr:nvSpPr>
        <cdr:cNvPr id="3" name="Conector 1"/>
        <cdr:cNvSpPr/>
      </cdr:nvSpPr>
      <cdr:spPr>
        <a:xfrm xmlns:a="http://schemas.openxmlformats.org/drawingml/2006/main">
          <a:off x="2394461" y="1214125"/>
          <a:ext cx="934600"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BC19ED56-986C-47FE-A6F5-2B4AD336F195}"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96%</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323849</xdr:colOff>
      <xdr:row>10</xdr:row>
      <xdr:rowOff>180975</xdr:rowOff>
    </xdr:from>
    <xdr:to>
      <xdr:col>5</xdr:col>
      <xdr:colOff>85724</xdr:colOff>
      <xdr:row>12</xdr:row>
      <xdr:rowOff>76200</xdr:rowOff>
    </xdr:to>
    <xdr:sp macro="" textlink="">
      <xdr:nvSpPr>
        <xdr:cNvPr id="49" name="CuadroTexto 48"/>
        <xdr:cNvSpPr txBox="1"/>
      </xdr:nvSpPr>
      <xdr:spPr>
        <a:xfrm>
          <a:off x="3848099" y="1981200"/>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i="0" u="none" strike="noStrike" kern="1200" baseline="0">
              <a:solidFill>
                <a:sysClr val="window" lastClr="FFFFFF"/>
              </a:solidFill>
              <a:latin typeface="+mn-lt"/>
              <a:ea typeface="+mn-ea"/>
              <a:cs typeface="+mn-cs"/>
            </a:rPr>
            <a:t>100</a:t>
          </a:r>
          <a:r>
            <a:rPr lang="es-CO" sz="1100" b="1">
              <a:solidFill>
                <a:schemeClr val="bg1"/>
              </a:solidFill>
            </a:rPr>
            <a:t>%</a:t>
          </a:r>
        </a:p>
      </xdr:txBody>
    </xdr:sp>
    <xdr:clientData/>
  </xdr:twoCellAnchor>
  <xdr:twoCellAnchor>
    <xdr:from>
      <xdr:col>0</xdr:col>
      <xdr:colOff>0</xdr:colOff>
      <xdr:row>1</xdr:row>
      <xdr:rowOff>0</xdr:rowOff>
    </xdr:from>
    <xdr:to>
      <xdr:col>6</xdr:col>
      <xdr:colOff>219072</xdr:colOff>
      <xdr:row>21</xdr:row>
      <xdr:rowOff>190499</xdr:rowOff>
    </xdr:to>
    <xdr:grpSp>
      <xdr:nvGrpSpPr>
        <xdr:cNvPr id="12" name="Grupo 11"/>
        <xdr:cNvGrpSpPr/>
      </xdr:nvGrpSpPr>
      <xdr:grpSpPr>
        <a:xfrm>
          <a:off x="0" y="84667"/>
          <a:ext cx="5002739" cy="4000499"/>
          <a:chOff x="0" y="85725"/>
          <a:chExt cx="5000622" cy="4000499"/>
        </a:xfrm>
      </xdr:grpSpPr>
      <xdr:grpSp>
        <xdr:nvGrpSpPr>
          <xdr:cNvPr id="9" name="Grupo 8"/>
          <xdr:cNvGrpSpPr/>
        </xdr:nvGrpSpPr>
        <xdr:grpSpPr>
          <a:xfrm>
            <a:off x="0" y="85725"/>
            <a:ext cx="5000622" cy="4000499"/>
            <a:chOff x="0" y="85725"/>
            <a:chExt cx="5000622" cy="4000499"/>
          </a:xfrm>
        </xdr:grpSpPr>
        <xdr:grpSp>
          <xdr:nvGrpSpPr>
            <xdr:cNvPr id="53" name="Grupo 52"/>
            <xdr:cNvGrpSpPr/>
          </xdr:nvGrpSpPr>
          <xdr:grpSpPr>
            <a:xfrm>
              <a:off x="0" y="85725"/>
              <a:ext cx="5000622" cy="4000499"/>
              <a:chOff x="0" y="85725"/>
              <a:chExt cx="5000622" cy="4000499"/>
            </a:xfrm>
          </xdr:grpSpPr>
          <xdr:grpSp>
            <xdr:nvGrpSpPr>
              <xdr:cNvPr id="6" name="Grupo 5"/>
              <xdr:cNvGrpSpPr/>
            </xdr:nvGrpSpPr>
            <xdr:grpSpPr>
              <a:xfrm>
                <a:off x="0" y="85725"/>
                <a:ext cx="5000622" cy="4000499"/>
                <a:chOff x="1947014" y="123305"/>
                <a:chExt cx="5395545" cy="4073327"/>
              </a:xfrm>
            </xdr:grpSpPr>
            <xdr:graphicFrame macro="">
              <xdr:nvGraphicFramePr>
                <xdr:cNvPr id="2" name="Gráfico 1"/>
                <xdr:cNvGraphicFramePr/>
              </xdr:nvGraphicFramePr>
              <xdr:xfrm>
                <a:off x="1947014" y="123305"/>
                <a:ext cx="5395545" cy="407332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CuadroTexto 2"/>
                <xdr:cNvSpPr txBox="1"/>
              </xdr:nvSpPr>
              <xdr:spPr>
                <a:xfrm>
                  <a:off x="3316731" y="2304554"/>
                  <a:ext cx="2591050" cy="78648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a:t>
                  </a:r>
                  <a:r>
                    <a:rPr lang="es-CO" sz="1200" baseline="0">
                      <a:solidFill>
                        <a:srgbClr val="002060"/>
                      </a:solidFill>
                      <a:latin typeface="Arial Rounded MT Bold" panose="020F0704030504030204" pitchFamily="34" charset="0"/>
                    </a:rPr>
                    <a:t> COMERCIAL Y SC</a:t>
                  </a:r>
                  <a:endParaRPr lang="es-CO" sz="1200">
                    <a:solidFill>
                      <a:srgbClr val="002060"/>
                    </a:solidFill>
                    <a:latin typeface="Arial Rounded MT Bold" panose="020F0704030504030204" pitchFamily="34" charset="0"/>
                  </a:endParaRPr>
                </a:p>
              </xdr:txBody>
            </xdr:sp>
          </xdr:grpSp>
          <xdr:sp macro="" textlink="'2021'!G9:G11">
            <xdr:nvSpPr>
              <xdr:cNvPr id="4" name="Hexágono 3"/>
              <xdr:cNvSpPr/>
            </xdr:nvSpPr>
            <xdr:spPr>
              <a:xfrm>
                <a:off x="2019300" y="3171825"/>
                <a:ext cx="9906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6096B5D-88A2-4822-8D30-F48F6392B3AE}"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cs typeface="Arial"/>
                  </a:rPr>
                  <a:pPr algn="ctr"/>
                  <a:t>94%</a:t>
                </a:fld>
                <a:endParaRPr lang="es-CO" sz="1100" b="1"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endParaRPr>
              </a:p>
            </xdr:txBody>
          </xdr:sp>
          <xdr:sp macro="" textlink="$C$26">
            <xdr:nvSpPr>
              <xdr:cNvPr id="50" name="Conector 49"/>
              <xdr:cNvSpPr/>
            </xdr:nvSpPr>
            <xdr:spPr>
              <a:xfrm>
                <a:off x="3619500" y="1706033"/>
                <a:ext cx="1116868"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fld id="{8A79A984-528D-4BB9-82D2-710BF23CD333}"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cs typeface="Arial"/>
                  </a:rPr>
                  <a:pPr/>
                  <a:t>97%</a:t>
                </a:fld>
                <a:endParaRPr lang="es-CO" sz="1600" b="1"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endParaRPr>
              </a:p>
            </xdr:txBody>
          </xdr:sp>
        </xdr:grpSp>
        <xdr:cxnSp macro="">
          <xdr:nvCxnSpPr>
            <xdr:cNvPr id="57" name="Conector recto de flecha 56"/>
            <xdr:cNvCxnSpPr/>
          </xdr:nvCxnSpPr>
          <xdr:spPr>
            <a:xfrm>
              <a:off x="104775" y="3276600"/>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9" name="Conector recto de flecha 58"/>
            <xdr:cNvCxnSpPr/>
          </xdr:nvCxnSpPr>
          <xdr:spPr>
            <a:xfrm>
              <a:off x="114300" y="3781425"/>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0" name="CuadroTexto 59"/>
            <xdr:cNvSpPr txBox="1"/>
          </xdr:nvSpPr>
          <xdr:spPr>
            <a:xfrm>
              <a:off x="304800" y="3067050"/>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61" name="CuadroTexto 60"/>
            <xdr:cNvSpPr txBox="1"/>
          </xdr:nvSpPr>
          <xdr:spPr>
            <a:xfrm>
              <a:off x="257175" y="3552825"/>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grpSp>
      <xdr:sp macro="" textlink="">
        <xdr:nvSpPr>
          <xdr:cNvPr id="62" name="CuadroTexto 61"/>
          <xdr:cNvSpPr txBox="1"/>
        </xdr:nvSpPr>
        <xdr:spPr>
          <a:xfrm>
            <a:off x="285750" y="2705100"/>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clientData/>
  </xdr:twoCellAnchor>
  <xdr:twoCellAnchor>
    <xdr:from>
      <xdr:col>6</xdr:col>
      <xdr:colOff>590550</xdr:colOff>
      <xdr:row>1</xdr:row>
      <xdr:rowOff>47625</xdr:rowOff>
    </xdr:from>
    <xdr:to>
      <xdr:col>14</xdr:col>
      <xdr:colOff>447675</xdr:colOff>
      <xdr:row>21</xdr:row>
      <xdr:rowOff>161924</xdr:rowOff>
    </xdr:to>
    <xdr:grpSp>
      <xdr:nvGrpSpPr>
        <xdr:cNvPr id="18" name="Grupo 17"/>
        <xdr:cNvGrpSpPr/>
      </xdr:nvGrpSpPr>
      <xdr:grpSpPr>
        <a:xfrm>
          <a:off x="5374217" y="132292"/>
          <a:ext cx="4894791" cy="3924299"/>
          <a:chOff x="5372100" y="133350"/>
          <a:chExt cx="4895850" cy="3924299"/>
        </a:xfrm>
      </xdr:grpSpPr>
      <xdr:grpSp>
        <xdr:nvGrpSpPr>
          <xdr:cNvPr id="54" name="Grupo 53"/>
          <xdr:cNvGrpSpPr/>
        </xdr:nvGrpSpPr>
        <xdr:grpSpPr>
          <a:xfrm>
            <a:off x="5372100" y="133350"/>
            <a:ext cx="4895850" cy="3924299"/>
            <a:chOff x="5362575" y="171450"/>
            <a:chExt cx="4895850" cy="3924299"/>
          </a:xfrm>
        </xdr:grpSpPr>
        <xdr:grpSp>
          <xdr:nvGrpSpPr>
            <xdr:cNvPr id="5" name="Grupo 4"/>
            <xdr:cNvGrpSpPr/>
          </xdr:nvGrpSpPr>
          <xdr:grpSpPr>
            <a:xfrm>
              <a:off x="5362575" y="171450"/>
              <a:ext cx="4895850" cy="3924299"/>
              <a:chOff x="1802421" y="-623471"/>
              <a:chExt cx="5476875" cy="3995738"/>
            </a:xfrm>
          </xdr:grpSpPr>
          <xdr:graphicFrame macro="">
            <xdr:nvGraphicFramePr>
              <xdr:cNvPr id="7" name="Gráfico 6"/>
              <xdr:cNvGraphicFramePr/>
            </xdr:nvGraphicFramePr>
            <xdr:xfrm>
              <a:off x="1802421" y="-623471"/>
              <a:ext cx="5476875" cy="3995738"/>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 name="CuadroTexto 7"/>
              <xdr:cNvSpPr txBox="1"/>
            </xdr:nvSpPr>
            <xdr:spPr>
              <a:xfrm>
                <a:off x="3344322" y="1530551"/>
                <a:ext cx="2409825" cy="803984"/>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SISTEMA INTEGRADO DE GESTIÓN</a:t>
                </a:r>
              </a:p>
            </xdr:txBody>
          </xdr:sp>
        </xdr:grpSp>
        <xdr:sp macro="" textlink="'2021'!G12:G15">
          <xdr:nvSpPr>
            <xdr:cNvPr id="39" name="Hexágono 38"/>
            <xdr:cNvSpPr/>
          </xdr:nvSpPr>
          <xdr:spPr>
            <a:xfrm>
              <a:off x="7305675" y="3114675"/>
              <a:ext cx="9906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6A77500-6E1A-4155-AB21-0F75D47AEAE1}"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88%</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7">
          <xdr:nvSpPr>
            <xdr:cNvPr id="51" name="Conector 50"/>
            <xdr:cNvSpPr/>
          </xdr:nvSpPr>
          <xdr:spPr>
            <a:xfrm>
              <a:off x="9163050" y="1676400"/>
              <a:ext cx="1009650"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33DFBE-DF40-4688-AD9C-41743040904F}"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98%</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grpSp>
        <xdr:nvGrpSpPr>
          <xdr:cNvPr id="70" name="Grupo 69"/>
          <xdr:cNvGrpSpPr/>
        </xdr:nvGrpSpPr>
        <xdr:grpSpPr>
          <a:xfrm>
            <a:off x="5448300" y="2714625"/>
            <a:ext cx="1162050" cy="1285875"/>
            <a:chOff x="5448300" y="2714625"/>
            <a:chExt cx="1162050" cy="1285875"/>
          </a:xfrm>
        </xdr:grpSpPr>
        <xdr:grpSp>
          <xdr:nvGrpSpPr>
            <xdr:cNvPr id="68" name="Grupo 67"/>
            <xdr:cNvGrpSpPr/>
          </xdr:nvGrpSpPr>
          <xdr:grpSpPr>
            <a:xfrm>
              <a:off x="5476875" y="2714625"/>
              <a:ext cx="1133475" cy="1285875"/>
              <a:chOff x="5476875" y="2543175"/>
              <a:chExt cx="1133475" cy="1285875"/>
            </a:xfrm>
          </xdr:grpSpPr>
          <xdr:cxnSp macro="">
            <xdr:nvCxnSpPr>
              <xdr:cNvPr id="58" name="Conector recto de flecha 57"/>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Conector recto de flecha 6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5" name="CuadroTexto 6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66" name="CuadroTexto 6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67" name="CuadroTexto 6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69" name="Hexágono 68"/>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clientData/>
  </xdr:twoCellAnchor>
  <xdr:twoCellAnchor>
    <xdr:from>
      <xdr:col>14</xdr:col>
      <xdr:colOff>714375</xdr:colOff>
      <xdr:row>1</xdr:row>
      <xdr:rowOff>57150</xdr:rowOff>
    </xdr:from>
    <xdr:to>
      <xdr:col>21</xdr:col>
      <xdr:colOff>457200</xdr:colOff>
      <xdr:row>21</xdr:row>
      <xdr:rowOff>171450</xdr:rowOff>
    </xdr:to>
    <xdr:grpSp>
      <xdr:nvGrpSpPr>
        <xdr:cNvPr id="45" name="Grupo 44"/>
        <xdr:cNvGrpSpPr/>
      </xdr:nvGrpSpPr>
      <xdr:grpSpPr>
        <a:xfrm>
          <a:off x="10535708" y="141817"/>
          <a:ext cx="5076825" cy="3924300"/>
          <a:chOff x="10534650" y="142875"/>
          <a:chExt cx="5076825" cy="3924300"/>
        </a:xfrm>
      </xdr:grpSpPr>
      <xdr:graphicFrame macro="">
        <xdr:nvGraphicFramePr>
          <xdr:cNvPr id="13" name="Gráfico 12"/>
          <xdr:cNvGraphicFramePr/>
        </xdr:nvGraphicFramePr>
        <xdr:xfrm>
          <a:off x="10534650" y="142875"/>
          <a:ext cx="5076825" cy="3924000"/>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44" name="Grupo 43"/>
          <xdr:cNvGrpSpPr/>
        </xdr:nvGrpSpPr>
        <xdr:grpSpPr>
          <a:xfrm>
            <a:off x="10620375" y="1704975"/>
            <a:ext cx="4914900" cy="2362200"/>
            <a:chOff x="10620375" y="1704975"/>
            <a:chExt cx="4914900" cy="2362200"/>
          </a:xfrm>
        </xdr:grpSpPr>
        <xdr:sp macro="" textlink="">
          <xdr:nvSpPr>
            <xdr:cNvPr id="14" name="CuadroTexto 13"/>
            <xdr:cNvSpPr txBox="1"/>
          </xdr:nvSpPr>
          <xdr:spPr>
            <a:xfrm>
              <a:off x="11765659" y="2229641"/>
              <a:ext cx="2569465" cy="78955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JURÍDICA (JU)</a:t>
              </a:r>
            </a:p>
          </xdr:txBody>
        </xdr:sp>
        <xdr:sp macro="" textlink="'2021'!G19:G20">
          <xdr:nvSpPr>
            <xdr:cNvPr id="41" name="Hexágono 40"/>
            <xdr:cNvSpPr/>
          </xdr:nvSpPr>
          <xdr:spPr>
            <a:xfrm>
              <a:off x="12534900" y="31051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B4148D8-8376-4592-B37D-018F14F0ADAF}"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99%</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29">
          <xdr:nvSpPr>
            <xdr:cNvPr id="52" name="Conector 51"/>
            <xdr:cNvSpPr/>
          </xdr:nvSpPr>
          <xdr:spPr>
            <a:xfrm>
              <a:off x="14401800" y="1704975"/>
              <a:ext cx="113347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EAE2B962-A50D-46A9-9BE9-2D6756526CD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100%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nvGrpSpPr>
            <xdr:cNvPr id="71" name="Grupo 70"/>
            <xdr:cNvGrpSpPr/>
          </xdr:nvGrpSpPr>
          <xdr:grpSpPr>
            <a:xfrm>
              <a:off x="10620375" y="2781300"/>
              <a:ext cx="1162050" cy="1285875"/>
              <a:chOff x="5448300" y="2714625"/>
              <a:chExt cx="1162050" cy="1285875"/>
            </a:xfrm>
          </xdr:grpSpPr>
          <xdr:grpSp>
            <xdr:nvGrpSpPr>
              <xdr:cNvPr id="72" name="Grupo 71"/>
              <xdr:cNvGrpSpPr/>
            </xdr:nvGrpSpPr>
            <xdr:grpSpPr>
              <a:xfrm>
                <a:off x="5476875" y="2714625"/>
                <a:ext cx="1133475" cy="1285875"/>
                <a:chOff x="5476875" y="2543175"/>
                <a:chExt cx="1133475" cy="1285875"/>
              </a:xfrm>
            </xdr:grpSpPr>
            <xdr:cxnSp macro="">
              <xdr:nvCxnSpPr>
                <xdr:cNvPr id="74" name="Conector recto de flecha 73"/>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Conector recto de flecha 74"/>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6" name="CuadroTexto 75"/>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77" name="CuadroTexto 76"/>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78" name="CuadroTexto 77"/>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73" name="Hexágono 72"/>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grpSp>
    <xdr:clientData/>
  </xdr:twoCellAnchor>
  <xdr:twoCellAnchor>
    <xdr:from>
      <xdr:col>13</xdr:col>
      <xdr:colOff>428625</xdr:colOff>
      <xdr:row>23</xdr:row>
      <xdr:rowOff>0</xdr:rowOff>
    </xdr:from>
    <xdr:to>
      <xdr:col>20</xdr:col>
      <xdr:colOff>171450</xdr:colOff>
      <xdr:row>41</xdr:row>
      <xdr:rowOff>114300</xdr:rowOff>
    </xdr:to>
    <xdr:grpSp>
      <xdr:nvGrpSpPr>
        <xdr:cNvPr id="55" name="Grupo 54"/>
        <xdr:cNvGrpSpPr/>
      </xdr:nvGrpSpPr>
      <xdr:grpSpPr>
        <a:xfrm>
          <a:off x="9487958" y="4286250"/>
          <a:ext cx="5076825" cy="3945467"/>
          <a:chOff x="9486900" y="4286250"/>
          <a:chExt cx="5076825" cy="3943350"/>
        </a:xfrm>
      </xdr:grpSpPr>
      <xdr:graphicFrame macro="">
        <xdr:nvGraphicFramePr>
          <xdr:cNvPr id="10" name="Gráfico 9"/>
          <xdr:cNvGraphicFramePr/>
        </xdr:nvGraphicFramePr>
        <xdr:xfrm>
          <a:off x="9486900" y="4286250"/>
          <a:ext cx="5076825" cy="3933525"/>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1" name="CuadroTexto 10"/>
          <xdr:cNvSpPr txBox="1"/>
        </xdr:nvSpPr>
        <xdr:spPr>
          <a:xfrm>
            <a:off x="10746485" y="6530281"/>
            <a:ext cx="2569465" cy="86837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DE TECNOLOGÍA E INFORMÁTICA</a:t>
            </a:r>
          </a:p>
        </xdr:txBody>
      </xdr:sp>
      <xdr:sp macro="" textlink="'2021'!G16:G17">
        <xdr:nvSpPr>
          <xdr:cNvPr id="40" name="Hexágono 39"/>
          <xdr:cNvSpPr/>
        </xdr:nvSpPr>
        <xdr:spPr>
          <a:xfrm>
            <a:off x="11496675" y="7419975"/>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571418C-3431-426C-8ED3-919F43A24A88}"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78%</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79" name="Grupo 78"/>
          <xdr:cNvGrpSpPr/>
        </xdr:nvGrpSpPr>
        <xdr:grpSpPr>
          <a:xfrm>
            <a:off x="9525000" y="6943725"/>
            <a:ext cx="1162050" cy="1285875"/>
            <a:chOff x="5448300" y="2714625"/>
            <a:chExt cx="1162050" cy="1285875"/>
          </a:xfrm>
        </xdr:grpSpPr>
        <xdr:grpSp>
          <xdr:nvGrpSpPr>
            <xdr:cNvPr id="80" name="Grupo 79"/>
            <xdr:cNvGrpSpPr/>
          </xdr:nvGrpSpPr>
          <xdr:grpSpPr>
            <a:xfrm>
              <a:off x="5476875" y="2714625"/>
              <a:ext cx="1133475" cy="1285875"/>
              <a:chOff x="5476875" y="2543175"/>
              <a:chExt cx="1133475" cy="1285875"/>
            </a:xfrm>
          </xdr:grpSpPr>
          <xdr:cxnSp macro="">
            <xdr:nvCxnSpPr>
              <xdr:cNvPr id="82" name="Conector recto de flecha 8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3" name="Conector recto de flecha 8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4" name="CuadroTexto 8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85" name="CuadroTexto 8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86" name="CuadroTexto 8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81" name="Hexágono 8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clientData/>
  </xdr:twoCellAnchor>
  <xdr:twoCellAnchor>
    <xdr:from>
      <xdr:col>0</xdr:col>
      <xdr:colOff>0</xdr:colOff>
      <xdr:row>37</xdr:row>
      <xdr:rowOff>180975</xdr:rowOff>
    </xdr:from>
    <xdr:to>
      <xdr:col>6</xdr:col>
      <xdr:colOff>294450</xdr:colOff>
      <xdr:row>58</xdr:row>
      <xdr:rowOff>123825</xdr:rowOff>
    </xdr:to>
    <xdr:grpSp>
      <xdr:nvGrpSpPr>
        <xdr:cNvPr id="63" name="Grupo 62"/>
        <xdr:cNvGrpSpPr/>
      </xdr:nvGrpSpPr>
      <xdr:grpSpPr>
        <a:xfrm>
          <a:off x="0" y="7536392"/>
          <a:ext cx="5078117" cy="3943350"/>
          <a:chOff x="0" y="7534275"/>
          <a:chExt cx="5076000" cy="3943350"/>
        </a:xfrm>
      </xdr:grpSpPr>
      <xdr:grpSp>
        <xdr:nvGrpSpPr>
          <xdr:cNvPr id="56" name="Grupo 55"/>
          <xdr:cNvGrpSpPr/>
        </xdr:nvGrpSpPr>
        <xdr:grpSpPr>
          <a:xfrm>
            <a:off x="0" y="7534275"/>
            <a:ext cx="5076000" cy="3943350"/>
            <a:chOff x="0" y="7534275"/>
            <a:chExt cx="5076000" cy="3943350"/>
          </a:xfrm>
        </xdr:grpSpPr>
        <xdr:grpSp>
          <xdr:nvGrpSpPr>
            <xdr:cNvPr id="15" name="Grupo 14"/>
            <xdr:cNvGrpSpPr/>
          </xdr:nvGrpSpPr>
          <xdr:grpSpPr>
            <a:xfrm>
              <a:off x="0" y="7534275"/>
              <a:ext cx="5076000" cy="3924299"/>
              <a:chOff x="-1445816" y="-856233"/>
              <a:chExt cx="5476875" cy="3995738"/>
            </a:xfrm>
          </xdr:grpSpPr>
          <xdr:graphicFrame macro="">
            <xdr:nvGraphicFramePr>
              <xdr:cNvPr id="16" name="Gráfico 15"/>
              <xdr:cNvGraphicFramePr/>
            </xdr:nvGraphicFramePr>
            <xdr:xfrm>
              <a:off x="-1445816" y="-856233"/>
              <a:ext cx="5476875" cy="3995738"/>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7" name="CuadroTexto 16"/>
              <xdr:cNvSpPr txBox="1"/>
            </xdr:nvSpPr>
            <xdr:spPr>
              <a:xfrm>
                <a:off x="-35599" y="1433568"/>
                <a:ext cx="2771937" cy="803984"/>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JURÍDICA (SEGURIDAD)</a:t>
                </a:r>
              </a:p>
            </xdr:txBody>
          </xdr:sp>
        </xdr:grpSp>
        <xdr:sp macro="" textlink="'2021'!G21:G23">
          <xdr:nvSpPr>
            <xdr:cNvPr id="42" name="Hexágono 41"/>
            <xdr:cNvSpPr/>
          </xdr:nvSpPr>
          <xdr:spPr>
            <a:xfrm>
              <a:off x="1962150" y="10620375"/>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4D23AC4-9FFD-4206-B4B7-B821CE0DC828}"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89" name="Grupo 88"/>
            <xdr:cNvGrpSpPr/>
          </xdr:nvGrpSpPr>
          <xdr:grpSpPr>
            <a:xfrm>
              <a:off x="57150" y="10191750"/>
              <a:ext cx="1162050" cy="1285875"/>
              <a:chOff x="5448300" y="2714625"/>
              <a:chExt cx="1162050" cy="1285875"/>
            </a:xfrm>
          </xdr:grpSpPr>
          <xdr:grpSp>
            <xdr:nvGrpSpPr>
              <xdr:cNvPr id="90" name="Grupo 89"/>
              <xdr:cNvGrpSpPr/>
            </xdr:nvGrpSpPr>
            <xdr:grpSpPr>
              <a:xfrm>
                <a:off x="5476875" y="2714625"/>
                <a:ext cx="1133475" cy="1285875"/>
                <a:chOff x="5476875" y="2543175"/>
                <a:chExt cx="1133475" cy="1285875"/>
              </a:xfrm>
            </xdr:grpSpPr>
            <xdr:cxnSp macro="">
              <xdr:nvCxnSpPr>
                <xdr:cNvPr id="92" name="Conector recto de flecha 9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3" name="Conector recto de flecha 9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4" name="CuadroTexto 9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95" name="CuadroTexto 9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96" name="CuadroTexto 9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91" name="Hexágono 9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C$30">
        <xdr:nvSpPr>
          <xdr:cNvPr id="169" name="Conector 168"/>
          <xdr:cNvSpPr/>
        </xdr:nvSpPr>
        <xdr:spPr>
          <a:xfrm>
            <a:off x="3921676" y="9069917"/>
            <a:ext cx="9366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27C0676-E9F8-452D-B77B-59EE92D3E746}"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98%</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6</xdr:col>
      <xdr:colOff>628650</xdr:colOff>
      <xdr:row>41</xdr:row>
      <xdr:rowOff>180975</xdr:rowOff>
    </xdr:from>
    <xdr:to>
      <xdr:col>14</xdr:col>
      <xdr:colOff>476250</xdr:colOff>
      <xdr:row>62</xdr:row>
      <xdr:rowOff>133350</xdr:rowOff>
    </xdr:to>
    <xdr:grpSp>
      <xdr:nvGrpSpPr>
        <xdr:cNvPr id="87" name="Grupo 86"/>
        <xdr:cNvGrpSpPr/>
      </xdr:nvGrpSpPr>
      <xdr:grpSpPr>
        <a:xfrm>
          <a:off x="5412317" y="8298392"/>
          <a:ext cx="4885266" cy="3952875"/>
          <a:chOff x="5410200" y="8296275"/>
          <a:chExt cx="4886325" cy="3952875"/>
        </a:xfrm>
      </xdr:grpSpPr>
      <xdr:graphicFrame macro="">
        <xdr:nvGraphicFramePr>
          <xdr:cNvPr id="19" name="Gráfico 18"/>
          <xdr:cNvGraphicFramePr/>
        </xdr:nvGraphicFramePr>
        <xdr:xfrm>
          <a:off x="5410200" y="8296275"/>
          <a:ext cx="4886325" cy="39243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0" name="CuadroTexto 19"/>
          <xdr:cNvSpPr txBox="1"/>
        </xdr:nvSpPr>
        <xdr:spPr>
          <a:xfrm>
            <a:off x="6659192" y="10535613"/>
            <a:ext cx="2473050" cy="789610"/>
          </a:xfrm>
          <a:prstGeom prst="rect">
            <a:avLst/>
          </a:prstGeom>
          <a:solidFill>
            <a:srgbClr val="FFC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TÉCNICA</a:t>
            </a:r>
          </a:p>
        </xdr:txBody>
      </xdr:sp>
      <xdr:sp macro="" textlink="'2021'!G24:G27">
        <xdr:nvSpPr>
          <xdr:cNvPr id="43" name="Hexágono 42"/>
          <xdr:cNvSpPr/>
        </xdr:nvSpPr>
        <xdr:spPr>
          <a:xfrm>
            <a:off x="7229475" y="114109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1B38C67-AC81-4F23-95F0-DE16C017592D}"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93%</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97" name="Grupo 96"/>
          <xdr:cNvGrpSpPr/>
        </xdr:nvGrpSpPr>
        <xdr:grpSpPr>
          <a:xfrm>
            <a:off x="5467350" y="10963275"/>
            <a:ext cx="1162050" cy="1285875"/>
            <a:chOff x="5448300" y="2714625"/>
            <a:chExt cx="1162050" cy="1285875"/>
          </a:xfrm>
        </xdr:grpSpPr>
        <xdr:grpSp>
          <xdr:nvGrpSpPr>
            <xdr:cNvPr id="98" name="Grupo 97"/>
            <xdr:cNvGrpSpPr/>
          </xdr:nvGrpSpPr>
          <xdr:grpSpPr>
            <a:xfrm>
              <a:off x="5476875" y="2714625"/>
              <a:ext cx="1133475" cy="1285875"/>
              <a:chOff x="5476875" y="2543175"/>
              <a:chExt cx="1133475" cy="1285875"/>
            </a:xfrm>
          </xdr:grpSpPr>
          <xdr:cxnSp macro="">
            <xdr:nvCxnSpPr>
              <xdr:cNvPr id="100" name="Conector recto de flecha 99"/>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1" name="Conector recto de flecha 100"/>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2" name="CuadroTexto 101"/>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03" name="CuadroTexto 102"/>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04" name="CuadroTexto 103"/>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99" name="Hexágono 98"/>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1">
        <xdr:nvSpPr>
          <xdr:cNvPr id="166" name="Conector 165"/>
          <xdr:cNvSpPr/>
        </xdr:nvSpPr>
        <xdr:spPr>
          <a:xfrm>
            <a:off x="9142127" y="9709150"/>
            <a:ext cx="9366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30B29AFF-ACDA-4D0C-A8DD-2ECF6CC9805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97%</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59</xdr:row>
      <xdr:rowOff>161925</xdr:rowOff>
    </xdr:from>
    <xdr:to>
      <xdr:col>6</xdr:col>
      <xdr:colOff>294450</xdr:colOff>
      <xdr:row>80</xdr:row>
      <xdr:rowOff>114300</xdr:rowOff>
    </xdr:to>
    <xdr:grpSp>
      <xdr:nvGrpSpPr>
        <xdr:cNvPr id="88" name="Grupo 87"/>
        <xdr:cNvGrpSpPr/>
      </xdr:nvGrpSpPr>
      <xdr:grpSpPr>
        <a:xfrm>
          <a:off x="0" y="11708342"/>
          <a:ext cx="5078117" cy="3952875"/>
          <a:chOff x="0" y="11706225"/>
          <a:chExt cx="5076000" cy="3952875"/>
        </a:xfrm>
      </xdr:grpSpPr>
      <xdr:grpSp>
        <xdr:nvGrpSpPr>
          <xdr:cNvPr id="128" name="Grupo 127"/>
          <xdr:cNvGrpSpPr/>
        </xdr:nvGrpSpPr>
        <xdr:grpSpPr>
          <a:xfrm>
            <a:off x="0" y="11706225"/>
            <a:ext cx="5076000" cy="3952875"/>
            <a:chOff x="0" y="11715750"/>
            <a:chExt cx="5076000" cy="3952875"/>
          </a:xfrm>
        </xdr:grpSpPr>
        <xdr:grpSp>
          <xdr:nvGrpSpPr>
            <xdr:cNvPr id="121" name="Grupo 120"/>
            <xdr:cNvGrpSpPr/>
          </xdr:nvGrpSpPr>
          <xdr:grpSpPr>
            <a:xfrm>
              <a:off x="0" y="11715750"/>
              <a:ext cx="5076000" cy="3952875"/>
              <a:chOff x="0" y="13449300"/>
              <a:chExt cx="5076000" cy="3952875"/>
            </a:xfrm>
          </xdr:grpSpPr>
          <xdr:grpSp>
            <xdr:nvGrpSpPr>
              <xdr:cNvPr id="21" name="Grupo 20"/>
              <xdr:cNvGrpSpPr/>
            </xdr:nvGrpSpPr>
            <xdr:grpSpPr>
              <a:xfrm>
                <a:off x="0" y="13449300"/>
                <a:ext cx="5076000" cy="3924300"/>
                <a:chOff x="-2278137" y="-3562085"/>
                <a:chExt cx="5476875" cy="3995738"/>
              </a:xfrm>
            </xdr:grpSpPr>
            <xdr:graphicFrame macro="">
              <xdr:nvGraphicFramePr>
                <xdr:cNvPr id="22" name="Gráfico 21"/>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23" name="CuadroTexto 22"/>
                <xdr:cNvSpPr txBox="1"/>
              </xdr:nvSpPr>
              <xdr:spPr>
                <a:xfrm>
                  <a:off x="-929573" y="-1291680"/>
                  <a:ext cx="2792488" cy="803984"/>
                </a:xfrm>
                <a:prstGeom prst="rect">
                  <a:avLst/>
                </a:prstGeom>
                <a:solidFill>
                  <a:srgbClr val="FF99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DE</a:t>
                  </a:r>
                  <a:r>
                    <a:rPr lang="es-CO" sz="1200" baseline="0">
                      <a:solidFill>
                        <a:srgbClr val="002060"/>
                      </a:solidFill>
                      <a:latin typeface="Arial Rounded MT Bold" panose="020F0704030504030204" pitchFamily="34" charset="0"/>
                    </a:rPr>
                    <a:t> OPERACIONES</a:t>
                  </a:r>
                  <a:endParaRPr lang="es-CO" sz="1200">
                    <a:solidFill>
                      <a:srgbClr val="002060"/>
                    </a:solidFill>
                    <a:latin typeface="Arial Rounded MT Bold" panose="020F0704030504030204" pitchFamily="34" charset="0"/>
                  </a:endParaRPr>
                </a:p>
              </xdr:txBody>
            </xdr:sp>
          </xdr:grpSp>
          <xdr:grpSp>
            <xdr:nvGrpSpPr>
              <xdr:cNvPr id="105" name="Grupo 104"/>
              <xdr:cNvGrpSpPr/>
            </xdr:nvGrpSpPr>
            <xdr:grpSpPr>
              <a:xfrm>
                <a:off x="66675" y="16116300"/>
                <a:ext cx="1162050" cy="1285875"/>
                <a:chOff x="5448300" y="2714625"/>
                <a:chExt cx="1162050" cy="1285875"/>
              </a:xfrm>
            </xdr:grpSpPr>
            <xdr:grpSp>
              <xdr:nvGrpSpPr>
                <xdr:cNvPr id="106" name="Grupo 105"/>
                <xdr:cNvGrpSpPr/>
              </xdr:nvGrpSpPr>
              <xdr:grpSpPr>
                <a:xfrm>
                  <a:off x="5476875" y="2714625"/>
                  <a:ext cx="1133475" cy="1285875"/>
                  <a:chOff x="5476875" y="2543175"/>
                  <a:chExt cx="1133475" cy="1285875"/>
                </a:xfrm>
              </xdr:grpSpPr>
              <xdr:cxnSp macro="">
                <xdr:nvCxnSpPr>
                  <xdr:cNvPr id="108" name="Conector recto de flecha 107"/>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9" name="Conector recto de flecha 108"/>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0" name="CuadroTexto 109"/>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11" name="CuadroTexto 110"/>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12" name="CuadroTexto 111"/>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07" name="Hexágono 106"/>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2021'!G28:G30">
          <xdr:nvSpPr>
            <xdr:cNvPr id="125" name="Hexágono 124"/>
            <xdr:cNvSpPr/>
          </xdr:nvSpPr>
          <xdr:spPr>
            <a:xfrm>
              <a:off x="1905000" y="14801850"/>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A0CD0FF-4CC6-40C7-82B9-B8F5D2AAB9EC}"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100%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sp macro="" textlink="$C$32">
        <xdr:nvSpPr>
          <xdr:cNvPr id="167" name="Conector 166"/>
          <xdr:cNvSpPr/>
        </xdr:nvSpPr>
        <xdr:spPr>
          <a:xfrm>
            <a:off x="3900518" y="13242925"/>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DFBC4C21-AC11-4FF7-918E-057709CF5CE5}"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100%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7</xdr:col>
      <xdr:colOff>0</xdr:colOff>
      <xdr:row>63</xdr:row>
      <xdr:rowOff>57150</xdr:rowOff>
    </xdr:from>
    <xdr:to>
      <xdr:col>14</xdr:col>
      <xdr:colOff>495300</xdr:colOff>
      <xdr:row>83</xdr:row>
      <xdr:rowOff>180975</xdr:rowOff>
    </xdr:to>
    <xdr:grpSp>
      <xdr:nvGrpSpPr>
        <xdr:cNvPr id="124" name="Grupo 123"/>
        <xdr:cNvGrpSpPr/>
      </xdr:nvGrpSpPr>
      <xdr:grpSpPr>
        <a:xfrm>
          <a:off x="5418667" y="12365567"/>
          <a:ext cx="4897966" cy="3933825"/>
          <a:chOff x="5419725" y="12363450"/>
          <a:chExt cx="4895850" cy="3933825"/>
        </a:xfrm>
      </xdr:grpSpPr>
      <xdr:grpSp>
        <xdr:nvGrpSpPr>
          <xdr:cNvPr id="122" name="Grupo 121"/>
          <xdr:cNvGrpSpPr/>
        </xdr:nvGrpSpPr>
        <xdr:grpSpPr>
          <a:xfrm>
            <a:off x="5419725" y="12363450"/>
            <a:ext cx="4895850" cy="3933825"/>
            <a:chOff x="6953250" y="13449300"/>
            <a:chExt cx="4895850" cy="3933825"/>
          </a:xfrm>
        </xdr:grpSpPr>
        <xdr:grpSp>
          <xdr:nvGrpSpPr>
            <xdr:cNvPr id="24" name="Grupo 23"/>
            <xdr:cNvGrpSpPr/>
          </xdr:nvGrpSpPr>
          <xdr:grpSpPr>
            <a:xfrm>
              <a:off x="6953250" y="13449300"/>
              <a:ext cx="4895850" cy="3924300"/>
              <a:chOff x="-2278137" y="-3562085"/>
              <a:chExt cx="5476875" cy="3995738"/>
            </a:xfrm>
          </xdr:grpSpPr>
          <xdr:graphicFrame macro="">
            <xdr:nvGraphicFramePr>
              <xdr:cNvPr id="25" name="Gráfico 24"/>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26" name="CuadroTexto 25"/>
              <xdr:cNvSpPr txBox="1"/>
            </xdr:nvSpPr>
            <xdr:spPr>
              <a:xfrm>
                <a:off x="-929573" y="-1272284"/>
                <a:ext cx="2792488" cy="803984"/>
              </a:xfrm>
              <a:prstGeom prst="rect">
                <a:avLst/>
              </a:prstGeom>
              <a:solidFill>
                <a:srgbClr val="CC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(GH)</a:t>
                </a:r>
              </a:p>
            </xdr:txBody>
          </xdr:sp>
        </xdr:grpSp>
        <xdr:grpSp>
          <xdr:nvGrpSpPr>
            <xdr:cNvPr id="113" name="Grupo 112"/>
            <xdr:cNvGrpSpPr/>
          </xdr:nvGrpSpPr>
          <xdr:grpSpPr>
            <a:xfrm>
              <a:off x="7019925" y="16097250"/>
              <a:ext cx="1162050" cy="1285875"/>
              <a:chOff x="5448300" y="2714625"/>
              <a:chExt cx="1162050" cy="1285875"/>
            </a:xfrm>
          </xdr:grpSpPr>
          <xdr:grpSp>
            <xdr:nvGrpSpPr>
              <xdr:cNvPr id="114" name="Grupo 113"/>
              <xdr:cNvGrpSpPr/>
            </xdr:nvGrpSpPr>
            <xdr:grpSpPr>
              <a:xfrm>
                <a:off x="5476875" y="2714625"/>
                <a:ext cx="1133475" cy="1285875"/>
                <a:chOff x="5476875" y="2543175"/>
                <a:chExt cx="1133475" cy="1285875"/>
              </a:xfrm>
            </xdr:grpSpPr>
            <xdr:cxnSp macro="">
              <xdr:nvCxnSpPr>
                <xdr:cNvPr id="116" name="Conector recto de flecha 115"/>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7" name="Conector recto de flecha 116"/>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CuadroTexto 117"/>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19" name="CuadroTexto 118"/>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20" name="CuadroTexto 119"/>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15" name="Hexágono 114"/>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2021'!G31:G33">
        <xdr:nvSpPr>
          <xdr:cNvPr id="123" name="Hexágono 122"/>
          <xdr:cNvSpPr/>
        </xdr:nvSpPr>
        <xdr:spPr>
          <a:xfrm>
            <a:off x="7305675" y="15440025"/>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66640B-FDF5-44F7-94F8-55F916585977}"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83%</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sp macro="" textlink="$C$33">
        <xdr:nvSpPr>
          <xdr:cNvPr id="170" name="Conector 169"/>
          <xdr:cNvSpPr/>
        </xdr:nvSpPr>
        <xdr:spPr>
          <a:xfrm>
            <a:off x="7991475" y="13936134"/>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C6CB8F8D-DB1B-403D-A3FA-6157C2C28A89}"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96%</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82</xdr:row>
      <xdr:rowOff>95250</xdr:rowOff>
    </xdr:from>
    <xdr:to>
      <xdr:col>6</xdr:col>
      <xdr:colOff>294450</xdr:colOff>
      <xdr:row>103</xdr:row>
      <xdr:rowOff>47625</xdr:rowOff>
    </xdr:to>
    <xdr:grpSp>
      <xdr:nvGrpSpPr>
        <xdr:cNvPr id="126" name="Grupo 125"/>
        <xdr:cNvGrpSpPr/>
      </xdr:nvGrpSpPr>
      <xdr:grpSpPr>
        <a:xfrm>
          <a:off x="0" y="16023167"/>
          <a:ext cx="5078117" cy="3952875"/>
          <a:chOff x="0" y="16021050"/>
          <a:chExt cx="5076000" cy="3952875"/>
        </a:xfrm>
      </xdr:grpSpPr>
      <xdr:grpSp>
        <xdr:nvGrpSpPr>
          <xdr:cNvPr id="27" name="Grupo 26"/>
          <xdr:cNvGrpSpPr/>
        </xdr:nvGrpSpPr>
        <xdr:grpSpPr>
          <a:xfrm>
            <a:off x="0" y="16021050"/>
            <a:ext cx="5076000" cy="3924300"/>
            <a:chOff x="-2278137" y="-3562085"/>
            <a:chExt cx="5476875" cy="3995738"/>
          </a:xfrm>
        </xdr:grpSpPr>
        <xdr:graphicFrame macro="">
          <xdr:nvGraphicFramePr>
            <xdr:cNvPr id="28" name="Gráfico 27"/>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29" name="CuadroTexto 28"/>
            <xdr:cNvSpPr txBox="1"/>
          </xdr:nvSpPr>
          <xdr:spPr>
            <a:xfrm>
              <a:off x="-1066546" y="-1387587"/>
              <a:ext cx="2792488" cy="803984"/>
            </a:xfrm>
            <a:prstGeom prst="rect">
              <a:avLst/>
            </a:prstGeom>
            <a:solidFill>
              <a:srgbClr val="66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(SST)</a:t>
              </a:r>
            </a:p>
          </xdr:txBody>
        </xdr:sp>
      </xdr:grpSp>
      <xdr:sp macro="" textlink="'2021'!G34:G35">
        <xdr:nvSpPr>
          <xdr:cNvPr id="46" name="Hexágono 45"/>
          <xdr:cNvSpPr/>
        </xdr:nvSpPr>
        <xdr:spPr>
          <a:xfrm>
            <a:off x="1885950" y="19059525"/>
            <a:ext cx="108720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7DDB7D8F-F608-4777-9F97-5B4B865C20FC}"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88%</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130" name="Grupo 129"/>
          <xdr:cNvGrpSpPr/>
        </xdr:nvGrpSpPr>
        <xdr:grpSpPr>
          <a:xfrm>
            <a:off x="57150" y="18688050"/>
            <a:ext cx="1162050" cy="1285875"/>
            <a:chOff x="5448300" y="2714625"/>
            <a:chExt cx="1162050" cy="1285875"/>
          </a:xfrm>
        </xdr:grpSpPr>
        <xdr:grpSp>
          <xdr:nvGrpSpPr>
            <xdr:cNvPr id="131" name="Grupo 130"/>
            <xdr:cNvGrpSpPr/>
          </xdr:nvGrpSpPr>
          <xdr:grpSpPr>
            <a:xfrm>
              <a:off x="5476875" y="2714625"/>
              <a:ext cx="1133475" cy="1285875"/>
              <a:chOff x="5476875" y="2543175"/>
              <a:chExt cx="1133475" cy="1285875"/>
            </a:xfrm>
          </xdr:grpSpPr>
          <xdr:cxnSp macro="">
            <xdr:nvCxnSpPr>
              <xdr:cNvPr id="133" name="Conector recto de flecha 132"/>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4" name="Conector recto de flecha 13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35" name="CuadroTexto 13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36" name="CuadroTexto 13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37" name="CuadroTexto 13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32" name="Hexágono 131"/>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4">
        <xdr:nvSpPr>
          <xdr:cNvPr id="171" name="Conector 170"/>
          <xdr:cNvSpPr/>
        </xdr:nvSpPr>
        <xdr:spPr>
          <a:xfrm>
            <a:off x="3875621" y="17563042"/>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F2F105A-4341-408A-909A-AE31BB93B75A}"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99%</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7</xdr:col>
      <xdr:colOff>9525</xdr:colOff>
      <xdr:row>84</xdr:row>
      <xdr:rowOff>133350</xdr:rowOff>
    </xdr:from>
    <xdr:to>
      <xdr:col>14</xdr:col>
      <xdr:colOff>504825</xdr:colOff>
      <xdr:row>105</xdr:row>
      <xdr:rowOff>57150</xdr:rowOff>
    </xdr:to>
    <xdr:grpSp>
      <xdr:nvGrpSpPr>
        <xdr:cNvPr id="127" name="Grupo 126"/>
        <xdr:cNvGrpSpPr/>
      </xdr:nvGrpSpPr>
      <xdr:grpSpPr>
        <a:xfrm>
          <a:off x="5428192" y="16442267"/>
          <a:ext cx="4897966" cy="3924300"/>
          <a:chOff x="5429250" y="16440150"/>
          <a:chExt cx="4895850" cy="3924300"/>
        </a:xfrm>
      </xdr:grpSpPr>
      <xdr:grpSp>
        <xdr:nvGrpSpPr>
          <xdr:cNvPr id="148" name="Grupo 147"/>
          <xdr:cNvGrpSpPr/>
        </xdr:nvGrpSpPr>
        <xdr:grpSpPr>
          <a:xfrm>
            <a:off x="5429250" y="16440150"/>
            <a:ext cx="4895850" cy="3924300"/>
            <a:chOff x="5429250" y="16440150"/>
            <a:chExt cx="4895850" cy="3924300"/>
          </a:xfrm>
        </xdr:grpSpPr>
        <xdr:grpSp>
          <xdr:nvGrpSpPr>
            <xdr:cNvPr id="139" name="Grupo 138"/>
            <xdr:cNvGrpSpPr/>
          </xdr:nvGrpSpPr>
          <xdr:grpSpPr>
            <a:xfrm>
              <a:off x="5429250" y="16440150"/>
              <a:ext cx="4895850" cy="3924300"/>
              <a:chOff x="6953250" y="17640300"/>
              <a:chExt cx="4895850" cy="3924300"/>
            </a:xfrm>
          </xdr:grpSpPr>
          <xdr:grpSp>
            <xdr:nvGrpSpPr>
              <xdr:cNvPr id="30" name="Grupo 29"/>
              <xdr:cNvGrpSpPr/>
            </xdr:nvGrpSpPr>
            <xdr:grpSpPr>
              <a:xfrm>
                <a:off x="6953250" y="17640300"/>
                <a:ext cx="4895850" cy="3924300"/>
                <a:chOff x="-2278137" y="-3562085"/>
                <a:chExt cx="5476875" cy="3995738"/>
              </a:xfrm>
            </xdr:grpSpPr>
            <xdr:graphicFrame macro="">
              <xdr:nvGraphicFramePr>
                <xdr:cNvPr id="31" name="Gráfico 30"/>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32" name="CuadroTexto 31"/>
                <xdr:cNvSpPr txBox="1"/>
              </xdr:nvSpPr>
              <xdr:spPr>
                <a:xfrm>
                  <a:off x="-898747" y="-1281982"/>
                  <a:ext cx="2792488" cy="803984"/>
                </a:xfrm>
                <a:prstGeom prst="rect">
                  <a:avLst/>
                </a:prstGeom>
                <a:solidFill>
                  <a:srgbClr val="66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ADMINISTRATIVA (RSE)</a:t>
                  </a:r>
                </a:p>
              </xdr:txBody>
            </xdr:sp>
          </xdr:grpSp>
          <xdr:sp macro="" textlink="'2021'!G36">
            <xdr:nvSpPr>
              <xdr:cNvPr id="47" name="Hexágono 46"/>
              <xdr:cNvSpPr/>
            </xdr:nvSpPr>
            <xdr:spPr>
              <a:xfrm>
                <a:off x="8829675" y="20707350"/>
                <a:ext cx="1085850" cy="75247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92F0F5E-E0DB-42B2-A5F0-C80CC8F1ED20}"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70%</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grpSp>
          <xdr:nvGrpSpPr>
            <xdr:cNvPr id="140" name="Grupo 139"/>
            <xdr:cNvGrpSpPr/>
          </xdr:nvGrpSpPr>
          <xdr:grpSpPr>
            <a:xfrm>
              <a:off x="5495925" y="19078575"/>
              <a:ext cx="1162050" cy="1285875"/>
              <a:chOff x="5448300" y="2714625"/>
              <a:chExt cx="1162050" cy="1285875"/>
            </a:xfrm>
          </xdr:grpSpPr>
          <xdr:grpSp>
            <xdr:nvGrpSpPr>
              <xdr:cNvPr id="141" name="Grupo 140"/>
              <xdr:cNvGrpSpPr/>
            </xdr:nvGrpSpPr>
            <xdr:grpSpPr>
              <a:xfrm>
                <a:off x="5476875" y="2714625"/>
                <a:ext cx="1133475" cy="1285875"/>
                <a:chOff x="5476875" y="2543175"/>
                <a:chExt cx="1133475" cy="1285875"/>
              </a:xfrm>
            </xdr:grpSpPr>
            <xdr:cxnSp macro="">
              <xdr:nvCxnSpPr>
                <xdr:cNvPr id="143" name="Conector recto de flecha 142"/>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4" name="Conector recto de flecha 143"/>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5" name="CuadroTexto 144"/>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46" name="CuadroTexto 145"/>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47" name="CuadroTexto 146"/>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42" name="Hexágono 141"/>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grpSp>
      <xdr:sp macro="" textlink="$C$35">
        <xdr:nvSpPr>
          <xdr:cNvPr id="172" name="Conector 171"/>
          <xdr:cNvSpPr/>
        </xdr:nvSpPr>
        <xdr:spPr>
          <a:xfrm>
            <a:off x="9140905" y="18089033"/>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859EF570-12A0-4C05-89A9-3E3CF9291A93}"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100%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0</xdr:col>
      <xdr:colOff>0</xdr:colOff>
      <xdr:row>105</xdr:row>
      <xdr:rowOff>9525</xdr:rowOff>
    </xdr:from>
    <xdr:to>
      <xdr:col>6</xdr:col>
      <xdr:colOff>294450</xdr:colOff>
      <xdr:row>125</xdr:row>
      <xdr:rowOff>133350</xdr:rowOff>
    </xdr:to>
    <xdr:grpSp>
      <xdr:nvGrpSpPr>
        <xdr:cNvPr id="129" name="Grupo 128"/>
        <xdr:cNvGrpSpPr/>
      </xdr:nvGrpSpPr>
      <xdr:grpSpPr>
        <a:xfrm>
          <a:off x="0" y="20318942"/>
          <a:ext cx="5078117" cy="3933825"/>
          <a:chOff x="0" y="20316825"/>
          <a:chExt cx="5076000" cy="3933825"/>
        </a:xfrm>
      </xdr:grpSpPr>
      <xdr:grpSp>
        <xdr:nvGrpSpPr>
          <xdr:cNvPr id="33" name="Grupo 32"/>
          <xdr:cNvGrpSpPr/>
        </xdr:nvGrpSpPr>
        <xdr:grpSpPr>
          <a:xfrm>
            <a:off x="0" y="20316825"/>
            <a:ext cx="5076000" cy="3924300"/>
            <a:chOff x="-2278137" y="-3562085"/>
            <a:chExt cx="5476875" cy="3995738"/>
          </a:xfrm>
        </xdr:grpSpPr>
        <xdr:graphicFrame macro="">
          <xdr:nvGraphicFramePr>
            <xdr:cNvPr id="34" name="Gráfico 33"/>
            <xdr:cNvGraphicFramePr/>
          </xdr:nvGraphicFramePr>
          <xdr:xfrm>
            <a:off x="-2278137" y="-3562085"/>
            <a:ext cx="5476875" cy="3995738"/>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35" name="CuadroTexto 34"/>
            <xdr:cNvSpPr txBox="1"/>
          </xdr:nvSpPr>
          <xdr:spPr>
            <a:xfrm>
              <a:off x="-929573" y="-1281982"/>
              <a:ext cx="2792488" cy="803984"/>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OBJETIVO DE GESTIÓN CONTABLE</a:t>
              </a:r>
              <a:r>
                <a:rPr lang="es-CO" sz="1200" baseline="0">
                  <a:solidFill>
                    <a:srgbClr val="002060"/>
                  </a:solidFill>
                  <a:latin typeface="Arial Rounded MT Bold" panose="020F0704030504030204" pitchFamily="34" charset="0"/>
                </a:rPr>
                <a:t> Y FINANCIERA</a:t>
              </a:r>
              <a:endParaRPr lang="es-CO" sz="1200">
                <a:solidFill>
                  <a:srgbClr val="002060"/>
                </a:solidFill>
                <a:latin typeface="Arial Rounded MT Bold" panose="020F0704030504030204" pitchFamily="34" charset="0"/>
              </a:endParaRPr>
            </a:p>
          </xdr:txBody>
        </xdr:sp>
      </xdr:grpSp>
      <xdr:grpSp>
        <xdr:nvGrpSpPr>
          <xdr:cNvPr id="149" name="Grupo 148"/>
          <xdr:cNvGrpSpPr/>
        </xdr:nvGrpSpPr>
        <xdr:grpSpPr>
          <a:xfrm>
            <a:off x="57150" y="22964775"/>
            <a:ext cx="1162050" cy="1285875"/>
            <a:chOff x="5448300" y="2714625"/>
            <a:chExt cx="1162050" cy="1285875"/>
          </a:xfrm>
        </xdr:grpSpPr>
        <xdr:grpSp>
          <xdr:nvGrpSpPr>
            <xdr:cNvPr id="150" name="Grupo 149"/>
            <xdr:cNvGrpSpPr/>
          </xdr:nvGrpSpPr>
          <xdr:grpSpPr>
            <a:xfrm>
              <a:off x="5476875" y="2714625"/>
              <a:ext cx="1133475" cy="1285875"/>
              <a:chOff x="5476875" y="2543175"/>
              <a:chExt cx="1133475" cy="1285875"/>
            </a:xfrm>
          </xdr:grpSpPr>
          <xdr:cxnSp macro="">
            <xdr:nvCxnSpPr>
              <xdr:cNvPr id="152" name="Conector recto de flecha 151"/>
              <xdr:cNvCxnSpPr/>
            </xdr:nvCxnSpPr>
            <xdr:spPr>
              <a:xfrm>
                <a:off x="5486400" y="31527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3" name="Conector recto de flecha 152"/>
              <xdr:cNvCxnSpPr/>
            </xdr:nvCxnSpPr>
            <xdr:spPr>
              <a:xfrm>
                <a:off x="5476875" y="36195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4" name="CuadroTexto 153"/>
              <xdr:cNvSpPr txBox="1"/>
            </xdr:nvSpPr>
            <xdr:spPr>
              <a:xfrm>
                <a:off x="5667375" y="29051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55" name="CuadroTexto 154"/>
              <xdr:cNvSpPr txBox="1"/>
            </xdr:nvSpPr>
            <xdr:spPr>
              <a:xfrm>
                <a:off x="5619750" y="33909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56" name="CuadroTexto 155"/>
              <xdr:cNvSpPr txBox="1"/>
            </xdr:nvSpPr>
            <xdr:spPr>
              <a:xfrm>
                <a:off x="5648325" y="25431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51" name="Hexágono 150"/>
            <xdr:cNvSpPr/>
          </xdr:nvSpPr>
          <xdr:spPr>
            <a:xfrm>
              <a:off x="5448300" y="28289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6">
        <xdr:nvSpPr>
          <xdr:cNvPr id="173" name="Conector 172"/>
          <xdr:cNvSpPr/>
        </xdr:nvSpPr>
        <xdr:spPr>
          <a:xfrm>
            <a:off x="2629953" y="21966767"/>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BC96B7F7-D406-422E-83BD-3B5EC8E80708}"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97%</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twoCellAnchor>
    <xdr:from>
      <xdr:col>6</xdr:col>
      <xdr:colOff>619125</xdr:colOff>
      <xdr:row>106</xdr:row>
      <xdr:rowOff>9525</xdr:rowOff>
    </xdr:from>
    <xdr:to>
      <xdr:col>14</xdr:col>
      <xdr:colOff>466724</xdr:colOff>
      <xdr:row>126</xdr:row>
      <xdr:rowOff>142875</xdr:rowOff>
    </xdr:to>
    <xdr:grpSp>
      <xdr:nvGrpSpPr>
        <xdr:cNvPr id="157" name="Grupo 156"/>
        <xdr:cNvGrpSpPr/>
      </xdr:nvGrpSpPr>
      <xdr:grpSpPr>
        <a:xfrm>
          <a:off x="5402792" y="20509442"/>
          <a:ext cx="4885265" cy="3943350"/>
          <a:chOff x="5400675" y="20507325"/>
          <a:chExt cx="4886324" cy="3943350"/>
        </a:xfrm>
      </xdr:grpSpPr>
      <xdr:grpSp>
        <xdr:nvGrpSpPr>
          <xdr:cNvPr id="36" name="Grupo 35"/>
          <xdr:cNvGrpSpPr/>
        </xdr:nvGrpSpPr>
        <xdr:grpSpPr>
          <a:xfrm>
            <a:off x="5400675" y="20507325"/>
            <a:ext cx="4886324" cy="3924300"/>
            <a:chOff x="-4049181" y="-4919859"/>
            <a:chExt cx="5476875" cy="3995738"/>
          </a:xfrm>
        </xdr:grpSpPr>
        <xdr:graphicFrame macro="">
          <xdr:nvGraphicFramePr>
            <xdr:cNvPr id="37" name="Gráfico 36"/>
            <xdr:cNvGraphicFramePr/>
          </xdr:nvGraphicFramePr>
          <xdr:xfrm>
            <a:off x="-4049181" y="-4919859"/>
            <a:ext cx="5476875" cy="3995738"/>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38" name="CuadroTexto 37"/>
            <xdr:cNvSpPr txBox="1"/>
          </xdr:nvSpPr>
          <xdr:spPr>
            <a:xfrm>
              <a:off x="-2595056" y="-2630060"/>
              <a:ext cx="2792488" cy="803984"/>
            </a:xfrm>
            <a:prstGeom prst="rect">
              <a:avLst/>
            </a:prstGeom>
            <a:solidFill>
              <a:srgbClr val="66CC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200">
                  <a:solidFill>
                    <a:srgbClr val="002060"/>
                  </a:solidFill>
                  <a:latin typeface="Arial Rounded MT Bold" panose="020F0704030504030204" pitchFamily="34" charset="0"/>
                </a:rPr>
                <a:t>CUMPLIMIENTO DEL SISTEMA DE GESTIÓN (GERENCIA)</a:t>
              </a:r>
            </a:p>
          </xdr:txBody>
        </xdr:sp>
      </xdr:grpSp>
      <xdr:sp macro="" textlink="'2021'!G38">
        <xdr:nvSpPr>
          <xdr:cNvPr id="48" name="Hexágono 47"/>
          <xdr:cNvSpPr/>
        </xdr:nvSpPr>
        <xdr:spPr>
          <a:xfrm>
            <a:off x="7286625" y="23564850"/>
            <a:ext cx="1085882" cy="752485"/>
          </a:xfrm>
          <a:prstGeom prst="hexagon">
            <a:avLst/>
          </a:prstGeom>
          <a:noFill/>
          <a:ln w="28575">
            <a:solidFill>
              <a:srgbClr val="00FF00"/>
            </a:solidFill>
            <a:prstDash val="sysDot"/>
          </a:ln>
          <a:effectLst>
            <a:glow rad="1016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fld id="{2B0AAACE-7BD2-4D34-8FBB-34F8F79DAF6A}" type="TxLink">
              <a:rPr lang="en-US"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rPr>
              <a:pPr marL="0" indent="0" algn="ctr"/>
              <a:t>89%</a:t>
            </a:fld>
            <a:endParaRPr lang="es-CO" sz="1800" b="1" i="0" u="none" strike="noStrike" cap="none" spc="0">
              <a:ln w="10160">
                <a:solidFill>
                  <a:schemeClr val="bg1"/>
                </a:solidFill>
                <a:prstDash val="solid"/>
              </a:ln>
              <a:solidFill>
                <a:srgbClr val="00FF00"/>
              </a:solidFill>
              <a:effectLst>
                <a:outerShdw blurRad="38100" dist="22860" dir="5400000" algn="tl" rotWithShape="0">
                  <a:srgbClr val="000000">
                    <a:alpha val="30000"/>
                  </a:srgbClr>
                </a:outerShdw>
                <a:reflection blurRad="6350" stA="55000" endA="50" endPos="85000" dist="60007" dir="5400000" sy="-100000" algn="bl" rotWithShape="0"/>
              </a:effectLst>
              <a:latin typeface="Arial"/>
              <a:ea typeface="+mn-ea"/>
              <a:cs typeface="Arial"/>
            </a:endParaRPr>
          </a:p>
        </xdr:txBody>
      </xdr:sp>
      <xdr:grpSp>
        <xdr:nvGrpSpPr>
          <xdr:cNvPr id="158" name="Grupo 157"/>
          <xdr:cNvGrpSpPr/>
        </xdr:nvGrpSpPr>
        <xdr:grpSpPr>
          <a:xfrm>
            <a:off x="5505450" y="23164800"/>
            <a:ext cx="1162050" cy="1285875"/>
            <a:chOff x="3924300" y="1381125"/>
            <a:chExt cx="1162050" cy="1285875"/>
          </a:xfrm>
        </xdr:grpSpPr>
        <xdr:grpSp>
          <xdr:nvGrpSpPr>
            <xdr:cNvPr id="159" name="Grupo 158"/>
            <xdr:cNvGrpSpPr/>
          </xdr:nvGrpSpPr>
          <xdr:grpSpPr>
            <a:xfrm>
              <a:off x="3952875" y="1381125"/>
              <a:ext cx="1133475" cy="1285875"/>
              <a:chOff x="3952875" y="1209675"/>
              <a:chExt cx="1133475" cy="1285875"/>
            </a:xfrm>
          </xdr:grpSpPr>
          <xdr:cxnSp macro="">
            <xdr:nvCxnSpPr>
              <xdr:cNvPr id="161" name="Conector recto de flecha 160"/>
              <xdr:cNvCxnSpPr/>
            </xdr:nvCxnSpPr>
            <xdr:spPr>
              <a:xfrm>
                <a:off x="3962400" y="1819275"/>
                <a:ext cx="266700" cy="0"/>
              </a:xfrm>
              <a:prstGeom prst="straightConnector1">
                <a:avLst/>
              </a:prstGeom>
              <a:ln w="28575">
                <a:solidFill>
                  <a:schemeClr val="bg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2" name="Conector recto de flecha 161"/>
              <xdr:cNvCxnSpPr/>
            </xdr:nvCxnSpPr>
            <xdr:spPr>
              <a:xfrm>
                <a:off x="3952875" y="2286000"/>
                <a:ext cx="266700" cy="0"/>
              </a:xfrm>
              <a:prstGeom prst="straightConnector1">
                <a:avLst/>
              </a:prstGeom>
              <a:ln w="28575">
                <a:solidFill>
                  <a:srgbClr val="0DE8F3"/>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63" name="CuadroTexto 162"/>
              <xdr:cNvSpPr txBox="1"/>
            </xdr:nvSpPr>
            <xdr:spPr>
              <a:xfrm>
                <a:off x="4143375" y="1571625"/>
                <a:ext cx="695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chemeClr val="bg1"/>
                    </a:solidFill>
                  </a:rPr>
                  <a:t>Logro</a:t>
                </a:r>
                <a:r>
                  <a:rPr lang="es-CO" sz="1100" baseline="0">
                    <a:solidFill>
                      <a:schemeClr val="bg1"/>
                    </a:solidFill>
                  </a:rPr>
                  <a:t> de objetivo</a:t>
                </a:r>
                <a:endParaRPr lang="es-CO" sz="1100">
                  <a:solidFill>
                    <a:schemeClr val="bg1"/>
                  </a:solidFill>
                </a:endParaRPr>
              </a:p>
            </xdr:txBody>
          </xdr:sp>
          <xdr:sp macro="" textlink="">
            <xdr:nvSpPr>
              <xdr:cNvPr id="164" name="CuadroTexto 163"/>
              <xdr:cNvSpPr txBox="1"/>
            </xdr:nvSpPr>
            <xdr:spPr>
              <a:xfrm>
                <a:off x="4095750" y="2057400"/>
                <a:ext cx="9906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DE8F3"/>
                    </a:solidFill>
                  </a:rPr>
                  <a:t>Promedio</a:t>
                </a:r>
                <a:r>
                  <a:rPr lang="es-CO" sz="1100" baseline="0">
                    <a:solidFill>
                      <a:srgbClr val="0DE8F3"/>
                    </a:solidFill>
                  </a:rPr>
                  <a:t> de cumplimiento</a:t>
                </a:r>
                <a:endParaRPr lang="es-CO" sz="1100">
                  <a:solidFill>
                    <a:srgbClr val="0DE8F3"/>
                  </a:solidFill>
                </a:endParaRPr>
              </a:p>
            </xdr:txBody>
          </xdr:sp>
          <xdr:sp macro="" textlink="">
            <xdr:nvSpPr>
              <xdr:cNvPr id="165" name="CuadroTexto 164"/>
              <xdr:cNvSpPr txBox="1"/>
            </xdr:nvSpPr>
            <xdr:spPr>
              <a:xfrm>
                <a:off x="4124325" y="1209675"/>
                <a:ext cx="5524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a:solidFill>
                      <a:srgbClr val="00FF00"/>
                    </a:solidFill>
                  </a:rPr>
                  <a:t>Meta</a:t>
                </a:r>
              </a:p>
            </xdr:txBody>
          </xdr:sp>
        </xdr:grpSp>
        <xdr:sp macro="" textlink="">
          <xdr:nvSpPr>
            <xdr:cNvPr id="160" name="Hexágono 159"/>
            <xdr:cNvSpPr/>
          </xdr:nvSpPr>
          <xdr:spPr>
            <a:xfrm>
              <a:off x="3924300" y="1495425"/>
              <a:ext cx="266700" cy="257175"/>
            </a:xfrm>
            <a:prstGeom prst="hexagon">
              <a:avLst/>
            </a:prstGeom>
            <a:noFill/>
            <a:ln w="28575">
              <a:solidFill>
                <a:srgbClr val="00FF00"/>
              </a:solidFill>
              <a:prstDash val="sysDot"/>
            </a:ln>
            <a:effectLst>
              <a:glow rad="63500">
                <a:schemeClr val="accent6">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CO"/>
            </a:p>
          </xdr:txBody>
        </xdr:sp>
      </xdr:grpSp>
      <xdr:sp macro="" textlink="$C$37">
        <xdr:nvSpPr>
          <xdr:cNvPr id="174" name="Conector 173"/>
          <xdr:cNvSpPr/>
        </xdr:nvSpPr>
        <xdr:spPr>
          <a:xfrm>
            <a:off x="9153525" y="21955125"/>
            <a:ext cx="1038225" cy="772420"/>
          </a:xfrm>
          <a:prstGeom prst="flowChartConnecto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fld id="{98892959-0158-42E1-BF20-D3FFFEA66F9D}"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98%</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0.48679</cdr:x>
      <cdr:y>0.32692</cdr:y>
    </cdr:from>
    <cdr:to>
      <cdr:x>0.6781</cdr:x>
      <cdr:y>0.52375</cdr:y>
    </cdr:to>
    <cdr:sp macro="" textlink="'TABLERO DE INDICADORES'!$B$26">
      <cdr:nvSpPr>
        <cdr:cNvPr id="2" name="Conector 1"/>
        <cdr:cNvSpPr/>
      </cdr:nvSpPr>
      <cdr:spPr>
        <a:xfrm xmlns:a="http://schemas.openxmlformats.org/drawingml/2006/main">
          <a:off x="2435275" y="1307861"/>
          <a:ext cx="957074" cy="787418"/>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fld id="{349C72FB-7FC5-4868-A771-988B0718C62E}"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cs typeface="Arial"/>
            </a:rPr>
            <a:pPr/>
            <a:t>97%</a:t>
          </a:fld>
          <a:endParaRPr lang="es-CO" sz="1800" b="1"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endParaRPr>
        </a:p>
      </cdr:txBody>
    </cdr:sp>
  </cdr:relSizeAnchor>
  <cdr:relSizeAnchor xmlns:cdr="http://schemas.openxmlformats.org/drawingml/2006/chartDrawing">
    <cdr:from>
      <cdr:x>0.01501</cdr:x>
      <cdr:y>0.67718</cdr:y>
    </cdr:from>
    <cdr:to>
      <cdr:x>0.06755</cdr:x>
      <cdr:y>0.74272</cdr:y>
    </cdr:to>
    <cdr:sp macro="" textlink="">
      <cdr:nvSpPr>
        <cdr:cNvPr id="3" name="Hexágono 2"/>
        <cdr:cNvSpPr/>
      </cdr:nvSpPr>
      <cdr:spPr>
        <a:xfrm xmlns:a="http://schemas.openxmlformats.org/drawingml/2006/main">
          <a:off x="76200" y="2657475"/>
          <a:ext cx="266700" cy="257175"/>
        </a:xfrm>
        <a:prstGeom xmlns:a="http://schemas.openxmlformats.org/drawingml/2006/main" prst="hexagon">
          <a:avLst/>
        </a:prstGeom>
        <a:noFill xmlns:a="http://schemas.openxmlformats.org/drawingml/2006/main"/>
        <a:ln xmlns:a="http://schemas.openxmlformats.org/drawingml/2006/main" w="28575">
          <a:solidFill>
            <a:srgbClr val="00FF00"/>
          </a:solidFill>
          <a:prstDash val="sysDot"/>
        </a:ln>
        <a:effectLst xmlns:a="http://schemas.openxmlformats.org/drawingml/2006/main">
          <a:glow rad="63500">
            <a:schemeClr val="accent6">
              <a:satMod val="175000"/>
              <a:alpha val="40000"/>
            </a:schemeClr>
          </a:glo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s-CO"/>
        </a:p>
      </cdr:txBody>
    </cdr:sp>
  </cdr:relSizeAnchor>
</c:userShapes>
</file>

<file path=xl/drawings/drawing4.xml><?xml version="1.0" encoding="utf-8"?>
<c:userShapes xmlns:c="http://schemas.openxmlformats.org/drawingml/2006/chart">
  <cdr:relSizeAnchor xmlns:cdr="http://schemas.openxmlformats.org/drawingml/2006/chartDrawing">
    <cdr:from>
      <cdr:x>0.51189</cdr:x>
      <cdr:y>0.31046</cdr:y>
    </cdr:from>
    <cdr:to>
      <cdr:x>0.73909</cdr:x>
      <cdr:y>0.50729</cdr:y>
    </cdr:to>
    <cdr:sp macro="" textlink="'TABLERO DE INDICADORES'!$B$27">
      <cdr:nvSpPr>
        <cdr:cNvPr id="2" name="Conector 1"/>
        <cdr:cNvSpPr/>
      </cdr:nvSpPr>
      <cdr:spPr>
        <a:xfrm xmlns:a="http://schemas.openxmlformats.org/drawingml/2006/main">
          <a:off x="2505592" y="1218330"/>
          <a:ext cx="1112096"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03C152C-DA47-4939-968B-D044F7FADCAE}"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92%</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0.46383</cdr:x>
      <cdr:y>0.31126</cdr:y>
    </cdr:from>
    <cdr:to>
      <cdr:x>0.70273</cdr:x>
      <cdr:y>0.50809</cdr:y>
    </cdr:to>
    <cdr:sp macro="" textlink="'TABLERO DE INDICADORES'!$B$29">
      <cdr:nvSpPr>
        <cdr:cNvPr id="3" name="Conector 1"/>
        <cdr:cNvSpPr/>
      </cdr:nvSpPr>
      <cdr:spPr>
        <a:xfrm xmlns:a="http://schemas.openxmlformats.org/drawingml/2006/main">
          <a:off x="2354792" y="1221384"/>
          <a:ext cx="1212845" cy="772361"/>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4E70797B-4319-4EE6-B7C1-775FE2666EE1}"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100%</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0.52164</cdr:x>
      <cdr:y>0.31467</cdr:y>
    </cdr:from>
    <cdr:to>
      <cdr:x>0.71295</cdr:x>
      <cdr:y>0.5115</cdr:y>
    </cdr:to>
    <cdr:sp macro="" textlink="'TABLERO DE INDICADORES'!$B$28">
      <cdr:nvSpPr>
        <cdr:cNvPr id="2" name="Conector 1"/>
        <cdr:cNvSpPr/>
      </cdr:nvSpPr>
      <cdr:spPr>
        <a:xfrm xmlns:a="http://schemas.openxmlformats.org/drawingml/2006/main">
          <a:off x="2648268" y="1238425"/>
          <a:ext cx="971247" cy="774651"/>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DB83E457-7301-4287-8216-61019A352B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99%</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dr:relSizeAnchor xmlns:cdr="http://schemas.openxmlformats.org/drawingml/2006/chartDrawing">
    <cdr:from>
      <cdr:x>0.78241</cdr:x>
      <cdr:y>0.40752</cdr:y>
    </cdr:from>
    <cdr:to>
      <cdr:x>0.98708</cdr:x>
      <cdr:y>0.60434</cdr:y>
    </cdr:to>
    <cdr:sp macro="" textlink="'TABLERO DE INDICADORES'!$C$28">
      <cdr:nvSpPr>
        <cdr:cNvPr id="5" name="Conector 1"/>
        <cdr:cNvSpPr/>
      </cdr:nvSpPr>
      <cdr:spPr>
        <a:xfrm xmlns:a="http://schemas.openxmlformats.org/drawingml/2006/main">
          <a:off x="3972159" y="1603851"/>
          <a:ext cx="1039050" cy="774612"/>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anchor="ctr"/>
        <a:lstStyle xmlns:a="http://schemas.openxmlformats.org/drawingml/2006/main"/>
        <a:p xmlns:a="http://schemas.openxmlformats.org/drawingml/2006/main">
          <a:pPr marL="0" indent="0"/>
          <a:fld id="{93319FF4-FBF0-41E4-95A6-15B9538CBAE1}" type="TxLink">
            <a:rPr lang="en-US"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rPr>
            <a:pPr marL="0" indent="0"/>
            <a:t>100%</a:t>
          </a:fld>
          <a:endParaRPr lang="es-CO" sz="1600" b="1" i="0" u="none" strike="noStrike" cap="none" spc="0">
            <a:ln w="9525">
              <a:solidFill>
                <a:schemeClr val="bg1"/>
              </a:solidFill>
              <a:prstDash val="solid"/>
            </a:ln>
            <a:solidFill>
              <a:schemeClr val="accent5"/>
            </a:solidFill>
            <a:effectLst>
              <a:glow rad="228600">
                <a:schemeClr val="accent5">
                  <a:satMod val="175000"/>
                  <a:alpha val="40000"/>
                </a:schemeClr>
              </a:glow>
              <a:outerShdw blurRad="12700" dist="38100" dir="2700000" algn="tl" rotWithShape="0">
                <a:schemeClr val="accent5">
                  <a:lumMod val="60000"/>
                  <a:lumOff val="40000"/>
                </a:schemeClr>
              </a:outerShdw>
            </a:effectLst>
            <a:latin typeface="Arial"/>
            <a:ea typeface="+mn-ea"/>
            <a:cs typeface="Aria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0.51785</cdr:x>
      <cdr:y>0.32285</cdr:y>
    </cdr:from>
    <cdr:to>
      <cdr:x>0.70916</cdr:x>
      <cdr:y>0.51968</cdr:y>
    </cdr:to>
    <cdr:sp macro="" textlink="'TABLERO DE INDICADORES'!$B$30">
      <cdr:nvSpPr>
        <cdr:cNvPr id="3" name="Conector 1"/>
        <cdr:cNvSpPr/>
      </cdr:nvSpPr>
      <cdr:spPr>
        <a:xfrm xmlns:a="http://schemas.openxmlformats.org/drawingml/2006/main">
          <a:off x="2629707" y="1266974"/>
          <a:ext cx="971495"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3F092A01-B783-4DE2-8BC3-C740CF057340}"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98%</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0.51355</cdr:x>
      <cdr:y>0.32179</cdr:y>
    </cdr:from>
    <cdr:to>
      <cdr:x>0.70486</cdr:x>
      <cdr:y>0.51862</cdr:y>
    </cdr:to>
    <cdr:sp macro="" textlink="'TABLERO DE INDICADORES'!$B$31">
      <cdr:nvSpPr>
        <cdr:cNvPr id="3" name="Conector 1"/>
        <cdr:cNvSpPr/>
      </cdr:nvSpPr>
      <cdr:spPr>
        <a:xfrm xmlns:a="http://schemas.openxmlformats.org/drawingml/2006/main">
          <a:off x="2508843" y="1262793"/>
          <a:ext cx="934601"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FB005D87-7EA2-4CEA-8832-4981A42E9B67}"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96%</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0.50387</cdr:x>
      <cdr:y>0.32284</cdr:y>
    </cdr:from>
    <cdr:to>
      <cdr:x>0.69518</cdr:x>
      <cdr:y>0.51967</cdr:y>
    </cdr:to>
    <cdr:sp macro="" textlink="'TABLERO DE INDICADORES'!$B$32">
      <cdr:nvSpPr>
        <cdr:cNvPr id="3" name="Conector 1"/>
        <cdr:cNvSpPr/>
      </cdr:nvSpPr>
      <cdr:spPr>
        <a:xfrm xmlns:a="http://schemas.openxmlformats.org/drawingml/2006/main">
          <a:off x="2558686" y="1266940"/>
          <a:ext cx="971494" cy="772420"/>
        </a:xfrm>
        <a:prstGeom xmlns:a="http://schemas.openxmlformats.org/drawingml/2006/main" prst="flowChartConnector">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marL="0" indent="0"/>
          <a:fld id="{72BFFCD9-488B-44E6-8B4D-5A8F4B416264}" type="TxLink">
            <a:rPr lang="en-US"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rPr>
            <a:pPr marL="0" indent="0"/>
            <a:t>99%</a:t>
          </a:fld>
          <a:endParaRPr lang="es-CO" sz="1800" b="1" i="0" u="none" strike="noStrike" cap="none" spc="0">
            <a:ln w="6600">
              <a:solidFill>
                <a:schemeClr val="accent2"/>
              </a:solidFill>
              <a:prstDash val="solid"/>
            </a:ln>
            <a:solidFill>
              <a:srgbClr val="FFFFFF"/>
            </a:solidFill>
            <a:effectLst>
              <a:outerShdw dist="38100" dir="2700000" algn="tl" rotWithShape="0">
                <a:schemeClr val="accent2"/>
              </a:outerShdw>
              <a:reflection blurRad="6350" stA="55000" endA="50" endPos="85000" dist="29997" dir="5400000" sy="-100000" algn="bl" rotWithShape="0"/>
            </a:effectLst>
            <a:latin typeface="Arial"/>
            <a:ea typeface="+mn-ea"/>
            <a:cs typeface="Arial"/>
          </a:endParaRP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39"/>
  <sheetViews>
    <sheetView tabSelected="1" view="pageBreakPreview" zoomScale="80" zoomScaleNormal="90" zoomScaleSheetLayoutView="80" workbookViewId="0">
      <pane xSplit="2" ySplit="8" topLeftCell="C19" activePane="bottomRight" state="frozen"/>
      <selection pane="topRight" activeCell="C1" sqref="C1"/>
      <selection pane="bottomLeft" activeCell="A9" sqref="A9"/>
      <selection pane="bottomRight" activeCell="B28" sqref="B28:B30"/>
    </sheetView>
  </sheetViews>
  <sheetFormatPr baseColWidth="10" defaultRowHeight="14.25" x14ac:dyDescent="0.25"/>
  <cols>
    <col min="1" max="1" width="25.28515625" style="1" customWidth="1"/>
    <col min="2" max="2" width="30.140625" style="1" customWidth="1"/>
    <col min="3" max="3" width="24.7109375" style="1" customWidth="1"/>
    <col min="4" max="4" width="38.5703125" style="1" customWidth="1"/>
    <col min="5" max="5" width="47.7109375" style="1" customWidth="1"/>
    <col min="6" max="6" width="15.42578125" style="1" customWidth="1"/>
    <col min="7" max="7" width="12.140625" style="1" customWidth="1"/>
    <col min="8" max="8" width="9.140625" style="1" customWidth="1"/>
    <col min="9" max="9" width="9.28515625" style="1" customWidth="1"/>
    <col min="10" max="10" width="14.85546875" style="1" customWidth="1"/>
    <col min="11" max="11" width="6.7109375" style="1" customWidth="1"/>
    <col min="12" max="12" width="8.28515625" style="1" customWidth="1"/>
    <col min="13" max="13" width="7.42578125" style="1" customWidth="1"/>
    <col min="14" max="15" width="6.7109375" style="1" customWidth="1"/>
    <col min="16" max="16" width="8" style="1" customWidth="1"/>
    <col min="17" max="17" width="8.28515625" style="1" customWidth="1"/>
    <col min="18" max="18" width="8.140625" style="1" customWidth="1"/>
    <col min="19" max="19" width="6.7109375" style="1" customWidth="1"/>
    <col min="20" max="20" width="8.42578125" style="1" customWidth="1"/>
    <col min="21" max="22" width="7.5703125" style="1" customWidth="1"/>
    <col min="23" max="23" width="6.7109375" style="1" customWidth="1"/>
    <col min="24" max="24" width="7.5703125" style="1" customWidth="1"/>
    <col min="25" max="25" width="7.7109375" style="1" customWidth="1"/>
    <col min="26" max="27" width="6.7109375" style="1" customWidth="1"/>
    <col min="28" max="28" width="7.7109375" style="1" customWidth="1"/>
    <col min="29" max="29" width="8.42578125" style="1" customWidth="1"/>
    <col min="30" max="32" width="6.7109375" style="1" customWidth="1"/>
    <col min="33" max="33" width="9.7109375" style="1" customWidth="1"/>
    <col min="34" max="34" width="9" style="1" customWidth="1"/>
    <col min="35" max="41" width="6.7109375" style="1" customWidth="1"/>
    <col min="42" max="42" width="8.140625" style="1" customWidth="1"/>
    <col min="43" max="44" width="6.7109375" style="1" customWidth="1"/>
    <col min="45" max="45" width="9.7109375" style="1" customWidth="1"/>
    <col min="46" max="46" width="8.28515625" style="1" customWidth="1"/>
    <col min="47" max="53" width="6.7109375" style="1" customWidth="1"/>
    <col min="54" max="54" width="8.5703125" style="1" customWidth="1"/>
    <col min="55" max="56" width="6.7109375" style="1" customWidth="1"/>
    <col min="57" max="57" width="9.5703125" style="1" customWidth="1"/>
    <col min="58" max="58" width="8.5703125" style="1" customWidth="1"/>
    <col min="59" max="59" width="9.85546875" style="1" customWidth="1"/>
    <col min="60" max="60" width="8.5703125" style="1" customWidth="1"/>
    <col min="61" max="61" width="10.42578125" style="1" customWidth="1"/>
    <col min="62" max="62" width="13.140625" style="1" customWidth="1"/>
    <col min="63" max="63" width="14.42578125" style="1" customWidth="1"/>
    <col min="64" max="64" width="22" style="1" customWidth="1"/>
    <col min="65" max="16384" width="11.42578125" style="1"/>
  </cols>
  <sheetData>
    <row r="1" spans="1:80" ht="15" thickBot="1" x14ac:dyDescent="0.3"/>
    <row r="2" spans="1:80" ht="30" customHeight="1" x14ac:dyDescent="0.25">
      <c r="A2" s="240" t="s">
        <v>21</v>
      </c>
      <c r="B2" s="241"/>
      <c r="C2" s="241"/>
      <c r="D2" s="241"/>
      <c r="E2" s="241"/>
      <c r="F2" s="241"/>
      <c r="G2" s="241"/>
      <c r="H2" s="241"/>
      <c r="I2" s="241"/>
      <c r="J2" s="241"/>
      <c r="K2" s="241"/>
      <c r="L2" s="241"/>
      <c r="M2" s="241"/>
      <c r="N2" s="241"/>
      <c r="O2" s="241"/>
      <c r="P2" s="241"/>
      <c r="Q2" s="241"/>
      <c r="R2" s="241"/>
      <c r="S2" s="241"/>
      <c r="T2" s="241"/>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c r="BC2" s="241"/>
      <c r="BD2" s="241"/>
      <c r="BE2" s="241"/>
      <c r="BF2" s="241"/>
      <c r="BG2" s="241"/>
      <c r="BH2" s="241"/>
      <c r="BI2" s="241"/>
      <c r="BJ2" s="241"/>
      <c r="BK2" s="241"/>
      <c r="BL2" s="242"/>
    </row>
    <row r="3" spans="1:80" ht="30" customHeight="1" thickBot="1" x14ac:dyDescent="0.3">
      <c r="A3" s="243"/>
      <c r="B3" s="244"/>
      <c r="C3" s="244"/>
      <c r="D3" s="244"/>
      <c r="E3" s="244"/>
      <c r="F3" s="244"/>
      <c r="G3" s="244"/>
      <c r="H3" s="244"/>
      <c r="I3" s="244"/>
      <c r="J3" s="244"/>
      <c r="K3" s="244"/>
      <c r="L3" s="244"/>
      <c r="M3" s="244"/>
      <c r="N3" s="244"/>
      <c r="O3" s="244"/>
      <c r="P3" s="244"/>
      <c r="Q3" s="244"/>
      <c r="R3" s="244"/>
      <c r="S3" s="244"/>
      <c r="T3" s="244"/>
      <c r="U3" s="244"/>
      <c r="V3" s="244"/>
      <c r="W3" s="244"/>
      <c r="X3" s="244"/>
      <c r="Y3" s="244"/>
      <c r="Z3" s="244"/>
      <c r="AA3" s="244"/>
      <c r="AB3" s="244"/>
      <c r="AC3" s="244"/>
      <c r="AD3" s="244"/>
      <c r="AE3" s="244"/>
      <c r="AF3" s="244"/>
      <c r="AG3" s="244"/>
      <c r="AH3" s="244"/>
      <c r="AI3" s="244"/>
      <c r="AJ3" s="244"/>
      <c r="AK3" s="244"/>
      <c r="AL3" s="244"/>
      <c r="AM3" s="244"/>
      <c r="AN3" s="244"/>
      <c r="AO3" s="244"/>
      <c r="AP3" s="244"/>
      <c r="AQ3" s="244"/>
      <c r="AR3" s="244"/>
      <c r="AS3" s="244"/>
      <c r="AT3" s="244"/>
      <c r="AU3" s="244"/>
      <c r="AV3" s="244"/>
      <c r="AW3" s="244"/>
      <c r="AX3" s="244"/>
      <c r="AY3" s="244"/>
      <c r="AZ3" s="244"/>
      <c r="BA3" s="244"/>
      <c r="BB3" s="244"/>
      <c r="BC3" s="244"/>
      <c r="BD3" s="244"/>
      <c r="BE3" s="244"/>
      <c r="BF3" s="244"/>
      <c r="BG3" s="244"/>
      <c r="BH3" s="244"/>
      <c r="BI3" s="244"/>
      <c r="BJ3" s="244"/>
      <c r="BK3" s="244"/>
      <c r="BL3" s="245"/>
    </row>
    <row r="4" spans="1:80" s="4" customFormat="1" ht="30.75" customHeight="1" thickBot="1" x14ac:dyDescent="0.3">
      <c r="A4" s="461" t="s">
        <v>26</v>
      </c>
      <c r="B4" s="462"/>
      <c r="C4" s="462"/>
      <c r="D4" s="463"/>
      <c r="E4" s="461" t="s">
        <v>22</v>
      </c>
      <c r="F4" s="462"/>
      <c r="G4" s="462"/>
      <c r="H4" s="462"/>
      <c r="I4" s="462"/>
      <c r="J4" s="462"/>
      <c r="K4" s="463"/>
      <c r="L4" s="470" t="s">
        <v>23</v>
      </c>
      <c r="M4" s="471"/>
      <c r="N4" s="471"/>
      <c r="O4" s="471"/>
      <c r="P4" s="471"/>
      <c r="Q4" s="471"/>
      <c r="R4" s="471"/>
      <c r="S4" s="471"/>
      <c r="T4" s="471"/>
      <c r="U4" s="471"/>
      <c r="V4" s="471"/>
      <c r="W4" s="471"/>
      <c r="X4" s="471"/>
      <c r="Y4" s="471"/>
      <c r="Z4" s="471"/>
      <c r="AA4" s="471"/>
      <c r="AB4" s="471"/>
      <c r="AC4" s="471"/>
      <c r="AD4" s="467" t="s">
        <v>24</v>
      </c>
      <c r="AE4" s="468"/>
      <c r="AF4" s="468"/>
      <c r="AG4" s="468"/>
      <c r="AH4" s="468"/>
      <c r="AI4" s="468"/>
      <c r="AJ4" s="468"/>
      <c r="AK4" s="468"/>
      <c r="AL4" s="468"/>
      <c r="AM4" s="468"/>
      <c r="AN4" s="468"/>
      <c r="AO4" s="468"/>
      <c r="AP4" s="468"/>
      <c r="AQ4" s="468"/>
      <c r="AR4" s="468"/>
      <c r="AS4" s="468"/>
      <c r="AT4" s="468"/>
      <c r="AU4" s="468"/>
      <c r="AV4" s="469"/>
      <c r="AW4" s="246" t="s">
        <v>25</v>
      </c>
      <c r="AX4" s="247"/>
      <c r="AY4" s="247"/>
      <c r="AZ4" s="247"/>
      <c r="BA4" s="247"/>
      <c r="BB4" s="247"/>
      <c r="BC4" s="247"/>
      <c r="BD4" s="247"/>
      <c r="BE4" s="247"/>
      <c r="BF4" s="247"/>
      <c r="BG4" s="247"/>
      <c r="BH4" s="247"/>
      <c r="BI4" s="247"/>
      <c r="BJ4" s="247"/>
      <c r="BK4" s="247"/>
      <c r="BL4" s="248"/>
    </row>
    <row r="5" spans="1:80" ht="31.5" customHeight="1" thickBot="1" x14ac:dyDescent="0.3">
      <c r="A5" s="249" t="s">
        <v>114</v>
      </c>
      <c r="B5" s="250"/>
      <c r="C5" s="250"/>
      <c r="D5" s="251"/>
      <c r="E5" s="464">
        <v>42895</v>
      </c>
      <c r="F5" s="465"/>
      <c r="G5" s="465"/>
      <c r="H5" s="465"/>
      <c r="I5" s="465"/>
      <c r="J5" s="465"/>
      <c r="K5" s="466"/>
      <c r="L5" s="464">
        <v>44067</v>
      </c>
      <c r="M5" s="465"/>
      <c r="N5" s="465"/>
      <c r="O5" s="465"/>
      <c r="P5" s="465"/>
      <c r="Q5" s="465"/>
      <c r="R5" s="465"/>
      <c r="S5" s="465"/>
      <c r="T5" s="465"/>
      <c r="U5" s="465"/>
      <c r="V5" s="465"/>
      <c r="W5" s="465"/>
      <c r="X5" s="465"/>
      <c r="Y5" s="465"/>
      <c r="Z5" s="465"/>
      <c r="AA5" s="465"/>
      <c r="AB5" s="465"/>
      <c r="AC5" s="466"/>
      <c r="AD5" s="249">
        <v>5</v>
      </c>
      <c r="AE5" s="250"/>
      <c r="AF5" s="250"/>
      <c r="AG5" s="250"/>
      <c r="AH5" s="250"/>
      <c r="AI5" s="250"/>
      <c r="AJ5" s="250"/>
      <c r="AK5" s="250"/>
      <c r="AL5" s="250"/>
      <c r="AM5" s="250"/>
      <c r="AN5" s="250"/>
      <c r="AO5" s="250"/>
      <c r="AP5" s="250"/>
      <c r="AQ5" s="250"/>
      <c r="AR5" s="250"/>
      <c r="AS5" s="250"/>
      <c r="AT5" s="250"/>
      <c r="AU5" s="250"/>
      <c r="AV5" s="251"/>
      <c r="AW5" s="249" t="s">
        <v>78</v>
      </c>
      <c r="AX5" s="250"/>
      <c r="AY5" s="250"/>
      <c r="AZ5" s="250"/>
      <c r="BA5" s="250"/>
      <c r="BB5" s="250"/>
      <c r="BC5" s="250"/>
      <c r="BD5" s="250"/>
      <c r="BE5" s="250"/>
      <c r="BF5" s="250"/>
      <c r="BG5" s="250"/>
      <c r="BH5" s="250"/>
      <c r="BI5" s="250"/>
      <c r="BJ5" s="250"/>
      <c r="BK5" s="250"/>
      <c r="BL5" s="251"/>
    </row>
    <row r="6" spans="1:80" ht="15" thickBot="1" x14ac:dyDescent="0.3"/>
    <row r="7" spans="1:80" s="2" customFormat="1" ht="20.25" customHeight="1" thickBot="1" x14ac:dyDescent="0.3">
      <c r="A7" s="394" t="s">
        <v>0</v>
      </c>
      <c r="B7" s="396" t="s">
        <v>1</v>
      </c>
      <c r="C7" s="411" t="s">
        <v>64</v>
      </c>
      <c r="D7" s="412"/>
      <c r="E7" s="412"/>
      <c r="F7" s="412"/>
      <c r="G7" s="412"/>
      <c r="H7" s="412"/>
      <c r="I7" s="412"/>
      <c r="J7" s="413"/>
      <c r="K7" s="252" t="s">
        <v>5</v>
      </c>
      <c r="L7" s="253"/>
      <c r="M7" s="253"/>
      <c r="N7" s="253"/>
      <c r="O7" s="253"/>
      <c r="P7" s="253"/>
      <c r="Q7" s="253"/>
      <c r="R7" s="253"/>
      <c r="S7" s="253"/>
      <c r="T7" s="253"/>
      <c r="U7" s="253"/>
      <c r="V7" s="253"/>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c r="AU7" s="253"/>
      <c r="AV7" s="253"/>
      <c r="AW7" s="253"/>
      <c r="AX7" s="253"/>
      <c r="AY7" s="253"/>
      <c r="AZ7" s="253"/>
      <c r="BA7" s="253"/>
      <c r="BB7" s="253"/>
      <c r="BC7" s="253"/>
      <c r="BD7" s="253"/>
      <c r="BE7" s="253"/>
      <c r="BF7" s="253"/>
      <c r="BG7" s="253"/>
      <c r="BH7" s="253"/>
      <c r="BI7" s="253"/>
      <c r="BJ7" s="253"/>
      <c r="BK7" s="253"/>
      <c r="BL7" s="254"/>
    </row>
    <row r="8" spans="1:80" s="2" customFormat="1" ht="42" customHeight="1" thickBot="1" x14ac:dyDescent="0.3">
      <c r="A8" s="395"/>
      <c r="B8" s="397"/>
      <c r="C8" s="12" t="s">
        <v>2</v>
      </c>
      <c r="D8" s="12" t="s">
        <v>3</v>
      </c>
      <c r="E8" s="12" t="s">
        <v>4</v>
      </c>
      <c r="F8" s="49" t="s">
        <v>132</v>
      </c>
      <c r="G8" s="55" t="s">
        <v>137</v>
      </c>
      <c r="H8" s="398" t="s">
        <v>138</v>
      </c>
      <c r="I8" s="399"/>
      <c r="J8" s="66" t="s">
        <v>136</v>
      </c>
      <c r="K8" s="403" t="s">
        <v>17</v>
      </c>
      <c r="L8" s="403"/>
      <c r="M8" s="403"/>
      <c r="N8" s="404"/>
      <c r="O8" s="414" t="s">
        <v>6</v>
      </c>
      <c r="P8" s="403"/>
      <c r="Q8" s="403"/>
      <c r="R8" s="404"/>
      <c r="S8" s="326" t="s">
        <v>7</v>
      </c>
      <c r="T8" s="327"/>
      <c r="U8" s="327"/>
      <c r="V8" s="328"/>
      <c r="W8" s="326" t="s">
        <v>8</v>
      </c>
      <c r="X8" s="327"/>
      <c r="Y8" s="327"/>
      <c r="Z8" s="328"/>
      <c r="AA8" s="414" t="s">
        <v>9</v>
      </c>
      <c r="AB8" s="403"/>
      <c r="AC8" s="403"/>
      <c r="AD8" s="404"/>
      <c r="AE8" s="414" t="s">
        <v>10</v>
      </c>
      <c r="AF8" s="403"/>
      <c r="AG8" s="403"/>
      <c r="AH8" s="404"/>
      <c r="AI8" s="414" t="s">
        <v>11</v>
      </c>
      <c r="AJ8" s="403"/>
      <c r="AK8" s="403"/>
      <c r="AL8" s="404"/>
      <c r="AM8" s="326" t="s">
        <v>12</v>
      </c>
      <c r="AN8" s="327"/>
      <c r="AO8" s="327"/>
      <c r="AP8" s="328"/>
      <c r="AQ8" s="326" t="s">
        <v>13</v>
      </c>
      <c r="AR8" s="327"/>
      <c r="AS8" s="327"/>
      <c r="AT8" s="328"/>
      <c r="AU8" s="326" t="s">
        <v>14</v>
      </c>
      <c r="AV8" s="327"/>
      <c r="AW8" s="327"/>
      <c r="AX8" s="328"/>
      <c r="AY8" s="326" t="s">
        <v>15</v>
      </c>
      <c r="AZ8" s="327"/>
      <c r="BA8" s="327"/>
      <c r="BB8" s="328"/>
      <c r="BC8" s="326" t="s">
        <v>16</v>
      </c>
      <c r="BD8" s="327"/>
      <c r="BE8" s="327"/>
      <c r="BF8" s="327"/>
      <c r="BG8" s="290" t="s">
        <v>161</v>
      </c>
      <c r="BH8" s="291"/>
      <c r="BI8" s="292"/>
      <c r="BJ8" s="139" t="s">
        <v>133</v>
      </c>
      <c r="BK8" s="137" t="s">
        <v>134</v>
      </c>
      <c r="BL8" s="138" t="s">
        <v>160</v>
      </c>
      <c r="BM8" s="134"/>
      <c r="BN8" s="134"/>
    </row>
    <row r="9" spans="1:80" s="2" customFormat="1" ht="71.25" x14ac:dyDescent="0.25">
      <c r="A9" s="332" t="s">
        <v>83</v>
      </c>
      <c r="B9" s="265" t="s">
        <v>84</v>
      </c>
      <c r="C9" s="33" t="s">
        <v>82</v>
      </c>
      <c r="D9" s="14" t="s">
        <v>121</v>
      </c>
      <c r="E9" s="42" t="s">
        <v>91</v>
      </c>
      <c r="F9" s="19" t="s">
        <v>41</v>
      </c>
      <c r="G9" s="352">
        <f>AVERAGE(H9:I11)</f>
        <v>0.94333333333333336</v>
      </c>
      <c r="H9" s="348">
        <v>0.9</v>
      </c>
      <c r="I9" s="349"/>
      <c r="J9" s="67">
        <f>H9/11</f>
        <v>8.1818181818181818E-2</v>
      </c>
      <c r="K9" s="221">
        <v>1.5</v>
      </c>
      <c r="L9" s="221"/>
      <c r="M9" s="269">
        <f>(K9*$J$9)/$H$9</f>
        <v>0.13636363636363635</v>
      </c>
      <c r="N9" s="270"/>
      <c r="O9" s="221">
        <v>1.17</v>
      </c>
      <c r="P9" s="221"/>
      <c r="Q9" s="269">
        <f>(O9*$J$9)/$H$9</f>
        <v>0.10636363636363635</v>
      </c>
      <c r="R9" s="270"/>
      <c r="S9" s="274">
        <v>1</v>
      </c>
      <c r="T9" s="274"/>
      <c r="U9" s="269">
        <f>(S9*$J$9)/$H$9</f>
        <v>9.0909090909090912E-2</v>
      </c>
      <c r="V9" s="270"/>
      <c r="W9" s="274">
        <v>1.05</v>
      </c>
      <c r="X9" s="274"/>
      <c r="Y9" s="269">
        <f>(W9*$J$9)/$H$9</f>
        <v>9.5454545454545445E-2</v>
      </c>
      <c r="Z9" s="270"/>
      <c r="AA9" s="267">
        <v>0.45</v>
      </c>
      <c r="AB9" s="268"/>
      <c r="AC9" s="269">
        <f>(AA9*$J$9)/$H$9</f>
        <v>4.0909090909090909E-2</v>
      </c>
      <c r="AD9" s="270"/>
      <c r="AE9" s="459">
        <v>1.1299999999999999</v>
      </c>
      <c r="AF9" s="460"/>
      <c r="AG9" s="269">
        <f>(AE9*$J$9)/$H$9</f>
        <v>0.10272727272727271</v>
      </c>
      <c r="AH9" s="270"/>
      <c r="AI9" s="267">
        <v>0.9</v>
      </c>
      <c r="AJ9" s="268"/>
      <c r="AK9" s="269">
        <f>(AI9*$J$9)/$H$9</f>
        <v>8.1818181818181818E-2</v>
      </c>
      <c r="AL9" s="270"/>
      <c r="AM9" s="267">
        <v>0.64</v>
      </c>
      <c r="AN9" s="268"/>
      <c r="AO9" s="269">
        <f>(AM9*$J$9)/$H$9</f>
        <v>5.8181818181818182E-2</v>
      </c>
      <c r="AP9" s="270"/>
      <c r="AQ9" s="267">
        <v>0.86</v>
      </c>
      <c r="AR9" s="268"/>
      <c r="AS9" s="269">
        <f>(AQ9*$J$9)/$H$9</f>
        <v>7.8181818181818186E-2</v>
      </c>
      <c r="AT9" s="270"/>
      <c r="AU9" s="267">
        <v>0.56999999999999995</v>
      </c>
      <c r="AV9" s="268"/>
      <c r="AW9" s="269">
        <f>(AU9*$J$9)/$H$9</f>
        <v>5.1818181818181819E-2</v>
      </c>
      <c r="AX9" s="270"/>
      <c r="AY9" s="267">
        <v>0.8</v>
      </c>
      <c r="AZ9" s="268"/>
      <c r="BA9" s="269">
        <f>(AY9*$J$9)/$H$9</f>
        <v>7.2727272727272738E-2</v>
      </c>
      <c r="BB9" s="270"/>
      <c r="BC9" s="267">
        <v>0.82</v>
      </c>
      <c r="BD9" s="268"/>
      <c r="BE9" s="269">
        <f>(BC9*$J$9)/$H$9</f>
        <v>7.454545454545454E-2</v>
      </c>
      <c r="BF9" s="270"/>
      <c r="BG9" s="293">
        <f>AVERAGE(K9,O9,S9,W9,AA9,AE9,AI9,AM9,AQ9,AU9,AY9,BC9)</f>
        <v>0.90750000000000008</v>
      </c>
      <c r="BH9" s="294"/>
      <c r="BI9" s="295"/>
      <c r="BJ9" s="59">
        <f>SUM(M9,Q9,U9,Y9,AC9,AG9,AK9,AO9,AS9,AW9,BA9,BE9)</f>
        <v>0.98999999999999988</v>
      </c>
      <c r="BK9" s="329">
        <f>AVERAGEIF(BJ9:BJ11,"&lt;&gt;0",BJ9:BJ11)</f>
        <v>0.97333333333333327</v>
      </c>
      <c r="BL9" s="223">
        <f>AVERAGEIF(BG9:BI11,"&lt;&gt;0",BG9:BI11)</f>
        <v>0.96916666666666673</v>
      </c>
    </row>
    <row r="10" spans="1:80" s="2" customFormat="1" ht="39" customHeight="1" x14ac:dyDescent="0.25">
      <c r="A10" s="332"/>
      <c r="B10" s="265"/>
      <c r="C10" s="33" t="s">
        <v>92</v>
      </c>
      <c r="D10" s="14" t="s">
        <v>39</v>
      </c>
      <c r="E10" s="42" t="s">
        <v>106</v>
      </c>
      <c r="F10" s="19" t="s">
        <v>40</v>
      </c>
      <c r="G10" s="353"/>
      <c r="H10" s="350">
        <v>0.93</v>
      </c>
      <c r="I10" s="351"/>
      <c r="J10" s="68">
        <f>H10/2</f>
        <v>0.46500000000000002</v>
      </c>
      <c r="K10" s="377"/>
      <c r="L10" s="377"/>
      <c r="M10" s="377"/>
      <c r="N10" s="378"/>
      <c r="O10" s="409"/>
      <c r="P10" s="377"/>
      <c r="Q10" s="377"/>
      <c r="R10" s="378"/>
      <c r="S10" s="405"/>
      <c r="T10" s="406"/>
      <c r="U10" s="406"/>
      <c r="V10" s="407"/>
      <c r="W10" s="409"/>
      <c r="X10" s="377"/>
      <c r="Y10" s="377"/>
      <c r="Z10" s="378"/>
      <c r="AA10" s="409"/>
      <c r="AB10" s="377"/>
      <c r="AC10" s="377"/>
      <c r="AD10" s="378"/>
      <c r="AE10" s="459">
        <v>1</v>
      </c>
      <c r="AF10" s="460"/>
      <c r="AG10" s="269">
        <f>$J$10*AE10</f>
        <v>0.46500000000000002</v>
      </c>
      <c r="AH10" s="270"/>
      <c r="AI10" s="308"/>
      <c r="AJ10" s="309"/>
      <c r="AK10" s="309"/>
      <c r="AL10" s="310"/>
      <c r="AM10" s="308"/>
      <c r="AN10" s="309"/>
      <c r="AO10" s="309"/>
      <c r="AP10" s="310"/>
      <c r="AQ10" s="308"/>
      <c r="AR10" s="309"/>
      <c r="AS10" s="309"/>
      <c r="AT10" s="310"/>
      <c r="AU10" s="308"/>
      <c r="AV10" s="309"/>
      <c r="AW10" s="309"/>
      <c r="AX10" s="310"/>
      <c r="AY10" s="308"/>
      <c r="AZ10" s="309"/>
      <c r="BA10" s="309"/>
      <c r="BB10" s="310"/>
      <c r="BC10" s="459">
        <v>1</v>
      </c>
      <c r="BD10" s="460"/>
      <c r="BE10" s="269">
        <f>$J$10*BC10</f>
        <v>0.46500000000000002</v>
      </c>
      <c r="BF10" s="275"/>
      <c r="BG10" s="296">
        <f>IFERROR(AVERAGE(AE10,BC10),0)</f>
        <v>1</v>
      </c>
      <c r="BH10" s="297"/>
      <c r="BI10" s="297"/>
      <c r="BJ10" s="59">
        <f>SUM(AG10,BE10)</f>
        <v>0.93</v>
      </c>
      <c r="BK10" s="329"/>
      <c r="BL10" s="223"/>
    </row>
    <row r="11" spans="1:80" s="2" customFormat="1" ht="72" thickBot="1" x14ac:dyDescent="0.3">
      <c r="A11" s="334"/>
      <c r="B11" s="400"/>
      <c r="C11" s="34" t="s">
        <v>37</v>
      </c>
      <c r="D11" s="17" t="s">
        <v>93</v>
      </c>
      <c r="E11" s="43" t="s">
        <v>38</v>
      </c>
      <c r="F11" s="16" t="s">
        <v>42</v>
      </c>
      <c r="G11" s="354"/>
      <c r="H11" s="401">
        <v>1</v>
      </c>
      <c r="I11" s="402"/>
      <c r="J11" s="69">
        <f>H11/4</f>
        <v>0.25</v>
      </c>
      <c r="K11" s="392"/>
      <c r="L11" s="392"/>
      <c r="M11" s="392"/>
      <c r="N11" s="393"/>
      <c r="O11" s="410"/>
      <c r="P11" s="392"/>
      <c r="Q11" s="392"/>
      <c r="R11" s="393"/>
      <c r="S11" s="274">
        <v>1</v>
      </c>
      <c r="T11" s="274"/>
      <c r="U11" s="287">
        <f>S11*$J$11</f>
        <v>0.25</v>
      </c>
      <c r="V11" s="408"/>
      <c r="W11" s="410"/>
      <c r="X11" s="392"/>
      <c r="Y11" s="392"/>
      <c r="Z11" s="393"/>
      <c r="AA11" s="410"/>
      <c r="AB11" s="392"/>
      <c r="AC11" s="392"/>
      <c r="AD11" s="393"/>
      <c r="AE11" s="459">
        <v>1</v>
      </c>
      <c r="AF11" s="460"/>
      <c r="AG11" s="287">
        <f>AE11*$J$11</f>
        <v>0.25</v>
      </c>
      <c r="AH11" s="408"/>
      <c r="AI11" s="311"/>
      <c r="AJ11" s="312"/>
      <c r="AK11" s="312"/>
      <c r="AL11" s="313"/>
      <c r="AM11" s="311"/>
      <c r="AN11" s="312"/>
      <c r="AO11" s="312"/>
      <c r="AP11" s="313"/>
      <c r="AQ11" s="459">
        <v>1</v>
      </c>
      <c r="AR11" s="460"/>
      <c r="AS11" s="287">
        <f>AQ11*$J$11</f>
        <v>0.25</v>
      </c>
      <c r="AT11" s="408"/>
      <c r="AU11" s="234"/>
      <c r="AV11" s="232"/>
      <c r="AW11" s="232"/>
      <c r="AX11" s="233"/>
      <c r="AY11" s="234"/>
      <c r="AZ11" s="232"/>
      <c r="BA11" s="232"/>
      <c r="BB11" s="233"/>
      <c r="BC11" s="459">
        <v>1</v>
      </c>
      <c r="BD11" s="460"/>
      <c r="BE11" s="287">
        <f>BC11*$J$11</f>
        <v>0.25</v>
      </c>
      <c r="BF11" s="288"/>
      <c r="BG11" s="298">
        <f>AVERAGE(S11,AE11,AQ11,BC11)</f>
        <v>1</v>
      </c>
      <c r="BH11" s="299"/>
      <c r="BI11" s="300"/>
      <c r="BJ11" s="60">
        <f>SUM(U11,AG11,AS11,BE11)</f>
        <v>1</v>
      </c>
      <c r="BK11" s="330"/>
      <c r="BL11" s="255"/>
    </row>
    <row r="12" spans="1:80" s="7" customFormat="1" ht="74.25" customHeight="1" x14ac:dyDescent="0.25">
      <c r="A12" s="331" t="s">
        <v>28</v>
      </c>
      <c r="B12" s="363" t="s">
        <v>135</v>
      </c>
      <c r="C12" s="94" t="s">
        <v>43</v>
      </c>
      <c r="D12" s="95" t="s">
        <v>119</v>
      </c>
      <c r="E12" s="95" t="s">
        <v>94</v>
      </c>
      <c r="F12" s="96" t="s">
        <v>42</v>
      </c>
      <c r="G12" s="352">
        <f>AVERAGE(H12:I15)</f>
        <v>0.88</v>
      </c>
      <c r="H12" s="450">
        <v>0.8</v>
      </c>
      <c r="I12" s="451"/>
      <c r="J12" s="97">
        <f>H12/4</f>
        <v>0.2</v>
      </c>
      <c r="K12" s="335"/>
      <c r="L12" s="335"/>
      <c r="M12" s="335"/>
      <c r="N12" s="336"/>
      <c r="O12" s="320"/>
      <c r="P12" s="321"/>
      <c r="Q12" s="321"/>
      <c r="R12" s="322"/>
      <c r="S12" s="98">
        <v>1</v>
      </c>
      <c r="T12" s="98">
        <v>1</v>
      </c>
      <c r="U12" s="99">
        <f>S12/T12</f>
        <v>1</v>
      </c>
      <c r="V12" s="117">
        <f>U12*$J$12</f>
        <v>0.2</v>
      </c>
      <c r="W12" s="320"/>
      <c r="X12" s="321"/>
      <c r="Y12" s="321"/>
      <c r="Z12" s="322"/>
      <c r="AA12" s="320"/>
      <c r="AB12" s="321"/>
      <c r="AC12" s="321"/>
      <c r="AD12" s="322"/>
      <c r="AE12" s="100">
        <v>1</v>
      </c>
      <c r="AF12" s="100">
        <v>1</v>
      </c>
      <c r="AG12" s="99">
        <f>IFERROR(AE12/AF12,1)</f>
        <v>1</v>
      </c>
      <c r="AH12" s="117">
        <f>AG12*$J$12</f>
        <v>0.2</v>
      </c>
      <c r="AI12" s="320"/>
      <c r="AJ12" s="321"/>
      <c r="AK12" s="321"/>
      <c r="AL12" s="322"/>
      <c r="AM12" s="320"/>
      <c r="AN12" s="321"/>
      <c r="AO12" s="321"/>
      <c r="AP12" s="322"/>
      <c r="AQ12" s="98">
        <v>0</v>
      </c>
      <c r="AR12" s="98">
        <v>0</v>
      </c>
      <c r="AS12" s="101">
        <f>IFERROR(AQ12/AR12,1)</f>
        <v>1</v>
      </c>
      <c r="AT12" s="118">
        <f>AS12*$J$12</f>
        <v>0.2</v>
      </c>
      <c r="AU12" s="317"/>
      <c r="AV12" s="318"/>
      <c r="AW12" s="318"/>
      <c r="AX12" s="319"/>
      <c r="AY12" s="317"/>
      <c r="AZ12" s="318"/>
      <c r="BA12" s="318"/>
      <c r="BB12" s="319"/>
      <c r="BC12" s="98">
        <v>0</v>
      </c>
      <c r="BD12" s="98">
        <v>0</v>
      </c>
      <c r="BE12" s="101">
        <f>IFERROR(BC12/BD12,1)</f>
        <v>1</v>
      </c>
      <c r="BF12" s="117">
        <f>BE12*$J$12</f>
        <v>0.2</v>
      </c>
      <c r="BG12" s="102">
        <f>SUM(S12,AE12,AQ12,BC12)</f>
        <v>2</v>
      </c>
      <c r="BH12" s="103">
        <f>SUM(T12,AF12,AR12,BD12)</f>
        <v>2</v>
      </c>
      <c r="BI12" s="104">
        <f>BG12/BH12</f>
        <v>1</v>
      </c>
      <c r="BJ12" s="105">
        <f>SUM(V12,AH12,AT12,BF12)</f>
        <v>0.8</v>
      </c>
      <c r="BK12" s="344">
        <f>AVERAGEIF(BJ12:BJ15,"&lt;&gt;0",BJ12:BJ15)</f>
        <v>0.92274999999999996</v>
      </c>
      <c r="BL12" s="222">
        <f>AVERAGE(BI12,BG15,BG14)</f>
        <v>0.97499999999999998</v>
      </c>
    </row>
    <row r="13" spans="1:80" s="7" customFormat="1" ht="87" customHeight="1" x14ac:dyDescent="0.25">
      <c r="A13" s="332"/>
      <c r="B13" s="364"/>
      <c r="C13" s="45" t="s">
        <v>80</v>
      </c>
      <c r="D13" s="38" t="s">
        <v>95</v>
      </c>
      <c r="E13" s="38" t="s">
        <v>81</v>
      </c>
      <c r="F13" s="39" t="s">
        <v>45</v>
      </c>
      <c r="G13" s="353"/>
      <c r="H13" s="366">
        <v>0.85</v>
      </c>
      <c r="I13" s="367"/>
      <c r="J13" s="71" t="s">
        <v>139</v>
      </c>
      <c r="K13" s="325"/>
      <c r="L13" s="337"/>
      <c r="M13" s="337"/>
      <c r="N13" s="337"/>
      <c r="O13" s="314"/>
      <c r="P13" s="315"/>
      <c r="Q13" s="315"/>
      <c r="R13" s="316"/>
      <c r="S13" s="366">
        <v>9.6000000000000002E-2</v>
      </c>
      <c r="T13" s="456"/>
      <c r="U13" s="456"/>
      <c r="V13" s="367"/>
      <c r="W13" s="323"/>
      <c r="X13" s="324"/>
      <c r="Y13" s="324"/>
      <c r="Z13" s="325"/>
      <c r="AA13" s="323"/>
      <c r="AB13" s="324"/>
      <c r="AC13" s="324"/>
      <c r="AD13" s="325"/>
      <c r="AE13" s="358">
        <v>0.29199999999999998</v>
      </c>
      <c r="AF13" s="359"/>
      <c r="AG13" s="359"/>
      <c r="AH13" s="360"/>
      <c r="AI13" s="323"/>
      <c r="AJ13" s="324"/>
      <c r="AK13" s="324"/>
      <c r="AL13" s="325"/>
      <c r="AM13" s="323"/>
      <c r="AN13" s="324"/>
      <c r="AO13" s="324"/>
      <c r="AP13" s="325"/>
      <c r="AQ13" s="358">
        <v>0.35799999999999998</v>
      </c>
      <c r="AR13" s="359"/>
      <c r="AS13" s="359"/>
      <c r="AT13" s="360"/>
      <c r="AU13" s="314"/>
      <c r="AV13" s="315"/>
      <c r="AW13" s="315"/>
      <c r="AX13" s="316"/>
      <c r="AY13" s="314"/>
      <c r="AZ13" s="315"/>
      <c r="BA13" s="315"/>
      <c r="BB13" s="316"/>
      <c r="BC13" s="358">
        <v>0.22</v>
      </c>
      <c r="BD13" s="359"/>
      <c r="BE13" s="359"/>
      <c r="BF13" s="359"/>
      <c r="BG13" s="443">
        <f>SUM(AE13,S13,AQ13,BC13)</f>
        <v>0.96599999999999997</v>
      </c>
      <c r="BH13" s="444"/>
      <c r="BI13" s="445"/>
      <c r="BJ13" s="106">
        <f>SUM(S13,AE13,AQ13,BC13)</f>
        <v>0.96599999999999997</v>
      </c>
      <c r="BK13" s="439"/>
      <c r="BL13" s="256"/>
    </row>
    <row r="14" spans="1:80" s="7" customFormat="1" ht="132.75" customHeight="1" x14ac:dyDescent="0.25">
      <c r="A14" s="332"/>
      <c r="B14" s="364"/>
      <c r="C14" s="107" t="s">
        <v>70</v>
      </c>
      <c r="D14" s="38" t="s">
        <v>175</v>
      </c>
      <c r="E14" s="38" t="s">
        <v>124</v>
      </c>
      <c r="F14" s="108" t="s">
        <v>45</v>
      </c>
      <c r="G14" s="353"/>
      <c r="H14" s="366">
        <v>0.96</v>
      </c>
      <c r="I14" s="367"/>
      <c r="J14" s="71">
        <f>H14/2</f>
        <v>0.48</v>
      </c>
      <c r="K14" s="446"/>
      <c r="L14" s="446"/>
      <c r="M14" s="446"/>
      <c r="N14" s="447"/>
      <c r="O14" s="314"/>
      <c r="P14" s="315"/>
      <c r="Q14" s="315"/>
      <c r="R14" s="316"/>
      <c r="S14" s="314"/>
      <c r="T14" s="315"/>
      <c r="U14" s="315"/>
      <c r="V14" s="316"/>
      <c r="W14" s="323"/>
      <c r="X14" s="324"/>
      <c r="Y14" s="324"/>
      <c r="Z14" s="325"/>
      <c r="AA14" s="323"/>
      <c r="AB14" s="324"/>
      <c r="AC14" s="324"/>
      <c r="AD14" s="325"/>
      <c r="AE14" s="366">
        <v>0.94</v>
      </c>
      <c r="AF14" s="456"/>
      <c r="AG14" s="457">
        <f>(AE14*$J$14)/$H$14</f>
        <v>0.47</v>
      </c>
      <c r="AH14" s="458"/>
      <c r="AI14" s="366">
        <v>0.97</v>
      </c>
      <c r="AJ14" s="456"/>
      <c r="AK14" s="457">
        <f>(AI14*$J$14)/$H$14</f>
        <v>0.48499999999999999</v>
      </c>
      <c r="AL14" s="458"/>
      <c r="AM14" s="314"/>
      <c r="AN14" s="315"/>
      <c r="AO14" s="315"/>
      <c r="AP14" s="316"/>
      <c r="AQ14" s="314"/>
      <c r="AR14" s="315"/>
      <c r="AS14" s="315"/>
      <c r="AT14" s="316"/>
      <c r="AU14" s="314"/>
      <c r="AV14" s="315"/>
      <c r="AW14" s="315"/>
      <c r="AX14" s="316"/>
      <c r="AY14" s="314"/>
      <c r="AZ14" s="315"/>
      <c r="BA14" s="315"/>
      <c r="BB14" s="316"/>
      <c r="BC14" s="314"/>
      <c r="BD14" s="315"/>
      <c r="BE14" s="315"/>
      <c r="BF14" s="315"/>
      <c r="BG14" s="303">
        <f>IFERROR(AVERAGE(AE14,AI14),0)</f>
        <v>0.95499999999999996</v>
      </c>
      <c r="BH14" s="304"/>
      <c r="BI14" s="304"/>
      <c r="BJ14" s="109">
        <f>SUM(AG14,AK14)</f>
        <v>0.95499999999999996</v>
      </c>
      <c r="BK14" s="329"/>
      <c r="BL14" s="223"/>
      <c r="BM14" s="30"/>
      <c r="BN14" s="30"/>
      <c r="BO14" s="30"/>
      <c r="BP14" s="30"/>
      <c r="BQ14" s="30"/>
      <c r="BR14" s="30"/>
      <c r="BS14" s="30"/>
      <c r="BT14" s="30"/>
      <c r="BU14" s="30"/>
      <c r="BV14" s="30"/>
      <c r="BW14" s="30"/>
      <c r="BX14" s="30"/>
      <c r="BY14" s="30"/>
      <c r="BZ14" s="30"/>
      <c r="CA14" s="30"/>
      <c r="CB14" s="30"/>
    </row>
    <row r="15" spans="1:80" s="7" customFormat="1" ht="110.25" customHeight="1" thickBot="1" x14ac:dyDescent="0.3">
      <c r="A15" s="333"/>
      <c r="B15" s="365"/>
      <c r="C15" s="110" t="s">
        <v>126</v>
      </c>
      <c r="D15" s="111" t="s">
        <v>127</v>
      </c>
      <c r="E15" s="111" t="s">
        <v>128</v>
      </c>
      <c r="F15" s="112" t="s">
        <v>45</v>
      </c>
      <c r="G15" s="354"/>
      <c r="H15" s="355">
        <v>0.91</v>
      </c>
      <c r="I15" s="357"/>
      <c r="J15" s="113">
        <v>0.91</v>
      </c>
      <c r="K15" s="448"/>
      <c r="L15" s="448"/>
      <c r="M15" s="448"/>
      <c r="N15" s="449"/>
      <c r="O15" s="338"/>
      <c r="P15" s="339"/>
      <c r="Q15" s="339"/>
      <c r="R15" s="340"/>
      <c r="S15" s="338"/>
      <c r="T15" s="339"/>
      <c r="U15" s="339"/>
      <c r="V15" s="340"/>
      <c r="W15" s="338">
        <v>0.97</v>
      </c>
      <c r="X15" s="339"/>
      <c r="Y15" s="339"/>
      <c r="Z15" s="340"/>
      <c r="AA15" s="338"/>
      <c r="AB15" s="339"/>
      <c r="AC15" s="339"/>
      <c r="AD15" s="340"/>
      <c r="AE15" s="355"/>
      <c r="AF15" s="356"/>
      <c r="AG15" s="356"/>
      <c r="AH15" s="357"/>
      <c r="AI15" s="338"/>
      <c r="AJ15" s="339"/>
      <c r="AK15" s="339"/>
      <c r="AL15" s="340"/>
      <c r="AM15" s="338"/>
      <c r="AN15" s="339"/>
      <c r="AO15" s="339"/>
      <c r="AP15" s="340"/>
      <c r="AQ15" s="338"/>
      <c r="AR15" s="339"/>
      <c r="AS15" s="339"/>
      <c r="AT15" s="340"/>
      <c r="AU15" s="338"/>
      <c r="AV15" s="339"/>
      <c r="AW15" s="339"/>
      <c r="AX15" s="340"/>
      <c r="AY15" s="338"/>
      <c r="AZ15" s="339"/>
      <c r="BA15" s="339"/>
      <c r="BB15" s="340"/>
      <c r="BC15" s="338"/>
      <c r="BD15" s="339"/>
      <c r="BE15" s="339"/>
      <c r="BF15" s="339"/>
      <c r="BG15" s="440">
        <f>W15</f>
        <v>0.97</v>
      </c>
      <c r="BH15" s="441"/>
      <c r="BI15" s="442"/>
      <c r="BJ15" s="114">
        <f>BG15</f>
        <v>0.97</v>
      </c>
      <c r="BK15" s="330"/>
      <c r="BL15" s="255"/>
      <c r="BM15" s="30"/>
      <c r="BN15" s="30"/>
      <c r="BO15" s="30"/>
      <c r="BP15" s="30"/>
      <c r="BQ15" s="30"/>
      <c r="BR15" s="30"/>
      <c r="BS15" s="30"/>
      <c r="BT15" s="30"/>
      <c r="BU15" s="30"/>
      <c r="BV15" s="30"/>
      <c r="BW15" s="30"/>
      <c r="BX15" s="30"/>
      <c r="BY15" s="30"/>
      <c r="BZ15" s="30"/>
      <c r="CA15" s="30"/>
      <c r="CB15" s="30"/>
    </row>
    <row r="16" spans="1:80" s="5" customFormat="1" ht="57" customHeight="1" x14ac:dyDescent="0.25">
      <c r="A16" s="331" t="s">
        <v>18</v>
      </c>
      <c r="B16" s="264" t="s">
        <v>20</v>
      </c>
      <c r="C16" s="46" t="s">
        <v>27</v>
      </c>
      <c r="D16" s="54" t="s">
        <v>66</v>
      </c>
      <c r="E16" s="54" t="s">
        <v>77</v>
      </c>
      <c r="F16" s="47" t="s">
        <v>41</v>
      </c>
      <c r="G16" s="352">
        <f>AVERAGE(H16:I17,I18)</f>
        <v>0.78333333333333321</v>
      </c>
      <c r="H16" s="283">
        <v>0.85</v>
      </c>
      <c r="I16" s="422"/>
      <c r="J16" s="73">
        <f>H16/12</f>
        <v>7.0833333333333331E-2</v>
      </c>
      <c r="K16" s="374">
        <v>1</v>
      </c>
      <c r="L16" s="374"/>
      <c r="M16" s="301">
        <f>(K16*$J$16)/$H$16</f>
        <v>8.3333333333333329E-2</v>
      </c>
      <c r="N16" s="302"/>
      <c r="O16" s="341">
        <v>1</v>
      </c>
      <c r="P16" s="342"/>
      <c r="Q16" s="301">
        <f>(O16*$J$16)/$H$16</f>
        <v>8.3333333333333329E-2</v>
      </c>
      <c r="R16" s="302"/>
      <c r="S16" s="341">
        <v>1</v>
      </c>
      <c r="T16" s="342"/>
      <c r="U16" s="301">
        <f>(S16*$J$16)/$H$16</f>
        <v>8.3333333333333329E-2</v>
      </c>
      <c r="V16" s="302"/>
      <c r="W16" s="341">
        <v>1</v>
      </c>
      <c r="X16" s="342"/>
      <c r="Y16" s="301">
        <f>(W16*$J$16)/$H$16</f>
        <v>8.3333333333333329E-2</v>
      </c>
      <c r="Z16" s="302"/>
      <c r="AA16" s="341">
        <v>1</v>
      </c>
      <c r="AB16" s="342"/>
      <c r="AC16" s="301">
        <f>(AA16*$J$16)/$H$16</f>
        <v>8.3333333333333329E-2</v>
      </c>
      <c r="AD16" s="302"/>
      <c r="AE16" s="341">
        <v>1</v>
      </c>
      <c r="AF16" s="342"/>
      <c r="AG16" s="301">
        <f>(AE16*$J$16)/$H$16</f>
        <v>8.3333333333333329E-2</v>
      </c>
      <c r="AH16" s="302"/>
      <c r="AI16" s="341">
        <v>1</v>
      </c>
      <c r="AJ16" s="342"/>
      <c r="AK16" s="301">
        <f>(AI16*$J$16)/$H$16</f>
        <v>8.3333333333333329E-2</v>
      </c>
      <c r="AL16" s="302"/>
      <c r="AM16" s="341">
        <v>1</v>
      </c>
      <c r="AN16" s="342"/>
      <c r="AO16" s="301">
        <f>(AM16*$J$16)/$H$16</f>
        <v>8.3333333333333329E-2</v>
      </c>
      <c r="AP16" s="302"/>
      <c r="AQ16" s="341">
        <v>1</v>
      </c>
      <c r="AR16" s="342"/>
      <c r="AS16" s="301">
        <f>(AQ16*$J$16)/$H$16</f>
        <v>8.3333333333333329E-2</v>
      </c>
      <c r="AT16" s="302"/>
      <c r="AU16" s="341">
        <v>1</v>
      </c>
      <c r="AV16" s="342"/>
      <c r="AW16" s="301">
        <f>(AU16*$J$16)/$H$16</f>
        <v>8.3333333333333329E-2</v>
      </c>
      <c r="AX16" s="302"/>
      <c r="AY16" s="341">
        <v>1</v>
      </c>
      <c r="AZ16" s="342"/>
      <c r="BA16" s="301">
        <f>(AY16*$J$16)/$H$16</f>
        <v>8.3333333333333329E-2</v>
      </c>
      <c r="BB16" s="302"/>
      <c r="BC16" s="341">
        <v>1</v>
      </c>
      <c r="BD16" s="342"/>
      <c r="BE16" s="301">
        <f>(BC16*$J$16)/$H$16</f>
        <v>8.3333333333333329E-2</v>
      </c>
      <c r="BF16" s="302"/>
      <c r="BG16" s="305">
        <f>AVERAGE(K16,O16,S16,W16,AA16,AE16,AI16,AM16,AQ16,AU16,AY16,BC16)</f>
        <v>1</v>
      </c>
      <c r="BH16" s="306"/>
      <c r="BI16" s="307"/>
      <c r="BJ16" s="63">
        <f>SUM(M16,Q16,U16,Y16,AC16,AG16,AK16,AO16,AS16,AW16,BA16,BE16)</f>
        <v>1</v>
      </c>
      <c r="BK16" s="344">
        <f>AVERAGE(BJ16:BJ18)</f>
        <v>0.99444444444444446</v>
      </c>
      <c r="BL16" s="486">
        <f>AVERAGE(BG16,BI17,BH18)</f>
        <v>0.99574468085106382</v>
      </c>
      <c r="BM16" s="6"/>
      <c r="BN16" s="6"/>
      <c r="BO16" s="6"/>
      <c r="BP16" s="6"/>
      <c r="BQ16" s="6"/>
      <c r="BR16" s="6"/>
      <c r="BS16" s="6"/>
      <c r="BT16" s="6"/>
      <c r="BU16" s="6"/>
      <c r="BV16" s="6"/>
      <c r="BW16" s="6"/>
      <c r="BX16" s="6"/>
      <c r="BY16" s="6"/>
      <c r="BZ16" s="6"/>
      <c r="CA16" s="6"/>
      <c r="CB16" s="6"/>
    </row>
    <row r="17" spans="1:64" s="6" customFormat="1" ht="65.25" customHeight="1" x14ac:dyDescent="0.25">
      <c r="A17" s="332"/>
      <c r="B17" s="265"/>
      <c r="C17" s="35" t="s">
        <v>19</v>
      </c>
      <c r="D17" s="190" t="s">
        <v>173</v>
      </c>
      <c r="E17" s="54" t="s">
        <v>67</v>
      </c>
      <c r="F17" s="15" t="s">
        <v>41</v>
      </c>
      <c r="G17" s="454"/>
      <c r="H17" s="423">
        <v>0.8</v>
      </c>
      <c r="I17" s="424"/>
      <c r="J17" s="200">
        <f>H17/12</f>
        <v>6.6666666666666666E-2</v>
      </c>
      <c r="K17" s="205">
        <v>12</v>
      </c>
      <c r="L17" s="206">
        <v>15</v>
      </c>
      <c r="M17" s="204">
        <f>K17/L17</f>
        <v>0.8</v>
      </c>
      <c r="N17" s="211">
        <f>($J$17*M17)/$H$17</f>
        <v>6.6666666666666666E-2</v>
      </c>
      <c r="O17" s="206">
        <v>22</v>
      </c>
      <c r="P17" s="206">
        <v>22</v>
      </c>
      <c r="Q17" s="204">
        <f t="shared" ref="Q17" si="0">O17/P17</f>
        <v>1</v>
      </c>
      <c r="R17" s="216">
        <f>($J$17*Q17)/$H$17</f>
        <v>8.3333333333333329E-2</v>
      </c>
      <c r="S17" s="206">
        <v>36</v>
      </c>
      <c r="T17" s="206">
        <v>36</v>
      </c>
      <c r="U17" s="204">
        <f t="shared" ref="U17" si="1">S17/T17</f>
        <v>1</v>
      </c>
      <c r="V17" s="216">
        <f>($J$17*U17)/$H$17</f>
        <v>8.3333333333333329E-2</v>
      </c>
      <c r="W17" s="206">
        <v>27</v>
      </c>
      <c r="X17" s="206">
        <v>27</v>
      </c>
      <c r="Y17" s="204">
        <f t="shared" ref="Y17" si="2">W17/X17</f>
        <v>1</v>
      </c>
      <c r="Z17" s="216">
        <f>($J$17*Y17)/$H$17</f>
        <v>8.3333333333333329E-2</v>
      </c>
      <c r="AA17" s="206">
        <v>20</v>
      </c>
      <c r="AB17" s="206">
        <v>20</v>
      </c>
      <c r="AC17" s="204">
        <f t="shared" ref="AC17" si="3">AA17/AB17</f>
        <v>1</v>
      </c>
      <c r="AD17" s="216">
        <f>($J$17*AC17)/$H$17</f>
        <v>8.3333333333333329E-2</v>
      </c>
      <c r="AE17" s="206">
        <v>21</v>
      </c>
      <c r="AF17" s="206">
        <v>21</v>
      </c>
      <c r="AG17" s="204">
        <f t="shared" ref="AG17" si="4">AE17/AF17</f>
        <v>1</v>
      </c>
      <c r="AH17" s="216">
        <f>($J$17*AG17)/$H$17</f>
        <v>8.3333333333333329E-2</v>
      </c>
      <c r="AI17" s="206">
        <v>13</v>
      </c>
      <c r="AJ17" s="206">
        <v>13</v>
      </c>
      <c r="AK17" s="204">
        <f t="shared" ref="AK17" si="5">AI17/AJ17</f>
        <v>1</v>
      </c>
      <c r="AL17" s="216">
        <f>($J$17*AK17)/$H$17</f>
        <v>8.3333333333333329E-2</v>
      </c>
      <c r="AM17" s="206">
        <v>20</v>
      </c>
      <c r="AN17" s="206">
        <v>20</v>
      </c>
      <c r="AO17" s="204">
        <f t="shared" ref="AO17" si="6">AM17/AN17</f>
        <v>1</v>
      </c>
      <c r="AP17" s="216">
        <f>($J$17*AO17)/$H$17</f>
        <v>8.3333333333333329E-2</v>
      </c>
      <c r="AQ17" s="206">
        <v>19</v>
      </c>
      <c r="AR17" s="206">
        <v>19</v>
      </c>
      <c r="AS17" s="204">
        <f t="shared" ref="AS17" si="7">AQ17/AR17</f>
        <v>1</v>
      </c>
      <c r="AT17" s="216">
        <f>($J$17*AS17)/$H$17</f>
        <v>8.3333333333333329E-2</v>
      </c>
      <c r="AU17" s="206">
        <v>19</v>
      </c>
      <c r="AV17" s="206">
        <v>19</v>
      </c>
      <c r="AW17" s="204">
        <f t="shared" ref="AW17" si="8">AU17/AV17</f>
        <v>1</v>
      </c>
      <c r="AX17" s="216">
        <f>($J$17*AW17)/$H$17</f>
        <v>8.3333333333333329E-2</v>
      </c>
      <c r="AY17" s="206">
        <v>9</v>
      </c>
      <c r="AZ17" s="206">
        <v>9</v>
      </c>
      <c r="BA17" s="204">
        <f t="shared" ref="BA17" si="9">AY17/AZ17</f>
        <v>1</v>
      </c>
      <c r="BB17" s="216">
        <f>($J$17*BA17)/$H$17</f>
        <v>8.3333333333333329E-2</v>
      </c>
      <c r="BC17" s="206">
        <v>14</v>
      </c>
      <c r="BD17" s="206">
        <v>14</v>
      </c>
      <c r="BE17" s="204">
        <f t="shared" ref="BE17" si="10">BC17/BD17</f>
        <v>1</v>
      </c>
      <c r="BF17" s="216">
        <f>($J$17*BE17)/$H$17</f>
        <v>8.3333333333333329E-2</v>
      </c>
      <c r="BG17" s="208">
        <f>SUM(K17,O17,S17,W17,AA17,AE17,AI17,AM17,AQ17,AU17,AY17,BC17)</f>
        <v>232</v>
      </c>
      <c r="BH17" s="209">
        <f>SUM(L17,P17,T17,X17,AB17,AF17,AJ17,AN17,AR17,AV17,AZ17,BD17)</f>
        <v>235</v>
      </c>
      <c r="BI17" s="212">
        <f>BG17/BH17</f>
        <v>0.98723404255319147</v>
      </c>
      <c r="BJ17" s="62">
        <f>SUM(N17,R17,V17,Z17,AD17,AH17,AL17,AP17,AT17,AX17,BB17,BF17)</f>
        <v>0.9833333333333335</v>
      </c>
      <c r="BK17" s="329"/>
      <c r="BL17" s="487"/>
    </row>
    <row r="18" spans="1:64" s="6" customFormat="1" ht="65.25" customHeight="1" thickBot="1" x14ac:dyDescent="0.3">
      <c r="A18" s="333"/>
      <c r="B18" s="266"/>
      <c r="C18" s="193" t="s">
        <v>167</v>
      </c>
      <c r="D18" s="17" t="s">
        <v>169</v>
      </c>
      <c r="E18" s="191" t="s">
        <v>170</v>
      </c>
      <c r="F18" s="194" t="s">
        <v>41</v>
      </c>
      <c r="G18" s="455"/>
      <c r="H18" s="192" t="s">
        <v>168</v>
      </c>
      <c r="I18" s="37">
        <v>0.7</v>
      </c>
      <c r="J18" s="74">
        <f>I18/10</f>
        <v>6.9999999999999993E-2</v>
      </c>
      <c r="K18" s="202"/>
      <c r="L18" s="452"/>
      <c r="M18" s="453"/>
      <c r="N18" s="120"/>
      <c r="O18" s="202"/>
      <c r="P18" s="452"/>
      <c r="Q18" s="453"/>
      <c r="R18" s="120"/>
      <c r="S18" s="202">
        <v>0</v>
      </c>
      <c r="T18" s="452">
        <f t="shared" ref="T18" si="11">100%-S18</f>
        <v>1</v>
      </c>
      <c r="U18" s="453"/>
      <c r="V18" s="120">
        <f t="shared" ref="V18" si="12">(T18*$J$18)/$I$18</f>
        <v>9.9999999999999992E-2</v>
      </c>
      <c r="W18" s="202">
        <v>0</v>
      </c>
      <c r="X18" s="452">
        <f t="shared" ref="X18" si="13">100%-W18</f>
        <v>1</v>
      </c>
      <c r="Y18" s="453"/>
      <c r="Z18" s="120">
        <f t="shared" ref="Z18" si="14">(X18*$J$18)/$I$18</f>
        <v>9.9999999999999992E-2</v>
      </c>
      <c r="AA18" s="202">
        <v>0</v>
      </c>
      <c r="AB18" s="452">
        <f t="shared" ref="AB18" si="15">100%-AA18</f>
        <v>1</v>
      </c>
      <c r="AC18" s="453"/>
      <c r="AD18" s="120">
        <f t="shared" ref="AD18" si="16">(AB18*$J$18)/$I$18</f>
        <v>9.9999999999999992E-2</v>
      </c>
      <c r="AE18" s="202">
        <v>0</v>
      </c>
      <c r="AF18" s="452">
        <f t="shared" ref="AF18" si="17">100%-AE18</f>
        <v>1</v>
      </c>
      <c r="AG18" s="453"/>
      <c r="AH18" s="120">
        <f t="shared" ref="AH18" si="18">(AF18*$J$18)/$I$18</f>
        <v>9.9999999999999992E-2</v>
      </c>
      <c r="AI18" s="202">
        <v>0</v>
      </c>
      <c r="AJ18" s="452">
        <f t="shared" ref="AJ18" si="19">100%-AI18</f>
        <v>1</v>
      </c>
      <c r="AK18" s="453"/>
      <c r="AL18" s="120">
        <f t="shared" ref="AL18" si="20">(AJ18*$J$18)/$I$18</f>
        <v>9.9999999999999992E-2</v>
      </c>
      <c r="AM18" s="202">
        <v>0</v>
      </c>
      <c r="AN18" s="452">
        <f t="shared" ref="AN18" si="21">100%-AM18</f>
        <v>1</v>
      </c>
      <c r="AO18" s="453"/>
      <c r="AP18" s="120">
        <f t="shared" ref="AP18" si="22">(AN18*$J$18)/$I$18</f>
        <v>9.9999999999999992E-2</v>
      </c>
      <c r="AQ18" s="202">
        <v>0</v>
      </c>
      <c r="AR18" s="452">
        <f t="shared" ref="AR18" si="23">100%-AQ18</f>
        <v>1</v>
      </c>
      <c r="AS18" s="453"/>
      <c r="AT18" s="120">
        <f t="shared" ref="AT18" si="24">(AR18*$J$18)/$I$18</f>
        <v>9.9999999999999992E-2</v>
      </c>
      <c r="AU18" s="202">
        <v>0</v>
      </c>
      <c r="AV18" s="452">
        <f t="shared" ref="AV18" si="25">100%-AU18</f>
        <v>1</v>
      </c>
      <c r="AW18" s="453"/>
      <c r="AX18" s="120">
        <f t="shared" ref="AX18" si="26">(AV18*$J$18)/$I$18</f>
        <v>9.9999999999999992E-2</v>
      </c>
      <c r="AY18" s="202">
        <v>0</v>
      </c>
      <c r="AZ18" s="452">
        <f t="shared" ref="AZ18" si="27">100%-AY18</f>
        <v>1</v>
      </c>
      <c r="BA18" s="453"/>
      <c r="BB18" s="120">
        <f t="shared" ref="BB18" si="28">(AZ18*$J$18)/$I$18</f>
        <v>9.9999999999999992E-2</v>
      </c>
      <c r="BC18" s="202">
        <v>0</v>
      </c>
      <c r="BD18" s="452">
        <f t="shared" ref="BD18" si="29">100%-BC18</f>
        <v>1</v>
      </c>
      <c r="BE18" s="453"/>
      <c r="BF18" s="120">
        <f t="shared" ref="BF18" si="30">(BD18*$J$18)/$I$18</f>
        <v>9.9999999999999992E-2</v>
      </c>
      <c r="BG18" s="207">
        <f>SUM(S18,W18,AA18,AE18,AI18,AM18,AQ18,AU18,AY18,BC18)/10</f>
        <v>0</v>
      </c>
      <c r="BH18" s="484">
        <f>100%-BG18</f>
        <v>1</v>
      </c>
      <c r="BI18" s="485"/>
      <c r="BJ18" s="213">
        <f>SUM(V18,Z18,AD18,AH18,AL18,AP18,AT18,AX18,BB18,BF18)</f>
        <v>0.99999999999999989</v>
      </c>
      <c r="BK18" s="330"/>
      <c r="BL18" s="488"/>
    </row>
    <row r="19" spans="1:64" s="7" customFormat="1" ht="87" customHeight="1" x14ac:dyDescent="0.25">
      <c r="A19" s="331" t="s">
        <v>29</v>
      </c>
      <c r="B19" s="264" t="s">
        <v>140</v>
      </c>
      <c r="C19" s="18" t="s">
        <v>46</v>
      </c>
      <c r="D19" s="54" t="s">
        <v>96</v>
      </c>
      <c r="E19" s="13" t="s">
        <v>68</v>
      </c>
      <c r="F19" s="8" t="s">
        <v>41</v>
      </c>
      <c r="G19" s="352">
        <f>AVERAGE(H19:I20)</f>
        <v>0.99</v>
      </c>
      <c r="H19" s="425">
        <v>1</v>
      </c>
      <c r="I19" s="426"/>
      <c r="J19" s="75">
        <f>H19/12</f>
        <v>8.3333333333333329E-2</v>
      </c>
      <c r="K19" s="284">
        <v>1</v>
      </c>
      <c r="L19" s="284"/>
      <c r="M19" s="285">
        <f>K19*$J$19</f>
        <v>8.3333333333333329E-2</v>
      </c>
      <c r="N19" s="286"/>
      <c r="O19" s="271">
        <v>1</v>
      </c>
      <c r="P19" s="289"/>
      <c r="Q19" s="368">
        <f>O19*$J$19</f>
        <v>8.3333333333333329E-2</v>
      </c>
      <c r="R19" s="369"/>
      <c r="S19" s="271">
        <v>1</v>
      </c>
      <c r="T19" s="289"/>
      <c r="U19" s="285">
        <f>S19*$J$19</f>
        <v>8.3333333333333329E-2</v>
      </c>
      <c r="V19" s="286"/>
      <c r="W19" s="271">
        <v>1</v>
      </c>
      <c r="X19" s="289"/>
      <c r="Y19" s="285">
        <f>W19*$J$19</f>
        <v>8.3333333333333329E-2</v>
      </c>
      <c r="Z19" s="286"/>
      <c r="AA19" s="271">
        <v>1</v>
      </c>
      <c r="AB19" s="289"/>
      <c r="AC19" s="285">
        <f>AA19*$J$19</f>
        <v>8.3333333333333329E-2</v>
      </c>
      <c r="AD19" s="286"/>
      <c r="AE19" s="271">
        <v>1</v>
      </c>
      <c r="AF19" s="289"/>
      <c r="AG19" s="285">
        <f>AE19*$J$19</f>
        <v>8.3333333333333329E-2</v>
      </c>
      <c r="AH19" s="286"/>
      <c r="AI19" s="271">
        <v>1</v>
      </c>
      <c r="AJ19" s="289"/>
      <c r="AK19" s="285">
        <f>AI19*$J$19</f>
        <v>8.3333333333333329E-2</v>
      </c>
      <c r="AL19" s="286"/>
      <c r="AM19" s="271">
        <v>1</v>
      </c>
      <c r="AN19" s="289"/>
      <c r="AO19" s="285">
        <f>AM19*$J$19</f>
        <v>8.3333333333333329E-2</v>
      </c>
      <c r="AP19" s="286"/>
      <c r="AQ19" s="271">
        <v>1</v>
      </c>
      <c r="AR19" s="289"/>
      <c r="AS19" s="285">
        <f>AQ19*$J$19</f>
        <v>8.3333333333333329E-2</v>
      </c>
      <c r="AT19" s="286"/>
      <c r="AU19" s="271">
        <v>1</v>
      </c>
      <c r="AV19" s="289"/>
      <c r="AW19" s="285">
        <f>AU19*$J$19</f>
        <v>8.3333333333333329E-2</v>
      </c>
      <c r="AX19" s="286"/>
      <c r="AY19" s="271">
        <v>1</v>
      </c>
      <c r="AZ19" s="289"/>
      <c r="BA19" s="285">
        <f>AY19*$J$19</f>
        <v>8.3333333333333329E-2</v>
      </c>
      <c r="BB19" s="286"/>
      <c r="BC19" s="271">
        <v>1</v>
      </c>
      <c r="BD19" s="289"/>
      <c r="BE19" s="285">
        <f>BC19*$J$19</f>
        <v>8.3333333333333329E-2</v>
      </c>
      <c r="BF19" s="343"/>
      <c r="BG19" s="373">
        <f>AVERAGE(K19,O19,S19,W19,AA19,AE19,AI19,AM19,AQ19,AU19,AY19,BC19)</f>
        <v>1</v>
      </c>
      <c r="BH19" s="306"/>
      <c r="BI19" s="307"/>
      <c r="BJ19" s="64">
        <f>SUM(M19,Q19,U19,Y19,AC19,AG19,AK19,AO19,AS19,AW19,BA19,BE19)</f>
        <v>1</v>
      </c>
      <c r="BK19" s="344">
        <f>AVERAGEIF(BJ19:BJ20,"&lt;&gt;0",BJ19:BJ20)</f>
        <v>0.99560000000000004</v>
      </c>
      <c r="BL19" s="222">
        <f>AVERAGEIF(BG19:BI20,"&lt;&gt;0",BG19:BI20)</f>
        <v>0.99560000000000004</v>
      </c>
    </row>
    <row r="20" spans="1:64" s="7" customFormat="1" ht="78.75" customHeight="1" x14ac:dyDescent="0.25">
      <c r="A20" s="332"/>
      <c r="B20" s="347"/>
      <c r="C20" s="115" t="s">
        <v>129</v>
      </c>
      <c r="D20" s="116" t="s">
        <v>130</v>
      </c>
      <c r="E20" s="116" t="s">
        <v>131</v>
      </c>
      <c r="F20" s="48" t="s">
        <v>45</v>
      </c>
      <c r="G20" s="429"/>
      <c r="H20" s="375">
        <v>0.98</v>
      </c>
      <c r="I20" s="376"/>
      <c r="J20" s="76">
        <f>H20/1</f>
        <v>0.98</v>
      </c>
      <c r="K20" s="371"/>
      <c r="L20" s="372"/>
      <c r="M20" s="372"/>
      <c r="N20" s="372"/>
      <c r="O20" s="274"/>
      <c r="P20" s="274"/>
      <c r="Q20" s="274"/>
      <c r="R20" s="274"/>
      <c r="S20" s="274"/>
      <c r="T20" s="274"/>
      <c r="U20" s="274"/>
      <c r="V20" s="274"/>
      <c r="W20" s="274"/>
      <c r="X20" s="274"/>
      <c r="Y20" s="274"/>
      <c r="Z20" s="274"/>
      <c r="AA20" s="274"/>
      <c r="AB20" s="274"/>
      <c r="AC20" s="274"/>
      <c r="AD20" s="274"/>
      <c r="AE20" s="274">
        <v>0.99119999999999997</v>
      </c>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67"/>
      <c r="BG20" s="388">
        <f>AE20</f>
        <v>0.99119999999999997</v>
      </c>
      <c r="BH20" s="389"/>
      <c r="BI20" s="390"/>
      <c r="BJ20" s="62">
        <f>AE20</f>
        <v>0.99119999999999997</v>
      </c>
      <c r="BK20" s="345"/>
      <c r="BL20" s="224"/>
    </row>
    <row r="21" spans="1:64" s="7" customFormat="1" ht="44.25" customHeight="1" x14ac:dyDescent="0.25">
      <c r="A21" s="332"/>
      <c r="B21" s="383" t="s">
        <v>30</v>
      </c>
      <c r="C21" s="22" t="s">
        <v>47</v>
      </c>
      <c r="D21" s="361" t="s">
        <v>97</v>
      </c>
      <c r="E21" s="361" t="s">
        <v>50</v>
      </c>
      <c r="F21" s="3" t="s">
        <v>41</v>
      </c>
      <c r="G21" s="430">
        <f>AVERAGE(H21:I23)</f>
        <v>1</v>
      </c>
      <c r="H21" s="375">
        <v>1</v>
      </c>
      <c r="I21" s="376"/>
      <c r="J21" s="76">
        <v>8.3333000000000004E-2</v>
      </c>
      <c r="K21" s="371">
        <v>1</v>
      </c>
      <c r="L21" s="372"/>
      <c r="M21" s="269">
        <f>K21*$J$21</f>
        <v>8.3333000000000004E-2</v>
      </c>
      <c r="N21" s="275"/>
      <c r="O21" s="274">
        <v>1</v>
      </c>
      <c r="P21" s="274"/>
      <c r="Q21" s="269">
        <f>O21*$J$21</f>
        <v>8.3333000000000004E-2</v>
      </c>
      <c r="R21" s="275"/>
      <c r="S21" s="274">
        <v>1</v>
      </c>
      <c r="T21" s="274"/>
      <c r="U21" s="269">
        <f>S21*$J$21</f>
        <v>8.3333000000000004E-2</v>
      </c>
      <c r="V21" s="275"/>
      <c r="W21" s="274">
        <v>1</v>
      </c>
      <c r="X21" s="274"/>
      <c r="Y21" s="269">
        <f>W21*$J$21</f>
        <v>8.3333000000000004E-2</v>
      </c>
      <c r="Z21" s="275"/>
      <c r="AA21" s="274">
        <v>1</v>
      </c>
      <c r="AB21" s="274"/>
      <c r="AC21" s="269">
        <f>AA21*$J$21</f>
        <v>8.3333000000000004E-2</v>
      </c>
      <c r="AD21" s="275"/>
      <c r="AE21" s="274">
        <v>1</v>
      </c>
      <c r="AF21" s="274"/>
      <c r="AG21" s="269">
        <f>AE21*$J$21</f>
        <v>8.3333000000000004E-2</v>
      </c>
      <c r="AH21" s="275"/>
      <c r="AI21" s="274">
        <v>1</v>
      </c>
      <c r="AJ21" s="274"/>
      <c r="AK21" s="269">
        <f>AI21*$J$21</f>
        <v>8.3333000000000004E-2</v>
      </c>
      <c r="AL21" s="275"/>
      <c r="AM21" s="274">
        <v>1</v>
      </c>
      <c r="AN21" s="274"/>
      <c r="AO21" s="269">
        <f>AM21*$J$21</f>
        <v>8.3333000000000004E-2</v>
      </c>
      <c r="AP21" s="275"/>
      <c r="AQ21" s="274">
        <v>1</v>
      </c>
      <c r="AR21" s="274"/>
      <c r="AS21" s="269">
        <f>AQ21*$J$21</f>
        <v>8.3333000000000004E-2</v>
      </c>
      <c r="AT21" s="275"/>
      <c r="AU21" s="274">
        <v>1</v>
      </c>
      <c r="AV21" s="274"/>
      <c r="AW21" s="269">
        <f>AU21*$J$21</f>
        <v>8.3333000000000004E-2</v>
      </c>
      <c r="AX21" s="275"/>
      <c r="AY21" s="274">
        <v>1</v>
      </c>
      <c r="AZ21" s="274"/>
      <c r="BA21" s="269">
        <f>AY21*$J$21</f>
        <v>8.3333000000000004E-2</v>
      </c>
      <c r="BB21" s="275"/>
      <c r="BC21" s="274">
        <v>1</v>
      </c>
      <c r="BD21" s="274"/>
      <c r="BE21" s="269">
        <f>BC21*$J$21</f>
        <v>8.3333000000000004E-2</v>
      </c>
      <c r="BF21" s="275"/>
      <c r="BG21" s="388">
        <f t="shared" ref="BG21:BG26" si="31">AVERAGE(K21,O21,S21,W21,AA21,AE21,AI21,AM21,AQ21,AU21,AY21,BC21)</f>
        <v>1</v>
      </c>
      <c r="BH21" s="389"/>
      <c r="BI21" s="390"/>
      <c r="BJ21" s="62">
        <f t="shared" ref="BJ21:BJ26" si="32">SUM(M21,Q21,U21,Y21,AC21,AG21,AK21,AO21,AS21,AW21,BA21,BE21)</f>
        <v>0.999996</v>
      </c>
      <c r="BK21" s="329">
        <f>AVERAGE(BJ21:BJ23)</f>
        <v>0.97555165333333316</v>
      </c>
      <c r="BL21" s="223">
        <f>AVERAGE(BG21:BI23)</f>
        <v>0.9755555555555554</v>
      </c>
    </row>
    <row r="22" spans="1:64" s="7" customFormat="1" ht="51" customHeight="1" x14ac:dyDescent="0.25">
      <c r="A22" s="332"/>
      <c r="B22" s="384"/>
      <c r="C22" s="21" t="s">
        <v>48</v>
      </c>
      <c r="D22" s="362"/>
      <c r="E22" s="382"/>
      <c r="F22" s="3" t="s">
        <v>41</v>
      </c>
      <c r="G22" s="353"/>
      <c r="H22" s="375">
        <v>1</v>
      </c>
      <c r="I22" s="376"/>
      <c r="J22" s="76">
        <v>8.3333000000000004E-2</v>
      </c>
      <c r="K22" s="371">
        <v>0.97</v>
      </c>
      <c r="L22" s="372"/>
      <c r="M22" s="269">
        <f>(K22*$J$22)/$H$22</f>
        <v>8.0833009999999997E-2</v>
      </c>
      <c r="N22" s="275"/>
      <c r="O22" s="274">
        <v>0.98</v>
      </c>
      <c r="P22" s="274"/>
      <c r="Q22" s="269">
        <f>(O22*$J$22)/$H$22</f>
        <v>8.1666340000000004E-2</v>
      </c>
      <c r="R22" s="275"/>
      <c r="S22" s="274">
        <v>0.93</v>
      </c>
      <c r="T22" s="274"/>
      <c r="U22" s="269">
        <f>(S22*$J$22)/$H$22</f>
        <v>7.749969000000001E-2</v>
      </c>
      <c r="V22" s="275"/>
      <c r="W22" s="274">
        <v>0.9</v>
      </c>
      <c r="X22" s="274"/>
      <c r="Y22" s="269">
        <f>(W22*$J$22)/$H$22</f>
        <v>7.4999700000000002E-2</v>
      </c>
      <c r="Z22" s="275"/>
      <c r="AA22" s="274">
        <v>1</v>
      </c>
      <c r="AB22" s="274"/>
      <c r="AC22" s="269">
        <f>(AA22*$J$22)/$H$22</f>
        <v>8.3333000000000004E-2</v>
      </c>
      <c r="AD22" s="275"/>
      <c r="AE22" s="274">
        <v>1</v>
      </c>
      <c r="AF22" s="274"/>
      <c r="AG22" s="269">
        <f>(AE22*$J$22)/$H$22</f>
        <v>8.3333000000000004E-2</v>
      </c>
      <c r="AH22" s="275"/>
      <c r="AI22" s="274">
        <v>1</v>
      </c>
      <c r="AJ22" s="274"/>
      <c r="AK22" s="269">
        <f>(AI22*$J$22)/$H$22</f>
        <v>8.3333000000000004E-2</v>
      </c>
      <c r="AL22" s="275"/>
      <c r="AM22" s="274">
        <v>1</v>
      </c>
      <c r="AN22" s="274"/>
      <c r="AO22" s="269">
        <f>(AM22*$J$22)/$H$22</f>
        <v>8.3333000000000004E-2</v>
      </c>
      <c r="AP22" s="275"/>
      <c r="AQ22" s="274">
        <v>1</v>
      </c>
      <c r="AR22" s="274"/>
      <c r="AS22" s="269">
        <f>(AQ22*$J$22)/$H$22</f>
        <v>8.3333000000000004E-2</v>
      </c>
      <c r="AT22" s="275"/>
      <c r="AU22" s="274">
        <v>1</v>
      </c>
      <c r="AV22" s="274"/>
      <c r="AW22" s="269">
        <f>(AU22*$J$22)/$H$22</f>
        <v>8.3333000000000004E-2</v>
      </c>
      <c r="AX22" s="275"/>
      <c r="AY22" s="274">
        <v>1</v>
      </c>
      <c r="AZ22" s="274"/>
      <c r="BA22" s="269">
        <f>(AY22*$J$22)/$H$22</f>
        <v>8.3333000000000004E-2</v>
      </c>
      <c r="BB22" s="275"/>
      <c r="BC22" s="274">
        <v>1</v>
      </c>
      <c r="BD22" s="274"/>
      <c r="BE22" s="269">
        <f>(BC22*$J$22)/$H$22</f>
        <v>8.3333000000000004E-2</v>
      </c>
      <c r="BF22" s="275"/>
      <c r="BG22" s="388">
        <f t="shared" si="31"/>
        <v>0.98166666666666658</v>
      </c>
      <c r="BH22" s="389"/>
      <c r="BI22" s="390"/>
      <c r="BJ22" s="62">
        <f t="shared" si="32"/>
        <v>0.98166273999999998</v>
      </c>
      <c r="BK22" s="329"/>
      <c r="BL22" s="223"/>
    </row>
    <row r="23" spans="1:64" s="7" customFormat="1" ht="48.75" customHeight="1" thickBot="1" x14ac:dyDescent="0.3">
      <c r="A23" s="333"/>
      <c r="B23" s="385"/>
      <c r="C23" s="21" t="s">
        <v>49</v>
      </c>
      <c r="D23" s="17" t="s">
        <v>98</v>
      </c>
      <c r="E23" s="362"/>
      <c r="F23" s="3" t="s">
        <v>41</v>
      </c>
      <c r="G23" s="354"/>
      <c r="H23" s="427">
        <v>1</v>
      </c>
      <c r="I23" s="428"/>
      <c r="J23" s="77">
        <v>8.3333000000000004E-2</v>
      </c>
      <c r="K23" s="419">
        <v>0.67</v>
      </c>
      <c r="L23" s="420"/>
      <c r="M23" s="287">
        <f>(K23*$J$23)/H23</f>
        <v>5.5833110000000005E-2</v>
      </c>
      <c r="N23" s="288"/>
      <c r="O23" s="273">
        <v>0.67</v>
      </c>
      <c r="P23" s="273"/>
      <c r="Q23" s="287">
        <f>(O23*$J$23)/H23</f>
        <v>5.5833110000000005E-2</v>
      </c>
      <c r="R23" s="288"/>
      <c r="S23" s="273">
        <v>1</v>
      </c>
      <c r="T23" s="273"/>
      <c r="U23" s="287">
        <f>(S23*$J$23)/H23</f>
        <v>8.3333000000000004E-2</v>
      </c>
      <c r="V23" s="288"/>
      <c r="W23" s="273">
        <v>1</v>
      </c>
      <c r="X23" s="273"/>
      <c r="Y23" s="287">
        <f>(W23*$J$23)/$H$23</f>
        <v>8.3333000000000004E-2</v>
      </c>
      <c r="Z23" s="288"/>
      <c r="AA23" s="273">
        <v>1</v>
      </c>
      <c r="AB23" s="273"/>
      <c r="AC23" s="287">
        <f>(AA23*$J$23)/$H$23</f>
        <v>8.3333000000000004E-2</v>
      </c>
      <c r="AD23" s="288"/>
      <c r="AE23" s="273">
        <v>1</v>
      </c>
      <c r="AF23" s="273"/>
      <c r="AG23" s="287">
        <f>(AE23*$J$23)/$H$23</f>
        <v>8.3333000000000004E-2</v>
      </c>
      <c r="AH23" s="288"/>
      <c r="AI23" s="273">
        <v>1</v>
      </c>
      <c r="AJ23" s="273"/>
      <c r="AK23" s="287">
        <f>(AI23*$J$23)/$H$23</f>
        <v>8.3333000000000004E-2</v>
      </c>
      <c r="AL23" s="288"/>
      <c r="AM23" s="273">
        <v>1</v>
      </c>
      <c r="AN23" s="273"/>
      <c r="AO23" s="287">
        <f>(AM23*$J$23)/$H$23</f>
        <v>8.3333000000000004E-2</v>
      </c>
      <c r="AP23" s="288"/>
      <c r="AQ23" s="273">
        <v>1</v>
      </c>
      <c r="AR23" s="273"/>
      <c r="AS23" s="287">
        <f>(AQ23*$J$23)/$H$23</f>
        <v>8.3333000000000004E-2</v>
      </c>
      <c r="AT23" s="288"/>
      <c r="AU23" s="273">
        <v>1</v>
      </c>
      <c r="AV23" s="273"/>
      <c r="AW23" s="287">
        <f>(AU23*$J$23)/$H$23</f>
        <v>8.3333000000000004E-2</v>
      </c>
      <c r="AX23" s="288"/>
      <c r="AY23" s="273">
        <v>1</v>
      </c>
      <c r="AZ23" s="273"/>
      <c r="BA23" s="287">
        <f>(AY23*$J$23)/$H$23</f>
        <v>8.3333000000000004E-2</v>
      </c>
      <c r="BB23" s="288"/>
      <c r="BC23" s="273">
        <v>1</v>
      </c>
      <c r="BD23" s="273"/>
      <c r="BE23" s="287">
        <f>(BC23*$J$23)/$H$23</f>
        <v>8.3333000000000004E-2</v>
      </c>
      <c r="BF23" s="288"/>
      <c r="BG23" s="391">
        <f t="shared" si="31"/>
        <v>0.94499999999999995</v>
      </c>
      <c r="BH23" s="392"/>
      <c r="BI23" s="393"/>
      <c r="BJ23" s="80">
        <f t="shared" si="32"/>
        <v>0.94499621999999994</v>
      </c>
      <c r="BK23" s="330"/>
      <c r="BL23" s="255"/>
    </row>
    <row r="24" spans="1:64" s="7" customFormat="1" ht="115.5" customHeight="1" x14ac:dyDescent="0.25">
      <c r="A24" s="332" t="s">
        <v>31</v>
      </c>
      <c r="B24" s="386" t="s">
        <v>32</v>
      </c>
      <c r="C24" s="18" t="s">
        <v>51</v>
      </c>
      <c r="D24" s="54" t="s">
        <v>85</v>
      </c>
      <c r="E24" s="13" t="s">
        <v>52</v>
      </c>
      <c r="F24" s="8" t="s">
        <v>41</v>
      </c>
      <c r="G24" s="352">
        <f>AVERAGE(H24:I26,I27)</f>
        <v>0.92499999999999993</v>
      </c>
      <c r="H24" s="425">
        <v>0.98</v>
      </c>
      <c r="I24" s="426"/>
      <c r="J24" s="79">
        <f>H24/12</f>
        <v>8.1666666666666665E-2</v>
      </c>
      <c r="K24" s="370">
        <v>1</v>
      </c>
      <c r="L24" s="289"/>
      <c r="M24" s="281">
        <f>K24*$J$24</f>
        <v>8.1666666666666665E-2</v>
      </c>
      <c r="N24" s="282"/>
      <c r="O24" s="271">
        <v>0.97</v>
      </c>
      <c r="P24" s="272"/>
      <c r="Q24" s="281">
        <f>O24*$J$24</f>
        <v>7.9216666666666657E-2</v>
      </c>
      <c r="R24" s="282"/>
      <c r="S24" s="271">
        <v>1</v>
      </c>
      <c r="T24" s="272"/>
      <c r="U24" s="281">
        <f>S24*$J$24</f>
        <v>8.1666666666666665E-2</v>
      </c>
      <c r="V24" s="282"/>
      <c r="W24" s="271">
        <v>1</v>
      </c>
      <c r="X24" s="272"/>
      <c r="Y24" s="281">
        <f>W24*$J$24</f>
        <v>8.1666666666666665E-2</v>
      </c>
      <c r="Z24" s="282"/>
      <c r="AA24" s="271">
        <v>1</v>
      </c>
      <c r="AB24" s="272"/>
      <c r="AC24" s="281">
        <f>AA24*$J$24</f>
        <v>8.1666666666666665E-2</v>
      </c>
      <c r="AD24" s="282"/>
      <c r="AE24" s="271">
        <v>1</v>
      </c>
      <c r="AF24" s="272"/>
      <c r="AG24" s="281">
        <f>AE24*$J$24</f>
        <v>8.1666666666666665E-2</v>
      </c>
      <c r="AH24" s="282"/>
      <c r="AI24" s="271">
        <v>1</v>
      </c>
      <c r="AJ24" s="272"/>
      <c r="AK24" s="281">
        <f>AI24*$J$24</f>
        <v>8.1666666666666665E-2</v>
      </c>
      <c r="AL24" s="282"/>
      <c r="AM24" s="271">
        <v>1</v>
      </c>
      <c r="AN24" s="272"/>
      <c r="AO24" s="281">
        <f>AM24*$J$24</f>
        <v>8.1666666666666665E-2</v>
      </c>
      <c r="AP24" s="282"/>
      <c r="AQ24" s="271">
        <v>1</v>
      </c>
      <c r="AR24" s="272"/>
      <c r="AS24" s="281">
        <f>AQ24*$J$24</f>
        <v>8.1666666666666665E-2</v>
      </c>
      <c r="AT24" s="282"/>
      <c r="AU24" s="271">
        <v>1</v>
      </c>
      <c r="AV24" s="272"/>
      <c r="AW24" s="281">
        <f>AU24*$J$24</f>
        <v>8.1666666666666665E-2</v>
      </c>
      <c r="AX24" s="282"/>
      <c r="AY24" s="271">
        <v>1</v>
      </c>
      <c r="AZ24" s="272"/>
      <c r="BA24" s="281">
        <f>AY24*$J$24</f>
        <v>8.1666666666666665E-2</v>
      </c>
      <c r="BB24" s="282"/>
      <c r="BC24" s="271">
        <v>1</v>
      </c>
      <c r="BD24" s="272"/>
      <c r="BE24" s="281">
        <f>BC24*$J$24</f>
        <v>8.1666666666666665E-2</v>
      </c>
      <c r="BF24" s="438"/>
      <c r="BG24" s="373">
        <f t="shared" si="31"/>
        <v>0.99749999999999994</v>
      </c>
      <c r="BH24" s="306"/>
      <c r="BI24" s="307"/>
      <c r="BJ24" s="62">
        <f t="shared" si="32"/>
        <v>0.97755000000000003</v>
      </c>
      <c r="BK24" s="344">
        <f>AVERAGE(BJ24:BJ27)</f>
        <v>0.96348333333333336</v>
      </c>
      <c r="BL24" s="222">
        <f>AVERAGE(BG24:BI26,BH27)</f>
        <v>0.96847083333333339</v>
      </c>
    </row>
    <row r="25" spans="1:64" s="7" customFormat="1" ht="50.25" customHeight="1" x14ac:dyDescent="0.25">
      <c r="A25" s="334"/>
      <c r="B25" s="387"/>
      <c r="C25" s="44" t="s">
        <v>116</v>
      </c>
      <c r="D25" s="14" t="s">
        <v>99</v>
      </c>
      <c r="E25" s="361" t="s">
        <v>69</v>
      </c>
      <c r="F25" s="3" t="s">
        <v>41</v>
      </c>
      <c r="G25" s="353"/>
      <c r="H25" s="375">
        <v>0.88</v>
      </c>
      <c r="I25" s="376"/>
      <c r="J25" s="76">
        <f>H25/12</f>
        <v>7.3333333333333334E-2</v>
      </c>
      <c r="K25" s="371">
        <v>1</v>
      </c>
      <c r="L25" s="372"/>
      <c r="M25" s="269">
        <f>(K25*$J$25)/$H$25</f>
        <v>8.3333333333333329E-2</v>
      </c>
      <c r="N25" s="270"/>
      <c r="O25" s="267">
        <v>1</v>
      </c>
      <c r="P25" s="268"/>
      <c r="Q25" s="269">
        <f>(O25*$J$25)/$H$25</f>
        <v>8.3333333333333329E-2</v>
      </c>
      <c r="R25" s="270"/>
      <c r="S25" s="267">
        <v>0.76</v>
      </c>
      <c r="T25" s="268"/>
      <c r="U25" s="269">
        <f>(S25*$J$25)/$H$25</f>
        <v>6.3333333333333339E-2</v>
      </c>
      <c r="V25" s="270"/>
      <c r="W25" s="267">
        <v>1</v>
      </c>
      <c r="X25" s="268"/>
      <c r="Y25" s="269">
        <f>(W25*$J$25)/$H$25</f>
        <v>8.3333333333333329E-2</v>
      </c>
      <c r="Z25" s="270"/>
      <c r="AA25" s="267">
        <v>1</v>
      </c>
      <c r="AB25" s="268"/>
      <c r="AC25" s="269">
        <f>(AA25*$J$25)/$H$25</f>
        <v>8.3333333333333329E-2</v>
      </c>
      <c r="AD25" s="270"/>
      <c r="AE25" s="267">
        <v>0.86280000000000001</v>
      </c>
      <c r="AF25" s="268"/>
      <c r="AG25" s="269">
        <f>(AE25*$J$25)/$H$25</f>
        <v>7.1899999999999992E-2</v>
      </c>
      <c r="AH25" s="270"/>
      <c r="AI25" s="267">
        <v>1</v>
      </c>
      <c r="AJ25" s="268"/>
      <c r="AK25" s="269">
        <f>(AI25*$J$25)/$H$25</f>
        <v>8.3333333333333329E-2</v>
      </c>
      <c r="AL25" s="270"/>
      <c r="AM25" s="267">
        <v>1</v>
      </c>
      <c r="AN25" s="268"/>
      <c r="AO25" s="269">
        <f>(AM25*$J$25)/$H$25</f>
        <v>8.3333333333333329E-2</v>
      </c>
      <c r="AP25" s="270"/>
      <c r="AQ25" s="267">
        <v>0.94740000000000002</v>
      </c>
      <c r="AR25" s="268"/>
      <c r="AS25" s="269">
        <f>(AQ25*$J$25)/$H$25</f>
        <v>7.8949999999999992E-2</v>
      </c>
      <c r="AT25" s="270"/>
      <c r="AU25" s="267">
        <v>0.86709999999999998</v>
      </c>
      <c r="AV25" s="268"/>
      <c r="AW25" s="269">
        <f>(AU25*$J$25)/$H$25</f>
        <v>7.2258333333333327E-2</v>
      </c>
      <c r="AX25" s="270"/>
      <c r="AY25" s="267">
        <v>0.876</v>
      </c>
      <c r="AZ25" s="268"/>
      <c r="BA25" s="269">
        <f>(AY25*$J$25)/$H$25</f>
        <v>7.3000000000000009E-2</v>
      </c>
      <c r="BB25" s="270"/>
      <c r="BC25" s="267">
        <v>0.9</v>
      </c>
      <c r="BD25" s="268"/>
      <c r="BE25" s="269">
        <f>(BC25*$J$25)/$H$25</f>
        <v>7.4999999999999997E-2</v>
      </c>
      <c r="BF25" s="270"/>
      <c r="BG25" s="388">
        <f t="shared" si="31"/>
        <v>0.93444166666666673</v>
      </c>
      <c r="BH25" s="389"/>
      <c r="BI25" s="390"/>
      <c r="BJ25" s="62">
        <f t="shared" si="32"/>
        <v>0.93444166666666661</v>
      </c>
      <c r="BK25" s="329"/>
      <c r="BL25" s="223"/>
    </row>
    <row r="26" spans="1:64" s="7" customFormat="1" ht="57" x14ac:dyDescent="0.25">
      <c r="A26" s="334"/>
      <c r="B26" s="387"/>
      <c r="C26" s="44" t="s">
        <v>117</v>
      </c>
      <c r="D26" s="14" t="s">
        <v>100</v>
      </c>
      <c r="E26" s="362"/>
      <c r="F26" s="3" t="s">
        <v>41</v>
      </c>
      <c r="G26" s="353"/>
      <c r="H26" s="375">
        <v>0.84</v>
      </c>
      <c r="I26" s="376"/>
      <c r="J26" s="76">
        <f>H26/12</f>
        <v>6.9999999999999993E-2</v>
      </c>
      <c r="K26" s="371">
        <v>1</v>
      </c>
      <c r="L26" s="372"/>
      <c r="M26" s="269">
        <f>(K26*$J$26)/$H$26</f>
        <v>8.3333333333333329E-2</v>
      </c>
      <c r="N26" s="270"/>
      <c r="O26" s="267">
        <v>1</v>
      </c>
      <c r="P26" s="268"/>
      <c r="Q26" s="269">
        <f>(O26*$J$26)/$H$26</f>
        <v>8.3333333333333329E-2</v>
      </c>
      <c r="R26" s="270"/>
      <c r="S26" s="267">
        <v>0.93</v>
      </c>
      <c r="T26" s="268"/>
      <c r="U26" s="269">
        <f>(S26*$J$26)/$H$26</f>
        <v>7.7499999999999986E-2</v>
      </c>
      <c r="V26" s="270"/>
      <c r="W26" s="267">
        <v>0.68330000000000002</v>
      </c>
      <c r="X26" s="268"/>
      <c r="Y26" s="269">
        <f>(W26*$J$26)/$H$26</f>
        <v>5.6941666666666668E-2</v>
      </c>
      <c r="Z26" s="270"/>
      <c r="AA26" s="267">
        <v>1</v>
      </c>
      <c r="AB26" s="268"/>
      <c r="AC26" s="269">
        <f>(AA26*$J$26)/$H$26</f>
        <v>8.3333333333333329E-2</v>
      </c>
      <c r="AD26" s="270"/>
      <c r="AE26" s="267">
        <v>0.82</v>
      </c>
      <c r="AF26" s="268"/>
      <c r="AG26" s="269">
        <f>(AE26*$J$26)/$H$26</f>
        <v>6.8333333333333329E-2</v>
      </c>
      <c r="AH26" s="270"/>
      <c r="AI26" s="267">
        <v>0.87</v>
      </c>
      <c r="AJ26" s="268"/>
      <c r="AK26" s="269">
        <f>(AI26*$J$26)/$H$26</f>
        <v>7.2499999999999995E-2</v>
      </c>
      <c r="AL26" s="270"/>
      <c r="AM26" s="267">
        <v>1</v>
      </c>
      <c r="AN26" s="268"/>
      <c r="AO26" s="269">
        <f>(AM26*$J$26)/$H$26</f>
        <v>8.3333333333333329E-2</v>
      </c>
      <c r="AP26" s="270"/>
      <c r="AQ26" s="267">
        <v>1</v>
      </c>
      <c r="AR26" s="268"/>
      <c r="AS26" s="269">
        <f>(AQ26*$J$26)/$H$26</f>
        <v>8.3333333333333329E-2</v>
      </c>
      <c r="AT26" s="270"/>
      <c r="AU26" s="267">
        <v>1</v>
      </c>
      <c r="AV26" s="268"/>
      <c r="AW26" s="269">
        <f>(AU26*$J$26)/$H$26</f>
        <v>8.3333333333333329E-2</v>
      </c>
      <c r="AX26" s="270"/>
      <c r="AY26" s="267">
        <v>1</v>
      </c>
      <c r="AZ26" s="268"/>
      <c r="BA26" s="269">
        <f>(AY26*$J$26)/$H$26</f>
        <v>8.3333333333333329E-2</v>
      </c>
      <c r="BB26" s="270"/>
      <c r="BC26" s="267">
        <v>1</v>
      </c>
      <c r="BD26" s="268"/>
      <c r="BE26" s="269">
        <f>(BC26*$J$26)/$H$26</f>
        <v>8.3333333333333329E-2</v>
      </c>
      <c r="BF26" s="270"/>
      <c r="BG26" s="388">
        <f t="shared" si="31"/>
        <v>0.94194166666666668</v>
      </c>
      <c r="BH26" s="389"/>
      <c r="BI26" s="390"/>
      <c r="BJ26" s="62">
        <f t="shared" si="32"/>
        <v>0.94194166666666679</v>
      </c>
      <c r="BK26" s="329"/>
      <c r="BL26" s="223"/>
    </row>
    <row r="27" spans="1:64" s="7" customFormat="1" ht="72" thickBot="1" x14ac:dyDescent="0.3">
      <c r="A27" s="334"/>
      <c r="B27" s="387"/>
      <c r="C27" s="22" t="s">
        <v>63</v>
      </c>
      <c r="D27" s="17" t="s">
        <v>172</v>
      </c>
      <c r="E27" s="20" t="s">
        <v>174</v>
      </c>
      <c r="F27" s="3" t="s">
        <v>41</v>
      </c>
      <c r="G27" s="354"/>
      <c r="H27" s="195" t="s">
        <v>171</v>
      </c>
      <c r="I27" s="152">
        <v>1</v>
      </c>
      <c r="J27" s="76">
        <f>I27/12</f>
        <v>8.3333333333333329E-2</v>
      </c>
      <c r="K27" s="65">
        <v>0</v>
      </c>
      <c r="L27" s="201">
        <f>IF(K27&lt;=2,100%,0%)</f>
        <v>1</v>
      </c>
      <c r="M27" s="86">
        <f>IF(AVERAGE(K27)&lt;=2,100%,0%)</f>
        <v>1</v>
      </c>
      <c r="N27" s="82">
        <f>M27*$J$27</f>
        <v>8.3333333333333329E-2</v>
      </c>
      <c r="O27" s="41">
        <v>0</v>
      </c>
      <c r="P27" s="201">
        <f>IF(O27&lt;=2,100%,0%)</f>
        <v>1</v>
      </c>
      <c r="Q27" s="86">
        <f>IF(AVERAGE(K27,O27)&lt;=2,100%,0%)</f>
        <v>1</v>
      </c>
      <c r="R27" s="82">
        <f>Q27*$J$27</f>
        <v>8.3333333333333329E-2</v>
      </c>
      <c r="S27" s="41">
        <v>0</v>
      </c>
      <c r="T27" s="201">
        <f>IF(S27&lt;=2,100%,0%)</f>
        <v>1</v>
      </c>
      <c r="U27" s="86">
        <f>IF(AVERAGE(K27,O27,S27)&lt;=2,100%,0%)</f>
        <v>1</v>
      </c>
      <c r="V27" s="82">
        <f>U27*$J$27</f>
        <v>8.3333333333333329E-2</v>
      </c>
      <c r="W27" s="41">
        <v>0</v>
      </c>
      <c r="X27" s="201">
        <f>IF(W27&lt;=2,100%,0%)</f>
        <v>1</v>
      </c>
      <c r="Y27" s="86">
        <f>IF(AVERAGE(K27,O27,S27,W27)&lt;=2,100%,0%)</f>
        <v>1</v>
      </c>
      <c r="Z27" s="82">
        <f>Y27*$J$27</f>
        <v>8.3333333333333329E-2</v>
      </c>
      <c r="AA27" s="41">
        <v>0</v>
      </c>
      <c r="AB27" s="201">
        <f>IF(AA27&lt;=2,100%,0%)</f>
        <v>1</v>
      </c>
      <c r="AC27" s="86">
        <f>IF(AVERAGE(K27,O27,S27,W27,AA27)&lt;=2,100%,0%)</f>
        <v>1</v>
      </c>
      <c r="AD27" s="82">
        <f>AC27*$J$27</f>
        <v>8.3333333333333329E-2</v>
      </c>
      <c r="AE27" s="41">
        <v>0</v>
      </c>
      <c r="AF27" s="201">
        <f>IF(AE27&lt;=2,100%,0%)</f>
        <v>1</v>
      </c>
      <c r="AG27" s="86">
        <f>IF(AVERAGE(K27,O27,S27,W27,AA27,AE27)&lt;=2,100%,0%)</f>
        <v>1</v>
      </c>
      <c r="AH27" s="82">
        <f>IF(AG27*$J$27=0,8%,AG27*$J$27)</f>
        <v>8.3333333333333329E-2</v>
      </c>
      <c r="AI27" s="41">
        <v>0</v>
      </c>
      <c r="AJ27" s="201">
        <f>IF(AI27&lt;=2,100%,0%)</f>
        <v>1</v>
      </c>
      <c r="AK27" s="86">
        <f>IF(AVERAGE(K27,O27,S27,W27,AA27,AE27,AI27)&lt;=2,100%,0%)</f>
        <v>1</v>
      </c>
      <c r="AL27" s="82">
        <f>AK27*$J$27</f>
        <v>8.3333333333333329E-2</v>
      </c>
      <c r="AM27" s="41">
        <v>0</v>
      </c>
      <c r="AN27" s="201">
        <f>IF(AM27&lt;=2,100%,0%)</f>
        <v>1</v>
      </c>
      <c r="AO27" s="86">
        <f>IF(AVERAGE(K27,O27,S27,W27,AA27,AE27,AI27,AM27)&lt;=2,100%,0%)</f>
        <v>1</v>
      </c>
      <c r="AP27" s="82">
        <f>AO27*$J$27</f>
        <v>8.3333333333333329E-2</v>
      </c>
      <c r="AQ27" s="41">
        <v>0</v>
      </c>
      <c r="AR27" s="201">
        <f>IF(AQ27&lt;=2,100%,0%)</f>
        <v>1</v>
      </c>
      <c r="AS27" s="86">
        <f>IF(AVERAGE(K27,O27,S27,W27,AA27,AE27,AI27,AM27,AQ27)&lt;=2,100%,0%)</f>
        <v>1</v>
      </c>
      <c r="AT27" s="82">
        <f>AS27*$J$27</f>
        <v>8.3333333333333329E-2</v>
      </c>
      <c r="AU27" s="41">
        <v>0</v>
      </c>
      <c r="AV27" s="201">
        <f>IF(AU27&lt;=2,100%,0%)</f>
        <v>1</v>
      </c>
      <c r="AW27" s="86">
        <f>IF(AVERAGE(K27,O27,S27,W27,AA27,AE27,AI27,AM27,AQ27,AU27)&lt;=2,100%,0%)</f>
        <v>1</v>
      </c>
      <c r="AX27" s="82">
        <f>AW27*$J$27</f>
        <v>8.3333333333333329E-2</v>
      </c>
      <c r="AY27" s="41">
        <v>0</v>
      </c>
      <c r="AZ27" s="201">
        <f>IF(AY27&lt;=2,100%,0%)</f>
        <v>1</v>
      </c>
      <c r="BA27" s="86">
        <f>IF(AVERAGE(K27,O27,S27,W27,AA27,AE27,AI27,AM27,AQ27,AU27,AY27)&lt;=2,100%,0%)</f>
        <v>1</v>
      </c>
      <c r="BB27" s="82">
        <f>BA27*$J$27</f>
        <v>8.3333333333333329E-2</v>
      </c>
      <c r="BC27" s="41">
        <v>0</v>
      </c>
      <c r="BD27" s="201">
        <f>IF(BC27&lt;=2,100%,0%)</f>
        <v>1</v>
      </c>
      <c r="BE27" s="86">
        <f>IF(AVERAGE(K27,O27,S27,W27,AA27,AE27,AI27,AM27,AQ27,AU27,AY27,BC27)&lt;=2,100%,0%)</f>
        <v>1</v>
      </c>
      <c r="BF27" s="82">
        <f>BE27*$J$27</f>
        <v>8.3333333333333329E-2</v>
      </c>
      <c r="BG27" s="81">
        <f>SUM(K27,O27,S27,W27,AA27,AE27,AI27,AM27,AQ27,AU27,AY27,BC27)</f>
        <v>0</v>
      </c>
      <c r="BH27" s="489">
        <f>IF(BG27&lt;=2,100%,0%)</f>
        <v>1</v>
      </c>
      <c r="BI27" s="490"/>
      <c r="BJ27" s="80">
        <f>SUM(N27,R27,V27,Z27,AD27,AH27,AL27,AP27,AT27,AX27,BB27,BF27)</f>
        <v>1</v>
      </c>
      <c r="BK27" s="330"/>
      <c r="BL27" s="255"/>
    </row>
    <row r="28" spans="1:64" ht="62.25" customHeight="1" x14ac:dyDescent="0.25">
      <c r="A28" s="331" t="s">
        <v>33</v>
      </c>
      <c r="B28" s="264" t="s">
        <v>34</v>
      </c>
      <c r="C28" s="18" t="s">
        <v>53</v>
      </c>
      <c r="D28" s="54" t="s">
        <v>86</v>
      </c>
      <c r="E28" s="10" t="s">
        <v>101</v>
      </c>
      <c r="F28" s="8" t="s">
        <v>42</v>
      </c>
      <c r="G28" s="352">
        <f>AVERAGE(H28,H29,I30)</f>
        <v>0.9966666666666667</v>
      </c>
      <c r="H28" s="283">
        <v>1</v>
      </c>
      <c r="I28" s="422"/>
      <c r="J28" s="70">
        <f>H28/4</f>
        <v>0.25</v>
      </c>
      <c r="K28" s="373"/>
      <c r="L28" s="306"/>
      <c r="M28" s="306"/>
      <c r="N28" s="307"/>
      <c r="O28" s="276"/>
      <c r="P28" s="277"/>
      <c r="Q28" s="277"/>
      <c r="R28" s="278"/>
      <c r="S28" s="283">
        <v>0.96660000000000001</v>
      </c>
      <c r="T28" s="284"/>
      <c r="U28" s="285">
        <f>(S28*$J$28)/$H$28</f>
        <v>0.24165</v>
      </c>
      <c r="V28" s="286"/>
      <c r="W28" s="276"/>
      <c r="X28" s="277"/>
      <c r="Y28" s="277"/>
      <c r="Z28" s="278"/>
      <c r="AA28" s="276"/>
      <c r="AB28" s="277"/>
      <c r="AC28" s="277"/>
      <c r="AD28" s="278"/>
      <c r="AE28" s="283">
        <v>1</v>
      </c>
      <c r="AF28" s="284"/>
      <c r="AG28" s="285">
        <f>(AE28*$J$28)/$H$28</f>
        <v>0.25</v>
      </c>
      <c r="AH28" s="286"/>
      <c r="AI28" s="276"/>
      <c r="AJ28" s="277"/>
      <c r="AK28" s="277"/>
      <c r="AL28" s="278"/>
      <c r="AM28" s="276"/>
      <c r="AN28" s="277"/>
      <c r="AO28" s="277"/>
      <c r="AP28" s="278"/>
      <c r="AQ28" s="283">
        <v>1</v>
      </c>
      <c r="AR28" s="284"/>
      <c r="AS28" s="285">
        <f>(AQ28*$J$28)/$H$28</f>
        <v>0.25</v>
      </c>
      <c r="AT28" s="286"/>
      <c r="AU28" s="276"/>
      <c r="AV28" s="277"/>
      <c r="AW28" s="277"/>
      <c r="AX28" s="278"/>
      <c r="AY28" s="276"/>
      <c r="AZ28" s="277"/>
      <c r="BA28" s="277"/>
      <c r="BB28" s="278"/>
      <c r="BC28" s="283">
        <v>1</v>
      </c>
      <c r="BD28" s="284"/>
      <c r="BE28" s="285">
        <f>(BC28*$J$28)/$H$28</f>
        <v>0.25</v>
      </c>
      <c r="BF28" s="286"/>
      <c r="BG28" s="373">
        <f>AVERAGE(S28,AE28,AQ28,BC28)</f>
        <v>0.99165000000000003</v>
      </c>
      <c r="BH28" s="306"/>
      <c r="BI28" s="307"/>
      <c r="BJ28" s="61">
        <f>SUM(U28,AG28,AS28,BE28)</f>
        <v>0.99165000000000003</v>
      </c>
      <c r="BK28" s="379">
        <f>AVERAGE(BJ28:BJ30)</f>
        <v>0.99278333333333346</v>
      </c>
      <c r="BL28" s="261">
        <f>AVERAGE(BG28:BI29,BH30)</f>
        <v>0.99610555555555569</v>
      </c>
    </row>
    <row r="29" spans="1:64" ht="44.25" customHeight="1" x14ac:dyDescent="0.25">
      <c r="A29" s="332"/>
      <c r="B29" s="265"/>
      <c r="C29" s="21" t="s">
        <v>54</v>
      </c>
      <c r="D29" s="14" t="s">
        <v>87</v>
      </c>
      <c r="E29" s="9" t="s">
        <v>55</v>
      </c>
      <c r="F29" s="3" t="s">
        <v>41</v>
      </c>
      <c r="G29" s="353"/>
      <c r="H29" s="431">
        <v>0.99</v>
      </c>
      <c r="I29" s="432"/>
      <c r="J29" s="76">
        <f>H29/12</f>
        <v>8.2500000000000004E-2</v>
      </c>
      <c r="K29" s="417">
        <v>0.99</v>
      </c>
      <c r="L29" s="418"/>
      <c r="M29" s="219">
        <f>K29*$J$29</f>
        <v>8.1674999999999998E-2</v>
      </c>
      <c r="N29" s="220"/>
      <c r="O29" s="221">
        <v>1</v>
      </c>
      <c r="P29" s="221"/>
      <c r="Q29" s="219">
        <f>O29*$J$29</f>
        <v>8.2500000000000004E-2</v>
      </c>
      <c r="R29" s="220"/>
      <c r="S29" s="221">
        <v>1</v>
      </c>
      <c r="T29" s="221"/>
      <c r="U29" s="219">
        <f>S29*$J$29</f>
        <v>8.2500000000000004E-2</v>
      </c>
      <c r="V29" s="220"/>
      <c r="W29" s="221">
        <v>0.99</v>
      </c>
      <c r="X29" s="221"/>
      <c r="Y29" s="219">
        <f>W29*$J$29</f>
        <v>8.1674999999999998E-2</v>
      </c>
      <c r="Z29" s="220"/>
      <c r="AA29" s="221">
        <v>1</v>
      </c>
      <c r="AB29" s="221"/>
      <c r="AC29" s="219">
        <f>AA29*$J$29</f>
        <v>8.2500000000000004E-2</v>
      </c>
      <c r="AD29" s="220"/>
      <c r="AE29" s="221">
        <v>1</v>
      </c>
      <c r="AF29" s="221"/>
      <c r="AG29" s="219">
        <f>AE29*$J$29</f>
        <v>8.2500000000000004E-2</v>
      </c>
      <c r="AH29" s="220"/>
      <c r="AI29" s="221">
        <v>0.99</v>
      </c>
      <c r="AJ29" s="221"/>
      <c r="AK29" s="219">
        <f>AI29*$J$29</f>
        <v>8.1674999999999998E-2</v>
      </c>
      <c r="AL29" s="220"/>
      <c r="AM29" s="221">
        <v>0.99</v>
      </c>
      <c r="AN29" s="221"/>
      <c r="AO29" s="219">
        <f>AM29*$J$29</f>
        <v>8.1674999999999998E-2</v>
      </c>
      <c r="AP29" s="220"/>
      <c r="AQ29" s="221">
        <v>1</v>
      </c>
      <c r="AR29" s="221"/>
      <c r="AS29" s="219">
        <f>AQ29*$J$29</f>
        <v>8.2500000000000004E-2</v>
      </c>
      <c r="AT29" s="220"/>
      <c r="AU29" s="221">
        <v>1</v>
      </c>
      <c r="AV29" s="221"/>
      <c r="AW29" s="219">
        <f>AU29*$J$29</f>
        <v>8.2500000000000004E-2</v>
      </c>
      <c r="AX29" s="220"/>
      <c r="AY29" s="221">
        <v>1</v>
      </c>
      <c r="AZ29" s="221"/>
      <c r="BA29" s="219">
        <f>AY29*$J$29</f>
        <v>8.2500000000000004E-2</v>
      </c>
      <c r="BB29" s="220"/>
      <c r="BC29" s="221">
        <v>1</v>
      </c>
      <c r="BD29" s="221"/>
      <c r="BE29" s="219">
        <f>BC29*$J$29</f>
        <v>8.2500000000000004E-2</v>
      </c>
      <c r="BF29" s="220"/>
      <c r="BG29" s="388">
        <f>AVERAGE(K29,O29,S29,W29,AA29,AE29,AI29,AM29,AQ29,AU29,AY29,BC29)</f>
        <v>0.9966666666666667</v>
      </c>
      <c r="BH29" s="389"/>
      <c r="BI29" s="390"/>
      <c r="BJ29" s="62">
        <f>SUM(M29,Q29,U29,Y29,AC29,AG29,AK29,AO29,AS29,AW29,BA29,BE29)</f>
        <v>0.98670000000000013</v>
      </c>
      <c r="BK29" s="380"/>
      <c r="BL29" s="262"/>
    </row>
    <row r="30" spans="1:64" ht="75" customHeight="1" thickBot="1" x14ac:dyDescent="0.3">
      <c r="A30" s="333"/>
      <c r="B30" s="266"/>
      <c r="C30" s="27" t="s">
        <v>74</v>
      </c>
      <c r="D30" s="17" t="s">
        <v>75</v>
      </c>
      <c r="E30" s="32" t="s">
        <v>73</v>
      </c>
      <c r="F30" s="29" t="s">
        <v>41</v>
      </c>
      <c r="G30" s="354"/>
      <c r="H30" s="57" t="s">
        <v>76</v>
      </c>
      <c r="I30" s="37">
        <v>1</v>
      </c>
      <c r="J30" s="74">
        <f>I30/12</f>
        <v>8.3333333333333329E-2</v>
      </c>
      <c r="K30" s="65">
        <v>1.22</v>
      </c>
      <c r="L30" s="57">
        <f>IF(K30&lt;=3,100%,0%)</f>
        <v>1</v>
      </c>
      <c r="M30" s="86">
        <f>IF(AVERAGE(K30)&lt;=3,100%,0%)</f>
        <v>1</v>
      </c>
      <c r="N30" s="87">
        <f>M30*$J$30</f>
        <v>8.3333333333333329E-2</v>
      </c>
      <c r="O30" s="41">
        <v>2.2799999999999998</v>
      </c>
      <c r="P30" s="57">
        <f>IF(O30&lt;=3,100%,0%)</f>
        <v>1</v>
      </c>
      <c r="Q30" s="86">
        <f>IF(AVERAGE(K30,O30)&lt;=3,100%,0%)</f>
        <v>1</v>
      </c>
      <c r="R30" s="87">
        <f>Q30*$J$30</f>
        <v>8.3333333333333329E-2</v>
      </c>
      <c r="S30" s="41">
        <v>0.52</v>
      </c>
      <c r="T30" s="57">
        <f>IF(S30&lt;=3,100%,0%)</f>
        <v>1</v>
      </c>
      <c r="U30" s="86">
        <f>IF(AVERAGE(K30,O30,S30)&lt;=3,100%,0%)</f>
        <v>1</v>
      </c>
      <c r="V30" s="87">
        <f>U30*$J$30</f>
        <v>8.3333333333333329E-2</v>
      </c>
      <c r="W30" s="214">
        <v>0.4</v>
      </c>
      <c r="X30" s="57">
        <f>IF(W30&lt;=3,100%,0%)</f>
        <v>1</v>
      </c>
      <c r="Y30" s="86">
        <f>IF(AVERAGE(K30,O30,S30,W30)&lt;=3,100%,0%)</f>
        <v>1</v>
      </c>
      <c r="Z30" s="87">
        <f>Y30*$J$30</f>
        <v>8.3333333333333329E-2</v>
      </c>
      <c r="AA30" s="41">
        <v>1.08</v>
      </c>
      <c r="AB30" s="57">
        <f>IF(AA30&lt;=3,100%,0%)</f>
        <v>1</v>
      </c>
      <c r="AC30" s="86">
        <f>IF(AVERAGE(K30,O30,S30,W30,AA30)&lt;=3,100%,0%)</f>
        <v>1</v>
      </c>
      <c r="AD30" s="87">
        <f>AC30*$J$30</f>
        <v>8.3333333333333329E-2</v>
      </c>
      <c r="AE30" s="41">
        <v>1.05</v>
      </c>
      <c r="AF30" s="57">
        <f>IF(AE30&lt;=3,100%,0%)</f>
        <v>1</v>
      </c>
      <c r="AG30" s="86">
        <f>IF(AVERAGE(K30,O30,S30,W30,AA30,AE30)&lt;=3,100%,0%)</f>
        <v>1</v>
      </c>
      <c r="AH30" s="87">
        <f>AG30*$J$30</f>
        <v>8.3333333333333329E-2</v>
      </c>
      <c r="AI30" s="41">
        <v>0.56000000000000005</v>
      </c>
      <c r="AJ30" s="57">
        <f>IF(AI30&lt;=3,100%,0%)</f>
        <v>1</v>
      </c>
      <c r="AK30" s="86">
        <f>IF(AVERAGE(K30,O30,S30,W30,AA30,AE30,AI30)&lt;=3,100%,0%)</f>
        <v>1</v>
      </c>
      <c r="AL30" s="87">
        <f>AK30*$J$30</f>
        <v>8.3333333333333329E-2</v>
      </c>
      <c r="AM30" s="41">
        <v>0.56000000000000005</v>
      </c>
      <c r="AN30" s="57">
        <f>IF(AM30&lt;=3,100%,0%)</f>
        <v>1</v>
      </c>
      <c r="AO30" s="86">
        <f>IF(AVERAGE(K30,O30,S30,W30,AA30,AE30,AI30,AM30)&lt;=3,100%,0%)</f>
        <v>1</v>
      </c>
      <c r="AP30" s="87">
        <f>AO30*$J$30</f>
        <v>8.3333333333333329E-2</v>
      </c>
      <c r="AQ30" s="41">
        <v>1.02</v>
      </c>
      <c r="AR30" s="57">
        <f>IF(AQ30&lt;=3,100%,0%)</f>
        <v>1</v>
      </c>
      <c r="AS30" s="86">
        <f>IF(AVERAGE(K30, O30,S30,W30,AA30,AE30,AI30,AM30,AQ30)&lt;=3,100%,0%)</f>
        <v>1</v>
      </c>
      <c r="AT30" s="87">
        <f>AS30*$J$30</f>
        <v>8.3333333333333329E-2</v>
      </c>
      <c r="AU30" s="41">
        <v>0.36</v>
      </c>
      <c r="AV30" s="57">
        <f>IF(AU30&lt;=3,100%,0%)</f>
        <v>1</v>
      </c>
      <c r="AW30" s="86">
        <f>IF(AVERAGE(K30,O30, S30,W30,AA30,AE30,AI30,AM30,AQ30,AU30)&lt;=3,100%,0%)</f>
        <v>1</v>
      </c>
      <c r="AX30" s="87">
        <f>AW30*$J$30</f>
        <v>8.3333333333333329E-2</v>
      </c>
      <c r="AY30" s="215">
        <v>0.38</v>
      </c>
      <c r="AZ30" s="57">
        <f>IF(AY30&lt;=3,100%,0%)</f>
        <v>1</v>
      </c>
      <c r="BA30" s="86">
        <f>IF(AVERAGE(K30,O30,S30, W30,AA30,AE30,AI30,AM30,AQ30,AU30,AY30)&lt;=3,100%,0%)</f>
        <v>1</v>
      </c>
      <c r="BB30" s="87">
        <f>BA30*$J$30</f>
        <v>8.3333333333333329E-2</v>
      </c>
      <c r="BC30" s="41">
        <v>0.46</v>
      </c>
      <c r="BD30" s="57">
        <f>IF(BC30&lt;=3,100%,0%)</f>
        <v>1</v>
      </c>
      <c r="BE30" s="86">
        <f>IF(AVERAGE(K30,O30,S30,W30, AA30,AE30,AI30,AM30,AQ30,AU30,AY30,BC30)&lt;=3,100%,0%)</f>
        <v>1</v>
      </c>
      <c r="BF30" s="87">
        <f>BE30*$J$30</f>
        <v>8.3333333333333329E-2</v>
      </c>
      <c r="BG30" s="85">
        <f>AVERAGE(K30,O30,S30,W30,AA30,AE30,AI30,AM30,AQ30,AU30,AY30,BC30)</f>
        <v>0.82416666666666671</v>
      </c>
      <c r="BH30" s="410">
        <f>IF(BG30&lt;=3,100%,0%)</f>
        <v>1</v>
      </c>
      <c r="BI30" s="393"/>
      <c r="BJ30" s="84">
        <f>SUM(N30,R30,V30,Z30,AD30,AH30,AL30,AP30,AT30,AX30,BB30,BF30)</f>
        <v>1</v>
      </c>
      <c r="BK30" s="381"/>
      <c r="BL30" s="263"/>
    </row>
    <row r="31" spans="1:64" ht="44.25" customHeight="1" x14ac:dyDescent="0.25">
      <c r="A31" s="331" t="s">
        <v>35</v>
      </c>
      <c r="B31" s="264" t="s">
        <v>102</v>
      </c>
      <c r="C31" s="18" t="s">
        <v>56</v>
      </c>
      <c r="D31" s="54" t="s">
        <v>57</v>
      </c>
      <c r="E31" s="10" t="s">
        <v>107</v>
      </c>
      <c r="F31" s="8" t="s">
        <v>41</v>
      </c>
      <c r="G31" s="352">
        <f>AVERAGE(I31,I32,H33)</f>
        <v>0.83</v>
      </c>
      <c r="H31" s="56" t="s">
        <v>108</v>
      </c>
      <c r="I31" s="36">
        <v>0.97</v>
      </c>
      <c r="J31" s="70">
        <f>I31/12</f>
        <v>8.0833333333333326E-2</v>
      </c>
      <c r="K31" s="182">
        <v>5.4000000000000003E-3</v>
      </c>
      <c r="L31" s="279">
        <f>100%-K31</f>
        <v>0.99460000000000004</v>
      </c>
      <c r="M31" s="280"/>
      <c r="N31" s="83">
        <f>(L31*$J$31)/$I$31</f>
        <v>8.2883333333333337E-2</v>
      </c>
      <c r="O31" s="11">
        <v>8.0000000000000002E-3</v>
      </c>
      <c r="P31" s="279">
        <f>100%-O31</f>
        <v>0.99199999999999999</v>
      </c>
      <c r="Q31" s="280"/>
      <c r="R31" s="185">
        <f>(P31*$J$31)/$I$31</f>
        <v>8.2666666666666652E-2</v>
      </c>
      <c r="S31" s="11">
        <v>0.03</v>
      </c>
      <c r="T31" s="279">
        <f>100%-S31</f>
        <v>0.97</v>
      </c>
      <c r="U31" s="280"/>
      <c r="V31" s="185">
        <f>(T31*$J$31)/$I$31</f>
        <v>8.0833333333333326E-2</v>
      </c>
      <c r="W31" s="11">
        <v>6.4000000000000001E-2</v>
      </c>
      <c r="X31" s="279">
        <f>100%-W31</f>
        <v>0.93599999999999994</v>
      </c>
      <c r="Y31" s="280"/>
      <c r="Z31" s="185">
        <f>(X31*$J$31)/$I$31</f>
        <v>7.8E-2</v>
      </c>
      <c r="AA31" s="11">
        <v>6.2E-2</v>
      </c>
      <c r="AB31" s="279">
        <f>100%-AA31</f>
        <v>0.93799999999999994</v>
      </c>
      <c r="AC31" s="280"/>
      <c r="AD31" s="185">
        <f>(AB31*$J$31)/$I$31</f>
        <v>7.8166666666666662E-2</v>
      </c>
      <c r="AE31" s="11">
        <v>0.03</v>
      </c>
      <c r="AF31" s="279">
        <f>100%-AE31</f>
        <v>0.97</v>
      </c>
      <c r="AG31" s="280"/>
      <c r="AH31" s="185">
        <f>(AF31*$J$31)/$I$31</f>
        <v>8.0833333333333326E-2</v>
      </c>
      <c r="AI31" s="11">
        <v>2.1000000000000001E-2</v>
      </c>
      <c r="AJ31" s="279">
        <f>100%-AI31</f>
        <v>0.97899999999999998</v>
      </c>
      <c r="AK31" s="280"/>
      <c r="AL31" s="185">
        <f>(AJ31*$J$31)/$I$31</f>
        <v>8.1583333333333327E-2</v>
      </c>
      <c r="AM31" s="11">
        <v>1.7999999999999999E-2</v>
      </c>
      <c r="AN31" s="279">
        <f>100%-AM31</f>
        <v>0.98199999999999998</v>
      </c>
      <c r="AO31" s="280"/>
      <c r="AP31" s="185">
        <f>(AN31*$J$31)/$I$31</f>
        <v>8.1833333333333327E-2</v>
      </c>
      <c r="AQ31" s="11">
        <v>3.1E-2</v>
      </c>
      <c r="AR31" s="279">
        <f>100%-AQ31</f>
        <v>0.96899999999999997</v>
      </c>
      <c r="AS31" s="280"/>
      <c r="AT31" s="185">
        <f>(AR31*$J$31)/$I$31</f>
        <v>8.0750000000000002E-2</v>
      </c>
      <c r="AU31" s="11">
        <v>4.0000000000000001E-3</v>
      </c>
      <c r="AV31" s="279">
        <f>100%-AU31</f>
        <v>0.996</v>
      </c>
      <c r="AW31" s="280"/>
      <c r="AX31" s="185">
        <f>(AV31*$J$31)/$I$31</f>
        <v>8.3000000000000004E-2</v>
      </c>
      <c r="AY31" s="11">
        <v>0.02</v>
      </c>
      <c r="AZ31" s="279">
        <f>100%-AY31</f>
        <v>0.98</v>
      </c>
      <c r="BA31" s="280"/>
      <c r="BB31" s="185">
        <f>(AZ31*$J$31)/$I$31</f>
        <v>8.1666666666666665E-2</v>
      </c>
      <c r="BC31" s="11">
        <v>7.0000000000000001E-3</v>
      </c>
      <c r="BD31" s="279">
        <f>100%-BC31</f>
        <v>0.99299999999999999</v>
      </c>
      <c r="BE31" s="280"/>
      <c r="BF31" s="188">
        <f>(BD31*$J$31)/$I$31</f>
        <v>8.274999999999999E-2</v>
      </c>
      <c r="BG31" s="140">
        <f>AVERAGE(K31,O31,S31,W31,AA31,AE31,AI31,AM31,AQ31,AU31,AY31,BC31)</f>
        <v>2.5033333333333335E-2</v>
      </c>
      <c r="BH31" s="437">
        <f>100%-BG31</f>
        <v>0.97496666666666665</v>
      </c>
      <c r="BI31" s="307"/>
      <c r="BJ31" s="63">
        <f>SUM(N31,R31,V31,Z31,AD31,AH31,AP31,AT31,AL31,AX31)</f>
        <v>0.81054999999999988</v>
      </c>
      <c r="BK31" s="344">
        <f>AVERAGEIF(BJ31:BJ33,"&lt;&gt;100%")</f>
        <v>0.83374265536723158</v>
      </c>
      <c r="BL31" s="222">
        <f>AVERAGE(BH31,BI33)</f>
        <v>0.95782231638418081</v>
      </c>
    </row>
    <row r="32" spans="1:64" ht="60.75" customHeight="1" x14ac:dyDescent="0.25">
      <c r="A32" s="332"/>
      <c r="B32" s="265"/>
      <c r="C32" s="21" t="s">
        <v>60</v>
      </c>
      <c r="D32" s="14" t="s">
        <v>115</v>
      </c>
      <c r="E32" s="9" t="s">
        <v>103</v>
      </c>
      <c r="F32" s="3" t="s">
        <v>45</v>
      </c>
      <c r="G32" s="353"/>
      <c r="H32" s="53" t="s">
        <v>166</v>
      </c>
      <c r="I32" s="51">
        <v>0.62</v>
      </c>
      <c r="J32" s="73">
        <v>0.62</v>
      </c>
      <c r="K32" s="235"/>
      <c r="L32" s="236"/>
      <c r="M32" s="236"/>
      <c r="N32" s="237"/>
      <c r="O32" s="238"/>
      <c r="P32" s="236"/>
      <c r="Q32" s="236"/>
      <c r="R32" s="237"/>
      <c r="S32" s="238"/>
      <c r="T32" s="236"/>
      <c r="U32" s="236"/>
      <c r="V32" s="239"/>
      <c r="W32" s="238"/>
      <c r="X32" s="236"/>
      <c r="Y32" s="236"/>
      <c r="Z32" s="239"/>
      <c r="AA32" s="238"/>
      <c r="AB32" s="236"/>
      <c r="AC32" s="236"/>
      <c r="AD32" s="239"/>
      <c r="AE32" s="238"/>
      <c r="AF32" s="236"/>
      <c r="AG32" s="236"/>
      <c r="AH32" s="239"/>
      <c r="AI32" s="238"/>
      <c r="AJ32" s="236"/>
      <c r="AK32" s="236"/>
      <c r="AL32" s="239"/>
      <c r="AM32" s="238"/>
      <c r="AN32" s="236"/>
      <c r="AO32" s="236"/>
      <c r="AP32" s="239"/>
      <c r="AQ32" s="238"/>
      <c r="AR32" s="236"/>
      <c r="AS32" s="236"/>
      <c r="AT32" s="239"/>
      <c r="AU32" s="238"/>
      <c r="AV32" s="236"/>
      <c r="AW32" s="236"/>
      <c r="AX32" s="239"/>
      <c r="AY32" s="238"/>
      <c r="AZ32" s="236"/>
      <c r="BA32" s="236"/>
      <c r="BB32" s="239"/>
      <c r="BC32" s="119">
        <v>0.25</v>
      </c>
      <c r="BD32" s="257">
        <f>100%-BC32</f>
        <v>0.75</v>
      </c>
      <c r="BE32" s="258"/>
      <c r="BF32" s="187">
        <f>(BD32*$J$32)/$I$32</f>
        <v>0.75</v>
      </c>
      <c r="BG32" s="189">
        <f>BC32</f>
        <v>0.25</v>
      </c>
      <c r="BH32" s="259">
        <f>100%-BG32</f>
        <v>0.75</v>
      </c>
      <c r="BI32" s="260"/>
      <c r="BJ32" s="89">
        <f>BH32</f>
        <v>0.75</v>
      </c>
      <c r="BK32" s="329"/>
      <c r="BL32" s="223"/>
    </row>
    <row r="33" spans="1:64" ht="78.75" customHeight="1" x14ac:dyDescent="0.25">
      <c r="A33" s="332"/>
      <c r="B33" s="347"/>
      <c r="C33" s="21" t="s">
        <v>120</v>
      </c>
      <c r="D33" s="54" t="s">
        <v>109</v>
      </c>
      <c r="E33" s="9" t="s">
        <v>65</v>
      </c>
      <c r="F33" s="3" t="s">
        <v>41</v>
      </c>
      <c r="G33" s="429"/>
      <c r="H33" s="124">
        <v>0.9</v>
      </c>
      <c r="I33" s="125">
        <v>118</v>
      </c>
      <c r="J33" s="72">
        <v>0.9</v>
      </c>
      <c r="K33" s="126">
        <v>5</v>
      </c>
      <c r="L33" s="127">
        <v>5</v>
      </c>
      <c r="M33" s="122">
        <f>K33/L33</f>
        <v>1</v>
      </c>
      <c r="N33" s="217">
        <f>K33/$I$33</f>
        <v>4.2372881355932202E-2</v>
      </c>
      <c r="O33" s="128">
        <v>15</v>
      </c>
      <c r="P33" s="127">
        <v>16</v>
      </c>
      <c r="Q33" s="122">
        <f>O33/P33</f>
        <v>0.9375</v>
      </c>
      <c r="R33" s="217">
        <f>O33/$I$33</f>
        <v>0.1271186440677966</v>
      </c>
      <c r="S33" s="128">
        <v>9</v>
      </c>
      <c r="T33" s="127">
        <v>11</v>
      </c>
      <c r="U33" s="122">
        <f>S33/T33</f>
        <v>0.81818181818181823</v>
      </c>
      <c r="V33" s="217">
        <f>S33/$I$33</f>
        <v>7.6271186440677971E-2</v>
      </c>
      <c r="W33" s="128">
        <v>10</v>
      </c>
      <c r="X33" s="127">
        <v>13</v>
      </c>
      <c r="Y33" s="122">
        <f>W33/X33</f>
        <v>0.76923076923076927</v>
      </c>
      <c r="Z33" s="217">
        <f>W33/$I$33</f>
        <v>8.4745762711864403E-2</v>
      </c>
      <c r="AA33" s="128">
        <v>8</v>
      </c>
      <c r="AB33" s="127">
        <v>14</v>
      </c>
      <c r="AC33" s="122">
        <f>AA33/AB33</f>
        <v>0.5714285714285714</v>
      </c>
      <c r="AD33" s="217">
        <f>AA33/$I$33</f>
        <v>6.7796610169491525E-2</v>
      </c>
      <c r="AE33" s="128">
        <v>8</v>
      </c>
      <c r="AF33" s="127">
        <v>10</v>
      </c>
      <c r="AG33" s="122">
        <f>AE33/AF33</f>
        <v>0.8</v>
      </c>
      <c r="AH33" s="217">
        <f>AE33/$I$33</f>
        <v>6.7796610169491525E-2</v>
      </c>
      <c r="AI33" s="128">
        <v>10</v>
      </c>
      <c r="AJ33" s="127">
        <v>11</v>
      </c>
      <c r="AK33" s="122">
        <f>AI33/AJ33</f>
        <v>0.90909090909090906</v>
      </c>
      <c r="AL33" s="217">
        <f>AI33/$I$33</f>
        <v>8.4745762711864403E-2</v>
      </c>
      <c r="AM33" s="128">
        <v>13</v>
      </c>
      <c r="AN33" s="127">
        <v>11</v>
      </c>
      <c r="AO33" s="122">
        <f>IFERROR(AM33/AN33,0)</f>
        <v>1.1818181818181819</v>
      </c>
      <c r="AP33" s="217">
        <f>AM33/$I$33</f>
        <v>0.11016949152542373</v>
      </c>
      <c r="AQ33" s="128">
        <v>12</v>
      </c>
      <c r="AR33" s="127">
        <v>9</v>
      </c>
      <c r="AS33" s="122">
        <f>IFERROR(AQ33/AR33,0)</f>
        <v>1.3333333333333333</v>
      </c>
      <c r="AT33" s="217">
        <f>AQ33/$I$33</f>
        <v>0.10169491525423729</v>
      </c>
      <c r="AU33" s="128">
        <v>5</v>
      </c>
      <c r="AV33" s="127">
        <v>9</v>
      </c>
      <c r="AW33" s="122">
        <f>IFERROR(AU33/AV33,0)</f>
        <v>0.55555555555555558</v>
      </c>
      <c r="AX33" s="217">
        <f>AU33/$I$33</f>
        <v>4.2372881355932202E-2</v>
      </c>
      <c r="AY33" s="128">
        <v>13</v>
      </c>
      <c r="AZ33" s="127">
        <v>8</v>
      </c>
      <c r="BA33" s="122">
        <f>IFERROR(AY33/AZ33,0)</f>
        <v>1.625</v>
      </c>
      <c r="BB33" s="217">
        <f>AY33/$I$33</f>
        <v>0.11016949152542373</v>
      </c>
      <c r="BC33" s="128">
        <v>3</v>
      </c>
      <c r="BD33" s="127">
        <v>1</v>
      </c>
      <c r="BE33" s="186">
        <f>IFERROR(BC33/BD33,1)</f>
        <v>3</v>
      </c>
      <c r="BF33" s="217">
        <f>BC33/$I$33</f>
        <v>2.5423728813559324E-2</v>
      </c>
      <c r="BG33" s="183">
        <f>SUM(K33,O33,S33,W33,AA33,AE33,AI33,AM33,AQ33,AU33,AY33,BC33)</f>
        <v>111</v>
      </c>
      <c r="BH33" s="184">
        <f>SUM(L33,P33,T33,X33,AB33,AF33,AJ33,AN33,AR33,AV33,AZ33,BD33)</f>
        <v>118</v>
      </c>
      <c r="BI33" s="123">
        <f>BG33/BH33</f>
        <v>0.94067796610169496</v>
      </c>
      <c r="BJ33" s="218">
        <f>SUM(N33,R33,V33,Z33,AD33,AH33,AL33,AP33,AT33,AX33,BB33,BF33)</f>
        <v>0.94067796610169496</v>
      </c>
      <c r="BK33" s="345"/>
      <c r="BL33" s="224"/>
    </row>
    <row r="34" spans="1:64" ht="65.25" customHeight="1" x14ac:dyDescent="0.25">
      <c r="A34" s="332"/>
      <c r="B34" s="346" t="s">
        <v>104</v>
      </c>
      <c r="C34" s="21" t="s">
        <v>58</v>
      </c>
      <c r="D34" s="14" t="s">
        <v>110</v>
      </c>
      <c r="E34" s="9" t="s">
        <v>59</v>
      </c>
      <c r="F34" s="3" t="s">
        <v>45</v>
      </c>
      <c r="G34" s="430">
        <f>AVERAGE(I34,H35)</f>
        <v>0.88</v>
      </c>
      <c r="H34" s="53" t="s">
        <v>122</v>
      </c>
      <c r="I34" s="40">
        <v>0.96</v>
      </c>
      <c r="J34" s="73">
        <f>I34/12</f>
        <v>0.08</v>
      </c>
      <c r="K34" s="119">
        <v>0</v>
      </c>
      <c r="L34" s="257">
        <f>100%-K34</f>
        <v>1</v>
      </c>
      <c r="M34" s="258"/>
      <c r="N34" s="120">
        <f>(L34*$J$34)/$I$34</f>
        <v>8.3333333333333343E-2</v>
      </c>
      <c r="O34" s="119">
        <v>0</v>
      </c>
      <c r="P34" s="257">
        <f>100%-O34</f>
        <v>1</v>
      </c>
      <c r="Q34" s="258"/>
      <c r="R34" s="120">
        <f>(P34*$J$34)/$I$34</f>
        <v>8.3333333333333343E-2</v>
      </c>
      <c r="S34" s="119">
        <v>0</v>
      </c>
      <c r="T34" s="257">
        <f>100%-S34</f>
        <v>1</v>
      </c>
      <c r="U34" s="258"/>
      <c r="V34" s="120">
        <f>(T34*$J$34)/$I$34</f>
        <v>8.3333333333333343E-2</v>
      </c>
      <c r="W34" s="119">
        <v>0</v>
      </c>
      <c r="X34" s="257">
        <f>100%-W34</f>
        <v>1</v>
      </c>
      <c r="Y34" s="258"/>
      <c r="Z34" s="120">
        <f>(X34*$J$34)/$I$34</f>
        <v>8.3333333333333343E-2</v>
      </c>
      <c r="AA34" s="119">
        <v>0</v>
      </c>
      <c r="AB34" s="257">
        <f>100%-AA34</f>
        <v>1</v>
      </c>
      <c r="AC34" s="258"/>
      <c r="AD34" s="120">
        <f>(AB34*$J$34)/$I$34</f>
        <v>8.3333333333333343E-2</v>
      </c>
      <c r="AE34" s="119">
        <v>0</v>
      </c>
      <c r="AF34" s="257">
        <f>100%-AE34</f>
        <v>1</v>
      </c>
      <c r="AG34" s="258"/>
      <c r="AH34" s="120">
        <f>(AF34*$J$34)/$I$34</f>
        <v>8.3333333333333343E-2</v>
      </c>
      <c r="AI34" s="119">
        <v>0</v>
      </c>
      <c r="AJ34" s="257">
        <f>100%-AI34</f>
        <v>1</v>
      </c>
      <c r="AK34" s="258"/>
      <c r="AL34" s="120">
        <f>(AJ34*$J$34)/$I$34</f>
        <v>8.3333333333333343E-2</v>
      </c>
      <c r="AM34" s="119">
        <v>0</v>
      </c>
      <c r="AN34" s="257">
        <f>100%-AM34</f>
        <v>1</v>
      </c>
      <c r="AO34" s="258"/>
      <c r="AP34" s="120">
        <f>(AN34*$J$34)/$I$34</f>
        <v>8.3333333333333343E-2</v>
      </c>
      <c r="AQ34" s="119">
        <v>0</v>
      </c>
      <c r="AR34" s="257">
        <f t="shared" ref="AR34" si="33">100%-AQ34</f>
        <v>1</v>
      </c>
      <c r="AS34" s="258"/>
      <c r="AT34" s="120">
        <f>(AR34*$J$34)/$I$34</f>
        <v>8.3333333333333343E-2</v>
      </c>
      <c r="AU34" s="119">
        <v>0</v>
      </c>
      <c r="AV34" s="257">
        <f t="shared" ref="AV34" si="34">100%-AU34</f>
        <v>1</v>
      </c>
      <c r="AW34" s="258"/>
      <c r="AX34" s="120">
        <f>(AV34*$J$34)/$I$34</f>
        <v>8.3333333333333343E-2</v>
      </c>
      <c r="AY34" s="119">
        <v>0</v>
      </c>
      <c r="AZ34" s="257">
        <f t="shared" ref="AZ34" si="35">100%-AY34</f>
        <v>1</v>
      </c>
      <c r="BA34" s="258"/>
      <c r="BB34" s="120">
        <f>(AZ34*$J$34)/$I$34</f>
        <v>8.3333333333333343E-2</v>
      </c>
      <c r="BC34" s="119">
        <v>0</v>
      </c>
      <c r="BD34" s="257">
        <f>100%-BC34</f>
        <v>1</v>
      </c>
      <c r="BE34" s="258"/>
      <c r="BF34" s="120">
        <f>(BD34*$J$34)/$I$34</f>
        <v>8.3333333333333343E-2</v>
      </c>
      <c r="BG34" s="210">
        <f>AVERAGE(K34,O34,S34,W34,AA34,AE34,AI34,AM34,AQ34,AU34)</f>
        <v>0</v>
      </c>
      <c r="BH34" s="323">
        <f>100%-BG34</f>
        <v>1</v>
      </c>
      <c r="BI34" s="325"/>
      <c r="BJ34" s="89">
        <f>SUM(N34,R34,V34,Z34,AD34,AH34,AL34,AP34,AT34,AX34,BB34,BF34)</f>
        <v>1.0000000000000002</v>
      </c>
      <c r="BK34" s="482">
        <f>AVERAGEIF(BJ34:BJ35,"&lt;&gt;0")</f>
        <v>0.98979591836734704</v>
      </c>
      <c r="BL34" s="225">
        <f>AVERAGE(BH34,BI35)</f>
        <v>0.98979591836734693</v>
      </c>
    </row>
    <row r="35" spans="1:64" ht="76.5" customHeight="1" x14ac:dyDescent="0.25">
      <c r="A35" s="332"/>
      <c r="B35" s="347"/>
      <c r="C35" s="21" t="s">
        <v>105</v>
      </c>
      <c r="D35" s="54" t="s">
        <v>109</v>
      </c>
      <c r="E35" s="9" t="s">
        <v>111</v>
      </c>
      <c r="F35" s="3" t="s">
        <v>45</v>
      </c>
      <c r="G35" s="429"/>
      <c r="H35" s="198">
        <v>0.8</v>
      </c>
      <c r="I35" s="203">
        <v>49</v>
      </c>
      <c r="J35" s="72">
        <v>0.8</v>
      </c>
      <c r="K35" s="126">
        <v>2</v>
      </c>
      <c r="L35" s="127">
        <v>2</v>
      </c>
      <c r="M35" s="196">
        <f>K35/L35</f>
        <v>1</v>
      </c>
      <c r="N35" s="129">
        <f>K35/$I$35</f>
        <v>4.0816326530612242E-2</v>
      </c>
      <c r="O35" s="128">
        <v>2</v>
      </c>
      <c r="P35" s="127">
        <v>2</v>
      </c>
      <c r="Q35" s="196">
        <f>O35/P35</f>
        <v>1</v>
      </c>
      <c r="R35" s="129">
        <f>O35/$I$35</f>
        <v>4.0816326530612242E-2</v>
      </c>
      <c r="S35" s="128">
        <v>4</v>
      </c>
      <c r="T35" s="127">
        <v>4</v>
      </c>
      <c r="U35" s="196">
        <f>S35/T35</f>
        <v>1</v>
      </c>
      <c r="V35" s="129">
        <f>S35/$I$35</f>
        <v>8.1632653061224483E-2</v>
      </c>
      <c r="W35" s="128">
        <v>5</v>
      </c>
      <c r="X35" s="127">
        <v>5</v>
      </c>
      <c r="Y35" s="196">
        <f>W35/X35</f>
        <v>1</v>
      </c>
      <c r="Z35" s="129">
        <f>W35/$I$35</f>
        <v>0.10204081632653061</v>
      </c>
      <c r="AA35" s="128">
        <v>6</v>
      </c>
      <c r="AB35" s="127">
        <v>7</v>
      </c>
      <c r="AC35" s="196">
        <f>AA35/AB35</f>
        <v>0.8571428571428571</v>
      </c>
      <c r="AD35" s="129">
        <f>AA35/$I$35</f>
        <v>0.12244897959183673</v>
      </c>
      <c r="AE35" s="128">
        <v>4</v>
      </c>
      <c r="AF35" s="127">
        <v>5</v>
      </c>
      <c r="AG35" s="196">
        <f>AE35/AF35</f>
        <v>0.8</v>
      </c>
      <c r="AH35" s="129">
        <f>AE35/$I$35</f>
        <v>8.1632653061224483E-2</v>
      </c>
      <c r="AI35" s="128">
        <v>6</v>
      </c>
      <c r="AJ35" s="127">
        <v>5</v>
      </c>
      <c r="AK35" s="196">
        <f>AI35/AJ35</f>
        <v>1.2</v>
      </c>
      <c r="AL35" s="129">
        <f>AI35/$I$35</f>
        <v>0.12244897959183673</v>
      </c>
      <c r="AM35" s="128">
        <v>6</v>
      </c>
      <c r="AN35" s="127">
        <v>6</v>
      </c>
      <c r="AO35" s="196">
        <f>IFERROR(AM35/AN35,0)</f>
        <v>1</v>
      </c>
      <c r="AP35" s="129">
        <f>AM35/$I$35</f>
        <v>0.12244897959183673</v>
      </c>
      <c r="AQ35" s="128">
        <v>5</v>
      </c>
      <c r="AR35" s="127">
        <v>4</v>
      </c>
      <c r="AS35" s="196">
        <f>IFERROR(AQ35/AR35,0)</f>
        <v>1.25</v>
      </c>
      <c r="AT35" s="129">
        <f>AQ35/$I$35</f>
        <v>0.10204081632653061</v>
      </c>
      <c r="AU35" s="128">
        <v>3</v>
      </c>
      <c r="AV35" s="127">
        <v>4</v>
      </c>
      <c r="AW35" s="196">
        <f>IFERROR(AU35/AV35,0)</f>
        <v>0.75</v>
      </c>
      <c r="AX35" s="129">
        <f>AU35/$I$35</f>
        <v>6.1224489795918366E-2</v>
      </c>
      <c r="AY35" s="128">
        <v>5</v>
      </c>
      <c r="AZ35" s="127">
        <v>4</v>
      </c>
      <c r="BA35" s="196">
        <f>IFERROR(AY35/AZ35,0)</f>
        <v>1.25</v>
      </c>
      <c r="BB35" s="129">
        <f>AY35/$I$35</f>
        <v>0.10204081632653061</v>
      </c>
      <c r="BC35" s="128">
        <v>0</v>
      </c>
      <c r="BD35" s="127">
        <v>1</v>
      </c>
      <c r="BE35" s="197">
        <f>IFERROR(BC35/BD35,1)</f>
        <v>0</v>
      </c>
      <c r="BF35" s="129">
        <f>BC35/$I$35</f>
        <v>0</v>
      </c>
      <c r="BG35" s="183">
        <f>SUM(K35,O35,S35,W35,AA35,AE35,AI35,AM35,AQ35,AU35,AY35,BC35)</f>
        <v>48</v>
      </c>
      <c r="BH35" s="184">
        <f>SUM(L35,P35,T35,X35,AB35,AF35,AJ35,AN35,AR35,AV35,AZ35,BD35)</f>
        <v>49</v>
      </c>
      <c r="BI35" s="199">
        <f>BG35/BH35</f>
        <v>0.97959183673469385</v>
      </c>
      <c r="BJ35" s="88">
        <f>SUM(N35,R35,V35,Z35,AD35,AH35,AL35,AP35,AT35,AX35,BB35,BF35)</f>
        <v>0.97959183673469385</v>
      </c>
      <c r="BK35" s="483"/>
      <c r="BL35" s="226"/>
    </row>
    <row r="36" spans="1:64" ht="128.25" customHeight="1" thickBot="1" x14ac:dyDescent="0.3">
      <c r="A36" s="332"/>
      <c r="B36" s="52" t="s">
        <v>44</v>
      </c>
      <c r="C36" s="21" t="s">
        <v>90</v>
      </c>
      <c r="D36" s="14" t="s">
        <v>112</v>
      </c>
      <c r="E36" s="9" t="s">
        <v>89</v>
      </c>
      <c r="F36" s="3" t="s">
        <v>45</v>
      </c>
      <c r="G36" s="92">
        <f>H36</f>
        <v>0.7</v>
      </c>
      <c r="H36" s="433">
        <v>0.7</v>
      </c>
      <c r="I36" s="434"/>
      <c r="J36" s="74">
        <v>0.7</v>
      </c>
      <c r="K36" s="231"/>
      <c r="L36" s="232"/>
      <c r="M36" s="232"/>
      <c r="N36" s="233"/>
      <c r="O36" s="234"/>
      <c r="P36" s="232"/>
      <c r="Q36" s="232"/>
      <c r="R36" s="233"/>
      <c r="S36" s="234"/>
      <c r="T36" s="232"/>
      <c r="U36" s="232"/>
      <c r="V36" s="233"/>
      <c r="W36" s="234"/>
      <c r="X36" s="232"/>
      <c r="Y36" s="232"/>
      <c r="Z36" s="233"/>
      <c r="AA36" s="234"/>
      <c r="AB36" s="232"/>
      <c r="AC36" s="232"/>
      <c r="AD36" s="233"/>
      <c r="AE36" s="234"/>
      <c r="AF36" s="232"/>
      <c r="AG36" s="232"/>
      <c r="AH36" s="233"/>
      <c r="AI36" s="234"/>
      <c r="AJ36" s="232"/>
      <c r="AK36" s="232"/>
      <c r="AL36" s="233"/>
      <c r="AM36" s="234"/>
      <c r="AN36" s="232"/>
      <c r="AO36" s="232"/>
      <c r="AP36" s="233"/>
      <c r="AQ36" s="234"/>
      <c r="AR36" s="232"/>
      <c r="AS36" s="232"/>
      <c r="AT36" s="233"/>
      <c r="AU36" s="234"/>
      <c r="AV36" s="232"/>
      <c r="AW36" s="232"/>
      <c r="AX36" s="233"/>
      <c r="AY36" s="234"/>
      <c r="AZ36" s="232"/>
      <c r="BA36" s="232"/>
      <c r="BB36" s="233"/>
      <c r="BC36" s="234">
        <v>1</v>
      </c>
      <c r="BD36" s="232"/>
      <c r="BE36" s="232"/>
      <c r="BF36" s="233"/>
      <c r="BG36" s="481">
        <f>BC36</f>
        <v>1</v>
      </c>
      <c r="BH36" s="448"/>
      <c r="BI36" s="449"/>
      <c r="BJ36" s="121">
        <f>BC36</f>
        <v>1</v>
      </c>
      <c r="BK36" s="135">
        <f>BJ36</f>
        <v>1</v>
      </c>
      <c r="BL36" s="58">
        <f>BG36</f>
        <v>1</v>
      </c>
    </row>
    <row r="37" spans="1:64" ht="130.5" customHeight="1" thickBot="1" x14ac:dyDescent="0.3">
      <c r="A37" s="23" t="s">
        <v>36</v>
      </c>
      <c r="B37" s="26" t="s">
        <v>88</v>
      </c>
      <c r="C37" s="28" t="s">
        <v>61</v>
      </c>
      <c r="D37" s="24" t="s">
        <v>118</v>
      </c>
      <c r="E37" s="24" t="s">
        <v>62</v>
      </c>
      <c r="F37" s="25" t="s">
        <v>41</v>
      </c>
      <c r="G37" s="93">
        <v>0.87</v>
      </c>
      <c r="H37" s="435">
        <v>0.87</v>
      </c>
      <c r="I37" s="436"/>
      <c r="J37" s="78">
        <f>H37/12</f>
        <v>7.2499999999999995E-2</v>
      </c>
      <c r="K37" s="472">
        <v>0.92</v>
      </c>
      <c r="L37" s="473"/>
      <c r="M37" s="474">
        <f>(K37*$J$37)/$H$37</f>
        <v>7.6666666666666661E-2</v>
      </c>
      <c r="N37" s="475"/>
      <c r="O37" s="435">
        <v>0.88</v>
      </c>
      <c r="P37" s="473"/>
      <c r="Q37" s="474">
        <f>(O37*$J$37)/$H$37</f>
        <v>7.3333333333333334E-2</v>
      </c>
      <c r="R37" s="475"/>
      <c r="S37" s="435">
        <v>0.94</v>
      </c>
      <c r="T37" s="473"/>
      <c r="U37" s="474">
        <f>(S37*$J$37)/$H$37</f>
        <v>7.8333333333333324E-2</v>
      </c>
      <c r="V37" s="475"/>
      <c r="W37" s="435">
        <v>1</v>
      </c>
      <c r="X37" s="473"/>
      <c r="Y37" s="474">
        <f>(W37*$J$37)/$H$37</f>
        <v>8.3333333333333329E-2</v>
      </c>
      <c r="Z37" s="475"/>
      <c r="AA37" s="435">
        <v>1</v>
      </c>
      <c r="AB37" s="473"/>
      <c r="AC37" s="474">
        <f>(AA37*$J$37)/$H$37</f>
        <v>8.3333333333333329E-2</v>
      </c>
      <c r="AD37" s="475"/>
      <c r="AE37" s="435">
        <v>0.98</v>
      </c>
      <c r="AF37" s="473"/>
      <c r="AG37" s="474">
        <f>(AE37*$J$37)/$H$37</f>
        <v>8.1666666666666651E-2</v>
      </c>
      <c r="AH37" s="475"/>
      <c r="AI37" s="435">
        <v>0.96</v>
      </c>
      <c r="AJ37" s="473"/>
      <c r="AK37" s="474">
        <f>(AI37*$J$37)/$H$37</f>
        <v>0.08</v>
      </c>
      <c r="AL37" s="475"/>
      <c r="AM37" s="435">
        <v>1</v>
      </c>
      <c r="AN37" s="473"/>
      <c r="AO37" s="474">
        <f>(AM37*$J$37)/$H$37</f>
        <v>8.3333333333333329E-2</v>
      </c>
      <c r="AP37" s="475"/>
      <c r="AQ37" s="435">
        <v>1</v>
      </c>
      <c r="AR37" s="473"/>
      <c r="AS37" s="474">
        <f>(AQ37*$J$37)/$H$37</f>
        <v>8.3333333333333329E-2</v>
      </c>
      <c r="AT37" s="475"/>
      <c r="AU37" s="435">
        <v>0.99</v>
      </c>
      <c r="AV37" s="473"/>
      <c r="AW37" s="474">
        <f>(AU37*$J$37)/$H$37</f>
        <v>8.249999999999999E-2</v>
      </c>
      <c r="AX37" s="475"/>
      <c r="AY37" s="435">
        <v>0.98</v>
      </c>
      <c r="AZ37" s="473"/>
      <c r="BA37" s="474">
        <f>(AY37*$J$37)/$H$37</f>
        <v>8.1666666666666651E-2</v>
      </c>
      <c r="BB37" s="475"/>
      <c r="BC37" s="435">
        <v>0.96</v>
      </c>
      <c r="BD37" s="473"/>
      <c r="BE37" s="474">
        <f>(BC37*$J$37)/$H$37</f>
        <v>0.08</v>
      </c>
      <c r="BF37" s="475"/>
      <c r="BG37" s="478">
        <f>AVERAGE(K37,O37,S37,W37,AA37,AE37,AI37,AM37,AQ37,AU37,AY37,BC37)</f>
        <v>0.96749999999999992</v>
      </c>
      <c r="BH37" s="479"/>
      <c r="BI37" s="480"/>
      <c r="BJ37" s="109">
        <f>SUM(M37,Q37,U37,Y37,AC37,AG37,AK37,AO37,AS37,AW37,BA37,BE37)</f>
        <v>0.96750000000000003</v>
      </c>
      <c r="BK37" s="136">
        <f>AVERAGE(BJ37)</f>
        <v>0.96750000000000003</v>
      </c>
      <c r="BL37" s="90">
        <f>AVERAGE(BG37)</f>
        <v>0.96749999999999992</v>
      </c>
    </row>
    <row r="38" spans="1:64" ht="57.75" thickBot="1" x14ac:dyDescent="0.3">
      <c r="A38" s="23" t="s">
        <v>71</v>
      </c>
      <c r="B38" s="26" t="s">
        <v>125</v>
      </c>
      <c r="C38" s="31" t="s">
        <v>113</v>
      </c>
      <c r="D38" s="24" t="s">
        <v>79</v>
      </c>
      <c r="E38" s="24" t="s">
        <v>72</v>
      </c>
      <c r="F38" s="25" t="s">
        <v>45</v>
      </c>
      <c r="G38" s="50">
        <f>AVERAGE(G9:G37)</f>
        <v>0.89075757575757564</v>
      </c>
      <c r="H38" s="415">
        <v>0.89</v>
      </c>
      <c r="I38" s="416"/>
      <c r="J38" s="91">
        <v>0.89</v>
      </c>
      <c r="K38" s="227" t="s">
        <v>165</v>
      </c>
      <c r="L38" s="228"/>
      <c r="M38" s="228"/>
      <c r="N38" s="228"/>
      <c r="O38" s="228"/>
      <c r="P38" s="228"/>
      <c r="Q38" s="228"/>
      <c r="R38" s="228"/>
      <c r="S38" s="228"/>
      <c r="T38" s="228"/>
      <c r="U38" s="228"/>
      <c r="V38" s="228"/>
      <c r="W38" s="228"/>
      <c r="X38" s="228"/>
      <c r="Y38" s="228"/>
      <c r="Z38" s="228"/>
      <c r="AA38" s="228"/>
      <c r="AB38" s="228"/>
      <c r="AC38" s="228"/>
      <c r="AD38" s="228"/>
      <c r="AE38" s="228"/>
      <c r="AF38" s="228"/>
      <c r="AG38" s="228"/>
      <c r="AH38" s="228"/>
      <c r="AI38" s="228"/>
      <c r="AJ38" s="228"/>
      <c r="AK38" s="228"/>
      <c r="AL38" s="228"/>
      <c r="AM38" s="228"/>
      <c r="AN38" s="228"/>
      <c r="AO38" s="228"/>
      <c r="AP38" s="228"/>
      <c r="AQ38" s="228"/>
      <c r="AR38" s="228"/>
      <c r="AS38" s="228"/>
      <c r="AT38" s="228"/>
      <c r="AU38" s="228"/>
      <c r="AV38" s="228"/>
      <c r="AW38" s="228"/>
      <c r="AX38" s="228"/>
      <c r="AY38" s="228"/>
      <c r="AZ38" s="228"/>
      <c r="BA38" s="228"/>
      <c r="BB38" s="228"/>
      <c r="BC38" s="228"/>
      <c r="BD38" s="228"/>
      <c r="BE38" s="228"/>
      <c r="BF38" s="228"/>
      <c r="BG38" s="228"/>
      <c r="BH38" s="228"/>
      <c r="BI38" s="229"/>
      <c r="BJ38" s="476">
        <f>AVERAGEIF(BK9:BK37,"&lt;&gt;0")</f>
        <v>0.96445315195566872</v>
      </c>
      <c r="BK38" s="477"/>
      <c r="BL38" s="141">
        <f>AVERAGEIF(BL9:BL37,"&lt;&gt;0")</f>
        <v>0.98097832061033674</v>
      </c>
    </row>
    <row r="39" spans="1:64" ht="57.75" thickBot="1" x14ac:dyDescent="0.3">
      <c r="A39" s="23" t="s">
        <v>71</v>
      </c>
      <c r="B39" s="26" t="s">
        <v>125</v>
      </c>
      <c r="C39" s="31" t="s">
        <v>113</v>
      </c>
      <c r="D39" s="24" t="s">
        <v>79</v>
      </c>
      <c r="E39" s="24" t="s">
        <v>72</v>
      </c>
      <c r="F39" s="25" t="s">
        <v>45</v>
      </c>
      <c r="G39" s="415">
        <v>0.91</v>
      </c>
      <c r="H39" s="416"/>
      <c r="I39" s="416"/>
      <c r="J39" s="421"/>
      <c r="K39" s="227" t="s">
        <v>123</v>
      </c>
      <c r="L39" s="228"/>
      <c r="M39" s="228"/>
      <c r="N39" s="228"/>
      <c r="O39" s="228"/>
      <c r="P39" s="228"/>
      <c r="Q39" s="228"/>
      <c r="R39" s="228"/>
      <c r="S39" s="228"/>
      <c r="T39" s="228"/>
      <c r="U39" s="228"/>
      <c r="V39" s="228"/>
      <c r="W39" s="228"/>
      <c r="X39" s="228"/>
      <c r="Y39" s="228"/>
      <c r="Z39" s="228"/>
      <c r="AA39" s="228"/>
      <c r="AB39" s="228"/>
      <c r="AC39" s="228"/>
      <c r="AD39" s="228"/>
      <c r="AE39" s="228"/>
      <c r="AF39" s="228"/>
      <c r="AG39" s="228"/>
      <c r="AH39" s="228"/>
      <c r="AI39" s="228"/>
      <c r="AJ39" s="228"/>
      <c r="AK39" s="228"/>
      <c r="AL39" s="228"/>
      <c r="AM39" s="228"/>
      <c r="AN39" s="228"/>
      <c r="AO39" s="228"/>
      <c r="AP39" s="228"/>
      <c r="AQ39" s="228"/>
      <c r="AR39" s="228"/>
      <c r="AS39" s="228"/>
      <c r="AT39" s="228"/>
      <c r="AU39" s="228"/>
      <c r="AV39" s="228"/>
      <c r="AW39" s="228"/>
      <c r="AX39" s="228"/>
      <c r="AY39" s="228"/>
      <c r="AZ39" s="228"/>
      <c r="BA39" s="228"/>
      <c r="BB39" s="228"/>
      <c r="BC39" s="228"/>
      <c r="BD39" s="228"/>
      <c r="BE39" s="228"/>
      <c r="BF39" s="228"/>
      <c r="BG39" s="228"/>
      <c r="BH39" s="228"/>
      <c r="BI39" s="229"/>
      <c r="BJ39" s="230">
        <v>0.91</v>
      </c>
      <c r="BK39" s="230"/>
      <c r="BL39" s="230"/>
    </row>
  </sheetData>
  <mergeCells count="555">
    <mergeCell ref="BH18:BI18"/>
    <mergeCell ref="BL16:BL18"/>
    <mergeCell ref="BK16:BK18"/>
    <mergeCell ref="BH34:BI34"/>
    <mergeCell ref="X18:Y18"/>
    <mergeCell ref="AB18:AC18"/>
    <mergeCell ref="AF18:AG18"/>
    <mergeCell ref="AJ18:AK18"/>
    <mergeCell ref="AN18:AO18"/>
    <mergeCell ref="AR18:AS18"/>
    <mergeCell ref="AV18:AW18"/>
    <mergeCell ref="AZ18:BA18"/>
    <mergeCell ref="BD18:BE18"/>
    <mergeCell ref="BH27:BI27"/>
    <mergeCell ref="AR31:AS31"/>
    <mergeCell ref="AV31:AW31"/>
    <mergeCell ref="AZ31:BA31"/>
    <mergeCell ref="BD31:BE31"/>
    <mergeCell ref="BE28:BF28"/>
    <mergeCell ref="BC29:BD29"/>
    <mergeCell ref="BE29:BF29"/>
    <mergeCell ref="AY29:AZ29"/>
    <mergeCell ref="BA29:BB29"/>
    <mergeCell ref="AY21:AZ21"/>
    <mergeCell ref="AB34:AC34"/>
    <mergeCell ref="AF34:AG34"/>
    <mergeCell ref="BJ38:BK38"/>
    <mergeCell ref="BC37:BD37"/>
    <mergeCell ref="BE37:BF37"/>
    <mergeCell ref="BG37:BI37"/>
    <mergeCell ref="BG36:BI36"/>
    <mergeCell ref="AO37:AP37"/>
    <mergeCell ref="AQ37:AR37"/>
    <mergeCell ref="AS37:AT37"/>
    <mergeCell ref="AU37:AV37"/>
    <mergeCell ref="AW37:AX37"/>
    <mergeCell ref="AY37:AZ37"/>
    <mergeCell ref="BA37:BB37"/>
    <mergeCell ref="AA36:AD36"/>
    <mergeCell ref="AE36:AH36"/>
    <mergeCell ref="BK34:BK35"/>
    <mergeCell ref="AI36:AL36"/>
    <mergeCell ref="A4:D4"/>
    <mergeCell ref="A5:D5"/>
    <mergeCell ref="E4:K4"/>
    <mergeCell ref="E5:K5"/>
    <mergeCell ref="AD4:AV4"/>
    <mergeCell ref="AD5:AV5"/>
    <mergeCell ref="L4:AC4"/>
    <mergeCell ref="L5:AC5"/>
    <mergeCell ref="K37:L37"/>
    <mergeCell ref="M37:N37"/>
    <mergeCell ref="O37:P37"/>
    <mergeCell ref="Q37:R37"/>
    <mergeCell ref="S37:T37"/>
    <mergeCell ref="U37:V37"/>
    <mergeCell ref="W37:X37"/>
    <mergeCell ref="Y37:Z37"/>
    <mergeCell ref="AA37:AB37"/>
    <mergeCell ref="AC37:AD37"/>
    <mergeCell ref="AE37:AF37"/>
    <mergeCell ref="AG37:AH37"/>
    <mergeCell ref="AI37:AJ37"/>
    <mergeCell ref="AK37:AL37"/>
    <mergeCell ref="AM37:AN37"/>
    <mergeCell ref="L34:M34"/>
    <mergeCell ref="AQ20:AT20"/>
    <mergeCell ref="AU21:AV21"/>
    <mergeCell ref="AW21:AX21"/>
    <mergeCell ref="AW22:AX22"/>
    <mergeCell ref="AQ22:AR22"/>
    <mergeCell ref="AS22:AT22"/>
    <mergeCell ref="AU22:AV22"/>
    <mergeCell ref="AQ23:AR23"/>
    <mergeCell ref="AU23:AV23"/>
    <mergeCell ref="AW23:AX23"/>
    <mergeCell ref="AQ11:AR11"/>
    <mergeCell ref="AU8:AX8"/>
    <mergeCell ref="AU10:AX10"/>
    <mergeCell ref="AY8:BB8"/>
    <mergeCell ref="AY10:BB10"/>
    <mergeCell ref="AY11:BB11"/>
    <mergeCell ref="BE9:BF9"/>
    <mergeCell ref="BE10:BF10"/>
    <mergeCell ref="BE11:BF11"/>
    <mergeCell ref="BC8:BF8"/>
    <mergeCell ref="BC10:BD10"/>
    <mergeCell ref="BC11:BD11"/>
    <mergeCell ref="AS11:AT11"/>
    <mergeCell ref="AU11:AX11"/>
    <mergeCell ref="AA8:AD8"/>
    <mergeCell ref="AG9:AH9"/>
    <mergeCell ref="AE8:AH8"/>
    <mergeCell ref="AG10:AH10"/>
    <mergeCell ref="AG11:AH11"/>
    <mergeCell ref="AI8:AL8"/>
    <mergeCell ref="AE9:AF9"/>
    <mergeCell ref="AI9:AJ9"/>
    <mergeCell ref="AM9:AN9"/>
    <mergeCell ref="AI11:AL11"/>
    <mergeCell ref="AK9:AL9"/>
    <mergeCell ref="AE10:AF10"/>
    <mergeCell ref="AI10:AL10"/>
    <mergeCell ref="AE11:AF11"/>
    <mergeCell ref="AC9:AD9"/>
    <mergeCell ref="AA10:AD10"/>
    <mergeCell ref="AA9:AB9"/>
    <mergeCell ref="AA11:AD11"/>
    <mergeCell ref="AM8:AP8"/>
    <mergeCell ref="AE14:AF14"/>
    <mergeCell ref="AG14:AH14"/>
    <mergeCell ref="AI14:AJ14"/>
    <mergeCell ref="AK14:AL14"/>
    <mergeCell ref="O12:R12"/>
    <mergeCell ref="O13:R13"/>
    <mergeCell ref="W12:Z12"/>
    <mergeCell ref="AA12:AD12"/>
    <mergeCell ref="AI12:AL12"/>
    <mergeCell ref="S13:V13"/>
    <mergeCell ref="W13:Z13"/>
    <mergeCell ref="AA13:AD13"/>
    <mergeCell ref="AE13:AH13"/>
    <mergeCell ref="AI13:AL13"/>
    <mergeCell ref="BC13:BF13"/>
    <mergeCell ref="BG20:BI20"/>
    <mergeCell ref="BG13:BI13"/>
    <mergeCell ref="AY15:BB15"/>
    <mergeCell ref="G19:G20"/>
    <mergeCell ref="K14:N14"/>
    <mergeCell ref="K15:N15"/>
    <mergeCell ref="O14:R14"/>
    <mergeCell ref="S14:V14"/>
    <mergeCell ref="O15:R15"/>
    <mergeCell ref="S15:V15"/>
    <mergeCell ref="G12:G15"/>
    <mergeCell ref="H13:I13"/>
    <mergeCell ref="H12:I12"/>
    <mergeCell ref="S19:T19"/>
    <mergeCell ref="U19:V19"/>
    <mergeCell ref="L18:M18"/>
    <mergeCell ref="P18:Q18"/>
    <mergeCell ref="T18:U18"/>
    <mergeCell ref="G16:G18"/>
    <mergeCell ref="W14:Z14"/>
    <mergeCell ref="AA14:AD14"/>
    <mergeCell ref="W15:Z15"/>
    <mergeCell ref="AA15:AD15"/>
    <mergeCell ref="W21:X21"/>
    <mergeCell ref="Y21:Z21"/>
    <mergeCell ref="AA21:AB21"/>
    <mergeCell ref="AC21:AD21"/>
    <mergeCell ref="BK12:BK15"/>
    <mergeCell ref="BG19:BI19"/>
    <mergeCell ref="BG21:BI21"/>
    <mergeCell ref="AU16:AV16"/>
    <mergeCell ref="AW16:AX16"/>
    <mergeCell ref="AY16:AZ16"/>
    <mergeCell ref="BA16:BB16"/>
    <mergeCell ref="BC16:BD16"/>
    <mergeCell ref="AU20:AX20"/>
    <mergeCell ref="AY20:BB20"/>
    <mergeCell ref="BC20:BF20"/>
    <mergeCell ref="BG15:BI15"/>
    <mergeCell ref="BK19:BK20"/>
    <mergeCell ref="BA21:BB21"/>
    <mergeCell ref="BC21:BD21"/>
    <mergeCell ref="AW19:AX19"/>
    <mergeCell ref="AY19:AZ19"/>
    <mergeCell ref="BA19:BB19"/>
    <mergeCell ref="BC19:BD19"/>
    <mergeCell ref="AY12:BB12"/>
    <mergeCell ref="BH31:BI31"/>
    <mergeCell ref="BE26:BF26"/>
    <mergeCell ref="BE21:BF21"/>
    <mergeCell ref="BE22:BF22"/>
    <mergeCell ref="BA25:BB25"/>
    <mergeCell ref="BA26:BB26"/>
    <mergeCell ref="BE24:BF24"/>
    <mergeCell ref="BE25:BF25"/>
    <mergeCell ref="BC24:BD24"/>
    <mergeCell ref="BG25:BI25"/>
    <mergeCell ref="BG26:BI26"/>
    <mergeCell ref="BG28:BI28"/>
    <mergeCell ref="BA24:BB24"/>
    <mergeCell ref="BC23:BD23"/>
    <mergeCell ref="BE23:BF23"/>
    <mergeCell ref="BH30:BI30"/>
    <mergeCell ref="BC25:BD25"/>
    <mergeCell ref="BC26:BD26"/>
    <mergeCell ref="BC28:BD28"/>
    <mergeCell ref="BG29:BI29"/>
    <mergeCell ref="BA23:BB23"/>
    <mergeCell ref="AY22:AZ22"/>
    <mergeCell ref="BA22:BB22"/>
    <mergeCell ref="BC22:BD22"/>
    <mergeCell ref="AY25:AZ25"/>
    <mergeCell ref="P34:Q34"/>
    <mergeCell ref="T34:U34"/>
    <mergeCell ref="G39:J39"/>
    <mergeCell ref="H16:I16"/>
    <mergeCell ref="H17:I17"/>
    <mergeCell ref="H19:I19"/>
    <mergeCell ref="H21:I21"/>
    <mergeCell ref="H22:I22"/>
    <mergeCell ref="H23:I23"/>
    <mergeCell ref="H24:I24"/>
    <mergeCell ref="H25:I25"/>
    <mergeCell ref="H26:I26"/>
    <mergeCell ref="G28:G30"/>
    <mergeCell ref="G31:G33"/>
    <mergeCell ref="G34:G35"/>
    <mergeCell ref="H28:I28"/>
    <mergeCell ref="H29:I29"/>
    <mergeCell ref="H36:I36"/>
    <mergeCell ref="H37:I37"/>
    <mergeCell ref="G21:G23"/>
    <mergeCell ref="G24:G27"/>
    <mergeCell ref="S23:T23"/>
    <mergeCell ref="H38:I38"/>
    <mergeCell ref="O36:R36"/>
    <mergeCell ref="W23:X23"/>
    <mergeCell ref="Y23:Z23"/>
    <mergeCell ref="L31:M31"/>
    <mergeCell ref="K29:L29"/>
    <mergeCell ref="M29:N29"/>
    <mergeCell ref="O29:P29"/>
    <mergeCell ref="S29:T29"/>
    <mergeCell ref="K23:L23"/>
    <mergeCell ref="M23:N23"/>
    <mergeCell ref="U26:V26"/>
    <mergeCell ref="Y24:Z24"/>
    <mergeCell ref="Y25:Z25"/>
    <mergeCell ref="Y26:Z26"/>
    <mergeCell ref="U25:V25"/>
    <mergeCell ref="X34:Y34"/>
    <mergeCell ref="W36:Z36"/>
    <mergeCell ref="K11:N11"/>
    <mergeCell ref="AE21:AF21"/>
    <mergeCell ref="AE23:AF23"/>
    <mergeCell ref="A7:A8"/>
    <mergeCell ref="B7:B8"/>
    <mergeCell ref="H8:I8"/>
    <mergeCell ref="B9:B11"/>
    <mergeCell ref="A9:A11"/>
    <mergeCell ref="H11:I11"/>
    <mergeCell ref="K8:N8"/>
    <mergeCell ref="W9:X9"/>
    <mergeCell ref="S8:V8"/>
    <mergeCell ref="S10:V10"/>
    <mergeCell ref="U11:V11"/>
    <mergeCell ref="O10:R10"/>
    <mergeCell ref="O11:R11"/>
    <mergeCell ref="W8:Z8"/>
    <mergeCell ref="W10:Z10"/>
    <mergeCell ref="W11:Z11"/>
    <mergeCell ref="Y9:Z9"/>
    <mergeCell ref="C7:J7"/>
    <mergeCell ref="O8:R8"/>
    <mergeCell ref="O23:P23"/>
    <mergeCell ref="Q23:R23"/>
    <mergeCell ref="Q9:R9"/>
    <mergeCell ref="U9:V9"/>
    <mergeCell ref="S11:T11"/>
    <mergeCell ref="M9:N9"/>
    <mergeCell ref="K10:N10"/>
    <mergeCell ref="BK28:BK30"/>
    <mergeCell ref="E21:E23"/>
    <mergeCell ref="BK24:BK27"/>
    <mergeCell ref="B28:B30"/>
    <mergeCell ref="B21:B23"/>
    <mergeCell ref="B24:B27"/>
    <mergeCell ref="K21:L21"/>
    <mergeCell ref="K22:L22"/>
    <mergeCell ref="M21:N21"/>
    <mergeCell ref="M22:N22"/>
    <mergeCell ref="O21:P21"/>
    <mergeCell ref="Q21:R21"/>
    <mergeCell ref="S21:T21"/>
    <mergeCell ref="AO25:AP25"/>
    <mergeCell ref="AO24:AP24"/>
    <mergeCell ref="BG22:BI22"/>
    <mergeCell ref="BG23:BI23"/>
    <mergeCell ref="BG24:BI24"/>
    <mergeCell ref="AE16:AF16"/>
    <mergeCell ref="A31:A36"/>
    <mergeCell ref="Q16:R16"/>
    <mergeCell ref="K24:L24"/>
    <mergeCell ref="K25:L25"/>
    <mergeCell ref="K26:L26"/>
    <mergeCell ref="M24:N24"/>
    <mergeCell ref="M25:N25"/>
    <mergeCell ref="M26:N26"/>
    <mergeCell ref="Q24:R24"/>
    <mergeCell ref="Q25:R25"/>
    <mergeCell ref="Q26:R26"/>
    <mergeCell ref="O24:P24"/>
    <mergeCell ref="O25:P25"/>
    <mergeCell ref="O26:P26"/>
    <mergeCell ref="K28:N28"/>
    <mergeCell ref="O28:R28"/>
    <mergeCell ref="E25:E26"/>
    <mergeCell ref="K20:N20"/>
    <mergeCell ref="O20:R20"/>
    <mergeCell ref="K16:L16"/>
    <mergeCell ref="B19:B20"/>
    <mergeCell ref="H20:I20"/>
    <mergeCell ref="B31:B33"/>
    <mergeCell ref="A16:A18"/>
    <mergeCell ref="D21:D22"/>
    <mergeCell ref="Q29:R29"/>
    <mergeCell ref="A12:A15"/>
    <mergeCell ref="B12:B15"/>
    <mergeCell ref="H15:I15"/>
    <mergeCell ref="AA22:AB22"/>
    <mergeCell ref="AC22:AD22"/>
    <mergeCell ref="S20:V20"/>
    <mergeCell ref="U21:V21"/>
    <mergeCell ref="AC24:AD24"/>
    <mergeCell ref="AC25:AD25"/>
    <mergeCell ref="S16:T16"/>
    <mergeCell ref="U16:V16"/>
    <mergeCell ref="W16:X16"/>
    <mergeCell ref="Y16:Z16"/>
    <mergeCell ref="AA16:AB16"/>
    <mergeCell ref="AC16:AD16"/>
    <mergeCell ref="H14:I14"/>
    <mergeCell ref="O19:P19"/>
    <mergeCell ref="Q19:R19"/>
    <mergeCell ref="AA23:AB23"/>
    <mergeCell ref="AC23:AD23"/>
    <mergeCell ref="W19:X19"/>
    <mergeCell ref="U23:V23"/>
    <mergeCell ref="BK31:BK33"/>
    <mergeCell ref="B34:B35"/>
    <mergeCell ref="H9:I9"/>
    <mergeCell ref="H10:I10"/>
    <mergeCell ref="G9:G11"/>
    <mergeCell ref="K9:L9"/>
    <mergeCell ref="O9:P9"/>
    <mergeCell ref="S9:T9"/>
    <mergeCell ref="M16:N16"/>
    <mergeCell ref="O16:P16"/>
    <mergeCell ref="AI15:AL15"/>
    <mergeCell ref="AM15:AP15"/>
    <mergeCell ref="AE15:AH15"/>
    <mergeCell ref="BC15:BF15"/>
    <mergeCell ref="AM14:AP14"/>
    <mergeCell ref="AQ19:AR19"/>
    <mergeCell ref="AS19:AT19"/>
    <mergeCell ref="AU19:AV19"/>
    <mergeCell ref="AY14:BB14"/>
    <mergeCell ref="BC14:BF14"/>
    <mergeCell ref="AQ13:AT13"/>
    <mergeCell ref="AU13:AX13"/>
    <mergeCell ref="AY13:BB13"/>
    <mergeCell ref="AK16:AL16"/>
    <mergeCell ref="BK9:BK11"/>
    <mergeCell ref="A28:A30"/>
    <mergeCell ref="A24:A27"/>
    <mergeCell ref="A19:A23"/>
    <mergeCell ref="K12:N12"/>
    <mergeCell ref="K13:N13"/>
    <mergeCell ref="AQ15:AT15"/>
    <mergeCell ref="AU15:AX15"/>
    <mergeCell ref="AM16:AN16"/>
    <mergeCell ref="AO16:AP16"/>
    <mergeCell ref="AQ16:AR16"/>
    <mergeCell ref="AS16:AT16"/>
    <mergeCell ref="BE19:BF19"/>
    <mergeCell ref="AG16:AH16"/>
    <mergeCell ref="AI16:AJ16"/>
    <mergeCell ref="O22:P22"/>
    <mergeCell ref="Q22:R22"/>
    <mergeCell ref="S22:T22"/>
    <mergeCell ref="U22:V22"/>
    <mergeCell ref="W22:X22"/>
    <mergeCell ref="Y22:Z22"/>
    <mergeCell ref="K19:L19"/>
    <mergeCell ref="M19:N19"/>
    <mergeCell ref="BK21:BK23"/>
    <mergeCell ref="BG8:BI8"/>
    <mergeCell ref="BG9:BI9"/>
    <mergeCell ref="BG10:BI10"/>
    <mergeCell ref="BG11:BI11"/>
    <mergeCell ref="BE16:BF16"/>
    <mergeCell ref="BG14:BI14"/>
    <mergeCell ref="BG16:BI16"/>
    <mergeCell ref="BC9:BD9"/>
    <mergeCell ref="AO9:AP9"/>
    <mergeCell ref="AM10:AP10"/>
    <mergeCell ref="AM11:AP11"/>
    <mergeCell ref="BA9:BB9"/>
    <mergeCell ref="AQ14:AT14"/>
    <mergeCell ref="AU14:AX14"/>
    <mergeCell ref="AU12:AX12"/>
    <mergeCell ref="AM12:AP12"/>
    <mergeCell ref="AM13:AP13"/>
    <mergeCell ref="AS9:AT9"/>
    <mergeCell ref="AQ10:AT10"/>
    <mergeCell ref="AQ8:AT8"/>
    <mergeCell ref="AQ9:AR9"/>
    <mergeCell ref="AU9:AV9"/>
    <mergeCell ref="AY9:AZ9"/>
    <mergeCell ref="AW9:AX9"/>
    <mergeCell ref="AG19:AH19"/>
    <mergeCell ref="AI19:AJ19"/>
    <mergeCell ref="Y19:Z19"/>
    <mergeCell ref="AA19:AB19"/>
    <mergeCell ref="AC19:AD19"/>
    <mergeCell ref="AO19:AP19"/>
    <mergeCell ref="W20:Z20"/>
    <mergeCell ref="AA20:AD20"/>
    <mergeCell ref="AE20:AH20"/>
    <mergeCell ref="AI20:AL20"/>
    <mergeCell ref="AK19:AL19"/>
    <mergeCell ref="AM20:AP20"/>
    <mergeCell ref="AM19:AN19"/>
    <mergeCell ref="AE19:AF19"/>
    <mergeCell ref="AI26:AJ26"/>
    <mergeCell ref="AK25:AL25"/>
    <mergeCell ref="AG22:AH22"/>
    <mergeCell ref="AI22:AJ22"/>
    <mergeCell ref="AK22:AL22"/>
    <mergeCell ref="AI23:AJ23"/>
    <mergeCell ref="AK23:AL23"/>
    <mergeCell ref="AM23:AN23"/>
    <mergeCell ref="AO23:AP23"/>
    <mergeCell ref="AG23:AH23"/>
    <mergeCell ref="AM25:AN25"/>
    <mergeCell ref="AI25:AJ25"/>
    <mergeCell ref="AG21:AH21"/>
    <mergeCell ref="AI21:AJ21"/>
    <mergeCell ref="AK21:AL21"/>
    <mergeCell ref="AM22:AN22"/>
    <mergeCell ref="AO22:AP22"/>
    <mergeCell ref="AO21:AP21"/>
    <mergeCell ref="AI24:AJ24"/>
    <mergeCell ref="AK24:AL24"/>
    <mergeCell ref="AS23:AT23"/>
    <mergeCell ref="AM21:AN21"/>
    <mergeCell ref="AC26:AD26"/>
    <mergeCell ref="AG24:AH24"/>
    <mergeCell ref="AG25:AH25"/>
    <mergeCell ref="AG26:AH26"/>
    <mergeCell ref="AA26:AB26"/>
    <mergeCell ref="AE24:AF24"/>
    <mergeCell ref="AE25:AF25"/>
    <mergeCell ref="AE26:AF26"/>
    <mergeCell ref="AA24:AB24"/>
    <mergeCell ref="AA25:AB25"/>
    <mergeCell ref="AA28:AD28"/>
    <mergeCell ref="AI28:AL28"/>
    <mergeCell ref="AM28:AP28"/>
    <mergeCell ref="AW24:AX24"/>
    <mergeCell ref="AE22:AF22"/>
    <mergeCell ref="U24:V24"/>
    <mergeCell ref="S28:T28"/>
    <mergeCell ref="U28:V28"/>
    <mergeCell ref="AE28:AF28"/>
    <mergeCell ref="AG28:AH28"/>
    <mergeCell ref="AQ28:AR28"/>
    <mergeCell ref="AS28:AT28"/>
    <mergeCell ref="S24:T24"/>
    <mergeCell ref="S25:T25"/>
    <mergeCell ref="S26:T26"/>
    <mergeCell ref="W24:X24"/>
    <mergeCell ref="W25:X25"/>
    <mergeCell ref="W26:X26"/>
    <mergeCell ref="AQ25:AR25"/>
    <mergeCell ref="AQ26:AR26"/>
    <mergeCell ref="AK26:AL26"/>
    <mergeCell ref="AS24:AT24"/>
    <mergeCell ref="AS25:AT25"/>
    <mergeCell ref="AS26:AT26"/>
    <mergeCell ref="AY23:AZ23"/>
    <mergeCell ref="AQ21:AR21"/>
    <mergeCell ref="AS21:AT21"/>
    <mergeCell ref="AU28:AX28"/>
    <mergeCell ref="AW29:AX29"/>
    <mergeCell ref="P31:Q31"/>
    <mergeCell ref="X31:Y31"/>
    <mergeCell ref="AB31:AC31"/>
    <mergeCell ref="T31:U31"/>
    <mergeCell ref="U29:V29"/>
    <mergeCell ref="W29:X29"/>
    <mergeCell ref="Y29:Z29"/>
    <mergeCell ref="AA29:AB29"/>
    <mergeCell ref="AC29:AD29"/>
    <mergeCell ref="AE29:AF29"/>
    <mergeCell ref="AG29:AH29"/>
    <mergeCell ref="AI29:AJ29"/>
    <mergeCell ref="AF31:AG31"/>
    <mergeCell ref="AJ31:AK31"/>
    <mergeCell ref="AN31:AO31"/>
    <mergeCell ref="W28:Z28"/>
    <mergeCell ref="AY28:BB28"/>
    <mergeCell ref="AU24:AV24"/>
    <mergeCell ref="AU25:AV25"/>
    <mergeCell ref="AU26:AV26"/>
    <mergeCell ref="AW25:AX25"/>
    <mergeCell ref="AW26:AX26"/>
    <mergeCell ref="AM24:AN24"/>
    <mergeCell ref="AQ24:AR24"/>
    <mergeCell ref="AY24:AZ24"/>
    <mergeCell ref="AM26:AN26"/>
    <mergeCell ref="AO26:AP26"/>
    <mergeCell ref="AY26:AZ26"/>
    <mergeCell ref="A2:BL3"/>
    <mergeCell ref="AW4:BL4"/>
    <mergeCell ref="AW5:BL5"/>
    <mergeCell ref="K7:BL7"/>
    <mergeCell ref="BL9:BL11"/>
    <mergeCell ref="BL12:BL15"/>
    <mergeCell ref="BL19:BL20"/>
    <mergeCell ref="AJ34:AK34"/>
    <mergeCell ref="BD34:BE34"/>
    <mergeCell ref="AI32:AL32"/>
    <mergeCell ref="AM32:AP32"/>
    <mergeCell ref="AQ32:AT32"/>
    <mergeCell ref="AU32:AX32"/>
    <mergeCell ref="AY32:BB32"/>
    <mergeCell ref="AN34:AO34"/>
    <mergeCell ref="AR34:AS34"/>
    <mergeCell ref="AV34:AW34"/>
    <mergeCell ref="AZ34:BA34"/>
    <mergeCell ref="BD32:BE32"/>
    <mergeCell ref="BH32:BI32"/>
    <mergeCell ref="BL21:BL23"/>
    <mergeCell ref="BL24:BL27"/>
    <mergeCell ref="BL28:BL30"/>
    <mergeCell ref="B16:B18"/>
    <mergeCell ref="AK29:AL29"/>
    <mergeCell ref="AM29:AN29"/>
    <mergeCell ref="AO29:AP29"/>
    <mergeCell ref="AQ29:AR29"/>
    <mergeCell ref="BL31:BL33"/>
    <mergeCell ref="BL34:BL35"/>
    <mergeCell ref="K38:BI38"/>
    <mergeCell ref="BJ39:BL39"/>
    <mergeCell ref="K39:BI39"/>
    <mergeCell ref="K36:N36"/>
    <mergeCell ref="AU36:AX36"/>
    <mergeCell ref="AY36:BB36"/>
    <mergeCell ref="BC36:BF36"/>
    <mergeCell ref="K32:N32"/>
    <mergeCell ref="O32:R32"/>
    <mergeCell ref="S32:V32"/>
    <mergeCell ref="W32:Z32"/>
    <mergeCell ref="AA32:AD32"/>
    <mergeCell ref="AE32:AH32"/>
    <mergeCell ref="AM36:AP36"/>
    <mergeCell ref="AQ36:AT36"/>
    <mergeCell ref="S36:V36"/>
    <mergeCell ref="AS29:AT29"/>
    <mergeCell ref="AU29:AV29"/>
  </mergeCells>
  <pageMargins left="0.7" right="0.7" top="0.75" bottom="0.75" header="0.3" footer="0.3"/>
  <pageSetup scale="13" orientation="portrait" r:id="rId1"/>
  <ignoredErrors>
    <ignoredError sqref="BI12"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61" zoomScale="90" zoomScaleNormal="90" workbookViewId="0">
      <selection activeCell="AF15" sqref="B14:AR28"/>
    </sheetView>
  </sheetViews>
  <sheetFormatPr baseColWidth="10" defaultRowHeight="15" x14ac:dyDescent="0.25"/>
  <cols>
    <col min="1" max="1" width="19.5703125" customWidth="1"/>
    <col min="3" max="3" width="10.42578125" customWidth="1"/>
    <col min="6" max="6" width="7.42578125" customWidth="1"/>
    <col min="7" max="7" width="9.5703125" customWidth="1"/>
    <col min="8" max="8" width="7.140625" customWidth="1"/>
    <col min="9" max="9" width="7.28515625" customWidth="1"/>
    <col min="10" max="10" width="8.5703125" customWidth="1"/>
    <col min="12" max="12" width="8.7109375" customWidth="1"/>
  </cols>
  <sheetData>
    <row r="1" spans="1:3" ht="6.75" customHeight="1" x14ac:dyDescent="0.25">
      <c r="A1" s="130" t="s">
        <v>142</v>
      </c>
      <c r="B1" s="130" t="s">
        <v>141</v>
      </c>
      <c r="C1" s="133"/>
    </row>
    <row r="2" spans="1:3" x14ac:dyDescent="0.25">
      <c r="A2" s="131">
        <v>0.05</v>
      </c>
      <c r="B2" s="130">
        <v>1</v>
      </c>
      <c r="C2" s="133"/>
    </row>
    <row r="3" spans="1:3" x14ac:dyDescent="0.25">
      <c r="A3" s="131">
        <v>0.1</v>
      </c>
      <c r="B3" s="130">
        <v>1</v>
      </c>
      <c r="C3" s="133"/>
    </row>
    <row r="4" spans="1:3" x14ac:dyDescent="0.25">
      <c r="A4" s="131">
        <v>0.15</v>
      </c>
      <c r="B4" s="130">
        <v>1</v>
      </c>
      <c r="C4" s="133"/>
    </row>
    <row r="5" spans="1:3" x14ac:dyDescent="0.25">
      <c r="A5" s="131">
        <v>0.2</v>
      </c>
      <c r="B5" s="130">
        <v>1</v>
      </c>
      <c r="C5" s="133"/>
    </row>
    <row r="6" spans="1:3" x14ac:dyDescent="0.25">
      <c r="A6" s="131">
        <v>0.25</v>
      </c>
      <c r="B6" s="130">
        <v>1</v>
      </c>
      <c r="C6" s="133"/>
    </row>
    <row r="7" spans="1:3" x14ac:dyDescent="0.25">
      <c r="A7" s="131">
        <v>0.3</v>
      </c>
      <c r="B7" s="130">
        <v>1</v>
      </c>
      <c r="C7" s="133"/>
    </row>
    <row r="8" spans="1:3" x14ac:dyDescent="0.25">
      <c r="A8" s="131">
        <v>0.35</v>
      </c>
      <c r="B8" s="130">
        <v>1</v>
      </c>
      <c r="C8" s="133"/>
    </row>
    <row r="9" spans="1:3" x14ac:dyDescent="0.25">
      <c r="A9" s="131">
        <v>0.4</v>
      </c>
      <c r="B9" s="130">
        <v>1</v>
      </c>
      <c r="C9" s="133"/>
    </row>
    <row r="10" spans="1:3" x14ac:dyDescent="0.25">
      <c r="A10" s="131">
        <v>0.45</v>
      </c>
      <c r="B10" s="130">
        <v>1</v>
      </c>
      <c r="C10" s="133"/>
    </row>
    <row r="11" spans="1:3" x14ac:dyDescent="0.25">
      <c r="A11" s="131">
        <v>0.5</v>
      </c>
      <c r="B11" s="130">
        <v>1</v>
      </c>
      <c r="C11" s="133"/>
    </row>
    <row r="12" spans="1:3" x14ac:dyDescent="0.25">
      <c r="A12" s="131">
        <v>0.55000000000000004</v>
      </c>
      <c r="B12" s="130">
        <v>1</v>
      </c>
      <c r="C12" s="133"/>
    </row>
    <row r="13" spans="1:3" x14ac:dyDescent="0.25">
      <c r="A13" s="131">
        <v>0.6</v>
      </c>
      <c r="B13" s="130">
        <v>1</v>
      </c>
      <c r="C13" s="133"/>
    </row>
    <row r="14" spans="1:3" x14ac:dyDescent="0.25">
      <c r="A14" s="131">
        <v>0.65</v>
      </c>
      <c r="B14" s="130">
        <v>1</v>
      </c>
      <c r="C14" s="133"/>
    </row>
    <row r="15" spans="1:3" x14ac:dyDescent="0.25">
      <c r="A15" s="131">
        <v>0.7</v>
      </c>
      <c r="B15" s="130">
        <v>1</v>
      </c>
      <c r="C15" s="133"/>
    </row>
    <row r="16" spans="1:3" x14ac:dyDescent="0.25">
      <c r="A16" s="131">
        <v>0.75</v>
      </c>
      <c r="B16" s="130">
        <v>1</v>
      </c>
      <c r="C16" s="133"/>
    </row>
    <row r="17" spans="1:13" x14ac:dyDescent="0.25">
      <c r="A17" s="131">
        <v>0.8</v>
      </c>
      <c r="B17" s="130">
        <v>1</v>
      </c>
      <c r="C17" s="133"/>
    </row>
    <row r="18" spans="1:13" x14ac:dyDescent="0.25">
      <c r="A18" s="131">
        <v>0.85</v>
      </c>
      <c r="B18" s="130">
        <v>1</v>
      </c>
      <c r="C18" s="133"/>
    </row>
    <row r="19" spans="1:13" x14ac:dyDescent="0.25">
      <c r="A19" s="131">
        <v>0.9</v>
      </c>
      <c r="B19" s="130">
        <v>1</v>
      </c>
      <c r="C19" s="133"/>
    </row>
    <row r="20" spans="1:13" x14ac:dyDescent="0.25">
      <c r="A20" s="131">
        <v>0.95</v>
      </c>
      <c r="B20" s="130">
        <v>1</v>
      </c>
      <c r="C20" s="133"/>
    </row>
    <row r="21" spans="1:13" x14ac:dyDescent="0.25">
      <c r="A21" s="131">
        <v>1</v>
      </c>
      <c r="B21" s="130">
        <f>SUM(B2:B20)</f>
        <v>19</v>
      </c>
      <c r="C21" s="133"/>
    </row>
    <row r="22" spans="1:13" x14ac:dyDescent="0.25">
      <c r="A22" s="130"/>
      <c r="B22" s="130"/>
      <c r="C22" s="133"/>
    </row>
    <row r="23" spans="1:13" ht="15.75" thickBot="1" x14ac:dyDescent="0.3">
      <c r="A23" s="130"/>
      <c r="B23" s="130"/>
      <c r="C23" s="133"/>
      <c r="F23" s="130"/>
      <c r="G23" s="130"/>
      <c r="H23" s="130"/>
      <c r="I23" s="130"/>
      <c r="K23" s="180" t="s">
        <v>164</v>
      </c>
    </row>
    <row r="24" spans="1:13" x14ac:dyDescent="0.25">
      <c r="A24" s="145"/>
      <c r="B24" s="146"/>
      <c r="C24" s="146"/>
      <c r="D24" s="181" t="s">
        <v>159</v>
      </c>
      <c r="E24" s="158"/>
      <c r="F24" s="491" t="s">
        <v>155</v>
      </c>
      <c r="G24" s="492"/>
      <c r="H24" s="493" t="s">
        <v>156</v>
      </c>
      <c r="I24" s="494"/>
      <c r="J24" s="495" t="s">
        <v>155</v>
      </c>
      <c r="K24" s="496"/>
      <c r="L24" s="497" t="s">
        <v>156</v>
      </c>
      <c r="M24" s="496"/>
    </row>
    <row r="25" spans="1:13" ht="45" x14ac:dyDescent="0.25">
      <c r="A25" s="147"/>
      <c r="B25" s="155" t="str">
        <f>'2021'!BK8</f>
        <v>LOGRO DE OBJETIVO</v>
      </c>
      <c r="C25" s="156" t="str">
        <f>'2021'!BL8</f>
        <v>PRPMEDIO CUMPL OBJETIVO</v>
      </c>
      <c r="D25" s="155" t="s">
        <v>163</v>
      </c>
      <c r="E25" s="159" t="s">
        <v>162</v>
      </c>
      <c r="F25" s="165" t="s">
        <v>157</v>
      </c>
      <c r="G25" s="166" t="s">
        <v>158</v>
      </c>
      <c r="H25" s="162" t="s">
        <v>157</v>
      </c>
      <c r="I25" s="171" t="s">
        <v>158</v>
      </c>
      <c r="J25" s="177" t="s">
        <v>157</v>
      </c>
      <c r="K25" s="157" t="s">
        <v>158</v>
      </c>
      <c r="L25" s="174" t="s">
        <v>157</v>
      </c>
      <c r="M25" s="157" t="s">
        <v>158</v>
      </c>
    </row>
    <row r="26" spans="1:13" x14ac:dyDescent="0.25">
      <c r="A26" s="149" t="s">
        <v>143</v>
      </c>
      <c r="B26" s="142">
        <f>'2021'!BK9</f>
        <v>0.97333333333333327</v>
      </c>
      <c r="C26" s="143">
        <f>'2021'!BL9</f>
        <v>0.96916666666666673</v>
      </c>
      <c r="D26" s="144">
        <f>B26*PI()</f>
        <v>3.0578168494940652</v>
      </c>
      <c r="E26" s="160">
        <f>C26*PI()</f>
        <v>3.0447268801041081</v>
      </c>
      <c r="F26" s="167">
        <v>0</v>
      </c>
      <c r="G26" s="168">
        <f>COS(D26)*-1</f>
        <v>0.99649285924950437</v>
      </c>
      <c r="H26" s="163">
        <v>0</v>
      </c>
      <c r="I26" s="172">
        <f>SIN(D26)</f>
        <v>8.3677843332315732E-2</v>
      </c>
      <c r="J26" s="178">
        <v>0</v>
      </c>
      <c r="K26" s="148">
        <f>COS(E26)*-1</f>
        <v>0.99531217816126549</v>
      </c>
      <c r="L26" s="175">
        <v>0</v>
      </c>
      <c r="M26" s="148">
        <f>SIN(E26)</f>
        <v>9.6714362965783895E-2</v>
      </c>
    </row>
    <row r="27" spans="1:13" x14ac:dyDescent="0.25">
      <c r="A27" s="149" t="s">
        <v>144</v>
      </c>
      <c r="B27" s="142">
        <f>'2021'!BK12</f>
        <v>0.92274999999999996</v>
      </c>
      <c r="C27" s="143">
        <f>'2021'!BL12</f>
        <v>0.97499999999999998</v>
      </c>
      <c r="D27" s="144">
        <f t="shared" ref="D27:E37" si="0">B27*PI()</f>
        <v>2.8989046210999816</v>
      </c>
      <c r="E27" s="160">
        <f t="shared" si="0"/>
        <v>3.0630528372500483</v>
      </c>
      <c r="F27" s="167">
        <v>0</v>
      </c>
      <c r="G27" s="168">
        <f t="shared" ref="G27:G37" si="1">COS(D27)*-1</f>
        <v>0.97069551403051868</v>
      </c>
      <c r="H27" s="163">
        <v>0</v>
      </c>
      <c r="I27" s="172">
        <f t="shared" ref="I27:I37" si="2">SIN(D27)</f>
        <v>0.24031275255597032</v>
      </c>
      <c r="J27" s="178">
        <v>0</v>
      </c>
      <c r="K27" s="148">
        <f t="shared" ref="K27:K37" si="3">COS(E27)*-1</f>
        <v>0.99691733373312796</v>
      </c>
      <c r="L27" s="175">
        <v>0</v>
      </c>
      <c r="M27" s="148">
        <f t="shared" ref="M27:M37" si="4">SIN(E27)</f>
        <v>7.8459095727845068E-2</v>
      </c>
    </row>
    <row r="28" spans="1:13" x14ac:dyDescent="0.25">
      <c r="A28" s="149" t="s">
        <v>145</v>
      </c>
      <c r="B28" s="142">
        <f>'2021'!BK16</f>
        <v>0.99444444444444446</v>
      </c>
      <c r="C28" s="143">
        <f>'2021'!BL16</f>
        <v>0.99574468085106382</v>
      </c>
      <c r="D28" s="144">
        <f t="shared" si="0"/>
        <v>3.12413936106985</v>
      </c>
      <c r="E28" s="160">
        <f t="shared" si="0"/>
        <v>3.1282241742128152</v>
      </c>
      <c r="F28" s="167">
        <v>0</v>
      </c>
      <c r="G28" s="168">
        <f t="shared" si="1"/>
        <v>0.99984769515639127</v>
      </c>
      <c r="H28" s="163">
        <v>0</v>
      </c>
      <c r="I28" s="172">
        <f t="shared" si="2"/>
        <v>1.7452406437283439E-2</v>
      </c>
      <c r="J28" s="178">
        <v>0</v>
      </c>
      <c r="K28" s="148">
        <f t="shared" si="3"/>
        <v>0.99991064321037804</v>
      </c>
      <c r="L28" s="175">
        <v>0</v>
      </c>
      <c r="M28" s="148">
        <f t="shared" si="4"/>
        <v>1.3368081186472871E-2</v>
      </c>
    </row>
    <row r="29" spans="1:13" x14ac:dyDescent="0.25">
      <c r="A29" s="149" t="s">
        <v>151</v>
      </c>
      <c r="B29" s="142">
        <f>'2021'!BK19</f>
        <v>0.99560000000000004</v>
      </c>
      <c r="C29" s="143">
        <f>'2021'!BL19</f>
        <v>0.99560000000000004</v>
      </c>
      <c r="D29" s="144">
        <f t="shared" si="0"/>
        <v>3.1277696459139981</v>
      </c>
      <c r="E29" s="160">
        <f t="shared" si="0"/>
        <v>3.1277696459139981</v>
      </c>
      <c r="F29" s="167">
        <v>0</v>
      </c>
      <c r="G29" s="168">
        <f t="shared" si="1"/>
        <v>0.99990446375063202</v>
      </c>
      <c r="H29" s="163">
        <v>0</v>
      </c>
      <c r="I29" s="172">
        <f t="shared" si="2"/>
        <v>1.382256747355531E-2</v>
      </c>
      <c r="J29" s="178">
        <v>0</v>
      </c>
      <c r="K29" s="148">
        <f t="shared" si="3"/>
        <v>0.99990446375063202</v>
      </c>
      <c r="L29" s="175">
        <v>0</v>
      </c>
      <c r="M29" s="148">
        <f t="shared" si="4"/>
        <v>1.382256747355531E-2</v>
      </c>
    </row>
    <row r="30" spans="1:13" x14ac:dyDescent="0.25">
      <c r="A30" s="149" t="s">
        <v>152</v>
      </c>
      <c r="B30" s="142">
        <f>'2021'!BK21</f>
        <v>0.97555165333333316</v>
      </c>
      <c r="C30" s="143">
        <f>'2021'!BL21</f>
        <v>0.9755555555555554</v>
      </c>
      <c r="D30" s="144">
        <f t="shared" si="0"/>
        <v>3.0647859073093762</v>
      </c>
      <c r="E30" s="160">
        <f t="shared" si="0"/>
        <v>3.0647981665020421</v>
      </c>
      <c r="F30" s="167">
        <v>0</v>
      </c>
      <c r="G30" s="168">
        <f t="shared" si="1"/>
        <v>0.99705181163865086</v>
      </c>
      <c r="H30" s="163">
        <v>0</v>
      </c>
      <c r="I30" s="172">
        <f t="shared" si="2"/>
        <v>7.6731251182841659E-2</v>
      </c>
      <c r="J30" s="178">
        <v>0</v>
      </c>
      <c r="K30" s="148">
        <f t="shared" si="3"/>
        <v>0.99705275222692025</v>
      </c>
      <c r="L30" s="175">
        <v>0</v>
      </c>
      <c r="M30" s="148">
        <f t="shared" si="4"/>
        <v>7.6719028126819314E-2</v>
      </c>
    </row>
    <row r="31" spans="1:13" x14ac:dyDescent="0.25">
      <c r="A31" s="149" t="s">
        <v>146</v>
      </c>
      <c r="B31" s="142">
        <f>'2021'!BK24</f>
        <v>0.96348333333333336</v>
      </c>
      <c r="C31" s="143">
        <f>'2021'!BL24</f>
        <v>0.96847083333333339</v>
      </c>
      <c r="D31" s="144">
        <f t="shared" si="0"/>
        <v>3.0268721618562058</v>
      </c>
      <c r="E31" s="160">
        <f t="shared" si="0"/>
        <v>3.0425408552159849</v>
      </c>
      <c r="F31" s="167">
        <v>0</v>
      </c>
      <c r="G31" s="168">
        <f t="shared" si="1"/>
        <v>0.99342681815732825</v>
      </c>
      <c r="H31" s="163">
        <v>0</v>
      </c>
      <c r="I31" s="172">
        <f t="shared" si="2"/>
        <v>0.11446902186096719</v>
      </c>
      <c r="J31" s="178">
        <v>0</v>
      </c>
      <c r="K31" s="148">
        <f t="shared" si="3"/>
        <v>0.99509838017456853</v>
      </c>
      <c r="L31" s="175">
        <v>0</v>
      </c>
      <c r="M31" s="148">
        <f t="shared" si="4"/>
        <v>9.88899073411936E-2</v>
      </c>
    </row>
    <row r="32" spans="1:13" x14ac:dyDescent="0.25">
      <c r="A32" s="149" t="s">
        <v>147</v>
      </c>
      <c r="B32" s="142">
        <f>'2021'!BK28</f>
        <v>0.99278333333333346</v>
      </c>
      <c r="C32" s="143">
        <f>'2021'!BL28</f>
        <v>0.99610555555555569</v>
      </c>
      <c r="D32" s="144">
        <f t="shared" si="0"/>
        <v>3.118920826606387</v>
      </c>
      <c r="E32" s="160">
        <f t="shared" si="0"/>
        <v>3.1293578955333134</v>
      </c>
      <c r="F32" s="167">
        <v>0</v>
      </c>
      <c r="G32" s="168">
        <f t="shared" si="1"/>
        <v>0.99974300513909808</v>
      </c>
      <c r="H32" s="163">
        <v>0</v>
      </c>
      <c r="I32" s="172">
        <f t="shared" si="2"/>
        <v>2.2669884769121473E-2</v>
      </c>
      <c r="J32" s="178">
        <v>0</v>
      </c>
      <c r="K32" s="148">
        <f t="shared" si="3"/>
        <v>0.99992515628126533</v>
      </c>
      <c r="L32" s="175">
        <v>0</v>
      </c>
      <c r="M32" s="148">
        <f t="shared" si="4"/>
        <v>1.2234452823359863E-2</v>
      </c>
    </row>
    <row r="33" spans="1:13" x14ac:dyDescent="0.25">
      <c r="A33" s="149" t="s">
        <v>150</v>
      </c>
      <c r="B33" s="142">
        <f>'2021'!BK31</f>
        <v>0.83374265536723158</v>
      </c>
      <c r="C33" s="143">
        <f>'2021'!BL31</f>
        <v>0.95782231638418081</v>
      </c>
      <c r="D33" s="144">
        <f t="shared" si="0"/>
        <v>2.6192798010861416</v>
      </c>
      <c r="E33" s="160">
        <f t="shared" si="0"/>
        <v>3.0090875525969007</v>
      </c>
      <c r="F33" s="167">
        <v>0</v>
      </c>
      <c r="G33" s="168">
        <f t="shared" si="1"/>
        <v>0.86666764912563421</v>
      </c>
      <c r="H33" s="163">
        <v>0</v>
      </c>
      <c r="I33" s="172">
        <f t="shared" si="2"/>
        <v>0.49888594484014748</v>
      </c>
      <c r="J33" s="178">
        <v>0</v>
      </c>
      <c r="K33" s="148">
        <f t="shared" si="3"/>
        <v>0.99123403614799166</v>
      </c>
      <c r="L33" s="175">
        <v>0</v>
      </c>
      <c r="M33" s="148">
        <f t="shared" si="4"/>
        <v>0.13211769594479753</v>
      </c>
    </row>
    <row r="34" spans="1:13" x14ac:dyDescent="0.25">
      <c r="A34" s="149" t="s">
        <v>153</v>
      </c>
      <c r="B34" s="142">
        <f>'2021'!BK34</f>
        <v>0.98979591836734704</v>
      </c>
      <c r="C34" s="143">
        <f>'2021'!BL34</f>
        <v>0.98979591836734693</v>
      </c>
      <c r="D34" s="144">
        <f t="shared" si="0"/>
        <v>3.1095355856960198</v>
      </c>
      <c r="E34" s="160">
        <f t="shared" si="0"/>
        <v>3.1095355856960198</v>
      </c>
      <c r="F34" s="167">
        <v>0</v>
      </c>
      <c r="G34" s="168">
        <f t="shared" si="1"/>
        <v>0.99948621620068789</v>
      </c>
      <c r="H34" s="163">
        <v>0</v>
      </c>
      <c r="I34" s="172">
        <f t="shared" si="2"/>
        <v>3.2051577571655165E-2</v>
      </c>
      <c r="J34" s="178">
        <v>0</v>
      </c>
      <c r="K34" s="148">
        <f t="shared" si="3"/>
        <v>0.99948621620068789</v>
      </c>
      <c r="L34" s="175">
        <v>0</v>
      </c>
      <c r="M34" s="148">
        <f t="shared" si="4"/>
        <v>3.2051577571655165E-2</v>
      </c>
    </row>
    <row r="35" spans="1:13" x14ac:dyDescent="0.25">
      <c r="A35" s="149" t="s">
        <v>154</v>
      </c>
      <c r="B35" s="142">
        <f>'2021'!BK36</f>
        <v>1</v>
      </c>
      <c r="C35" s="143">
        <f>'2021'!BL36</f>
        <v>1</v>
      </c>
      <c r="D35" s="144">
        <f t="shared" si="0"/>
        <v>3.1415926535897931</v>
      </c>
      <c r="E35" s="160">
        <f t="shared" si="0"/>
        <v>3.1415926535897931</v>
      </c>
      <c r="F35" s="167">
        <v>0</v>
      </c>
      <c r="G35" s="168">
        <f t="shared" si="1"/>
        <v>1</v>
      </c>
      <c r="H35" s="163">
        <v>0</v>
      </c>
      <c r="I35" s="172">
        <f t="shared" si="2"/>
        <v>1.22514845490862E-16</v>
      </c>
      <c r="J35" s="178">
        <v>0</v>
      </c>
      <c r="K35" s="148">
        <f t="shared" si="3"/>
        <v>1</v>
      </c>
      <c r="L35" s="175">
        <v>0</v>
      </c>
      <c r="M35" s="148">
        <f t="shared" si="4"/>
        <v>1.22514845490862E-16</v>
      </c>
    </row>
    <row r="36" spans="1:13" x14ac:dyDescent="0.25">
      <c r="A36" s="149" t="s">
        <v>148</v>
      </c>
      <c r="B36" s="142">
        <f>'2021'!BK37</f>
        <v>0.96750000000000003</v>
      </c>
      <c r="C36" s="143">
        <f>'2021'!BL37</f>
        <v>0.96749999999999992</v>
      </c>
      <c r="D36" s="144">
        <f t="shared" si="0"/>
        <v>3.039490892348125</v>
      </c>
      <c r="E36" s="160">
        <f t="shared" si="0"/>
        <v>3.0394908923481245</v>
      </c>
      <c r="F36" s="167">
        <v>0</v>
      </c>
      <c r="G36" s="168">
        <f t="shared" si="1"/>
        <v>0.99479214176172648</v>
      </c>
      <c r="H36" s="163">
        <v>0</v>
      </c>
      <c r="I36" s="172">
        <f t="shared" si="2"/>
        <v>0.10192445579505002</v>
      </c>
      <c r="J36" s="178">
        <v>0</v>
      </c>
      <c r="K36" s="148">
        <f t="shared" si="3"/>
        <v>0.99479214176172648</v>
      </c>
      <c r="L36" s="175">
        <v>0</v>
      </c>
      <c r="M36" s="148">
        <f t="shared" si="4"/>
        <v>0.10192445579505047</v>
      </c>
    </row>
    <row r="37" spans="1:13" ht="16.5" thickBot="1" x14ac:dyDescent="0.3">
      <c r="A37" s="150" t="s">
        <v>149</v>
      </c>
      <c r="B37" s="151">
        <f>'2021'!BJ38</f>
        <v>0.96445315195566872</v>
      </c>
      <c r="C37" s="152">
        <f>'2021'!BL38</f>
        <v>0.98097832061033674</v>
      </c>
      <c r="D37" s="153">
        <f t="shared" si="0"/>
        <v>3.0299189369154491</v>
      </c>
      <c r="E37" s="161">
        <f t="shared" si="0"/>
        <v>3.0818342853602867</v>
      </c>
      <c r="F37" s="169">
        <v>0</v>
      </c>
      <c r="G37" s="170">
        <f t="shared" si="1"/>
        <v>0.99377096807193599</v>
      </c>
      <c r="H37" s="164">
        <v>0</v>
      </c>
      <c r="I37" s="173">
        <f t="shared" si="2"/>
        <v>0.11144174719272495</v>
      </c>
      <c r="J37" s="179">
        <v>0</v>
      </c>
      <c r="K37" s="154">
        <f t="shared" si="3"/>
        <v>0.99821500000369012</v>
      </c>
      <c r="L37" s="176">
        <v>0</v>
      </c>
      <c r="M37" s="154">
        <f t="shared" si="4"/>
        <v>5.9722807767493002E-2</v>
      </c>
    </row>
    <row r="38" spans="1:13" x14ac:dyDescent="0.25">
      <c r="A38" s="132"/>
    </row>
  </sheetData>
  <mergeCells count="4">
    <mergeCell ref="F24:G24"/>
    <mergeCell ref="H24:I24"/>
    <mergeCell ref="J24:K24"/>
    <mergeCell ref="L24:M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2021</vt:lpstr>
      <vt:lpstr>TABLERO DE INDICADORES</vt:lpstr>
      <vt:lpstr>'2021'!Área_de_impresión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Cardona</dc:creator>
  <cp:lastModifiedBy>ZFIP004</cp:lastModifiedBy>
  <cp:lastPrinted>2019-11-25T16:26:46Z</cp:lastPrinted>
  <dcterms:created xsi:type="dcterms:W3CDTF">2018-12-11T15:59:20Z</dcterms:created>
  <dcterms:modified xsi:type="dcterms:W3CDTF">2022-05-17T21:09:57Z</dcterms:modified>
</cp:coreProperties>
</file>