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24226"/>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D0A95A61-7DE3-4FBC-93B3-40D5B4F0513F}" xr6:coauthVersionLast="47" xr6:coauthVersionMax="47" xr10:uidLastSave="{00000000-0000-0000-0000-000000000000}"/>
  <bookViews>
    <workbookView xWindow="-120" yWindow="-120" windowWidth="29040" windowHeight="15720" firstSheet="5" activeTab="9" xr2:uid="{00000000-000D-0000-FFFF-FFFF00000000}"/>
  </bookViews>
  <sheets>
    <sheet name="Data" sheetId="1" r:id="rId1"/>
    <sheet name="Analysis" sheetId="2" r:id="rId2"/>
    <sheet name="Forecast Development" sheetId="5" r:id="rId3"/>
    <sheet name="Forecasts" sheetId="3" r:id="rId4"/>
    <sheet name="Sources" sheetId="22" r:id="rId5"/>
    <sheet name="Valuation" sheetId="4" r:id="rId6"/>
    <sheet name="OUTPUT SHEET (2)" sheetId="19" r:id="rId7"/>
    <sheet name="Quarterly" sheetId="12" r:id="rId8"/>
    <sheet name="COMP SHEET " sheetId="13" r:id="rId9"/>
    <sheet name="Table &amp; Charts 1" sheetId="14" r:id="rId10"/>
    <sheet name="Charts" sheetId="15" r:id="rId11"/>
    <sheet name="6Y STOCK PERFORMANCE" sheetId="16" r:id="rId12"/>
    <sheet name="BETA (2)" sheetId="18" r:id="rId13"/>
    <sheet name="APPENDIX" sheetId="21" r:id="rId14"/>
  </sheets>
  <externalReferences>
    <externalReference r:id="rId15"/>
    <externalReference r:id="rId16"/>
    <externalReference r:id="rId17"/>
  </externalReferences>
  <definedNames>
    <definedName name="_xlchart.v1.0" hidden="1">Charts!$A$104:$I$104</definedName>
    <definedName name="_xlchart.v1.1" hidden="1">Charts!$B$103:$I$103</definedName>
    <definedName name="HTML_CodePage" hidden="1">1252</definedName>
    <definedName name="HTML_Control" localSheetId="11" hidden="1">{"'Sheet1'!$A$1:$H$145"}</definedName>
    <definedName name="HTML_Control" localSheetId="13" hidden="1">{"'Sheet1'!$A$1:$H$145"}</definedName>
    <definedName name="HTML_Control" localSheetId="12" hidden="1">{"'Sheet1'!$A$1:$H$145"}</definedName>
    <definedName name="HTML_Control" localSheetId="10" hidden="1">{"'Sheet1'!$A$1:$H$145"}</definedName>
    <definedName name="HTML_Control" localSheetId="8" hidden="1">{"'Sheet1'!$A$1:$H$145"}</definedName>
    <definedName name="HTML_Control" localSheetId="6" hidden="1">{"'Sheet1'!$A$1:$H$145"}</definedName>
    <definedName name="HTML_Control" localSheetId="4" hidden="1">{"'Sheet1'!$A$1:$H$145"}</definedName>
    <definedName name="HTML_Control" localSheetId="9" hidden="1">{"'Sheet1'!$A$1:$H$145"}</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 name="Pal_Workbook_GUID" hidden="1">"CXTP1C6XTK66SIZVYWILZKMR"</definedName>
    <definedName name="_xlnm.Print_Area" localSheetId="1">Analysis!$A$1:$H$390</definedName>
    <definedName name="_xlnm.Print_Area" localSheetId="0">Data!$A$1:$G$156</definedName>
    <definedName name="_xlnm.Print_Area" localSheetId="2">'Forecast Development'!$A$1:$I$102</definedName>
    <definedName name="_xlnm.Print_Area" localSheetId="3">Forecasts!$A$1:$J$372</definedName>
    <definedName name="_xlnm.Print_Area" localSheetId="5">Valuation!$A$1:$J$272</definedName>
  </definedNames>
  <calcPr calcId="191029"/>
</workbook>
</file>

<file path=xl/calcChain.xml><?xml version="1.0" encoding="utf-8"?>
<calcChain xmlns="http://schemas.openxmlformats.org/spreadsheetml/2006/main">
  <c r="D89" i="21" l="1"/>
  <c r="E89" i="21"/>
  <c r="F89" i="21"/>
  <c r="G89" i="21"/>
  <c r="H89" i="21"/>
  <c r="I89" i="21"/>
  <c r="D90" i="21"/>
  <c r="E90" i="21"/>
  <c r="F90" i="21"/>
  <c r="G90" i="21"/>
  <c r="H90" i="21"/>
  <c r="I90" i="21"/>
  <c r="D91" i="21"/>
  <c r="E91" i="21"/>
  <c r="F91" i="21"/>
  <c r="G91" i="21"/>
  <c r="H91" i="21"/>
  <c r="I91" i="21"/>
  <c r="J91" i="21"/>
  <c r="D92" i="21"/>
  <c r="E92" i="21"/>
  <c r="F92" i="21"/>
  <c r="G92" i="21"/>
  <c r="H92" i="21"/>
  <c r="I92" i="21"/>
  <c r="D93" i="21"/>
  <c r="E93" i="21"/>
  <c r="F93" i="21"/>
  <c r="G93" i="21"/>
  <c r="H93" i="21"/>
  <c r="I93" i="21"/>
  <c r="D94" i="21"/>
  <c r="E94" i="21"/>
  <c r="F94" i="21"/>
  <c r="G94" i="21"/>
  <c r="H94" i="21"/>
  <c r="I94" i="21"/>
  <c r="D95" i="21"/>
  <c r="E95" i="21"/>
  <c r="F95" i="21"/>
  <c r="G95" i="21"/>
  <c r="H95" i="21"/>
  <c r="I95" i="21"/>
  <c r="D96" i="21"/>
  <c r="E96" i="21"/>
  <c r="F96" i="21"/>
  <c r="G96" i="21"/>
  <c r="H96" i="21"/>
  <c r="I96" i="21"/>
  <c r="D97" i="21"/>
  <c r="E97" i="21"/>
  <c r="F97" i="21"/>
  <c r="G97" i="21"/>
  <c r="H97" i="21"/>
  <c r="I97" i="21"/>
  <c r="D98" i="21"/>
  <c r="E98" i="21"/>
  <c r="F98" i="21"/>
  <c r="G98" i="21"/>
  <c r="H98" i="21"/>
  <c r="I98" i="21"/>
  <c r="D99" i="21"/>
  <c r="E99" i="21"/>
  <c r="F99" i="21"/>
  <c r="G99" i="21"/>
  <c r="H99" i="21"/>
  <c r="I99" i="21"/>
  <c r="D100" i="21"/>
  <c r="E100" i="21"/>
  <c r="F100" i="21"/>
  <c r="G100" i="21"/>
  <c r="H100" i="21"/>
  <c r="I100" i="21"/>
  <c r="D101" i="21"/>
  <c r="E101" i="21"/>
  <c r="F101" i="21"/>
  <c r="G101" i="21"/>
  <c r="H101" i="21"/>
  <c r="I101" i="21"/>
  <c r="D102" i="21"/>
  <c r="E102" i="21"/>
  <c r="F102" i="21"/>
  <c r="G102" i="21"/>
  <c r="H102" i="21"/>
  <c r="I102" i="21"/>
  <c r="D103" i="21"/>
  <c r="E103" i="21"/>
  <c r="F103" i="21"/>
  <c r="G103" i="21"/>
  <c r="H103" i="21"/>
  <c r="I103" i="21"/>
  <c r="D104" i="21"/>
  <c r="E104" i="21"/>
  <c r="F104" i="21"/>
  <c r="G104" i="21"/>
  <c r="H104" i="21"/>
  <c r="I104" i="21"/>
  <c r="D105" i="21"/>
  <c r="E105" i="21"/>
  <c r="F105" i="21"/>
  <c r="G105" i="21"/>
  <c r="H105" i="21"/>
  <c r="I105" i="21"/>
  <c r="D106" i="21"/>
  <c r="E106" i="21"/>
  <c r="F106" i="21"/>
  <c r="G106" i="21"/>
  <c r="H106" i="21"/>
  <c r="I106" i="21"/>
  <c r="D107" i="21"/>
  <c r="E107" i="21"/>
  <c r="F107" i="21"/>
  <c r="G107" i="21"/>
  <c r="H107" i="21"/>
  <c r="I107" i="21"/>
  <c r="D108" i="21"/>
  <c r="E108" i="21"/>
  <c r="F108" i="21"/>
  <c r="G108" i="21"/>
  <c r="H108" i="21"/>
  <c r="I108" i="21"/>
  <c r="D109" i="21"/>
  <c r="E109" i="21"/>
  <c r="F109" i="21"/>
  <c r="G109" i="21"/>
  <c r="H109" i="21"/>
  <c r="I109" i="21"/>
  <c r="D110" i="21"/>
  <c r="E110" i="21"/>
  <c r="F110" i="21"/>
  <c r="G110" i="21"/>
  <c r="H110" i="21"/>
  <c r="I110" i="21"/>
  <c r="D111" i="21"/>
  <c r="E111" i="21"/>
  <c r="F111" i="21"/>
  <c r="G111" i="21"/>
  <c r="H111" i="21"/>
  <c r="I111" i="21"/>
  <c r="D112" i="21"/>
  <c r="E112" i="21"/>
  <c r="F112" i="21"/>
  <c r="G112" i="21"/>
  <c r="H112" i="21"/>
  <c r="I112" i="21"/>
  <c r="J112" i="21"/>
  <c r="D113" i="21"/>
  <c r="E113" i="21"/>
  <c r="F113" i="21"/>
  <c r="G113" i="21"/>
  <c r="H113" i="21"/>
  <c r="I113" i="21"/>
  <c r="J113" i="21"/>
  <c r="D114" i="21"/>
  <c r="E114" i="21"/>
  <c r="F114" i="21"/>
  <c r="G114" i="21"/>
  <c r="H114" i="21"/>
  <c r="I114" i="21"/>
  <c r="D115" i="21"/>
  <c r="E115" i="21"/>
  <c r="F115" i="21"/>
  <c r="G115" i="21"/>
  <c r="H115" i="21"/>
  <c r="I115" i="21"/>
  <c r="D116" i="21"/>
  <c r="E116" i="21"/>
  <c r="F116" i="21"/>
  <c r="G116" i="21"/>
  <c r="H116" i="21"/>
  <c r="I116" i="21"/>
  <c r="D117" i="21"/>
  <c r="E117" i="21"/>
  <c r="F117" i="21"/>
  <c r="G117" i="21"/>
  <c r="H117" i="21"/>
  <c r="I117" i="21"/>
  <c r="D118" i="21"/>
  <c r="E118" i="21"/>
  <c r="F118" i="21"/>
  <c r="G118" i="21"/>
  <c r="H118" i="21"/>
  <c r="I118" i="21"/>
  <c r="D119" i="21"/>
  <c r="E119" i="21"/>
  <c r="F119" i="21"/>
  <c r="G119" i="21"/>
  <c r="H119" i="21"/>
  <c r="I119" i="21"/>
  <c r="J119" i="21"/>
  <c r="D120" i="21"/>
  <c r="E120" i="21"/>
  <c r="F120" i="21"/>
  <c r="G120" i="21"/>
  <c r="H120" i="21"/>
  <c r="I120" i="21"/>
  <c r="D121" i="21"/>
  <c r="E121" i="21"/>
  <c r="F121" i="21"/>
  <c r="G121" i="21"/>
  <c r="H121" i="21"/>
  <c r="I121" i="21"/>
  <c r="D122" i="21"/>
  <c r="E122" i="21"/>
  <c r="F122" i="21"/>
  <c r="G122" i="21"/>
  <c r="H122" i="21"/>
  <c r="I122" i="21"/>
  <c r="D123" i="21"/>
  <c r="E123" i="21"/>
  <c r="F123" i="21"/>
  <c r="G123" i="21"/>
  <c r="H123" i="21"/>
  <c r="I123" i="21"/>
  <c r="D124" i="21"/>
  <c r="E124" i="21"/>
  <c r="F124" i="21"/>
  <c r="G124" i="21"/>
  <c r="H124" i="21"/>
  <c r="I124" i="21"/>
  <c r="D125" i="21"/>
  <c r="E125" i="21"/>
  <c r="F125" i="21"/>
  <c r="G125" i="21"/>
  <c r="H125" i="21"/>
  <c r="I125" i="21"/>
  <c r="J125" i="21"/>
  <c r="D126" i="21"/>
  <c r="E126" i="21"/>
  <c r="F126" i="21"/>
  <c r="G126" i="21"/>
  <c r="H126" i="21"/>
  <c r="I126"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B113" i="21"/>
  <c r="B114" i="21"/>
  <c r="B115" i="21"/>
  <c r="B116" i="21"/>
  <c r="B117" i="21"/>
  <c r="B118" i="21"/>
  <c r="B119" i="21"/>
  <c r="B120" i="21"/>
  <c r="B121" i="21"/>
  <c r="B122" i="21"/>
  <c r="B123" i="21"/>
  <c r="B124" i="21"/>
  <c r="B125" i="21"/>
  <c r="B126" i="21"/>
  <c r="B112" i="21"/>
  <c r="B92" i="21"/>
  <c r="B93" i="21"/>
  <c r="B94" i="21"/>
  <c r="B95" i="21"/>
  <c r="B96" i="21"/>
  <c r="B97" i="21"/>
  <c r="B98" i="21"/>
  <c r="B99" i="21"/>
  <c r="B100" i="21"/>
  <c r="B101" i="21"/>
  <c r="B102" i="21"/>
  <c r="B103" i="21"/>
  <c r="B104" i="21"/>
  <c r="B105" i="21"/>
  <c r="B106" i="21"/>
  <c r="B107" i="21"/>
  <c r="B108" i="21"/>
  <c r="B109" i="21"/>
  <c r="B110" i="21"/>
  <c r="B111" i="21"/>
  <c r="B91" i="21"/>
  <c r="B90" i="21"/>
  <c r="C89" i="21"/>
  <c r="B128" i="21"/>
  <c r="B89" i="21"/>
  <c r="D74" i="21"/>
  <c r="E74" i="21"/>
  <c r="F74" i="21"/>
  <c r="G74" i="21"/>
  <c r="H74" i="21"/>
  <c r="I74" i="21"/>
  <c r="J74" i="21"/>
  <c r="D75" i="21"/>
  <c r="E75" i="21"/>
  <c r="F75" i="21"/>
  <c r="G75" i="21"/>
  <c r="H75" i="21"/>
  <c r="I75" i="21"/>
  <c r="J75" i="21"/>
  <c r="D76" i="21"/>
  <c r="E76" i="21"/>
  <c r="F76" i="21"/>
  <c r="G76" i="21"/>
  <c r="H76" i="21"/>
  <c r="I76" i="21"/>
  <c r="J76" i="21"/>
  <c r="D77" i="21"/>
  <c r="E77" i="21"/>
  <c r="F77" i="21"/>
  <c r="G77" i="21"/>
  <c r="H77" i="21"/>
  <c r="I77" i="21"/>
  <c r="J77" i="21"/>
  <c r="K77" i="21"/>
  <c r="D78" i="21"/>
  <c r="E78" i="21"/>
  <c r="F78" i="21"/>
  <c r="G78" i="21"/>
  <c r="H78" i="21"/>
  <c r="I78" i="21"/>
  <c r="J78" i="21"/>
  <c r="D79" i="21"/>
  <c r="E79" i="21"/>
  <c r="F79" i="21"/>
  <c r="G79" i="21"/>
  <c r="H79" i="21"/>
  <c r="I79" i="21"/>
  <c r="J79" i="21"/>
  <c r="D80" i="21"/>
  <c r="E80" i="21"/>
  <c r="F80" i="21"/>
  <c r="G80" i="21"/>
  <c r="H80" i="21"/>
  <c r="I80" i="21"/>
  <c r="J80" i="21"/>
  <c r="D81" i="21"/>
  <c r="E81" i="21"/>
  <c r="F81" i="21"/>
  <c r="G81" i="21"/>
  <c r="H81" i="21"/>
  <c r="I81" i="21"/>
  <c r="J81" i="21"/>
  <c r="D82" i="21"/>
  <c r="E82" i="21"/>
  <c r="F82" i="21"/>
  <c r="G82" i="21"/>
  <c r="H82" i="21"/>
  <c r="I82" i="21"/>
  <c r="J82" i="21"/>
  <c r="C82" i="21"/>
  <c r="C81" i="21"/>
  <c r="C80" i="21"/>
  <c r="C79" i="21"/>
  <c r="C78" i="21"/>
  <c r="C77" i="21"/>
  <c r="C76" i="21"/>
  <c r="C75" i="21"/>
  <c r="C74" i="21"/>
  <c r="D67" i="21"/>
  <c r="E67" i="21"/>
  <c r="F67" i="21"/>
  <c r="G67" i="21"/>
  <c r="H67" i="21"/>
  <c r="I67" i="21"/>
  <c r="J67" i="21"/>
  <c r="D68" i="21"/>
  <c r="E68" i="21"/>
  <c r="F68" i="21"/>
  <c r="G68" i="21"/>
  <c r="H68" i="21"/>
  <c r="I68" i="21"/>
  <c r="J68" i="21"/>
  <c r="D69" i="21"/>
  <c r="E69" i="21"/>
  <c r="F69" i="21"/>
  <c r="G69" i="21"/>
  <c r="H69" i="21"/>
  <c r="I69" i="21"/>
  <c r="J69" i="21"/>
  <c r="D70" i="21"/>
  <c r="E70" i="21"/>
  <c r="F70" i="21"/>
  <c r="G70" i="21"/>
  <c r="H70" i="21"/>
  <c r="I70" i="21"/>
  <c r="J70" i="21"/>
  <c r="D71" i="21"/>
  <c r="E71" i="21"/>
  <c r="F71" i="21"/>
  <c r="G71" i="21"/>
  <c r="H71" i="21"/>
  <c r="I71" i="21"/>
  <c r="J71" i="21"/>
  <c r="D72" i="21"/>
  <c r="E72" i="21"/>
  <c r="F72" i="21"/>
  <c r="G72" i="21"/>
  <c r="H72" i="21"/>
  <c r="I72" i="21"/>
  <c r="J72" i="21"/>
  <c r="C72" i="21"/>
  <c r="C71" i="21"/>
  <c r="C70" i="21"/>
  <c r="C69" i="21"/>
  <c r="C68" i="21"/>
  <c r="C67" i="21"/>
  <c r="D58" i="21"/>
  <c r="E58" i="21"/>
  <c r="F58" i="21"/>
  <c r="G58" i="21"/>
  <c r="H58" i="21"/>
  <c r="I58" i="21"/>
  <c r="J58" i="21"/>
  <c r="D59" i="21"/>
  <c r="E59" i="21"/>
  <c r="F59" i="21"/>
  <c r="G59" i="21"/>
  <c r="H59" i="21"/>
  <c r="I59" i="21"/>
  <c r="J59" i="21"/>
  <c r="D60" i="21"/>
  <c r="E60" i="21"/>
  <c r="F60" i="21"/>
  <c r="G60" i="21"/>
  <c r="H60" i="21"/>
  <c r="I60" i="21"/>
  <c r="J60" i="21"/>
  <c r="D61" i="21"/>
  <c r="E61" i="21"/>
  <c r="F61" i="21"/>
  <c r="G61" i="21"/>
  <c r="H61" i="21"/>
  <c r="I61" i="21"/>
  <c r="J61" i="21"/>
  <c r="D62" i="21"/>
  <c r="E62" i="21"/>
  <c r="F62" i="21"/>
  <c r="G62" i="21"/>
  <c r="H62" i="21"/>
  <c r="I62" i="21"/>
  <c r="J62" i="21"/>
  <c r="D63" i="21"/>
  <c r="E63" i="21"/>
  <c r="F63" i="21"/>
  <c r="G63" i="21"/>
  <c r="H63" i="21"/>
  <c r="I63" i="21"/>
  <c r="J63" i="21"/>
  <c r="D64" i="21"/>
  <c r="E64" i="21"/>
  <c r="F64" i="21"/>
  <c r="G64" i="21"/>
  <c r="H64" i="21"/>
  <c r="I64" i="21"/>
  <c r="J64" i="21"/>
  <c r="D65" i="21"/>
  <c r="E65" i="21"/>
  <c r="F65" i="21"/>
  <c r="G65" i="21"/>
  <c r="H65" i="21"/>
  <c r="I65" i="21"/>
  <c r="J65" i="21"/>
  <c r="C65" i="21"/>
  <c r="C64" i="21"/>
  <c r="C63" i="21"/>
  <c r="C62" i="21"/>
  <c r="C61" i="21"/>
  <c r="C60" i="21"/>
  <c r="C59" i="21"/>
  <c r="C58" i="21"/>
  <c r="D56" i="21"/>
  <c r="E56" i="21"/>
  <c r="F56" i="21"/>
  <c r="G56" i="21"/>
  <c r="H56" i="21"/>
  <c r="I56" i="21"/>
  <c r="J56" i="21"/>
  <c r="C56" i="21"/>
  <c r="D48" i="21"/>
  <c r="E48" i="21"/>
  <c r="F48" i="21"/>
  <c r="G48" i="21"/>
  <c r="H48" i="21"/>
  <c r="I48" i="21"/>
  <c r="J48" i="21"/>
  <c r="D49" i="21"/>
  <c r="E49" i="21"/>
  <c r="F49" i="21"/>
  <c r="G49" i="21"/>
  <c r="H49" i="21"/>
  <c r="I49" i="21"/>
  <c r="J49" i="21"/>
  <c r="D50" i="21"/>
  <c r="E50" i="21"/>
  <c r="F50" i="21"/>
  <c r="G50" i="21"/>
  <c r="H50" i="21"/>
  <c r="I50" i="21"/>
  <c r="J50" i="21"/>
  <c r="D51" i="21"/>
  <c r="E51" i="21"/>
  <c r="F51" i="21"/>
  <c r="G51" i="21"/>
  <c r="H51" i="21"/>
  <c r="I51" i="21"/>
  <c r="J51" i="21"/>
  <c r="D52" i="21"/>
  <c r="E52" i="21"/>
  <c r="F52" i="21"/>
  <c r="G52" i="21"/>
  <c r="H52" i="21"/>
  <c r="I52" i="21"/>
  <c r="J52" i="21"/>
  <c r="D53" i="21"/>
  <c r="E53" i="21"/>
  <c r="F53" i="21"/>
  <c r="G53" i="21"/>
  <c r="H53" i="21"/>
  <c r="I53" i="21"/>
  <c r="J53" i="21"/>
  <c r="K53" i="21"/>
  <c r="D54" i="21"/>
  <c r="E54" i="21"/>
  <c r="F54" i="21"/>
  <c r="G54" i="21"/>
  <c r="H54" i="21"/>
  <c r="I54" i="21"/>
  <c r="J54" i="21"/>
  <c r="D55" i="21"/>
  <c r="E55" i="21"/>
  <c r="F55" i="21"/>
  <c r="G55" i="21"/>
  <c r="H55" i="21"/>
  <c r="I55" i="21"/>
  <c r="J55" i="21"/>
  <c r="C55" i="21"/>
  <c r="C54" i="21"/>
  <c r="C53" i="21"/>
  <c r="C52" i="21"/>
  <c r="C51" i="21"/>
  <c r="C50" i="21"/>
  <c r="C49" i="21"/>
  <c r="C48" i="21"/>
  <c r="D47" i="21"/>
  <c r="E47" i="21"/>
  <c r="F47" i="21"/>
  <c r="G47" i="21"/>
  <c r="H47" i="21"/>
  <c r="I47" i="21"/>
  <c r="J47" i="21"/>
  <c r="C47" i="21"/>
  <c r="D41" i="21"/>
  <c r="E41" i="21"/>
  <c r="F41" i="21"/>
  <c r="G41" i="21"/>
  <c r="H41" i="21"/>
  <c r="I41" i="21"/>
  <c r="J41" i="21"/>
  <c r="K41" i="21"/>
  <c r="D42" i="21"/>
  <c r="E42" i="21"/>
  <c r="F42" i="21"/>
  <c r="G42" i="21"/>
  <c r="H42" i="21"/>
  <c r="I42" i="21"/>
  <c r="J42" i="21"/>
  <c r="D43" i="21"/>
  <c r="E43" i="21"/>
  <c r="F43" i="21"/>
  <c r="G43" i="21"/>
  <c r="H43" i="21"/>
  <c r="I43" i="21"/>
  <c r="J43" i="21"/>
  <c r="D44" i="21"/>
  <c r="E44" i="21"/>
  <c r="F44" i="21"/>
  <c r="G44" i="21"/>
  <c r="H44" i="21"/>
  <c r="I44" i="21"/>
  <c r="J44" i="21"/>
  <c r="D45" i="21"/>
  <c r="E45" i="21"/>
  <c r="F45" i="21"/>
  <c r="G45" i="21"/>
  <c r="H45" i="21"/>
  <c r="I45" i="21"/>
  <c r="J45" i="21"/>
  <c r="D46" i="21"/>
  <c r="E46" i="21"/>
  <c r="F46" i="21"/>
  <c r="G46" i="21"/>
  <c r="H46" i="21"/>
  <c r="I46" i="21"/>
  <c r="J46" i="21"/>
  <c r="C46" i="21"/>
  <c r="C45" i="21"/>
  <c r="C44" i="21"/>
  <c r="C43" i="21"/>
  <c r="C42" i="21"/>
  <c r="C41" i="21"/>
  <c r="B75" i="21"/>
  <c r="B76" i="21"/>
  <c r="B77" i="21"/>
  <c r="B78" i="21"/>
  <c r="B79" i="21"/>
  <c r="B80" i="21"/>
  <c r="B74" i="21"/>
  <c r="B68" i="21"/>
  <c r="B69" i="21"/>
  <c r="B70" i="21"/>
  <c r="B71" i="21"/>
  <c r="B67" i="21"/>
  <c r="B59" i="21"/>
  <c r="B60" i="21"/>
  <c r="B61" i="21"/>
  <c r="B62" i="21"/>
  <c r="B63" i="21"/>
  <c r="B64" i="21"/>
  <c r="B65" i="21"/>
  <c r="B58" i="21"/>
  <c r="B49" i="21"/>
  <c r="B50" i="21"/>
  <c r="B51" i="21"/>
  <c r="B52" i="21"/>
  <c r="B53" i="21"/>
  <c r="B54" i="21"/>
  <c r="B55" i="21"/>
  <c r="B48" i="21"/>
  <c r="B42" i="21"/>
  <c r="B43" i="21"/>
  <c r="B44" i="21"/>
  <c r="B45" i="21"/>
  <c r="B46" i="21"/>
  <c r="B41" i="21"/>
  <c r="D33" i="21"/>
  <c r="E33" i="21"/>
  <c r="F33" i="21"/>
  <c r="G33" i="21"/>
  <c r="H33" i="21"/>
  <c r="I33" i="21"/>
  <c r="J33" i="21"/>
  <c r="C33" i="21"/>
  <c r="D30" i="21"/>
  <c r="E30" i="21"/>
  <c r="F30" i="21"/>
  <c r="G30" i="21"/>
  <c r="H30" i="21"/>
  <c r="I30" i="21"/>
  <c r="J30" i="21"/>
  <c r="C30" i="21"/>
  <c r="B31" i="21"/>
  <c r="D31" i="21"/>
  <c r="E31" i="21"/>
  <c r="F31" i="21"/>
  <c r="G31" i="21"/>
  <c r="H31" i="21"/>
  <c r="I31" i="21"/>
  <c r="J31" i="21"/>
  <c r="C31" i="21"/>
  <c r="D32" i="21"/>
  <c r="E32" i="21"/>
  <c r="F32" i="21"/>
  <c r="G32" i="21"/>
  <c r="H32" i="21"/>
  <c r="I32" i="21"/>
  <c r="J32" i="21"/>
  <c r="K32" i="21"/>
  <c r="C32" i="21"/>
  <c r="B32" i="21"/>
  <c r="B30" i="21"/>
  <c r="D29" i="21"/>
  <c r="E29" i="21"/>
  <c r="F29" i="21"/>
  <c r="G29" i="21"/>
  <c r="H29" i="21"/>
  <c r="I29" i="21"/>
  <c r="J29" i="21"/>
  <c r="C29" i="21"/>
  <c r="D28" i="21"/>
  <c r="E28" i="21"/>
  <c r="F28" i="21"/>
  <c r="G28" i="21"/>
  <c r="H28" i="21"/>
  <c r="I28" i="21"/>
  <c r="J28" i="21"/>
  <c r="C28" i="21"/>
  <c r="D27" i="21"/>
  <c r="E27" i="21"/>
  <c r="F27" i="21"/>
  <c r="G27" i="21"/>
  <c r="H27" i="21"/>
  <c r="I27" i="21"/>
  <c r="J27" i="21"/>
  <c r="K27" i="21"/>
  <c r="C27" i="21"/>
  <c r="D20" i="21"/>
  <c r="E20" i="21"/>
  <c r="F20" i="21"/>
  <c r="G20" i="21"/>
  <c r="H20" i="21"/>
  <c r="I20" i="21"/>
  <c r="J20" i="21"/>
  <c r="C20" i="21"/>
  <c r="D26" i="21"/>
  <c r="E26" i="21"/>
  <c r="F26" i="21"/>
  <c r="G26" i="21"/>
  <c r="H26" i="21"/>
  <c r="I26" i="21"/>
  <c r="J26" i="21"/>
  <c r="C26" i="21"/>
  <c r="D25" i="21"/>
  <c r="E25" i="21"/>
  <c r="F25" i="21"/>
  <c r="G25" i="21"/>
  <c r="H25" i="21"/>
  <c r="I25" i="21"/>
  <c r="J25" i="21"/>
  <c r="C25" i="21"/>
  <c r="D23" i="21"/>
  <c r="E23" i="21"/>
  <c r="F23" i="21"/>
  <c r="G23" i="21"/>
  <c r="H23" i="21"/>
  <c r="I23" i="21"/>
  <c r="J23" i="21"/>
  <c r="D24" i="21"/>
  <c r="E24" i="21"/>
  <c r="F24" i="21"/>
  <c r="G24" i="21"/>
  <c r="H24" i="21"/>
  <c r="I24" i="21"/>
  <c r="J24" i="21"/>
  <c r="C24" i="21"/>
  <c r="C23" i="21"/>
  <c r="D22" i="21"/>
  <c r="E22" i="21"/>
  <c r="F22" i="21"/>
  <c r="G22" i="21"/>
  <c r="H22" i="21"/>
  <c r="I22" i="21"/>
  <c r="J22" i="21"/>
  <c r="C22" i="21"/>
  <c r="D21" i="21"/>
  <c r="E21" i="21"/>
  <c r="F21" i="21"/>
  <c r="G21" i="21"/>
  <c r="H21" i="21"/>
  <c r="I21" i="21"/>
  <c r="J21" i="21"/>
  <c r="C21" i="21"/>
  <c r="B22" i="21"/>
  <c r="B23" i="21"/>
  <c r="B24" i="21"/>
  <c r="B25" i="21"/>
  <c r="B26" i="21"/>
  <c r="B27" i="21"/>
  <c r="B28" i="21"/>
  <c r="B21" i="21"/>
  <c r="D18" i="21"/>
  <c r="E18" i="21"/>
  <c r="F18" i="21"/>
  <c r="G18" i="21"/>
  <c r="H18" i="21"/>
  <c r="I18" i="21"/>
  <c r="J18" i="21"/>
  <c r="D19" i="21"/>
  <c r="E19" i="21"/>
  <c r="F19" i="21"/>
  <c r="G19" i="21"/>
  <c r="H19" i="21"/>
  <c r="I19" i="21"/>
  <c r="J19" i="21"/>
  <c r="K19" i="21"/>
  <c r="C19" i="21"/>
  <c r="C18" i="21"/>
  <c r="D17" i="21"/>
  <c r="E17" i="21"/>
  <c r="F17" i="21"/>
  <c r="G17" i="21"/>
  <c r="H17" i="21"/>
  <c r="I17" i="21"/>
  <c r="J17" i="21"/>
  <c r="C17" i="21"/>
  <c r="D16" i="21"/>
  <c r="E16" i="21"/>
  <c r="F16" i="21"/>
  <c r="G16" i="21"/>
  <c r="H16" i="21"/>
  <c r="I16" i="21"/>
  <c r="J16" i="21"/>
  <c r="C16" i="21"/>
  <c r="D15" i="21"/>
  <c r="E15" i="21"/>
  <c r="F15" i="21"/>
  <c r="G15" i="21"/>
  <c r="H15" i="21"/>
  <c r="I15" i="21"/>
  <c r="J15" i="21"/>
  <c r="C15" i="21"/>
  <c r="D14" i="21"/>
  <c r="E14" i="21"/>
  <c r="F14" i="21"/>
  <c r="G14" i="21"/>
  <c r="H14" i="21"/>
  <c r="I14" i="21"/>
  <c r="J14" i="21"/>
  <c r="C14" i="21"/>
  <c r="D13" i="21"/>
  <c r="E13" i="21"/>
  <c r="F13" i="21"/>
  <c r="G13" i="21"/>
  <c r="H13" i="21"/>
  <c r="I13" i="21"/>
  <c r="J13" i="21"/>
  <c r="C13" i="21"/>
  <c r="K12" i="21"/>
  <c r="D12" i="21"/>
  <c r="E12" i="21"/>
  <c r="F12" i="21"/>
  <c r="G12" i="21"/>
  <c r="H12" i="21"/>
  <c r="I12" i="21"/>
  <c r="J12" i="21"/>
  <c r="C12" i="21"/>
  <c r="B13" i="21"/>
  <c r="B14" i="21"/>
  <c r="B15" i="21"/>
  <c r="B16" i="21"/>
  <c r="B17" i="21"/>
  <c r="B18" i="21"/>
  <c r="B19" i="21"/>
  <c r="B12" i="21"/>
  <c r="D10" i="21"/>
  <c r="E10" i="21"/>
  <c r="F10" i="21"/>
  <c r="G10" i="21"/>
  <c r="H10" i="21"/>
  <c r="I10" i="21"/>
  <c r="J10" i="21"/>
  <c r="K10" i="21"/>
  <c r="C10" i="21"/>
  <c r="D9" i="21"/>
  <c r="D11" i="21" s="1"/>
  <c r="E9" i="21"/>
  <c r="E11" i="21" s="1"/>
  <c r="F9" i="21"/>
  <c r="F11" i="21" s="1"/>
  <c r="G9" i="21"/>
  <c r="H9" i="21"/>
  <c r="I9" i="21"/>
  <c r="J9" i="21"/>
  <c r="K9" i="21"/>
  <c r="C9" i="21"/>
  <c r="C11" i="21" s="1"/>
  <c r="L285" i="21"/>
  <c r="K285" i="21"/>
  <c r="J285" i="21"/>
  <c r="I285" i="21"/>
  <c r="H285" i="21"/>
  <c r="G285" i="21"/>
  <c r="F285" i="21"/>
  <c r="E285" i="21"/>
  <c r="D285" i="21"/>
  <c r="C285" i="21"/>
  <c r="L284" i="21"/>
  <c r="K284" i="21"/>
  <c r="J284" i="21"/>
  <c r="I284" i="21"/>
  <c r="H284" i="21"/>
  <c r="G284" i="21"/>
  <c r="F284" i="21"/>
  <c r="E284" i="21"/>
  <c r="D284" i="21"/>
  <c r="C284" i="21"/>
  <c r="L283" i="21"/>
  <c r="K283" i="21"/>
  <c r="J283" i="21"/>
  <c r="I283" i="21"/>
  <c r="H283" i="21"/>
  <c r="G283" i="21"/>
  <c r="F283" i="21"/>
  <c r="E283" i="21"/>
  <c r="D283" i="21"/>
  <c r="C283" i="21"/>
  <c r="L282" i="21"/>
  <c r="K282" i="21"/>
  <c r="J282" i="21"/>
  <c r="I282" i="21"/>
  <c r="H282" i="21"/>
  <c r="G282" i="21"/>
  <c r="F282" i="21"/>
  <c r="E282" i="21"/>
  <c r="D282" i="21"/>
  <c r="C282" i="21"/>
  <c r="I11" i="21" l="1"/>
  <c r="G11" i="21"/>
  <c r="F281" i="21"/>
  <c r="K11" i="21"/>
  <c r="C280" i="21"/>
  <c r="K280" i="21"/>
  <c r="G281" i="21"/>
  <c r="H280" i="21"/>
  <c r="D281" i="21"/>
  <c r="E281" i="21"/>
  <c r="J11" i="21"/>
  <c r="H11" i="21"/>
  <c r="G280" i="21"/>
  <c r="C281" i="21"/>
  <c r="K281" i="21"/>
  <c r="L281" i="21"/>
  <c r="F280" i="21"/>
  <c r="J281" i="21"/>
  <c r="I280" i="21"/>
  <c r="D280" i="21"/>
  <c r="L280" i="21"/>
  <c r="J280" i="21"/>
  <c r="H281" i="21"/>
  <c r="E280" i="21"/>
  <c r="I281" i="21"/>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I568" i="16"/>
  <c r="I569" i="16"/>
  <c r="I570" i="16"/>
  <c r="I571" i="16"/>
  <c r="I572" i="16"/>
  <c r="I573" i="16"/>
  <c r="I574" i="16"/>
  <c r="I575" i="16"/>
  <c r="I576" i="16"/>
  <c r="I577" i="16"/>
  <c r="I578" i="16"/>
  <c r="I579" i="16"/>
  <c r="I580" i="16"/>
  <c r="I581" i="16"/>
  <c r="I582" i="16"/>
  <c r="I583" i="16"/>
  <c r="I584" i="16"/>
  <c r="I585" i="16"/>
  <c r="I586" i="16"/>
  <c r="I587" i="16"/>
  <c r="I588" i="16"/>
  <c r="I589"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H457" i="16"/>
  <c r="H458" i="16"/>
  <c r="H459" i="16"/>
  <c r="H460" i="16"/>
  <c r="H461" i="16"/>
  <c r="H462" i="16"/>
  <c r="H463" i="16"/>
  <c r="H464" i="16"/>
  <c r="H465" i="16"/>
  <c r="H466" i="16"/>
  <c r="H467" i="16"/>
  <c r="H468" i="16"/>
  <c r="H469" i="16"/>
  <c r="H470"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499" i="16"/>
  <c r="H500" i="16"/>
  <c r="H501" i="16"/>
  <c r="H502" i="16"/>
  <c r="H503" i="16"/>
  <c r="H504" i="16"/>
  <c r="H505" i="16"/>
  <c r="H506" i="16"/>
  <c r="H507" i="16"/>
  <c r="H508" i="16"/>
  <c r="H509" i="16"/>
  <c r="H510" i="16"/>
  <c r="H511" i="16"/>
  <c r="H512" i="16"/>
  <c r="H513" i="16"/>
  <c r="H514" i="16"/>
  <c r="H515" i="16"/>
  <c r="H516" i="16"/>
  <c r="H517" i="16"/>
  <c r="H518" i="16"/>
  <c r="H519" i="16"/>
  <c r="H520" i="16"/>
  <c r="H521" i="16"/>
  <c r="H522" i="16"/>
  <c r="H523" i="16"/>
  <c r="H524" i="16"/>
  <c r="H525" i="16"/>
  <c r="H526" i="16"/>
  <c r="H527" i="16"/>
  <c r="H528" i="16"/>
  <c r="H529" i="16"/>
  <c r="H530" i="16"/>
  <c r="H531" i="16"/>
  <c r="H532" i="16"/>
  <c r="H533" i="16"/>
  <c r="H534" i="16"/>
  <c r="H535" i="16"/>
  <c r="H536" i="16"/>
  <c r="H537" i="16"/>
  <c r="H538" i="16"/>
  <c r="H539" i="16"/>
  <c r="H540" i="16"/>
  <c r="H541" i="16"/>
  <c r="H542" i="16"/>
  <c r="H543" i="16"/>
  <c r="H544" i="16"/>
  <c r="H545" i="16"/>
  <c r="H546" i="16"/>
  <c r="H547" i="16"/>
  <c r="H548" i="16"/>
  <c r="H549" i="16"/>
  <c r="H550" i="16"/>
  <c r="H551" i="16"/>
  <c r="H552" i="16"/>
  <c r="H553" i="16"/>
  <c r="H554" i="16"/>
  <c r="H555" i="16"/>
  <c r="H556" i="16"/>
  <c r="H557" i="16"/>
  <c r="H558" i="16"/>
  <c r="H559" i="16"/>
  <c r="H560" i="16"/>
  <c r="H561" i="16"/>
  <c r="H562" i="16"/>
  <c r="H563" i="16"/>
  <c r="H564" i="16"/>
  <c r="H565" i="16"/>
  <c r="H566" i="16"/>
  <c r="H567" i="16"/>
  <c r="H568" i="16"/>
  <c r="H569" i="16"/>
  <c r="H570" i="16"/>
  <c r="H571" i="16"/>
  <c r="H572" i="16"/>
  <c r="H573" i="16"/>
  <c r="H574" i="16"/>
  <c r="H575" i="16"/>
  <c r="H576" i="16"/>
  <c r="H577" i="16"/>
  <c r="H578" i="16"/>
  <c r="H579" i="16"/>
  <c r="H580" i="16"/>
  <c r="H581" i="16"/>
  <c r="H582" i="16"/>
  <c r="H583" i="16"/>
  <c r="H584" i="16"/>
  <c r="H585" i="16"/>
  <c r="H586" i="16"/>
  <c r="H587" i="16"/>
  <c r="H588" i="16"/>
  <c r="H589" i="16"/>
  <c r="H590" i="16"/>
  <c r="H591" i="16"/>
  <c r="H592" i="16"/>
  <c r="H593" i="16"/>
  <c r="H594" i="16"/>
  <c r="H595" i="16"/>
  <c r="H596" i="16"/>
  <c r="H597" i="16"/>
  <c r="H598" i="16"/>
  <c r="H599" i="16"/>
  <c r="H600" i="16"/>
  <c r="H601" i="16"/>
  <c r="H602" i="16"/>
  <c r="H603" i="16"/>
  <c r="H604" i="16"/>
  <c r="H605" i="16"/>
  <c r="H606" i="16"/>
  <c r="H607" i="16"/>
  <c r="H608" i="16"/>
  <c r="H609" i="16"/>
  <c r="H610" i="16"/>
  <c r="H611" i="16"/>
  <c r="H612" i="16"/>
  <c r="H613" i="16"/>
  <c r="H614" i="16"/>
  <c r="H615" i="16"/>
  <c r="H616" i="16"/>
  <c r="H617" i="16"/>
  <c r="H618" i="16"/>
  <c r="H619" i="16"/>
  <c r="H620" i="16"/>
  <c r="H621" i="16"/>
  <c r="H622" i="16"/>
  <c r="H623" i="16"/>
  <c r="H624" i="16"/>
  <c r="H625" i="16"/>
  <c r="H626" i="16"/>
  <c r="H627" i="16"/>
  <c r="H628" i="16"/>
  <c r="H629" i="16"/>
  <c r="H630" i="16"/>
  <c r="H631" i="16"/>
  <c r="H632" i="16"/>
  <c r="H633" i="16"/>
  <c r="H634" i="16"/>
  <c r="H635" i="16"/>
  <c r="H636" i="16"/>
  <c r="H637" i="16"/>
  <c r="H638" i="16"/>
  <c r="H639" i="16"/>
  <c r="H640" i="16"/>
  <c r="H641" i="16"/>
  <c r="H642" i="16"/>
  <c r="H643" i="16"/>
  <c r="H644" i="16"/>
  <c r="H645" i="16"/>
  <c r="H646" i="16"/>
  <c r="H647" i="16"/>
  <c r="H648" i="16"/>
  <c r="H649" i="16"/>
  <c r="H650" i="16"/>
  <c r="H651" i="16"/>
  <c r="H652" i="16"/>
  <c r="H653" i="16"/>
  <c r="H654" i="16"/>
  <c r="H655" i="16"/>
  <c r="H656" i="16"/>
  <c r="H657" i="16"/>
  <c r="H658" i="16"/>
  <c r="H659" i="16"/>
  <c r="H660" i="16"/>
  <c r="H661" i="16"/>
  <c r="H662" i="16"/>
  <c r="H663" i="16"/>
  <c r="H664" i="16"/>
  <c r="H665" i="16"/>
  <c r="H666" i="16"/>
  <c r="H667" i="16"/>
  <c r="H668" i="16"/>
  <c r="H669" i="16"/>
  <c r="H670" i="16"/>
  <c r="H671" i="16"/>
  <c r="H672" i="16"/>
  <c r="H673" i="16"/>
  <c r="H674" i="16"/>
  <c r="H675" i="16"/>
  <c r="H676" i="16"/>
  <c r="H677" i="16"/>
  <c r="H678" i="16"/>
  <c r="H679" i="16"/>
  <c r="H680" i="16"/>
  <c r="H681" i="16"/>
  <c r="H682" i="16"/>
  <c r="H683" i="16"/>
  <c r="H684" i="16"/>
  <c r="H685" i="16"/>
  <c r="H686" i="16"/>
  <c r="H687" i="16"/>
  <c r="H688" i="16"/>
  <c r="H689" i="16"/>
  <c r="H690" i="16"/>
  <c r="H691" i="16"/>
  <c r="H692" i="16"/>
  <c r="H693" i="16"/>
  <c r="H694" i="16"/>
  <c r="H695" i="16"/>
  <c r="H696" i="16"/>
  <c r="H697" i="16"/>
  <c r="H698" i="16"/>
  <c r="H699" i="16"/>
  <c r="H700" i="16"/>
  <c r="H701" i="16"/>
  <c r="H702" i="16"/>
  <c r="H703" i="16"/>
  <c r="H704" i="16"/>
  <c r="H705" i="16"/>
  <c r="H706" i="16"/>
  <c r="H707" i="16"/>
  <c r="H708" i="16"/>
  <c r="H709" i="16"/>
  <c r="H710" i="16"/>
  <c r="H711" i="16"/>
  <c r="H712" i="16"/>
  <c r="H713" i="16"/>
  <c r="H714" i="16"/>
  <c r="H715" i="16"/>
  <c r="H716" i="16"/>
  <c r="H717" i="16"/>
  <c r="H718" i="16"/>
  <c r="H719" i="16"/>
  <c r="H720" i="16"/>
  <c r="H721" i="16"/>
  <c r="H722" i="16"/>
  <c r="H723" i="16"/>
  <c r="H724" i="16"/>
  <c r="H725" i="16"/>
  <c r="H726" i="16"/>
  <c r="H727" i="16"/>
  <c r="H728" i="16"/>
  <c r="H729" i="16"/>
  <c r="H730" i="16"/>
  <c r="H731" i="16"/>
  <c r="H732" i="16"/>
  <c r="H733" i="16"/>
  <c r="H734" i="16"/>
  <c r="H735" i="16"/>
  <c r="H736" i="16"/>
  <c r="H737" i="16"/>
  <c r="H738" i="16"/>
  <c r="H739" i="16"/>
  <c r="H740" i="16"/>
  <c r="H741" i="16"/>
  <c r="H742" i="16"/>
  <c r="H743" i="16"/>
  <c r="H744" i="16"/>
  <c r="H745" i="16"/>
  <c r="H746" i="16"/>
  <c r="H747" i="16"/>
  <c r="H748" i="16"/>
  <c r="H749" i="16"/>
  <c r="H750" i="16"/>
  <c r="H751" i="16"/>
  <c r="H752" i="16"/>
  <c r="H753" i="16"/>
  <c r="H754" i="16"/>
  <c r="H755" i="16"/>
  <c r="H756" i="16"/>
  <c r="H757" i="16"/>
  <c r="H758" i="16"/>
  <c r="H759" i="16"/>
  <c r="H760" i="16"/>
  <c r="H761" i="16"/>
  <c r="H762" i="16"/>
  <c r="H763" i="16"/>
  <c r="H764" i="16"/>
  <c r="H765" i="16"/>
  <c r="H766" i="16"/>
  <c r="H767" i="16"/>
  <c r="H768" i="16"/>
  <c r="H769" i="16"/>
  <c r="H770" i="16"/>
  <c r="H771" i="16"/>
  <c r="H772" i="16"/>
  <c r="H773" i="16"/>
  <c r="H774" i="16"/>
  <c r="H775" i="16"/>
  <c r="H776" i="16"/>
  <c r="H777" i="16"/>
  <c r="H778" i="16"/>
  <c r="H779" i="16"/>
  <c r="H780" i="16"/>
  <c r="H781" i="16"/>
  <c r="H782" i="16"/>
  <c r="H783" i="16"/>
  <c r="H784" i="16"/>
  <c r="H785" i="16"/>
  <c r="H786" i="16"/>
  <c r="H787" i="16"/>
  <c r="H788" i="16"/>
  <c r="H789" i="16"/>
  <c r="H790" i="16"/>
  <c r="H791" i="16"/>
  <c r="H792" i="16"/>
  <c r="H793" i="16"/>
  <c r="H794" i="16"/>
  <c r="H795" i="16"/>
  <c r="H796" i="16"/>
  <c r="H797" i="16"/>
  <c r="H798" i="16"/>
  <c r="H799" i="16"/>
  <c r="H800" i="16"/>
  <c r="H801" i="16"/>
  <c r="H802" i="16"/>
  <c r="H803" i="16"/>
  <c r="H804" i="16"/>
  <c r="H805" i="16"/>
  <c r="H806" i="16"/>
  <c r="H807" i="16"/>
  <c r="H808" i="16"/>
  <c r="H809" i="16"/>
  <c r="H810" i="16"/>
  <c r="H811" i="16"/>
  <c r="H812" i="16"/>
  <c r="H813" i="16"/>
  <c r="H814" i="16"/>
  <c r="H815" i="16"/>
  <c r="H816" i="16"/>
  <c r="H817" i="16"/>
  <c r="H818" i="16"/>
  <c r="H819" i="16"/>
  <c r="H820" i="16"/>
  <c r="H821" i="16"/>
  <c r="H822" i="16"/>
  <c r="H823" i="16"/>
  <c r="H824" i="16"/>
  <c r="H825" i="16"/>
  <c r="H826" i="16"/>
  <c r="H827" i="16"/>
  <c r="H828" i="16"/>
  <c r="H829" i="16"/>
  <c r="H830" i="16"/>
  <c r="H831" i="16"/>
  <c r="H832" i="16"/>
  <c r="H833" i="16"/>
  <c r="H834" i="16"/>
  <c r="H835" i="16"/>
  <c r="H836" i="16"/>
  <c r="H837" i="16"/>
  <c r="H838" i="16"/>
  <c r="H839" i="16"/>
  <c r="H840" i="16"/>
  <c r="H841" i="16"/>
  <c r="H842" i="16"/>
  <c r="H843" i="16"/>
  <c r="H844" i="16"/>
  <c r="H845" i="16"/>
  <c r="H846" i="16"/>
  <c r="H847" i="16"/>
  <c r="H848" i="16"/>
  <c r="H849" i="16"/>
  <c r="H850" i="16"/>
  <c r="H851" i="16"/>
  <c r="H852" i="16"/>
  <c r="H853" i="16"/>
  <c r="H854" i="16"/>
  <c r="H855" i="16"/>
  <c r="H856" i="16"/>
  <c r="H857" i="16"/>
  <c r="H858" i="16"/>
  <c r="H859" i="16"/>
  <c r="H860" i="16"/>
  <c r="H861" i="16"/>
  <c r="H862" i="16"/>
  <c r="H863" i="16"/>
  <c r="H864" i="16"/>
  <c r="H865" i="16"/>
  <c r="H866" i="16"/>
  <c r="H867" i="16"/>
  <c r="H868" i="16"/>
  <c r="H869" i="16"/>
  <c r="H870" i="16"/>
  <c r="H871" i="16"/>
  <c r="H872" i="16"/>
  <c r="H873" i="16"/>
  <c r="H874" i="16"/>
  <c r="H875" i="16"/>
  <c r="H876" i="16"/>
  <c r="H877" i="16"/>
  <c r="H878" i="16"/>
  <c r="H879" i="16"/>
  <c r="H880" i="16"/>
  <c r="H881" i="16"/>
  <c r="H882" i="16"/>
  <c r="H883" i="16"/>
  <c r="H884" i="16"/>
  <c r="H885" i="16"/>
  <c r="H886" i="16"/>
  <c r="H887" i="16"/>
  <c r="H888" i="16"/>
  <c r="H889" i="16"/>
  <c r="H890" i="16"/>
  <c r="H891" i="16"/>
  <c r="H892" i="16"/>
  <c r="H893" i="16"/>
  <c r="H894" i="16"/>
  <c r="H895" i="16"/>
  <c r="H896" i="16"/>
  <c r="H897" i="16"/>
  <c r="H898" i="16"/>
  <c r="H899" i="16"/>
  <c r="H900" i="16"/>
  <c r="H901" i="16"/>
  <c r="H902" i="16"/>
  <c r="H903" i="16"/>
  <c r="H904" i="16"/>
  <c r="H905" i="16"/>
  <c r="H906" i="16"/>
  <c r="H907" i="16"/>
  <c r="H908" i="16"/>
  <c r="H909" i="16"/>
  <c r="H910" i="16"/>
  <c r="H911" i="16"/>
  <c r="H912" i="16"/>
  <c r="H913" i="16"/>
  <c r="H914" i="16"/>
  <c r="H915" i="16"/>
  <c r="H916" i="16"/>
  <c r="H917" i="16"/>
  <c r="H918" i="16"/>
  <c r="H919" i="16"/>
  <c r="H920" i="16"/>
  <c r="H921" i="16"/>
  <c r="H922" i="16"/>
  <c r="H923" i="16"/>
  <c r="H924" i="16"/>
  <c r="H925" i="16"/>
  <c r="H926" i="16"/>
  <c r="H927" i="16"/>
  <c r="H928" i="16"/>
  <c r="H929" i="16"/>
  <c r="H930" i="16"/>
  <c r="H931" i="16"/>
  <c r="H932" i="16"/>
  <c r="H933" i="16"/>
  <c r="H934" i="16"/>
  <c r="H935" i="16"/>
  <c r="H936" i="16"/>
  <c r="H937" i="16"/>
  <c r="H938" i="16"/>
  <c r="H939" i="16"/>
  <c r="H940" i="16"/>
  <c r="H941" i="16"/>
  <c r="H942" i="16"/>
  <c r="H943" i="16"/>
  <c r="H944" i="16"/>
  <c r="H945" i="16"/>
  <c r="H946" i="16"/>
  <c r="H947" i="16"/>
  <c r="H948" i="16"/>
  <c r="H949" i="16"/>
  <c r="H950" i="16"/>
  <c r="H951" i="16"/>
  <c r="H952" i="16"/>
  <c r="H953" i="16"/>
  <c r="H954" i="16"/>
  <c r="H955" i="16"/>
  <c r="H956" i="16"/>
  <c r="H957" i="16"/>
  <c r="H958" i="16"/>
  <c r="H959" i="16"/>
  <c r="H960" i="16"/>
  <c r="H961" i="16"/>
  <c r="H962" i="16"/>
  <c r="H963" i="16"/>
  <c r="H964" i="16"/>
  <c r="H965" i="16"/>
  <c r="H966" i="16"/>
  <c r="H967" i="16"/>
  <c r="H968" i="16"/>
  <c r="H969" i="16"/>
  <c r="H970" i="16"/>
  <c r="H971" i="16"/>
  <c r="H972" i="16"/>
  <c r="H973" i="16"/>
  <c r="H974" i="16"/>
  <c r="H975" i="16"/>
  <c r="H976" i="16"/>
  <c r="H977" i="16"/>
  <c r="H978" i="16"/>
  <c r="H979" i="16"/>
  <c r="H980" i="16"/>
  <c r="H981" i="16"/>
  <c r="H982" i="16"/>
  <c r="H983" i="16"/>
  <c r="H984" i="16"/>
  <c r="H985" i="16"/>
  <c r="H986" i="16"/>
  <c r="H987" i="16"/>
  <c r="H988" i="16"/>
  <c r="H989" i="16"/>
  <c r="H990" i="16"/>
  <c r="H991" i="16"/>
  <c r="H992" i="16"/>
  <c r="H993" i="16"/>
  <c r="H994" i="16"/>
  <c r="H995" i="16"/>
  <c r="H996" i="16"/>
  <c r="H997" i="16"/>
  <c r="H998" i="16"/>
  <c r="H999" i="16"/>
  <c r="H1000" i="16"/>
  <c r="H1001" i="16"/>
  <c r="H1002" i="16"/>
  <c r="H1003" i="16"/>
  <c r="H1004" i="16"/>
  <c r="H1005" i="16"/>
  <c r="H1006" i="16"/>
  <c r="H1007" i="16"/>
  <c r="H1008" i="16"/>
  <c r="H1009" i="16"/>
  <c r="H1010" i="16"/>
  <c r="H1011" i="16"/>
  <c r="H1012" i="16"/>
  <c r="H1013" i="16"/>
  <c r="H1014" i="16"/>
  <c r="H1015" i="16"/>
  <c r="H1016" i="16"/>
  <c r="H1017" i="16"/>
  <c r="H1018" i="16"/>
  <c r="H1019" i="16"/>
  <c r="H1020" i="16"/>
  <c r="H1021" i="16"/>
  <c r="H1022" i="16"/>
  <c r="H1023" i="16"/>
  <c r="H1024" i="16"/>
  <c r="H1025" i="16"/>
  <c r="H1026" i="16"/>
  <c r="H1027" i="16"/>
  <c r="H1028" i="16"/>
  <c r="H1029" i="16"/>
  <c r="H1030" i="16"/>
  <c r="H1031" i="16"/>
  <c r="H1032" i="16"/>
  <c r="H1033" i="16"/>
  <c r="H1034" i="16"/>
  <c r="H1035" i="16"/>
  <c r="H1036" i="16"/>
  <c r="H1037" i="16"/>
  <c r="H1038" i="16"/>
  <c r="H1039" i="16"/>
  <c r="H1040" i="16"/>
  <c r="H1041" i="16"/>
  <c r="H1042" i="16"/>
  <c r="H1043" i="16"/>
  <c r="H1044" i="16"/>
  <c r="H1045" i="16"/>
  <c r="H1046" i="16"/>
  <c r="H1047" i="16"/>
  <c r="H1048" i="16"/>
  <c r="H1049" i="16"/>
  <c r="H1050" i="16"/>
  <c r="H1051" i="16"/>
  <c r="H1052" i="16"/>
  <c r="H1053" i="16"/>
  <c r="H1054" i="16"/>
  <c r="H1055" i="16"/>
  <c r="H1056" i="16"/>
  <c r="H1057" i="16"/>
  <c r="H1058" i="16"/>
  <c r="H1059" i="16"/>
  <c r="H1060" i="16"/>
  <c r="H1061" i="16"/>
  <c r="H1062" i="16"/>
  <c r="H1063" i="16"/>
  <c r="H1064" i="16"/>
  <c r="H1065" i="16"/>
  <c r="H1066" i="16"/>
  <c r="H1067" i="16"/>
  <c r="H1068" i="16"/>
  <c r="H1069" i="16"/>
  <c r="H1070" i="16"/>
  <c r="H1071" i="16"/>
  <c r="H1072" i="16"/>
  <c r="H1073" i="16"/>
  <c r="H1074" i="16"/>
  <c r="H1075" i="16"/>
  <c r="H1076" i="16"/>
  <c r="H1077" i="16"/>
  <c r="H1078" i="16"/>
  <c r="H1079" i="16"/>
  <c r="H1080" i="16"/>
  <c r="H1081" i="16"/>
  <c r="H1082" i="16"/>
  <c r="H1083" i="16"/>
  <c r="H1084" i="16"/>
  <c r="H1085" i="16"/>
  <c r="H1086" i="16"/>
  <c r="H1087" i="16"/>
  <c r="H1088" i="16"/>
  <c r="H1089" i="16"/>
  <c r="H1090" i="16"/>
  <c r="H1091" i="16"/>
  <c r="H1092" i="16"/>
  <c r="H1093" i="16"/>
  <c r="H1094" i="16"/>
  <c r="H1095" i="16"/>
  <c r="H1096" i="16"/>
  <c r="H1097" i="16"/>
  <c r="H1098" i="16"/>
  <c r="H1099" i="16"/>
  <c r="H1100" i="16"/>
  <c r="H1101" i="16"/>
  <c r="H1102" i="16"/>
  <c r="H1103" i="16"/>
  <c r="H1104" i="16"/>
  <c r="H1105" i="16"/>
  <c r="H1106" i="16"/>
  <c r="H1107" i="16"/>
  <c r="H1108" i="16"/>
  <c r="H1109" i="16"/>
  <c r="H1110" i="16"/>
  <c r="H1111" i="16"/>
  <c r="H1112" i="16"/>
  <c r="H1113" i="16"/>
  <c r="H1114" i="16"/>
  <c r="H1115" i="16"/>
  <c r="H1116" i="16"/>
  <c r="H1117" i="16"/>
  <c r="H1118" i="16"/>
  <c r="H1119" i="16"/>
  <c r="H1120" i="16"/>
  <c r="H1121" i="16"/>
  <c r="H1122" i="16"/>
  <c r="H1123" i="16"/>
  <c r="H1124" i="16"/>
  <c r="H1125" i="16"/>
  <c r="H1126" i="16"/>
  <c r="H1127" i="16"/>
  <c r="H1128" i="16"/>
  <c r="H1129" i="16"/>
  <c r="H1130" i="16"/>
  <c r="H1131" i="16"/>
  <c r="H1132" i="16"/>
  <c r="H1133" i="16"/>
  <c r="H1134" i="16"/>
  <c r="H1135" i="16"/>
  <c r="H1136" i="16"/>
  <c r="H1137" i="16"/>
  <c r="H1138" i="16"/>
  <c r="H1139" i="16"/>
  <c r="H1140" i="16"/>
  <c r="H1141" i="16"/>
  <c r="H1142" i="16"/>
  <c r="H1143" i="16"/>
  <c r="H1144" i="16"/>
  <c r="H1145" i="16"/>
  <c r="H1146" i="16"/>
  <c r="H1147" i="16"/>
  <c r="H1148" i="16"/>
  <c r="H1149" i="16"/>
  <c r="H1150" i="16"/>
  <c r="H1151" i="16"/>
  <c r="H1152" i="16"/>
  <c r="H1153" i="16"/>
  <c r="H1154" i="16"/>
  <c r="H1155" i="16"/>
  <c r="H1156" i="16"/>
  <c r="H1157" i="16"/>
  <c r="H1158" i="16"/>
  <c r="H1159" i="16"/>
  <c r="H1160" i="16"/>
  <c r="H1161" i="16"/>
  <c r="H1162" i="16"/>
  <c r="H1163" i="16"/>
  <c r="H1164" i="16"/>
  <c r="H1165" i="16"/>
  <c r="H1166" i="16"/>
  <c r="H1167" i="16"/>
  <c r="H1168" i="16"/>
  <c r="H1169" i="16"/>
  <c r="H1170" i="16"/>
  <c r="H1171" i="16"/>
  <c r="H1172" i="16"/>
  <c r="H1173" i="16"/>
  <c r="H1174" i="16"/>
  <c r="H1175" i="16"/>
  <c r="H1176" i="16"/>
  <c r="H1177" i="16"/>
  <c r="H1178" i="16"/>
  <c r="H1179" i="16"/>
  <c r="H1180" i="16"/>
  <c r="H1181" i="16"/>
  <c r="H1182" i="16"/>
  <c r="H1183" i="16"/>
  <c r="H1184" i="16"/>
  <c r="H1185" i="16"/>
  <c r="H1186" i="16"/>
  <c r="H1187" i="16"/>
  <c r="H1188" i="16"/>
  <c r="H1189" i="16"/>
  <c r="H1190" i="16"/>
  <c r="H1191" i="16"/>
  <c r="H1192" i="16"/>
  <c r="H1193" i="16"/>
  <c r="H1194" i="16"/>
  <c r="H1195" i="16"/>
  <c r="H1196" i="16"/>
  <c r="H1197" i="16"/>
  <c r="H1198" i="16"/>
  <c r="H1199" i="16"/>
  <c r="H1200" i="16"/>
  <c r="H1201" i="16"/>
  <c r="H1202" i="16"/>
  <c r="H1203" i="16"/>
  <c r="H1204" i="16"/>
  <c r="H1205" i="16"/>
  <c r="H1206" i="16"/>
  <c r="H1207" i="16"/>
  <c r="H1208" i="16"/>
  <c r="H1209" i="16"/>
  <c r="H1210" i="16"/>
  <c r="H1211" i="16"/>
  <c r="H1212" i="16"/>
  <c r="H1213" i="16"/>
  <c r="H1214" i="16"/>
  <c r="H1215" i="16"/>
  <c r="H1216" i="16"/>
  <c r="H1217" i="16"/>
  <c r="H1218" i="16"/>
  <c r="H1219" i="16"/>
  <c r="H1220" i="16"/>
  <c r="H1221" i="16"/>
  <c r="H1222" i="16"/>
  <c r="H1223" i="16"/>
  <c r="H1224" i="16"/>
  <c r="H1225" i="16"/>
  <c r="H1226" i="16"/>
  <c r="H1227" i="16"/>
  <c r="H1228" i="16"/>
  <c r="H1229" i="16"/>
  <c r="H1230" i="16"/>
  <c r="H1231" i="16"/>
  <c r="H1232" i="16"/>
  <c r="H1233" i="16"/>
  <c r="H1234" i="16"/>
  <c r="H1235" i="16"/>
  <c r="H1236" i="16"/>
  <c r="H1237" i="16"/>
  <c r="H1238" i="16"/>
  <c r="H1239" i="16"/>
  <c r="H1240" i="16"/>
  <c r="H1241" i="16"/>
  <c r="H1242" i="16"/>
  <c r="H1243" i="16"/>
  <c r="H1244" i="16"/>
  <c r="H1245" i="16"/>
  <c r="H1246" i="16"/>
  <c r="H1247" i="16"/>
  <c r="H1248" i="16"/>
  <c r="H1249" i="16"/>
  <c r="H1250" i="16"/>
  <c r="H1251" i="16"/>
  <c r="H1252" i="16"/>
  <c r="H1253" i="16"/>
  <c r="H1254" i="16"/>
  <c r="H1255" i="16"/>
  <c r="H1256" i="16"/>
  <c r="H1257" i="16"/>
  <c r="H1258" i="16"/>
  <c r="H1259" i="16"/>
  <c r="H1260" i="16"/>
  <c r="H1261" i="16"/>
  <c r="H1262" i="16"/>
  <c r="H1263" i="16"/>
  <c r="H1264" i="16"/>
  <c r="H1265" i="16"/>
  <c r="H1266" i="16"/>
  <c r="H1267" i="16"/>
  <c r="H1268" i="16"/>
  <c r="H1269" i="16"/>
  <c r="H1270" i="16"/>
  <c r="H1271" i="16"/>
  <c r="H1272" i="16"/>
  <c r="H1273" i="16"/>
  <c r="H1274" i="16"/>
  <c r="H1275" i="16"/>
  <c r="H1276" i="16"/>
  <c r="H1277" i="16"/>
  <c r="H1278" i="16"/>
  <c r="H1279" i="16"/>
  <c r="H1280" i="16"/>
  <c r="H1281" i="16"/>
  <c r="H1282" i="16"/>
  <c r="H1283" i="16"/>
  <c r="H1284" i="16"/>
  <c r="H1285" i="16"/>
  <c r="H1286" i="16"/>
  <c r="H1287" i="16"/>
  <c r="H1288" i="16"/>
  <c r="H1289" i="16"/>
  <c r="H1290" i="16"/>
  <c r="H1291" i="16"/>
  <c r="H1292" i="16"/>
  <c r="H1293" i="16"/>
  <c r="H1294" i="16"/>
  <c r="H1295" i="16"/>
  <c r="H1296" i="16"/>
  <c r="H1297" i="16"/>
  <c r="H1298" i="16"/>
  <c r="H1299" i="16"/>
  <c r="H1300" i="16"/>
  <c r="H1301" i="16"/>
  <c r="H1302" i="16"/>
  <c r="H1303" i="16"/>
  <c r="H1304" i="16"/>
  <c r="H1305" i="16"/>
  <c r="H1306" i="16"/>
  <c r="H1307" i="16"/>
  <c r="H1308" i="16"/>
  <c r="H1309" i="16"/>
  <c r="H1310" i="16"/>
  <c r="H1311" i="16"/>
  <c r="H1312" i="16"/>
  <c r="H1313" i="16"/>
  <c r="H1314" i="16"/>
  <c r="H1315" i="16"/>
  <c r="H1316" i="16"/>
  <c r="H1317" i="16"/>
  <c r="H1318" i="16"/>
  <c r="H1319" i="16"/>
  <c r="H1320" i="16"/>
  <c r="H1321" i="16"/>
  <c r="H1322" i="16"/>
  <c r="H1323" i="16"/>
  <c r="H1324" i="16"/>
  <c r="H1325" i="16"/>
  <c r="H1326" i="16"/>
  <c r="H1327" i="16"/>
  <c r="H1328" i="16"/>
  <c r="H1329" i="16"/>
  <c r="H1330" i="16"/>
  <c r="H1331" i="16"/>
  <c r="H1332" i="16"/>
  <c r="H1333" i="16"/>
  <c r="H1334" i="16"/>
  <c r="H1335" i="16"/>
  <c r="H1336" i="16"/>
  <c r="H1337" i="16"/>
  <c r="H1338" i="16"/>
  <c r="H1339" i="16"/>
  <c r="H1340" i="16"/>
  <c r="H1341" i="16"/>
  <c r="H1342" i="16"/>
  <c r="H1343" i="16"/>
  <c r="H1344" i="16"/>
  <c r="H1345" i="16"/>
  <c r="H1346" i="16"/>
  <c r="H1347" i="16"/>
  <c r="H1348" i="16"/>
  <c r="H1349" i="16"/>
  <c r="H1350" i="16"/>
  <c r="H1351" i="16"/>
  <c r="H1352" i="16"/>
  <c r="H1353" i="16"/>
  <c r="H1354" i="16"/>
  <c r="H1355" i="16"/>
  <c r="H1356" i="16"/>
  <c r="H1357" i="16"/>
  <c r="H1358" i="16"/>
  <c r="H1359" i="16"/>
  <c r="H1360" i="16"/>
  <c r="H1361" i="16"/>
  <c r="H1362" i="16"/>
  <c r="H1363" i="16"/>
  <c r="H1364" i="16"/>
  <c r="H1365" i="16"/>
  <c r="H1366" i="16"/>
  <c r="H1367" i="16"/>
  <c r="H1368" i="16"/>
  <c r="H1369" i="16"/>
  <c r="H1370" i="16"/>
  <c r="H1371" i="16"/>
  <c r="H1372" i="16"/>
  <c r="H1373" i="16"/>
  <c r="H1374" i="16"/>
  <c r="H1375" i="16"/>
  <c r="H1376" i="16"/>
  <c r="H1377" i="16"/>
  <c r="H1378" i="16"/>
  <c r="H1379" i="16"/>
  <c r="H1380" i="16"/>
  <c r="H1381" i="16"/>
  <c r="H1382" i="16"/>
  <c r="H1383" i="16"/>
  <c r="H1384" i="16"/>
  <c r="H1385" i="16"/>
  <c r="H1386" i="16"/>
  <c r="H1387" i="16"/>
  <c r="H1388" i="16"/>
  <c r="H1389" i="16"/>
  <c r="H1390" i="16"/>
  <c r="H1391" i="16"/>
  <c r="H1392" i="16"/>
  <c r="H1393" i="16"/>
  <c r="H1394" i="16"/>
  <c r="H1395" i="16"/>
  <c r="H1396" i="16"/>
  <c r="H1397" i="16"/>
  <c r="H1398" i="16"/>
  <c r="H1399" i="16"/>
  <c r="H1400" i="16"/>
  <c r="H1401" i="16"/>
  <c r="H1402" i="16"/>
  <c r="H1403" i="16"/>
  <c r="H1404" i="16"/>
  <c r="H1405" i="16"/>
  <c r="H1406" i="16"/>
  <c r="H1407" i="16"/>
  <c r="H1408" i="16"/>
  <c r="H1409" i="16"/>
  <c r="H1410" i="16"/>
  <c r="H1411" i="16"/>
  <c r="H1412" i="16"/>
  <c r="H1413" i="16"/>
  <c r="H1414" i="16"/>
  <c r="H1415" i="16"/>
  <c r="H1416" i="16"/>
  <c r="H1417" i="16"/>
  <c r="H1418" i="16"/>
  <c r="H1419" i="16"/>
  <c r="H1420" i="16"/>
  <c r="H1421" i="16"/>
  <c r="H1422" i="16"/>
  <c r="H1423" i="16"/>
  <c r="H1424" i="16"/>
  <c r="H1425" i="16"/>
  <c r="H1426" i="16"/>
  <c r="H1427" i="16"/>
  <c r="H1428" i="16"/>
  <c r="H1429" i="16"/>
  <c r="H1430" i="16"/>
  <c r="H1431" i="16"/>
  <c r="H1432" i="16"/>
  <c r="H1433" i="16"/>
  <c r="H1434" i="16"/>
  <c r="H1435" i="16"/>
  <c r="H1436" i="16"/>
  <c r="H1437" i="16"/>
  <c r="H1438" i="16"/>
  <c r="H1439" i="16"/>
  <c r="H1440" i="16"/>
  <c r="H1441" i="16"/>
  <c r="H1442" i="16"/>
  <c r="H1443" i="16"/>
  <c r="H1444" i="16"/>
  <c r="H1445" i="16"/>
  <c r="H1446" i="16"/>
  <c r="H1447" i="16"/>
  <c r="H1448" i="16"/>
  <c r="H1449" i="16"/>
  <c r="H1450" i="16"/>
  <c r="H1451" i="16"/>
  <c r="H1452" i="16"/>
  <c r="H1453" i="16"/>
  <c r="H1454" i="16"/>
  <c r="H1455" i="16"/>
  <c r="H1456" i="16"/>
  <c r="H1457" i="16"/>
  <c r="H1458" i="16"/>
  <c r="H1459" i="16"/>
  <c r="H1460" i="16"/>
  <c r="H1461" i="16"/>
  <c r="H1462" i="16"/>
  <c r="H1463" i="16"/>
  <c r="H1464" i="16"/>
  <c r="H1465" i="16"/>
  <c r="H1466" i="16"/>
  <c r="H1467" i="16"/>
  <c r="H1468" i="16"/>
  <c r="H1469" i="16"/>
  <c r="H1470" i="16"/>
  <c r="H1471" i="16"/>
  <c r="H1472" i="16"/>
  <c r="H1473" i="16"/>
  <c r="H1474" i="16"/>
  <c r="H1475" i="16"/>
  <c r="H1476" i="16"/>
  <c r="H1477" i="16"/>
  <c r="H1478" i="16"/>
  <c r="H1479" i="16"/>
  <c r="H1480" i="16"/>
  <c r="H1481" i="16"/>
  <c r="H1482" i="16"/>
  <c r="H1483" i="16"/>
  <c r="H1484" i="16"/>
  <c r="H1485" i="16"/>
  <c r="H1486" i="16"/>
  <c r="H1487" i="16"/>
  <c r="H1488" i="16"/>
  <c r="H1489" i="16"/>
  <c r="H1490" i="16"/>
  <c r="H1491" i="16"/>
  <c r="H1492" i="16"/>
  <c r="H1493" i="16"/>
  <c r="H1494" i="16"/>
  <c r="H1495" i="16"/>
  <c r="H1496" i="16"/>
  <c r="H1497" i="16"/>
  <c r="H1498" i="16"/>
  <c r="H1499" i="16"/>
  <c r="H1500" i="16"/>
  <c r="H1501" i="16"/>
  <c r="H1502" i="16"/>
  <c r="H1503" i="16"/>
  <c r="H1504" i="16"/>
  <c r="H1505" i="16"/>
  <c r="H1506" i="16"/>
  <c r="H1507" i="16"/>
  <c r="H1508" i="16"/>
  <c r="H1509" i="16"/>
  <c r="H1510" i="16"/>
  <c r="H2" i="16"/>
  <c r="G49" i="12"/>
  <c r="B88" i="2"/>
  <c r="D39" i="19"/>
  <c r="F12" i="19"/>
  <c r="E12" i="19"/>
  <c r="J219" i="4"/>
  <c r="I219" i="4"/>
  <c r="J160" i="4"/>
  <c r="J75" i="4"/>
  <c r="J105" i="4"/>
  <c r="W19" i="4"/>
  <c r="M213" i="14"/>
  <c r="N213" i="14"/>
  <c r="O213" i="14"/>
  <c r="P213" i="14"/>
  <c r="L213" i="14"/>
  <c r="M212" i="14"/>
  <c r="N212" i="14"/>
  <c r="O212" i="14"/>
  <c r="P212" i="14"/>
  <c r="L212" i="14"/>
  <c r="M211" i="14"/>
  <c r="N211" i="14"/>
  <c r="O211" i="14"/>
  <c r="P211" i="14"/>
  <c r="L211" i="14"/>
  <c r="M210" i="14"/>
  <c r="N210" i="14"/>
  <c r="O210" i="14"/>
  <c r="P210" i="14"/>
  <c r="L210" i="14"/>
  <c r="M209" i="14"/>
  <c r="N209" i="14"/>
  <c r="O209" i="14"/>
  <c r="P209" i="14"/>
  <c r="Q209" i="14"/>
  <c r="L209" i="14"/>
  <c r="M206" i="14"/>
  <c r="N206" i="14"/>
  <c r="O206" i="14"/>
  <c r="P206" i="14"/>
  <c r="Q206" i="14"/>
  <c r="L206" i="14"/>
  <c r="M205" i="14"/>
  <c r="N205" i="14"/>
  <c r="O205" i="14"/>
  <c r="P205" i="14"/>
  <c r="Q205" i="14"/>
  <c r="L205" i="14"/>
  <c r="M204" i="14"/>
  <c r="N204" i="14"/>
  <c r="O204" i="14"/>
  <c r="P204" i="14"/>
  <c r="Q204" i="14"/>
  <c r="L204" i="14"/>
  <c r="M203" i="14"/>
  <c r="N203" i="14"/>
  <c r="O203" i="14"/>
  <c r="P203" i="14"/>
  <c r="Q203" i="14"/>
  <c r="L203" i="14"/>
  <c r="M202" i="14"/>
  <c r="N202" i="14"/>
  <c r="O202" i="14"/>
  <c r="P202" i="14"/>
  <c r="Q202" i="14"/>
  <c r="L202" i="14"/>
  <c r="E230" i="14"/>
  <c r="F230" i="14"/>
  <c r="G230" i="14"/>
  <c r="G231" i="14" s="1"/>
  <c r="H230" i="14"/>
  <c r="H231" i="14" s="1"/>
  <c r="D230" i="14"/>
  <c r="E231" i="14" s="1"/>
  <c r="D224" i="14"/>
  <c r="E224" i="14"/>
  <c r="E225" i="14" s="1"/>
  <c r="F224" i="14"/>
  <c r="G224" i="14"/>
  <c r="G225" i="14" s="1"/>
  <c r="H224" i="14"/>
  <c r="H225" i="14" s="1"/>
  <c r="C224" i="14"/>
  <c r="N74" i="5"/>
  <c r="O74" i="5"/>
  <c r="P74" i="5"/>
  <c r="Q74" i="5"/>
  <c r="M74" i="5"/>
  <c r="M73" i="5"/>
  <c r="N73" i="5"/>
  <c r="O73" i="5"/>
  <c r="P73" i="5"/>
  <c r="Q73" i="5"/>
  <c r="L73" i="5"/>
  <c r="M75" i="5"/>
  <c r="N75" i="5"/>
  <c r="O75" i="5"/>
  <c r="P75" i="5"/>
  <c r="Q75" i="5"/>
  <c r="L75" i="5"/>
  <c r="D228" i="14"/>
  <c r="E228" i="14"/>
  <c r="F228" i="14"/>
  <c r="F229" i="14" s="1"/>
  <c r="G228" i="14"/>
  <c r="G229" i="14" s="1"/>
  <c r="H228" i="14"/>
  <c r="H229" i="14" s="1"/>
  <c r="C228" i="14"/>
  <c r="D226" i="14"/>
  <c r="E226" i="14"/>
  <c r="E227" i="14" s="1"/>
  <c r="F226" i="14"/>
  <c r="G226" i="14"/>
  <c r="G227" i="14" s="1"/>
  <c r="H226" i="14"/>
  <c r="H227" i="14" s="1"/>
  <c r="C226" i="14"/>
  <c r="D220" i="14"/>
  <c r="E220" i="14"/>
  <c r="F220" i="14"/>
  <c r="G220" i="14"/>
  <c r="H220" i="14"/>
  <c r="H221" i="14" s="1"/>
  <c r="C220" i="14"/>
  <c r="C221" i="14" s="1"/>
  <c r="D216" i="14"/>
  <c r="E216" i="14"/>
  <c r="F216" i="14"/>
  <c r="G216" i="14"/>
  <c r="H216" i="14"/>
  <c r="H218" i="14" s="1"/>
  <c r="H219" i="14" s="1"/>
  <c r="C216" i="14"/>
  <c r="D215" i="14"/>
  <c r="E215" i="14"/>
  <c r="F215" i="14"/>
  <c r="G215" i="14"/>
  <c r="H215" i="14"/>
  <c r="C215" i="14"/>
  <c r="E8" i="19"/>
  <c r="M4" i="18"/>
  <c r="M1" i="18"/>
  <c r="L3" i="18"/>
  <c r="M2" i="18"/>
  <c r="L2" i="18"/>
  <c r="M3" i="18"/>
  <c r="L1" i="18"/>
  <c r="F221" i="14" l="1"/>
  <c r="E221" i="14"/>
  <c r="G218" i="14"/>
  <c r="G219" i="14" s="1"/>
  <c r="D221" i="14"/>
  <c r="F217" i="14"/>
  <c r="E217" i="14"/>
  <c r="G221" i="14"/>
  <c r="D217" i="14"/>
  <c r="D218" i="14"/>
  <c r="D219" i="14" s="1"/>
  <c r="E229" i="14"/>
  <c r="C218" i="14"/>
  <c r="C219" i="14" s="1"/>
  <c r="C217" i="14"/>
  <c r="G217" i="14"/>
  <c r="F225" i="14"/>
  <c r="H217" i="14"/>
  <c r="E218" i="14"/>
  <c r="E219" i="14" s="1"/>
  <c r="F218" i="14"/>
  <c r="F219" i="14" s="1"/>
  <c r="D225" i="14"/>
  <c r="D227" i="14"/>
  <c r="F227" i="14"/>
  <c r="F231" i="14"/>
  <c r="D229" i="14"/>
  <c r="L5" i="18"/>
  <c r="F88" i="2" l="1"/>
  <c r="D12" i="19" l="1"/>
  <c r="D46" i="19"/>
  <c r="E45" i="19"/>
  <c r="F45" i="19"/>
  <c r="D45" i="19"/>
  <c r="E44" i="19"/>
  <c r="F44" i="19"/>
  <c r="D44" i="19"/>
  <c r="D41" i="19"/>
  <c r="D37" i="19"/>
  <c r="C92" i="2"/>
  <c r="D92" i="2"/>
  <c r="E92" i="2"/>
  <c r="F92" i="2"/>
  <c r="C90" i="2"/>
  <c r="D90" i="2"/>
  <c r="E90" i="2"/>
  <c r="F90" i="2"/>
  <c r="C88" i="2"/>
  <c r="D88" i="2"/>
  <c r="E88" i="2"/>
  <c r="D40" i="19"/>
  <c r="B92" i="2"/>
  <c r="D38" i="19"/>
  <c r="D36" i="19"/>
  <c r="D35" i="19"/>
  <c r="D34" i="19"/>
  <c r="D33" i="19"/>
  <c r="D23" i="19"/>
  <c r="D22" i="19"/>
  <c r="D21" i="19"/>
  <c r="D20" i="19"/>
  <c r="F41" i="4"/>
  <c r="D30" i="19"/>
  <c r="D29" i="19"/>
  <c r="D19" i="19"/>
  <c r="D18" i="19"/>
  <c r="D28" i="19"/>
  <c r="D27" i="19"/>
  <c r="D26" i="19"/>
  <c r="G3" i="18" l="1"/>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G504" i="18"/>
  <c r="F2" i="18"/>
  <c r="F504" i="18"/>
  <c r="F2" i="16"/>
  <c r="G2" i="16"/>
  <c r="C3" i="16" s="1"/>
  <c r="B3" i="16"/>
  <c r="F3" i="16"/>
  <c r="G3" i="16"/>
  <c r="B4" i="16"/>
  <c r="B5" i="16" s="1"/>
  <c r="B6" i="16" s="1"/>
  <c r="B7" i="16" s="1"/>
  <c r="B8" i="16" s="1"/>
  <c r="B9" i="16" s="1"/>
  <c r="B10" i="16" s="1"/>
  <c r="B11" i="16" s="1"/>
  <c r="B12" i="16" s="1"/>
  <c r="B13" i="16" s="1"/>
  <c r="B14" i="16" s="1"/>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39" i="16" s="1"/>
  <c r="B40" i="16" s="1"/>
  <c r="B41" i="16" s="1"/>
  <c r="B42" i="16" s="1"/>
  <c r="B43" i="16" s="1"/>
  <c r="B44" i="16" s="1"/>
  <c r="B45" i="16" s="1"/>
  <c r="B46" i="16" s="1"/>
  <c r="B47" i="16" s="1"/>
  <c r="B48" i="16" s="1"/>
  <c r="B49" i="16" s="1"/>
  <c r="B50" i="16" s="1"/>
  <c r="B51" i="16" s="1"/>
  <c r="B52" i="16" s="1"/>
  <c r="B53" i="16" s="1"/>
  <c r="B54" i="16" s="1"/>
  <c r="B55" i="16" s="1"/>
  <c r="B56" i="16" s="1"/>
  <c r="B57" i="16" s="1"/>
  <c r="B58" i="16" s="1"/>
  <c r="B59" i="16" s="1"/>
  <c r="B60" i="16" s="1"/>
  <c r="B61" i="16" s="1"/>
  <c r="B62" i="16" s="1"/>
  <c r="B63" i="16" s="1"/>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B109" i="16" s="1"/>
  <c r="B110" i="16" s="1"/>
  <c r="B111" i="16" s="1"/>
  <c r="B112" i="16" s="1"/>
  <c r="B113" i="16" s="1"/>
  <c r="B114" i="16" s="1"/>
  <c r="B115" i="16" s="1"/>
  <c r="B116" i="16" s="1"/>
  <c r="B117" i="16" s="1"/>
  <c r="B118" i="16" s="1"/>
  <c r="B119" i="16" s="1"/>
  <c r="B120" i="16" s="1"/>
  <c r="B121" i="16" s="1"/>
  <c r="B122" i="16" s="1"/>
  <c r="B123" i="16" s="1"/>
  <c r="B124" i="16" s="1"/>
  <c r="B125" i="16" s="1"/>
  <c r="B126" i="16" s="1"/>
  <c r="B127" i="16" s="1"/>
  <c r="B128" i="16" s="1"/>
  <c r="B129" i="16" s="1"/>
  <c r="B130" i="16" s="1"/>
  <c r="B131" i="16" s="1"/>
  <c r="B132" i="16" s="1"/>
  <c r="B133" i="16" s="1"/>
  <c r="B134" i="16" s="1"/>
  <c r="B135" i="16" s="1"/>
  <c r="B136" i="16" s="1"/>
  <c r="B137" i="16" s="1"/>
  <c r="B138" i="16" s="1"/>
  <c r="B139" i="16" s="1"/>
  <c r="B140" i="16" s="1"/>
  <c r="B141" i="16" s="1"/>
  <c r="B142" i="16" s="1"/>
  <c r="B143" i="16" s="1"/>
  <c r="B144" i="16" s="1"/>
  <c r="B145" i="16" s="1"/>
  <c r="B146" i="16" s="1"/>
  <c r="B147" i="16" s="1"/>
  <c r="B148" i="16" s="1"/>
  <c r="B149" i="16" s="1"/>
  <c r="B150" i="16" s="1"/>
  <c r="B151" i="16" s="1"/>
  <c r="B152" i="16" s="1"/>
  <c r="B153" i="16" s="1"/>
  <c r="B154" i="16" s="1"/>
  <c r="B155" i="16" s="1"/>
  <c r="B156" i="16" s="1"/>
  <c r="B157" i="16" s="1"/>
  <c r="B158" i="16" s="1"/>
  <c r="B159" i="16" s="1"/>
  <c r="B160" i="16" s="1"/>
  <c r="B161" i="16" s="1"/>
  <c r="B162" i="16" s="1"/>
  <c r="B163" i="16" s="1"/>
  <c r="B164" i="16" s="1"/>
  <c r="B165" i="16" s="1"/>
  <c r="B166" i="16" s="1"/>
  <c r="B167" i="16" s="1"/>
  <c r="B168" i="16" s="1"/>
  <c r="B169" i="16" s="1"/>
  <c r="B170" i="16" s="1"/>
  <c r="B171" i="16" s="1"/>
  <c r="B172" i="16" s="1"/>
  <c r="B173" i="16" s="1"/>
  <c r="B174" i="16" s="1"/>
  <c r="B175" i="16" s="1"/>
  <c r="B176" i="16" s="1"/>
  <c r="B177" i="16" s="1"/>
  <c r="B178" i="16" s="1"/>
  <c r="B179" i="16" s="1"/>
  <c r="C4" i="16"/>
  <c r="C5" i="16" s="1"/>
  <c r="C6" i="16" s="1"/>
  <c r="C7" i="16" s="1"/>
  <c r="C8" i="16" s="1"/>
  <c r="C9" i="16" s="1"/>
  <c r="C10" i="16" s="1"/>
  <c r="C11" i="16" s="1"/>
  <c r="C12" i="16" s="1"/>
  <c r="C13" i="16" s="1"/>
  <c r="C14" i="16" s="1"/>
  <c r="C15" i="16" s="1"/>
  <c r="C16" i="16" s="1"/>
  <c r="C17" i="16" s="1"/>
  <c r="C18" i="16" s="1"/>
  <c r="C19" i="16" s="1"/>
  <c r="C20" i="16" s="1"/>
  <c r="C21" i="16" s="1"/>
  <c r="C22" i="16" s="1"/>
  <c r="C23" i="16" s="1"/>
  <c r="C24" i="16" s="1"/>
  <c r="C25" i="16" s="1"/>
  <c r="C26" i="16" s="1"/>
  <c r="C27" i="16" s="1"/>
  <c r="C28" i="16" s="1"/>
  <c r="C29" i="16" s="1"/>
  <c r="C30" i="16" s="1"/>
  <c r="C31" i="16" s="1"/>
  <c r="C32" i="16" s="1"/>
  <c r="C33" i="16" s="1"/>
  <c r="C34" i="16" s="1"/>
  <c r="C35" i="16" s="1"/>
  <c r="C36" i="16" s="1"/>
  <c r="C37" i="16" s="1"/>
  <c r="C38" i="16" s="1"/>
  <c r="C39" i="16" s="1"/>
  <c r="C40" i="16" s="1"/>
  <c r="C41" i="16" s="1"/>
  <c r="C42" i="16" s="1"/>
  <c r="C43" i="16" s="1"/>
  <c r="C44" i="16" s="1"/>
  <c r="C45" i="16" s="1"/>
  <c r="C46" i="16" s="1"/>
  <c r="C47" i="16" s="1"/>
  <c r="C48" i="16" s="1"/>
  <c r="C49" i="16" s="1"/>
  <c r="C50" i="16" s="1"/>
  <c r="C51" i="16" s="1"/>
  <c r="C52" i="16" s="1"/>
  <c r="C53" i="16" s="1"/>
  <c r="C54" i="16" s="1"/>
  <c r="C55" i="16" s="1"/>
  <c r="C56" i="16" s="1"/>
  <c r="C57" i="16" s="1"/>
  <c r="C58" i="16" s="1"/>
  <c r="C59" i="16" s="1"/>
  <c r="C60" i="16" s="1"/>
  <c r="C61" i="16" s="1"/>
  <c r="C62" i="16" s="1"/>
  <c r="C63" i="16" s="1"/>
  <c r="C64" i="16" s="1"/>
  <c r="C65" i="16" s="1"/>
  <c r="C66" i="16" s="1"/>
  <c r="C67" i="16" s="1"/>
  <c r="C68" i="16" s="1"/>
  <c r="C69" i="16" s="1"/>
  <c r="C70" i="16" s="1"/>
  <c r="C71" i="16" s="1"/>
  <c r="C72" i="16" s="1"/>
  <c r="C73" i="16" s="1"/>
  <c r="C74" i="16" s="1"/>
  <c r="C75" i="16" s="1"/>
  <c r="C76" i="16" s="1"/>
  <c r="C77" i="16" s="1"/>
  <c r="C78" i="16" s="1"/>
  <c r="C79" i="16" s="1"/>
  <c r="C80" i="16" s="1"/>
  <c r="C81" i="16" s="1"/>
  <c r="C82" i="16" s="1"/>
  <c r="C83" i="16" s="1"/>
  <c r="C84" i="16" s="1"/>
  <c r="C85" i="16" s="1"/>
  <c r="C86" i="16" s="1"/>
  <c r="C87" i="16" s="1"/>
  <c r="C88" i="16" s="1"/>
  <c r="C89" i="16" s="1"/>
  <c r="C90" i="16" s="1"/>
  <c r="C91" i="16" s="1"/>
  <c r="C92" i="16" s="1"/>
  <c r="C93" i="16" s="1"/>
  <c r="C94" i="16" s="1"/>
  <c r="C95" i="16" s="1"/>
  <c r="C96" i="16" s="1"/>
  <c r="C97" i="16" s="1"/>
  <c r="C98" i="16" s="1"/>
  <c r="C99" i="16" s="1"/>
  <c r="C100" i="16" s="1"/>
  <c r="C101" i="16" s="1"/>
  <c r="C102" i="16" s="1"/>
  <c r="C103" i="16" s="1"/>
  <c r="C104" i="16" s="1"/>
  <c r="C105" i="16" s="1"/>
  <c r="C106" i="16" s="1"/>
  <c r="C107" i="16" s="1"/>
  <c r="C108" i="16" s="1"/>
  <c r="C109" i="16" s="1"/>
  <c r="C110" i="16" s="1"/>
  <c r="C111" i="16" s="1"/>
  <c r="C112" i="16" s="1"/>
  <c r="C113" i="16" s="1"/>
  <c r="C114" i="16" s="1"/>
  <c r="C115" i="16" s="1"/>
  <c r="C116" i="16" s="1"/>
  <c r="C117" i="16" s="1"/>
  <c r="C118" i="16" s="1"/>
  <c r="C119" i="16" s="1"/>
  <c r="C120" i="16" s="1"/>
  <c r="C121" i="16" s="1"/>
  <c r="C122" i="16" s="1"/>
  <c r="C123" i="16" s="1"/>
  <c r="C124" i="16" s="1"/>
  <c r="C125" i="16" s="1"/>
  <c r="C126" i="16" s="1"/>
  <c r="C127" i="16" s="1"/>
  <c r="C128" i="16" s="1"/>
  <c r="C129" i="16" s="1"/>
  <c r="C130" i="16" s="1"/>
  <c r="C131" i="16" s="1"/>
  <c r="C132" i="16" s="1"/>
  <c r="C133" i="16" s="1"/>
  <c r="C134" i="16" s="1"/>
  <c r="C135" i="16" s="1"/>
  <c r="C136" i="16" s="1"/>
  <c r="C137" i="16" s="1"/>
  <c r="C138" i="16" s="1"/>
  <c r="C139" i="16" s="1"/>
  <c r="C140" i="16" s="1"/>
  <c r="C141" i="16" s="1"/>
  <c r="C142" i="16" s="1"/>
  <c r="C143" i="16" s="1"/>
  <c r="C144" i="16" s="1"/>
  <c r="C145" i="16" s="1"/>
  <c r="C146" i="16" s="1"/>
  <c r="C147" i="16" s="1"/>
  <c r="C148" i="16" s="1"/>
  <c r="C149" i="16" s="1"/>
  <c r="C150" i="16" s="1"/>
  <c r="C151" i="16" s="1"/>
  <c r="C152" i="16" s="1"/>
  <c r="C153" i="16" s="1"/>
  <c r="C154" i="16" s="1"/>
  <c r="C155" i="16" s="1"/>
  <c r="C156" i="16" s="1"/>
  <c r="C157" i="16" s="1"/>
  <c r="C158" i="16" s="1"/>
  <c r="C159" i="16" s="1"/>
  <c r="C160" i="16" s="1"/>
  <c r="C161" i="16" s="1"/>
  <c r="C162" i="16" s="1"/>
  <c r="C163" i="16" s="1"/>
  <c r="C164" i="16" s="1"/>
  <c r="C165" i="16" s="1"/>
  <c r="C166" i="16" s="1"/>
  <c r="C167" i="16" s="1"/>
  <c r="C168" i="16" s="1"/>
  <c r="C169" i="16" s="1"/>
  <c r="C170" i="16" s="1"/>
  <c r="C171" i="16" s="1"/>
  <c r="C172" i="16" s="1"/>
  <c r="C173" i="16" s="1"/>
  <c r="C174" i="16" s="1"/>
  <c r="C175" i="16" s="1"/>
  <c r="C176" i="16" s="1"/>
  <c r="C177" i="16" s="1"/>
  <c r="C178" i="16" s="1"/>
  <c r="C179" i="16" s="1"/>
  <c r="C180" i="16" s="1"/>
  <c r="C181" i="16" s="1"/>
  <c r="C182" i="16" s="1"/>
  <c r="C183" i="16" s="1"/>
  <c r="C184" i="16" s="1"/>
  <c r="C185" i="16" s="1"/>
  <c r="C186" i="16" s="1"/>
  <c r="C187" i="16" s="1"/>
  <c r="C188" i="16" s="1"/>
  <c r="C189" i="16" s="1"/>
  <c r="C190" i="16" s="1"/>
  <c r="C191" i="16" s="1"/>
  <c r="C192" i="16" s="1"/>
  <c r="C193" i="16" s="1"/>
  <c r="C194" i="16" s="1"/>
  <c r="C195" i="16" s="1"/>
  <c r="C196" i="16" s="1"/>
  <c r="C197" i="16" s="1"/>
  <c r="C198" i="16" s="1"/>
  <c r="C199" i="16" s="1"/>
  <c r="C200" i="16" s="1"/>
  <c r="C201" i="16" s="1"/>
  <c r="C202" i="16" s="1"/>
  <c r="C203" i="16" s="1"/>
  <c r="C204" i="16" s="1"/>
  <c r="C205" i="16" s="1"/>
  <c r="C206" i="16" s="1"/>
  <c r="C207" i="16" s="1"/>
  <c r="C208" i="16" s="1"/>
  <c r="C209" i="16" s="1"/>
  <c r="C210" i="16" s="1"/>
  <c r="C211" i="16" s="1"/>
  <c r="C212" i="16" s="1"/>
  <c r="C213" i="16" s="1"/>
  <c r="C214" i="16" s="1"/>
  <c r="C215" i="16" s="1"/>
  <c r="C216" i="16" s="1"/>
  <c r="C217" i="16" s="1"/>
  <c r="C218" i="16" s="1"/>
  <c r="C219" i="16" s="1"/>
  <c r="C220" i="16" s="1"/>
  <c r="C221" i="16" s="1"/>
  <c r="C222" i="16" s="1"/>
  <c r="C223" i="16" s="1"/>
  <c r="C224" i="16" s="1"/>
  <c r="C225" i="16" s="1"/>
  <c r="C226" i="16" s="1"/>
  <c r="C227" i="16" s="1"/>
  <c r="C228" i="16" s="1"/>
  <c r="C229" i="16" s="1"/>
  <c r="C230" i="16" s="1"/>
  <c r="C231" i="16" s="1"/>
  <c r="C232" i="16" s="1"/>
  <c r="C233" i="16" s="1"/>
  <c r="C234" i="16" s="1"/>
  <c r="C235" i="16" s="1"/>
  <c r="C236" i="16" s="1"/>
  <c r="C237" i="16" s="1"/>
  <c r="C238" i="16" s="1"/>
  <c r="C239" i="16" s="1"/>
  <c r="C240" i="16" s="1"/>
  <c r="C241" i="16" s="1"/>
  <c r="C242" i="16" s="1"/>
  <c r="C243" i="16" s="1"/>
  <c r="C244" i="16" s="1"/>
  <c r="C245" i="16" s="1"/>
  <c r="C246" i="16" s="1"/>
  <c r="C247" i="16" s="1"/>
  <c r="C248" i="16" s="1"/>
  <c r="C249" i="16" s="1"/>
  <c r="C250" i="16" s="1"/>
  <c r="C251" i="16" s="1"/>
  <c r="C252" i="16" s="1"/>
  <c r="C253" i="16" s="1"/>
  <c r="C254" i="16" s="1"/>
  <c r="C255" i="16" s="1"/>
  <c r="C256" i="16" s="1"/>
  <c r="C257" i="16" s="1"/>
  <c r="C258" i="16" s="1"/>
  <c r="C259" i="16" s="1"/>
  <c r="C260" i="16" s="1"/>
  <c r="C261" i="16" s="1"/>
  <c r="C262" i="16" s="1"/>
  <c r="C263" i="16" s="1"/>
  <c r="C264" i="16" s="1"/>
  <c r="C265" i="16" s="1"/>
  <c r="C266" i="16" s="1"/>
  <c r="C267" i="16" s="1"/>
  <c r="C268" i="16" s="1"/>
  <c r="C269" i="16" s="1"/>
  <c r="C270" i="16" s="1"/>
  <c r="C271" i="16" s="1"/>
  <c r="C272" i="16" s="1"/>
  <c r="C273" i="16" s="1"/>
  <c r="C274" i="16" s="1"/>
  <c r="C275" i="16" s="1"/>
  <c r="C276" i="16" s="1"/>
  <c r="C277" i="16" s="1"/>
  <c r="C278" i="16" s="1"/>
  <c r="C279" i="16" s="1"/>
  <c r="C280" i="16" s="1"/>
  <c r="C281" i="16" s="1"/>
  <c r="C282" i="16" s="1"/>
  <c r="C283" i="16" s="1"/>
  <c r="C284" i="16" s="1"/>
  <c r="C285" i="16" s="1"/>
  <c r="C286" i="16" s="1"/>
  <c r="C287" i="16" s="1"/>
  <c r="C288" i="16" s="1"/>
  <c r="C289" i="16" s="1"/>
  <c r="C290" i="16" s="1"/>
  <c r="C291" i="16" s="1"/>
  <c r="C292" i="16" s="1"/>
  <c r="C293" i="16" s="1"/>
  <c r="C294" i="16" s="1"/>
  <c r="C295" i="16" s="1"/>
  <c r="C296" i="16" s="1"/>
  <c r="C297" i="16" s="1"/>
  <c r="C298" i="16" s="1"/>
  <c r="C299" i="16" s="1"/>
  <c r="C300" i="16" s="1"/>
  <c r="C301" i="16" s="1"/>
  <c r="C302" i="16" s="1"/>
  <c r="C303" i="16" s="1"/>
  <c r="C304" i="16" s="1"/>
  <c r="C305" i="16" s="1"/>
  <c r="C306" i="16" s="1"/>
  <c r="C307" i="16" s="1"/>
  <c r="C308" i="16" s="1"/>
  <c r="C309" i="16" s="1"/>
  <c r="C310" i="16" s="1"/>
  <c r="C311" i="16" s="1"/>
  <c r="C312" i="16" s="1"/>
  <c r="C313" i="16" s="1"/>
  <c r="C314" i="16" s="1"/>
  <c r="C315" i="16" s="1"/>
  <c r="C316" i="16" s="1"/>
  <c r="C317" i="16" s="1"/>
  <c r="C318" i="16" s="1"/>
  <c r="C319" i="16" s="1"/>
  <c r="C320" i="16" s="1"/>
  <c r="C321" i="16" s="1"/>
  <c r="C322" i="16" s="1"/>
  <c r="C323" i="16" s="1"/>
  <c r="C324" i="16" s="1"/>
  <c r="C325" i="16" s="1"/>
  <c r="C326" i="16" s="1"/>
  <c r="C327" i="16" s="1"/>
  <c r="C328" i="16" s="1"/>
  <c r="C329" i="16" s="1"/>
  <c r="C330" i="16" s="1"/>
  <c r="C331" i="16" s="1"/>
  <c r="C332" i="16" s="1"/>
  <c r="C333" i="16" s="1"/>
  <c r="C334" i="16" s="1"/>
  <c r="C335" i="16" s="1"/>
  <c r="C336" i="16" s="1"/>
  <c r="C337" i="16" s="1"/>
  <c r="C338" i="16" s="1"/>
  <c r="C339" i="16" s="1"/>
  <c r="C340" i="16" s="1"/>
  <c r="C341" i="16" s="1"/>
  <c r="C342" i="16" s="1"/>
  <c r="C343" i="16" s="1"/>
  <c r="C344" i="16" s="1"/>
  <c r="C345" i="16" s="1"/>
  <c r="C346" i="16" s="1"/>
  <c r="C347" i="16" s="1"/>
  <c r="C348" i="16" s="1"/>
  <c r="C349" i="16" s="1"/>
  <c r="C350" i="16" s="1"/>
  <c r="C351" i="16" s="1"/>
  <c r="C352" i="16" s="1"/>
  <c r="C353" i="16" s="1"/>
  <c r="C354" i="16" s="1"/>
  <c r="C355" i="16" s="1"/>
  <c r="C356" i="16" s="1"/>
  <c r="C357" i="16" s="1"/>
  <c r="C358" i="16" s="1"/>
  <c r="C359" i="16" s="1"/>
  <c r="C360" i="16" s="1"/>
  <c r="C361" i="16" s="1"/>
  <c r="C362" i="16" s="1"/>
  <c r="C363" i="16" s="1"/>
  <c r="C364" i="16" s="1"/>
  <c r="C365" i="16" s="1"/>
  <c r="C366" i="16" s="1"/>
  <c r="C367" i="16" s="1"/>
  <c r="C368" i="16" s="1"/>
  <c r="C369" i="16" s="1"/>
  <c r="C370" i="16" s="1"/>
  <c r="C371" i="16" s="1"/>
  <c r="C372" i="16" s="1"/>
  <c r="C373" i="16" s="1"/>
  <c r="C374" i="16" s="1"/>
  <c r="C375" i="16" s="1"/>
  <c r="C376" i="16" s="1"/>
  <c r="C377" i="16" s="1"/>
  <c r="C378" i="16" s="1"/>
  <c r="C379" i="16" s="1"/>
  <c r="C380" i="16" s="1"/>
  <c r="C381" i="16" s="1"/>
  <c r="C382" i="16" s="1"/>
  <c r="C383" i="16" s="1"/>
  <c r="C384" i="16" s="1"/>
  <c r="C385" i="16" s="1"/>
  <c r="C386" i="16" s="1"/>
  <c r="C387" i="16" s="1"/>
  <c r="C388" i="16" s="1"/>
  <c r="C389" i="16" s="1"/>
  <c r="C390" i="16" s="1"/>
  <c r="C391" i="16" s="1"/>
  <c r="C392" i="16" s="1"/>
  <c r="C393" i="16" s="1"/>
  <c r="C394" i="16" s="1"/>
  <c r="C395" i="16" s="1"/>
  <c r="C396" i="16" s="1"/>
  <c r="C397" i="16" s="1"/>
  <c r="C398" i="16" s="1"/>
  <c r="C399" i="16" s="1"/>
  <c r="C400" i="16" s="1"/>
  <c r="C401" i="16" s="1"/>
  <c r="C402" i="16" s="1"/>
  <c r="C403" i="16" s="1"/>
  <c r="C404" i="16" s="1"/>
  <c r="C405" i="16" s="1"/>
  <c r="C406" i="16" s="1"/>
  <c r="C407" i="16" s="1"/>
  <c r="C408" i="16" s="1"/>
  <c r="C409" i="16" s="1"/>
  <c r="C410" i="16" s="1"/>
  <c r="C411" i="16" s="1"/>
  <c r="C412" i="16" s="1"/>
  <c r="C413" i="16" s="1"/>
  <c r="C414" i="16" s="1"/>
  <c r="C415" i="16" s="1"/>
  <c r="C416" i="16" s="1"/>
  <c r="C417" i="16" s="1"/>
  <c r="C418" i="16" s="1"/>
  <c r="C419" i="16" s="1"/>
  <c r="C420" i="16" s="1"/>
  <c r="C421" i="16" s="1"/>
  <c r="C422" i="16" s="1"/>
  <c r="C423" i="16" s="1"/>
  <c r="C424" i="16" s="1"/>
  <c r="C425" i="16" s="1"/>
  <c r="C426" i="16" s="1"/>
  <c r="C427" i="16" s="1"/>
  <c r="C428" i="16" s="1"/>
  <c r="C429" i="16" s="1"/>
  <c r="C430" i="16" s="1"/>
  <c r="C431" i="16" s="1"/>
  <c r="C432" i="16" s="1"/>
  <c r="C433" i="16" s="1"/>
  <c r="C434" i="16" s="1"/>
  <c r="C435" i="16" s="1"/>
  <c r="C436" i="16" s="1"/>
  <c r="C437" i="16" s="1"/>
  <c r="C438" i="16" s="1"/>
  <c r="C439" i="16" s="1"/>
  <c r="C440" i="16" s="1"/>
  <c r="C441" i="16" s="1"/>
  <c r="C442" i="16" s="1"/>
  <c r="C443" i="16" s="1"/>
  <c r="C444" i="16" s="1"/>
  <c r="C445" i="16" s="1"/>
  <c r="C446" i="16" s="1"/>
  <c r="C447" i="16" s="1"/>
  <c r="C448" i="16" s="1"/>
  <c r="C449" i="16" s="1"/>
  <c r="C450" i="16" s="1"/>
  <c r="C451" i="16" s="1"/>
  <c r="C452" i="16" s="1"/>
  <c r="C453" i="16" s="1"/>
  <c r="C454" i="16" s="1"/>
  <c r="C455" i="16" s="1"/>
  <c r="C456" i="16" s="1"/>
  <c r="C457" i="16" s="1"/>
  <c r="C458" i="16" s="1"/>
  <c r="C459" i="16" s="1"/>
  <c r="C460" i="16" s="1"/>
  <c r="C461" i="16" s="1"/>
  <c r="C462" i="16" s="1"/>
  <c r="C463" i="16" s="1"/>
  <c r="C464" i="16" s="1"/>
  <c r="C465" i="16" s="1"/>
  <c r="C466" i="16" s="1"/>
  <c r="C467" i="16" s="1"/>
  <c r="C468" i="16" s="1"/>
  <c r="C469" i="16" s="1"/>
  <c r="C470" i="16" s="1"/>
  <c r="C471" i="16" s="1"/>
  <c r="C472" i="16" s="1"/>
  <c r="C473" i="16" s="1"/>
  <c r="C474" i="16" s="1"/>
  <c r="C475" i="16" s="1"/>
  <c r="C476" i="16" s="1"/>
  <c r="C477" i="16" s="1"/>
  <c r="C478" i="16" s="1"/>
  <c r="C479" i="16" s="1"/>
  <c r="C480" i="16" s="1"/>
  <c r="C481" i="16" s="1"/>
  <c r="C482" i="16" s="1"/>
  <c r="C483" i="16" s="1"/>
  <c r="C484" i="16" s="1"/>
  <c r="C485" i="16" s="1"/>
  <c r="C486" i="16" s="1"/>
  <c r="C487" i="16" s="1"/>
  <c r="C488" i="16" s="1"/>
  <c r="C489" i="16" s="1"/>
  <c r="C490" i="16" s="1"/>
  <c r="C491" i="16" s="1"/>
  <c r="C492" i="16" s="1"/>
  <c r="C493" i="16" s="1"/>
  <c r="C494" i="16" s="1"/>
  <c r="C495" i="16" s="1"/>
  <c r="C496" i="16" s="1"/>
  <c r="C497" i="16" s="1"/>
  <c r="C498" i="16" s="1"/>
  <c r="C499" i="16" s="1"/>
  <c r="C500" i="16" s="1"/>
  <c r="C501" i="16" s="1"/>
  <c r="C502" i="16" s="1"/>
  <c r="C503" i="16" s="1"/>
  <c r="C504" i="16" s="1"/>
  <c r="C505" i="16" s="1"/>
  <c r="C506" i="16" s="1"/>
  <c r="C507" i="16" s="1"/>
  <c r="C508" i="16" s="1"/>
  <c r="C509" i="16" s="1"/>
  <c r="C510" i="16" s="1"/>
  <c r="C511" i="16" s="1"/>
  <c r="C512" i="16" s="1"/>
  <c r="C513" i="16" s="1"/>
  <c r="C514" i="16" s="1"/>
  <c r="C515" i="16" s="1"/>
  <c r="C516" i="16" s="1"/>
  <c r="C517" i="16" s="1"/>
  <c r="C518" i="16" s="1"/>
  <c r="C519" i="16" s="1"/>
  <c r="C520" i="16" s="1"/>
  <c r="C521" i="16" s="1"/>
  <c r="C522" i="16" s="1"/>
  <c r="C523" i="16" s="1"/>
  <c r="C524" i="16" s="1"/>
  <c r="C525" i="16" s="1"/>
  <c r="C526" i="16" s="1"/>
  <c r="C527" i="16" s="1"/>
  <c r="C528" i="16" s="1"/>
  <c r="C529" i="16" s="1"/>
  <c r="C530" i="16" s="1"/>
  <c r="C531" i="16" s="1"/>
  <c r="C532" i="16" s="1"/>
  <c r="C533" i="16" s="1"/>
  <c r="C534" i="16" s="1"/>
  <c r="C535" i="16" s="1"/>
  <c r="C536" i="16" s="1"/>
  <c r="C537" i="16" s="1"/>
  <c r="C538" i="16" s="1"/>
  <c r="C539" i="16" s="1"/>
  <c r="C540" i="16" s="1"/>
  <c r="C541" i="16" s="1"/>
  <c r="C542" i="16" s="1"/>
  <c r="C543" i="16" s="1"/>
  <c r="C544" i="16" s="1"/>
  <c r="C545" i="16" s="1"/>
  <c r="C546" i="16" s="1"/>
  <c r="C547" i="16" s="1"/>
  <c r="C548" i="16" s="1"/>
  <c r="C549" i="16" s="1"/>
  <c r="C550" i="16" s="1"/>
  <c r="C551" i="16" s="1"/>
  <c r="C552" i="16" s="1"/>
  <c r="C553" i="16" s="1"/>
  <c r="C554" i="16" s="1"/>
  <c r="C555" i="16" s="1"/>
  <c r="C556" i="16" s="1"/>
  <c r="C557" i="16" s="1"/>
  <c r="C558" i="16" s="1"/>
  <c r="C559" i="16" s="1"/>
  <c r="C560" i="16" s="1"/>
  <c r="C561" i="16" s="1"/>
  <c r="C562" i="16" s="1"/>
  <c r="C563" i="16" s="1"/>
  <c r="C564" i="16" s="1"/>
  <c r="C565" i="16" s="1"/>
  <c r="C566" i="16" s="1"/>
  <c r="C567" i="16" s="1"/>
  <c r="C568" i="16" s="1"/>
  <c r="C569" i="16" s="1"/>
  <c r="C570" i="16" s="1"/>
  <c r="C571" i="16" s="1"/>
  <c r="C572" i="16" s="1"/>
  <c r="C573" i="16" s="1"/>
  <c r="C574" i="16" s="1"/>
  <c r="C575" i="16" s="1"/>
  <c r="C576" i="16" s="1"/>
  <c r="C577" i="16" s="1"/>
  <c r="C578" i="16" s="1"/>
  <c r="C579" i="16" s="1"/>
  <c r="C580" i="16" s="1"/>
  <c r="C581" i="16" s="1"/>
  <c r="C582" i="16" s="1"/>
  <c r="C583" i="16" s="1"/>
  <c r="C584" i="16" s="1"/>
  <c r="C585" i="16" s="1"/>
  <c r="C586" i="16" s="1"/>
  <c r="C587" i="16" s="1"/>
  <c r="C588" i="16" s="1"/>
  <c r="C589" i="16" s="1"/>
  <c r="C590" i="16" s="1"/>
  <c r="C591" i="16" s="1"/>
  <c r="C592" i="16" s="1"/>
  <c r="C593" i="16" s="1"/>
  <c r="C594" i="16" s="1"/>
  <c r="C595" i="16" s="1"/>
  <c r="C596" i="16" s="1"/>
  <c r="C597" i="16" s="1"/>
  <c r="C598" i="16" s="1"/>
  <c r="C599" i="16" s="1"/>
  <c r="C600" i="16" s="1"/>
  <c r="C601" i="16" s="1"/>
  <c r="C602" i="16" s="1"/>
  <c r="C603" i="16" s="1"/>
  <c r="C604" i="16" s="1"/>
  <c r="C605" i="16" s="1"/>
  <c r="C606" i="16" s="1"/>
  <c r="C607" i="16" s="1"/>
  <c r="C608" i="16" s="1"/>
  <c r="C609" i="16" s="1"/>
  <c r="C610" i="16" s="1"/>
  <c r="C611" i="16" s="1"/>
  <c r="C612" i="16" s="1"/>
  <c r="C613" i="16" s="1"/>
  <c r="C614" i="16" s="1"/>
  <c r="C615" i="16" s="1"/>
  <c r="C616" i="16" s="1"/>
  <c r="C617" i="16" s="1"/>
  <c r="C618" i="16" s="1"/>
  <c r="C619" i="16" s="1"/>
  <c r="C620" i="16" s="1"/>
  <c r="C621" i="16" s="1"/>
  <c r="C622" i="16" s="1"/>
  <c r="C623" i="16" s="1"/>
  <c r="C624" i="16" s="1"/>
  <c r="C625" i="16" s="1"/>
  <c r="C626" i="16" s="1"/>
  <c r="C627" i="16" s="1"/>
  <c r="C628" i="16" s="1"/>
  <c r="C629" i="16" s="1"/>
  <c r="C630" i="16" s="1"/>
  <c r="C631" i="16" s="1"/>
  <c r="C632" i="16" s="1"/>
  <c r="C633" i="16" s="1"/>
  <c r="C634" i="16" s="1"/>
  <c r="C635" i="16" s="1"/>
  <c r="C636" i="16" s="1"/>
  <c r="C637" i="16" s="1"/>
  <c r="C638" i="16" s="1"/>
  <c r="C639" i="16" s="1"/>
  <c r="C640" i="16" s="1"/>
  <c r="C641" i="16" s="1"/>
  <c r="C642" i="16" s="1"/>
  <c r="C643" i="16" s="1"/>
  <c r="C644" i="16" s="1"/>
  <c r="C645" i="16" s="1"/>
  <c r="C646" i="16" s="1"/>
  <c r="C647" i="16" s="1"/>
  <c r="C648" i="16" s="1"/>
  <c r="C649" i="16" s="1"/>
  <c r="C650" i="16" s="1"/>
  <c r="C651" i="16" s="1"/>
  <c r="C652" i="16" s="1"/>
  <c r="C653" i="16" s="1"/>
  <c r="C654" i="16" s="1"/>
  <c r="C655" i="16" s="1"/>
  <c r="C656" i="16" s="1"/>
  <c r="C657" i="16" s="1"/>
  <c r="C658" i="16" s="1"/>
  <c r="C659" i="16" s="1"/>
  <c r="C660" i="16" s="1"/>
  <c r="C661" i="16" s="1"/>
  <c r="C662" i="16" s="1"/>
  <c r="C663" i="16" s="1"/>
  <c r="C664" i="16" s="1"/>
  <c r="C665" i="16" s="1"/>
  <c r="C666" i="16" s="1"/>
  <c r="C667" i="16" s="1"/>
  <c r="C668" i="16" s="1"/>
  <c r="C669" i="16" s="1"/>
  <c r="C670" i="16" s="1"/>
  <c r="C671" i="16" s="1"/>
  <c r="C672" i="16" s="1"/>
  <c r="C673" i="16" s="1"/>
  <c r="C674" i="16" s="1"/>
  <c r="C675" i="16" s="1"/>
  <c r="C676" i="16" s="1"/>
  <c r="C677" i="16" s="1"/>
  <c r="C678" i="16" s="1"/>
  <c r="C679" i="16" s="1"/>
  <c r="C680" i="16" s="1"/>
  <c r="C681" i="16" s="1"/>
  <c r="C682" i="16" s="1"/>
  <c r="C683" i="16" s="1"/>
  <c r="C684" i="16" s="1"/>
  <c r="C685" i="16" s="1"/>
  <c r="C686" i="16" s="1"/>
  <c r="C687" i="16" s="1"/>
  <c r="C688" i="16" s="1"/>
  <c r="C689" i="16" s="1"/>
  <c r="C690" i="16" s="1"/>
  <c r="C691" i="16" s="1"/>
  <c r="C692" i="16" s="1"/>
  <c r="C693" i="16" s="1"/>
  <c r="C694" i="16" s="1"/>
  <c r="C695" i="16" s="1"/>
  <c r="C696" i="16" s="1"/>
  <c r="C697" i="16" s="1"/>
  <c r="C698" i="16" s="1"/>
  <c r="C699" i="16" s="1"/>
  <c r="C700" i="16" s="1"/>
  <c r="C701" i="16" s="1"/>
  <c r="C702" i="16" s="1"/>
  <c r="C703" i="16" s="1"/>
  <c r="C704" i="16" s="1"/>
  <c r="C705" i="16" s="1"/>
  <c r="C706" i="16" s="1"/>
  <c r="C707" i="16" s="1"/>
  <c r="C708" i="16" s="1"/>
  <c r="C709" i="16" s="1"/>
  <c r="C710" i="16" s="1"/>
  <c r="C711" i="16" s="1"/>
  <c r="C712" i="16" s="1"/>
  <c r="C713" i="16" s="1"/>
  <c r="C714" i="16" s="1"/>
  <c r="C715" i="16" s="1"/>
  <c r="C716" i="16" s="1"/>
  <c r="C717" i="16" s="1"/>
  <c r="C718" i="16" s="1"/>
  <c r="C719" i="16" s="1"/>
  <c r="C720" i="16" s="1"/>
  <c r="C721" i="16" s="1"/>
  <c r="C722" i="16" s="1"/>
  <c r="C723" i="16" s="1"/>
  <c r="C724" i="16" s="1"/>
  <c r="C725" i="16" s="1"/>
  <c r="C726" i="16" s="1"/>
  <c r="C727" i="16" s="1"/>
  <c r="C728" i="16" s="1"/>
  <c r="C729" i="16" s="1"/>
  <c r="C730" i="16" s="1"/>
  <c r="C731" i="16" s="1"/>
  <c r="C732" i="16" s="1"/>
  <c r="C733" i="16" s="1"/>
  <c r="C734" i="16" s="1"/>
  <c r="C735" i="16" s="1"/>
  <c r="C736" i="16" s="1"/>
  <c r="C737" i="16" s="1"/>
  <c r="C738" i="16" s="1"/>
  <c r="C739" i="16" s="1"/>
  <c r="C740" i="16" s="1"/>
  <c r="C741" i="16" s="1"/>
  <c r="C742" i="16" s="1"/>
  <c r="C743" i="16" s="1"/>
  <c r="C744" i="16" s="1"/>
  <c r="C745" i="16" s="1"/>
  <c r="C746" i="16" s="1"/>
  <c r="C747" i="16" s="1"/>
  <c r="C748" i="16" s="1"/>
  <c r="C749" i="16" s="1"/>
  <c r="C750" i="16" s="1"/>
  <c r="C751" i="16" s="1"/>
  <c r="C752" i="16" s="1"/>
  <c r="C753" i="16" s="1"/>
  <c r="C754" i="16" s="1"/>
  <c r="C755" i="16" s="1"/>
  <c r="C756" i="16" s="1"/>
  <c r="C757" i="16" s="1"/>
  <c r="C758" i="16" s="1"/>
  <c r="C759" i="16" s="1"/>
  <c r="C760" i="16" s="1"/>
  <c r="C761" i="16" s="1"/>
  <c r="C762" i="16" s="1"/>
  <c r="C763" i="16" s="1"/>
  <c r="C764" i="16" s="1"/>
  <c r="C765" i="16" s="1"/>
  <c r="C766" i="16" s="1"/>
  <c r="C767" i="16" s="1"/>
  <c r="C768" i="16" s="1"/>
  <c r="C769" i="16" s="1"/>
  <c r="C770" i="16" s="1"/>
  <c r="C771" i="16" s="1"/>
  <c r="C772" i="16" s="1"/>
  <c r="C773" i="16" s="1"/>
  <c r="C774" i="16" s="1"/>
  <c r="C775" i="16" s="1"/>
  <c r="C776" i="16" s="1"/>
  <c r="C777" i="16" s="1"/>
  <c r="C778" i="16" s="1"/>
  <c r="C779" i="16" s="1"/>
  <c r="C780" i="16" s="1"/>
  <c r="C781" i="16" s="1"/>
  <c r="C782" i="16" s="1"/>
  <c r="C783" i="16" s="1"/>
  <c r="C784" i="16" s="1"/>
  <c r="C785" i="16" s="1"/>
  <c r="C786" i="16" s="1"/>
  <c r="C787" i="16" s="1"/>
  <c r="C788" i="16" s="1"/>
  <c r="C789" i="16" s="1"/>
  <c r="C790" i="16" s="1"/>
  <c r="C791" i="16" s="1"/>
  <c r="C792" i="16" s="1"/>
  <c r="C793" i="16" s="1"/>
  <c r="C794" i="16" s="1"/>
  <c r="C795" i="16" s="1"/>
  <c r="C796" i="16" s="1"/>
  <c r="C797" i="16" s="1"/>
  <c r="C798" i="16" s="1"/>
  <c r="C799" i="16" s="1"/>
  <c r="C800" i="16" s="1"/>
  <c r="C801" i="16" s="1"/>
  <c r="C802" i="16" s="1"/>
  <c r="C803" i="16" s="1"/>
  <c r="C804" i="16" s="1"/>
  <c r="C805" i="16" s="1"/>
  <c r="C806" i="16" s="1"/>
  <c r="C807" i="16" s="1"/>
  <c r="C808" i="16" s="1"/>
  <c r="C809" i="16" s="1"/>
  <c r="C810" i="16" s="1"/>
  <c r="C811" i="16" s="1"/>
  <c r="C812" i="16" s="1"/>
  <c r="C813" i="16" s="1"/>
  <c r="C814" i="16" s="1"/>
  <c r="C815" i="16" s="1"/>
  <c r="C816" i="16" s="1"/>
  <c r="C817" i="16" s="1"/>
  <c r="C818" i="16" s="1"/>
  <c r="C819" i="16" s="1"/>
  <c r="C820" i="16" s="1"/>
  <c r="C821" i="16" s="1"/>
  <c r="C822" i="16" s="1"/>
  <c r="C823" i="16" s="1"/>
  <c r="C824" i="16" s="1"/>
  <c r="C825" i="16" s="1"/>
  <c r="C826" i="16" s="1"/>
  <c r="C827" i="16" s="1"/>
  <c r="C828" i="16" s="1"/>
  <c r="C829" i="16" s="1"/>
  <c r="C830" i="16" s="1"/>
  <c r="C831" i="16" s="1"/>
  <c r="C832" i="16" s="1"/>
  <c r="C833" i="16" s="1"/>
  <c r="C834" i="16" s="1"/>
  <c r="C835" i="16" s="1"/>
  <c r="C836" i="16" s="1"/>
  <c r="C837" i="16" s="1"/>
  <c r="C838" i="16" s="1"/>
  <c r="C839" i="16" s="1"/>
  <c r="C840" i="16" s="1"/>
  <c r="C841" i="16" s="1"/>
  <c r="C842" i="16" s="1"/>
  <c r="C843" i="16" s="1"/>
  <c r="C844" i="16" s="1"/>
  <c r="C845" i="16" s="1"/>
  <c r="C846" i="16" s="1"/>
  <c r="C847" i="16" s="1"/>
  <c r="C848" i="16" s="1"/>
  <c r="C849" i="16" s="1"/>
  <c r="C850" i="16" s="1"/>
  <c r="C851" i="16" s="1"/>
  <c r="C852" i="16" s="1"/>
  <c r="C853" i="16" s="1"/>
  <c r="C854" i="16" s="1"/>
  <c r="C855" i="16" s="1"/>
  <c r="C856" i="16" s="1"/>
  <c r="C857" i="16" s="1"/>
  <c r="C858" i="16" s="1"/>
  <c r="C859" i="16" s="1"/>
  <c r="C860" i="16" s="1"/>
  <c r="C861" i="16" s="1"/>
  <c r="C862" i="16" s="1"/>
  <c r="C863" i="16" s="1"/>
  <c r="C864" i="16" s="1"/>
  <c r="C865" i="16" s="1"/>
  <c r="C866" i="16" s="1"/>
  <c r="C867" i="16" s="1"/>
  <c r="C868" i="16" s="1"/>
  <c r="C869" i="16" s="1"/>
  <c r="C870" i="16" s="1"/>
  <c r="C871" i="16" s="1"/>
  <c r="C872" i="16" s="1"/>
  <c r="C873" i="16" s="1"/>
  <c r="C874" i="16" s="1"/>
  <c r="C875" i="16" s="1"/>
  <c r="C876" i="16" s="1"/>
  <c r="C877" i="16" s="1"/>
  <c r="C878" i="16" s="1"/>
  <c r="C879" i="16" s="1"/>
  <c r="C880" i="16" s="1"/>
  <c r="C881" i="16" s="1"/>
  <c r="C882" i="16" s="1"/>
  <c r="C883" i="16" s="1"/>
  <c r="C884" i="16" s="1"/>
  <c r="C885" i="16" s="1"/>
  <c r="C886" i="16" s="1"/>
  <c r="C887" i="16" s="1"/>
  <c r="C888" i="16" s="1"/>
  <c r="C889" i="16" s="1"/>
  <c r="C890" i="16" s="1"/>
  <c r="C891" i="16" s="1"/>
  <c r="C892" i="16" s="1"/>
  <c r="C893" i="16" s="1"/>
  <c r="C894" i="16" s="1"/>
  <c r="C895" i="16" s="1"/>
  <c r="C896" i="16" s="1"/>
  <c r="C897" i="16" s="1"/>
  <c r="C898" i="16" s="1"/>
  <c r="C899" i="16" s="1"/>
  <c r="C900" i="16" s="1"/>
  <c r="C901" i="16" s="1"/>
  <c r="C902" i="16" s="1"/>
  <c r="C903" i="16" s="1"/>
  <c r="C904" i="16" s="1"/>
  <c r="C905" i="16" s="1"/>
  <c r="C906" i="16" s="1"/>
  <c r="C907" i="16" s="1"/>
  <c r="C908" i="16" s="1"/>
  <c r="C909" i="16" s="1"/>
  <c r="C910" i="16" s="1"/>
  <c r="C911" i="16" s="1"/>
  <c r="C912" i="16" s="1"/>
  <c r="C913" i="16" s="1"/>
  <c r="C914" i="16" s="1"/>
  <c r="C915" i="16" s="1"/>
  <c r="C916" i="16" s="1"/>
  <c r="C917" i="16" s="1"/>
  <c r="C918" i="16" s="1"/>
  <c r="C919" i="16" s="1"/>
  <c r="C920" i="16" s="1"/>
  <c r="C921" i="16" s="1"/>
  <c r="C922" i="16" s="1"/>
  <c r="C923" i="16" s="1"/>
  <c r="C924" i="16" s="1"/>
  <c r="C925" i="16" s="1"/>
  <c r="C926" i="16" s="1"/>
  <c r="C927" i="16" s="1"/>
  <c r="C928" i="16" s="1"/>
  <c r="C929" i="16" s="1"/>
  <c r="C930" i="16" s="1"/>
  <c r="C931" i="16" s="1"/>
  <c r="C932" i="16" s="1"/>
  <c r="C933" i="16" s="1"/>
  <c r="C934" i="16" s="1"/>
  <c r="C935" i="16" s="1"/>
  <c r="C936" i="16" s="1"/>
  <c r="C937" i="16" s="1"/>
  <c r="C938" i="16" s="1"/>
  <c r="C939" i="16" s="1"/>
  <c r="C940" i="16" s="1"/>
  <c r="C941" i="16" s="1"/>
  <c r="C942" i="16" s="1"/>
  <c r="C943" i="16" s="1"/>
  <c r="C944" i="16" s="1"/>
  <c r="C945" i="16" s="1"/>
  <c r="C946" i="16" s="1"/>
  <c r="C947" i="16" s="1"/>
  <c r="C948" i="16" s="1"/>
  <c r="C949" i="16" s="1"/>
  <c r="C950" i="16" s="1"/>
  <c r="C951" i="16" s="1"/>
  <c r="C952" i="16" s="1"/>
  <c r="C953" i="16" s="1"/>
  <c r="C954" i="16" s="1"/>
  <c r="C955" i="16" s="1"/>
  <c r="C956" i="16" s="1"/>
  <c r="C957" i="16" s="1"/>
  <c r="C958" i="16" s="1"/>
  <c r="C959" i="16" s="1"/>
  <c r="C960" i="16" s="1"/>
  <c r="C961" i="16" s="1"/>
  <c r="C962" i="16" s="1"/>
  <c r="C963" i="16" s="1"/>
  <c r="C964" i="16" s="1"/>
  <c r="C965" i="16" s="1"/>
  <c r="C966" i="16" s="1"/>
  <c r="C967" i="16" s="1"/>
  <c r="C968" i="16" s="1"/>
  <c r="C969" i="16" s="1"/>
  <c r="C970" i="16" s="1"/>
  <c r="C971" i="16" s="1"/>
  <c r="C972" i="16" s="1"/>
  <c r="C973" i="16" s="1"/>
  <c r="C974" i="16" s="1"/>
  <c r="C975" i="16" s="1"/>
  <c r="C976" i="16" s="1"/>
  <c r="C977" i="16" s="1"/>
  <c r="C978" i="16" s="1"/>
  <c r="C979" i="16" s="1"/>
  <c r="C980" i="16" s="1"/>
  <c r="C981" i="16" s="1"/>
  <c r="C982" i="16" s="1"/>
  <c r="C983" i="16" s="1"/>
  <c r="C984" i="16" s="1"/>
  <c r="C985" i="16" s="1"/>
  <c r="C986" i="16" s="1"/>
  <c r="C987" i="16" s="1"/>
  <c r="C988" i="16" s="1"/>
  <c r="C989" i="16" s="1"/>
  <c r="C990" i="16" s="1"/>
  <c r="C991" i="16" s="1"/>
  <c r="C992" i="16" s="1"/>
  <c r="C993" i="16" s="1"/>
  <c r="C994" i="16" s="1"/>
  <c r="C995" i="16" s="1"/>
  <c r="C996" i="16" s="1"/>
  <c r="C997" i="16" s="1"/>
  <c r="C998" i="16" s="1"/>
  <c r="C999" i="16" s="1"/>
  <c r="C1000" i="16" s="1"/>
  <c r="C1001" i="16" s="1"/>
  <c r="C1002" i="16" s="1"/>
  <c r="C1003" i="16" s="1"/>
  <c r="C1004" i="16" s="1"/>
  <c r="C1005" i="16" s="1"/>
  <c r="C1006" i="16" s="1"/>
  <c r="C1007" i="16" s="1"/>
  <c r="C1008" i="16" s="1"/>
  <c r="C1009" i="16" s="1"/>
  <c r="C1010" i="16" s="1"/>
  <c r="F4" i="16"/>
  <c r="G4" i="16"/>
  <c r="F5" i="16"/>
  <c r="G5" i="16"/>
  <c r="F6" i="16"/>
  <c r="G6" i="16"/>
  <c r="F7" i="16"/>
  <c r="G7" i="16"/>
  <c r="F8" i="16"/>
  <c r="G8" i="16"/>
  <c r="F9" i="16"/>
  <c r="G9" i="16"/>
  <c r="F10" i="16"/>
  <c r="G10" i="16"/>
  <c r="F11" i="16"/>
  <c r="G11" i="16"/>
  <c r="F12" i="16"/>
  <c r="G12" i="16"/>
  <c r="F13" i="16"/>
  <c r="G13" i="16"/>
  <c r="F14" i="16"/>
  <c r="G14" i="16"/>
  <c r="F15" i="16"/>
  <c r="G15" i="16"/>
  <c r="F16" i="16"/>
  <c r="G16" i="16"/>
  <c r="F17" i="16"/>
  <c r="G17" i="16"/>
  <c r="F18" i="16"/>
  <c r="G18" i="16"/>
  <c r="F19" i="16"/>
  <c r="G19" i="16"/>
  <c r="F20" i="16"/>
  <c r="G20" i="16"/>
  <c r="F21" i="16"/>
  <c r="G21" i="16"/>
  <c r="F22" i="16"/>
  <c r="G22" i="16"/>
  <c r="F23" i="16"/>
  <c r="G23" i="16"/>
  <c r="F24" i="16"/>
  <c r="G24" i="16"/>
  <c r="F25" i="16"/>
  <c r="G25" i="16"/>
  <c r="F26" i="16"/>
  <c r="G26" i="16"/>
  <c r="F27" i="16"/>
  <c r="G27" i="16"/>
  <c r="F28" i="16"/>
  <c r="G28" i="16"/>
  <c r="F29" i="16"/>
  <c r="G29" i="16"/>
  <c r="F30" i="16"/>
  <c r="G30" i="16"/>
  <c r="F31" i="16"/>
  <c r="G31" i="16"/>
  <c r="F32" i="16"/>
  <c r="G32" i="16"/>
  <c r="F33" i="16"/>
  <c r="G33" i="16"/>
  <c r="F34" i="16"/>
  <c r="G34" i="16"/>
  <c r="F35" i="16"/>
  <c r="G35" i="16"/>
  <c r="F36" i="16"/>
  <c r="G36" i="16"/>
  <c r="F37" i="16"/>
  <c r="G37" i="16"/>
  <c r="F38" i="16"/>
  <c r="G38" i="16"/>
  <c r="F39" i="16"/>
  <c r="G39" i="16"/>
  <c r="F40" i="16"/>
  <c r="G40" i="16"/>
  <c r="F41" i="16"/>
  <c r="G41" i="16"/>
  <c r="F42" i="16"/>
  <c r="G42" i="16"/>
  <c r="F43" i="16"/>
  <c r="G43" i="16"/>
  <c r="F44" i="16"/>
  <c r="G44" i="16"/>
  <c r="F45" i="16"/>
  <c r="G45" i="16"/>
  <c r="F46" i="16"/>
  <c r="G46" i="16"/>
  <c r="F47" i="16"/>
  <c r="G47" i="16"/>
  <c r="F48" i="16"/>
  <c r="G48" i="16"/>
  <c r="F49" i="16"/>
  <c r="G49" i="16"/>
  <c r="F50" i="16"/>
  <c r="G50" i="16"/>
  <c r="F51" i="16"/>
  <c r="G51" i="16"/>
  <c r="F52" i="16"/>
  <c r="G52" i="16"/>
  <c r="F53" i="16"/>
  <c r="G53" i="16"/>
  <c r="F54" i="16"/>
  <c r="G54" i="16"/>
  <c r="F55" i="16"/>
  <c r="G55" i="16"/>
  <c r="F56" i="16"/>
  <c r="G56" i="16"/>
  <c r="F57" i="16"/>
  <c r="G57" i="16"/>
  <c r="F58" i="16"/>
  <c r="G58" i="16"/>
  <c r="F59" i="16"/>
  <c r="G59" i="16"/>
  <c r="F60" i="16"/>
  <c r="G60" i="16"/>
  <c r="F61" i="16"/>
  <c r="G61" i="16"/>
  <c r="F62" i="16"/>
  <c r="G62" i="16"/>
  <c r="F63" i="16"/>
  <c r="G63" i="16"/>
  <c r="F64" i="16"/>
  <c r="G64" i="16"/>
  <c r="F65" i="16"/>
  <c r="G65" i="16"/>
  <c r="F66" i="16"/>
  <c r="G66" i="16"/>
  <c r="F67" i="16"/>
  <c r="G67" i="16"/>
  <c r="F68" i="16"/>
  <c r="G68" i="16"/>
  <c r="F69" i="16"/>
  <c r="G69" i="16"/>
  <c r="F70" i="16"/>
  <c r="G70" i="16"/>
  <c r="F71" i="16"/>
  <c r="G71" i="16"/>
  <c r="F72" i="16"/>
  <c r="G72" i="16"/>
  <c r="F73" i="16"/>
  <c r="G73" i="16"/>
  <c r="F74" i="16"/>
  <c r="G74" i="16"/>
  <c r="F75" i="16"/>
  <c r="G75" i="16"/>
  <c r="F76" i="16"/>
  <c r="G76" i="16"/>
  <c r="F77" i="16"/>
  <c r="G77" i="16"/>
  <c r="F78" i="16"/>
  <c r="G78" i="16"/>
  <c r="F79" i="16"/>
  <c r="G79" i="16"/>
  <c r="F80" i="16"/>
  <c r="G80" i="16"/>
  <c r="F81" i="16"/>
  <c r="G81" i="16"/>
  <c r="F82" i="16"/>
  <c r="G82" i="16"/>
  <c r="F83" i="16"/>
  <c r="G83" i="16"/>
  <c r="F84" i="16"/>
  <c r="G84" i="16"/>
  <c r="F85" i="16"/>
  <c r="G85" i="16"/>
  <c r="F86" i="16"/>
  <c r="G86" i="16"/>
  <c r="F87" i="16"/>
  <c r="G87" i="16"/>
  <c r="F88" i="16"/>
  <c r="G88" i="16"/>
  <c r="F89" i="16"/>
  <c r="G89" i="16"/>
  <c r="F90" i="16"/>
  <c r="G90" i="16"/>
  <c r="F91" i="16"/>
  <c r="G91" i="16"/>
  <c r="F92" i="16"/>
  <c r="G92" i="16"/>
  <c r="F93" i="16"/>
  <c r="G93" i="16"/>
  <c r="F94" i="16"/>
  <c r="G94" i="16"/>
  <c r="F95" i="16"/>
  <c r="G95" i="16"/>
  <c r="F96" i="16"/>
  <c r="G96" i="16"/>
  <c r="F97" i="16"/>
  <c r="G97" i="16"/>
  <c r="F98" i="16"/>
  <c r="G98" i="16"/>
  <c r="F99" i="16"/>
  <c r="G99" i="16"/>
  <c r="F100" i="16"/>
  <c r="G100" i="16"/>
  <c r="F101" i="16"/>
  <c r="G101" i="16"/>
  <c r="F102" i="16"/>
  <c r="G102" i="16"/>
  <c r="F103" i="16"/>
  <c r="G103" i="16"/>
  <c r="F104" i="16"/>
  <c r="G104" i="16"/>
  <c r="F105" i="16"/>
  <c r="G105" i="16"/>
  <c r="F106" i="16"/>
  <c r="G106" i="16"/>
  <c r="F107" i="16"/>
  <c r="G107" i="16"/>
  <c r="F108" i="16"/>
  <c r="G108" i="16"/>
  <c r="F109" i="16"/>
  <c r="G109" i="16"/>
  <c r="F110" i="16"/>
  <c r="G110" i="16"/>
  <c r="F111" i="16"/>
  <c r="G111" i="16"/>
  <c r="F112" i="16"/>
  <c r="G112" i="16"/>
  <c r="F113" i="16"/>
  <c r="G113" i="16"/>
  <c r="F114" i="16"/>
  <c r="G114" i="16"/>
  <c r="F115" i="16"/>
  <c r="G115" i="16"/>
  <c r="F116" i="16"/>
  <c r="G116" i="16"/>
  <c r="F117" i="16"/>
  <c r="G117" i="16"/>
  <c r="F118" i="16"/>
  <c r="G118" i="16"/>
  <c r="F119" i="16"/>
  <c r="G119" i="16"/>
  <c r="F120" i="16"/>
  <c r="G120" i="16"/>
  <c r="F121" i="16"/>
  <c r="G121" i="16"/>
  <c r="F122" i="16"/>
  <c r="G122" i="16"/>
  <c r="F123" i="16"/>
  <c r="G123" i="16"/>
  <c r="F124" i="16"/>
  <c r="G124" i="16"/>
  <c r="F125" i="16"/>
  <c r="G125" i="16"/>
  <c r="F126" i="16"/>
  <c r="G126" i="16"/>
  <c r="F127" i="16"/>
  <c r="G127" i="16"/>
  <c r="F128" i="16"/>
  <c r="G128" i="16"/>
  <c r="F129" i="16"/>
  <c r="G129" i="16"/>
  <c r="F130" i="16"/>
  <c r="G130" i="16"/>
  <c r="F131" i="16"/>
  <c r="G131" i="16"/>
  <c r="F132" i="16"/>
  <c r="G132" i="16"/>
  <c r="F133" i="16"/>
  <c r="G133" i="16"/>
  <c r="F134" i="16"/>
  <c r="G134" i="16"/>
  <c r="F135" i="16"/>
  <c r="G135" i="16"/>
  <c r="F136" i="16"/>
  <c r="G136" i="16"/>
  <c r="F137" i="16"/>
  <c r="G137" i="16"/>
  <c r="F138" i="16"/>
  <c r="G138" i="16"/>
  <c r="F139" i="16"/>
  <c r="G139" i="16"/>
  <c r="F140" i="16"/>
  <c r="G140" i="16"/>
  <c r="F141" i="16"/>
  <c r="G141" i="16"/>
  <c r="F142" i="16"/>
  <c r="G142" i="16"/>
  <c r="F143" i="16"/>
  <c r="G143" i="16"/>
  <c r="F144" i="16"/>
  <c r="G144" i="16"/>
  <c r="F145" i="16"/>
  <c r="G145" i="16"/>
  <c r="F146" i="16"/>
  <c r="G146" i="16"/>
  <c r="F147" i="16"/>
  <c r="G147" i="16"/>
  <c r="F148" i="16"/>
  <c r="G148" i="16"/>
  <c r="F149" i="16"/>
  <c r="G149" i="16"/>
  <c r="F150" i="16"/>
  <c r="G150" i="16"/>
  <c r="F151" i="16"/>
  <c r="G151" i="16"/>
  <c r="F152" i="16"/>
  <c r="G152" i="16"/>
  <c r="F153" i="16"/>
  <c r="G153" i="16"/>
  <c r="F154" i="16"/>
  <c r="G154" i="16"/>
  <c r="F155" i="16"/>
  <c r="G155" i="16"/>
  <c r="F156" i="16"/>
  <c r="G156" i="16"/>
  <c r="F157" i="16"/>
  <c r="G157" i="16"/>
  <c r="F158" i="16"/>
  <c r="G158" i="16"/>
  <c r="F159" i="16"/>
  <c r="G159" i="16"/>
  <c r="F160" i="16"/>
  <c r="G160" i="16"/>
  <c r="F161" i="16"/>
  <c r="G161" i="16"/>
  <c r="F162" i="16"/>
  <c r="G162" i="16"/>
  <c r="F163" i="16"/>
  <c r="G163" i="16"/>
  <c r="F164" i="16"/>
  <c r="G164" i="16"/>
  <c r="F165" i="16"/>
  <c r="G165" i="16"/>
  <c r="F166" i="16"/>
  <c r="G166" i="16"/>
  <c r="F167" i="16"/>
  <c r="G167" i="16"/>
  <c r="F168" i="16"/>
  <c r="G168" i="16"/>
  <c r="F169" i="16"/>
  <c r="G169" i="16"/>
  <c r="F170" i="16"/>
  <c r="G170" i="16"/>
  <c r="F171" i="16"/>
  <c r="G171" i="16"/>
  <c r="F172" i="16"/>
  <c r="G172" i="16"/>
  <c r="F173" i="16"/>
  <c r="G173" i="16"/>
  <c r="F174" i="16"/>
  <c r="G174" i="16"/>
  <c r="F175" i="16"/>
  <c r="G175" i="16"/>
  <c r="F176" i="16"/>
  <c r="G176" i="16"/>
  <c r="F177" i="16"/>
  <c r="G177" i="16"/>
  <c r="F178" i="16"/>
  <c r="G178" i="16"/>
  <c r="F179" i="16"/>
  <c r="G179" i="16"/>
  <c r="F180" i="16"/>
  <c r="G180" i="16"/>
  <c r="F181" i="16"/>
  <c r="G181" i="16"/>
  <c r="F182" i="16"/>
  <c r="G182" i="16"/>
  <c r="F183" i="16"/>
  <c r="G183" i="16"/>
  <c r="F184" i="16"/>
  <c r="G184" i="16"/>
  <c r="F185" i="16"/>
  <c r="G185" i="16"/>
  <c r="F186" i="16"/>
  <c r="G186" i="16"/>
  <c r="F187" i="16"/>
  <c r="G187" i="16"/>
  <c r="F188" i="16"/>
  <c r="G188" i="16"/>
  <c r="F189" i="16"/>
  <c r="G189" i="16"/>
  <c r="F190" i="16"/>
  <c r="G190" i="16"/>
  <c r="F191" i="16"/>
  <c r="G191" i="16"/>
  <c r="F192" i="16"/>
  <c r="G192" i="16"/>
  <c r="F193" i="16"/>
  <c r="G193" i="16"/>
  <c r="F194" i="16"/>
  <c r="G194" i="16"/>
  <c r="F195" i="16"/>
  <c r="G195" i="16"/>
  <c r="F196" i="16"/>
  <c r="G196" i="16"/>
  <c r="F197" i="16"/>
  <c r="G197" i="16"/>
  <c r="F198" i="16"/>
  <c r="G198" i="16"/>
  <c r="F199" i="16"/>
  <c r="G199" i="16"/>
  <c r="F200" i="16"/>
  <c r="G200" i="16"/>
  <c r="F201" i="16"/>
  <c r="G201" i="16"/>
  <c r="F202" i="16"/>
  <c r="G202" i="16"/>
  <c r="F203" i="16"/>
  <c r="G203" i="16"/>
  <c r="F204" i="16"/>
  <c r="G204" i="16"/>
  <c r="F205" i="16"/>
  <c r="G205" i="16"/>
  <c r="F206" i="16"/>
  <c r="G206" i="16"/>
  <c r="F207" i="16"/>
  <c r="G207" i="16"/>
  <c r="F208" i="16"/>
  <c r="G208" i="16"/>
  <c r="F209" i="16"/>
  <c r="G209" i="16"/>
  <c r="F210" i="16"/>
  <c r="G210" i="16"/>
  <c r="F211" i="16"/>
  <c r="G211" i="16"/>
  <c r="F212" i="16"/>
  <c r="G212" i="16"/>
  <c r="F213" i="16"/>
  <c r="G213" i="16"/>
  <c r="F214" i="16"/>
  <c r="G214" i="16"/>
  <c r="F215" i="16"/>
  <c r="G215" i="16"/>
  <c r="F216" i="16"/>
  <c r="G216" i="16"/>
  <c r="F217" i="16"/>
  <c r="G217" i="16"/>
  <c r="F218" i="16"/>
  <c r="G218" i="16"/>
  <c r="F219" i="16"/>
  <c r="G219" i="16"/>
  <c r="F220" i="16"/>
  <c r="G220" i="16"/>
  <c r="F221" i="16"/>
  <c r="G221" i="16"/>
  <c r="F222" i="16"/>
  <c r="G222" i="16"/>
  <c r="F223" i="16"/>
  <c r="G223" i="16"/>
  <c r="F224" i="16"/>
  <c r="G224" i="16"/>
  <c r="F225" i="16"/>
  <c r="G225" i="16"/>
  <c r="F226" i="16"/>
  <c r="G226" i="16"/>
  <c r="F227" i="16"/>
  <c r="G227" i="16"/>
  <c r="F228" i="16"/>
  <c r="G228" i="16"/>
  <c r="F229" i="16"/>
  <c r="G229" i="16"/>
  <c r="F230" i="16"/>
  <c r="G230" i="16"/>
  <c r="F231" i="16"/>
  <c r="G231" i="16"/>
  <c r="F232" i="16"/>
  <c r="G232" i="16"/>
  <c r="F233" i="16"/>
  <c r="G233" i="16"/>
  <c r="F234" i="16"/>
  <c r="G234" i="16"/>
  <c r="F235" i="16"/>
  <c r="G235" i="16"/>
  <c r="F236" i="16"/>
  <c r="G236" i="16"/>
  <c r="F237" i="16"/>
  <c r="G237" i="16"/>
  <c r="F238" i="16"/>
  <c r="G238" i="16"/>
  <c r="F239" i="16"/>
  <c r="G239" i="16"/>
  <c r="F240" i="16"/>
  <c r="G240" i="16"/>
  <c r="F241" i="16"/>
  <c r="G241" i="16"/>
  <c r="F242" i="16"/>
  <c r="G242" i="16"/>
  <c r="F243" i="16"/>
  <c r="G243" i="16"/>
  <c r="F244" i="16"/>
  <c r="G244" i="16"/>
  <c r="F245" i="16"/>
  <c r="G245" i="16"/>
  <c r="F246" i="16"/>
  <c r="G246" i="16"/>
  <c r="F247" i="16"/>
  <c r="G247" i="16"/>
  <c r="F248" i="16"/>
  <c r="G248" i="16"/>
  <c r="F249" i="16"/>
  <c r="G249" i="16"/>
  <c r="F250" i="16"/>
  <c r="G250" i="16"/>
  <c r="F251" i="16"/>
  <c r="G251" i="16"/>
  <c r="F252" i="16"/>
  <c r="G252" i="16"/>
  <c r="F253" i="16"/>
  <c r="G253" i="16"/>
  <c r="F254" i="16"/>
  <c r="G254" i="16"/>
  <c r="F255" i="16"/>
  <c r="G255" i="16"/>
  <c r="F256" i="16"/>
  <c r="G256" i="16"/>
  <c r="F257" i="16"/>
  <c r="G257" i="16"/>
  <c r="F258" i="16"/>
  <c r="G258" i="16"/>
  <c r="F259" i="16"/>
  <c r="G259" i="16"/>
  <c r="F260" i="16"/>
  <c r="G260" i="16"/>
  <c r="F261" i="16"/>
  <c r="G261" i="16"/>
  <c r="F262" i="16"/>
  <c r="G262" i="16"/>
  <c r="F263" i="16"/>
  <c r="G263" i="16"/>
  <c r="F264" i="16"/>
  <c r="G264" i="16"/>
  <c r="F265" i="16"/>
  <c r="G265" i="16"/>
  <c r="F266" i="16"/>
  <c r="G266" i="16"/>
  <c r="F267" i="16"/>
  <c r="G267" i="16"/>
  <c r="F268" i="16"/>
  <c r="G268" i="16"/>
  <c r="F269" i="16"/>
  <c r="G269" i="16"/>
  <c r="F270" i="16"/>
  <c r="G270" i="16"/>
  <c r="F271" i="16"/>
  <c r="G271" i="16"/>
  <c r="F272" i="16"/>
  <c r="G272" i="16"/>
  <c r="F273" i="16"/>
  <c r="G273" i="16"/>
  <c r="F274" i="16"/>
  <c r="G274" i="16"/>
  <c r="F275" i="16"/>
  <c r="G275" i="16"/>
  <c r="F276" i="16"/>
  <c r="G276" i="16"/>
  <c r="F277" i="16"/>
  <c r="G277" i="16"/>
  <c r="F278" i="16"/>
  <c r="G278" i="16"/>
  <c r="F279" i="16"/>
  <c r="G279" i="16"/>
  <c r="F280" i="16"/>
  <c r="G280" i="16"/>
  <c r="F281" i="16"/>
  <c r="G281" i="16"/>
  <c r="F282" i="16"/>
  <c r="G282" i="16"/>
  <c r="F283" i="16"/>
  <c r="G283" i="16"/>
  <c r="F284" i="16"/>
  <c r="G284" i="16"/>
  <c r="F285" i="16"/>
  <c r="G285" i="16"/>
  <c r="F286" i="16"/>
  <c r="G286" i="16"/>
  <c r="F287" i="16"/>
  <c r="G287" i="16"/>
  <c r="F288" i="16"/>
  <c r="G288" i="16"/>
  <c r="F289" i="16"/>
  <c r="G289" i="16"/>
  <c r="F290" i="16"/>
  <c r="G290" i="16"/>
  <c r="F291" i="16"/>
  <c r="G291" i="16"/>
  <c r="F292" i="16"/>
  <c r="G292" i="16"/>
  <c r="F293" i="16"/>
  <c r="G293" i="16"/>
  <c r="F294" i="16"/>
  <c r="G294" i="16"/>
  <c r="F295" i="16"/>
  <c r="G295" i="16"/>
  <c r="F296" i="16"/>
  <c r="G296" i="16"/>
  <c r="F297" i="16"/>
  <c r="G297" i="16"/>
  <c r="F298" i="16"/>
  <c r="G298" i="16"/>
  <c r="F299" i="16"/>
  <c r="G299" i="16"/>
  <c r="F300" i="16"/>
  <c r="G300" i="16"/>
  <c r="F301" i="16"/>
  <c r="G301" i="16"/>
  <c r="F302" i="16"/>
  <c r="G302" i="16"/>
  <c r="F303" i="16"/>
  <c r="G303" i="16"/>
  <c r="F304" i="16"/>
  <c r="G304" i="16"/>
  <c r="F305" i="16"/>
  <c r="G305" i="16"/>
  <c r="F306" i="16"/>
  <c r="G306" i="16"/>
  <c r="F307" i="16"/>
  <c r="G307" i="16"/>
  <c r="F308" i="16"/>
  <c r="G308" i="16"/>
  <c r="F309" i="16"/>
  <c r="G309" i="16"/>
  <c r="F310" i="16"/>
  <c r="G310" i="16"/>
  <c r="F311" i="16"/>
  <c r="G311" i="16"/>
  <c r="F312" i="16"/>
  <c r="G312" i="16"/>
  <c r="F313" i="16"/>
  <c r="G313" i="16"/>
  <c r="F314" i="16"/>
  <c r="G314" i="16"/>
  <c r="F315" i="16"/>
  <c r="G315" i="16"/>
  <c r="F316" i="16"/>
  <c r="G316" i="16"/>
  <c r="F317" i="16"/>
  <c r="G317" i="16"/>
  <c r="F318" i="16"/>
  <c r="G318" i="16"/>
  <c r="F319" i="16"/>
  <c r="G319" i="16"/>
  <c r="F320" i="16"/>
  <c r="G320" i="16"/>
  <c r="F321" i="16"/>
  <c r="G321" i="16"/>
  <c r="F322" i="16"/>
  <c r="G322" i="16"/>
  <c r="F323" i="16"/>
  <c r="G323" i="16"/>
  <c r="F324" i="16"/>
  <c r="G324" i="16"/>
  <c r="F325" i="16"/>
  <c r="G325" i="16"/>
  <c r="F326" i="16"/>
  <c r="G326" i="16"/>
  <c r="F327" i="16"/>
  <c r="G327" i="16"/>
  <c r="F328" i="16"/>
  <c r="G328" i="16"/>
  <c r="F329" i="16"/>
  <c r="G329" i="16"/>
  <c r="F330" i="16"/>
  <c r="G330" i="16"/>
  <c r="F331" i="16"/>
  <c r="G331" i="16"/>
  <c r="F332" i="16"/>
  <c r="G332" i="16"/>
  <c r="F333" i="16"/>
  <c r="G333" i="16"/>
  <c r="F334" i="16"/>
  <c r="G334" i="16"/>
  <c r="F335" i="16"/>
  <c r="G335" i="16"/>
  <c r="F336" i="16"/>
  <c r="G336" i="16"/>
  <c r="F337" i="16"/>
  <c r="G337" i="16"/>
  <c r="F338" i="16"/>
  <c r="G338" i="16"/>
  <c r="F339" i="16"/>
  <c r="G339" i="16"/>
  <c r="F340" i="16"/>
  <c r="G340" i="16"/>
  <c r="F341" i="16"/>
  <c r="G341" i="16"/>
  <c r="F342" i="16"/>
  <c r="G342" i="16"/>
  <c r="F343" i="16"/>
  <c r="G343" i="16"/>
  <c r="F344" i="16"/>
  <c r="G344" i="16"/>
  <c r="F345" i="16"/>
  <c r="G345" i="16"/>
  <c r="F346" i="16"/>
  <c r="G346" i="16"/>
  <c r="F347" i="16"/>
  <c r="G347" i="16"/>
  <c r="F348" i="16"/>
  <c r="G348" i="16"/>
  <c r="F349" i="16"/>
  <c r="G349" i="16"/>
  <c r="F350" i="16"/>
  <c r="G350" i="16"/>
  <c r="F351" i="16"/>
  <c r="G351" i="16"/>
  <c r="F352" i="16"/>
  <c r="G352" i="16"/>
  <c r="F353" i="16"/>
  <c r="G353" i="16"/>
  <c r="F354" i="16"/>
  <c r="G354" i="16"/>
  <c r="F355" i="16"/>
  <c r="G355" i="16"/>
  <c r="F356" i="16"/>
  <c r="G356" i="16"/>
  <c r="F357" i="16"/>
  <c r="G357" i="16"/>
  <c r="F358" i="16"/>
  <c r="G358" i="16"/>
  <c r="F359" i="16"/>
  <c r="G359" i="16"/>
  <c r="F360" i="16"/>
  <c r="G360" i="16"/>
  <c r="F361" i="16"/>
  <c r="G361" i="16"/>
  <c r="F362" i="16"/>
  <c r="G362" i="16"/>
  <c r="F363" i="16"/>
  <c r="G363" i="16"/>
  <c r="F364" i="16"/>
  <c r="G364" i="16"/>
  <c r="F365" i="16"/>
  <c r="G365" i="16"/>
  <c r="F366" i="16"/>
  <c r="G366" i="16"/>
  <c r="F367" i="16"/>
  <c r="G367" i="16"/>
  <c r="F368" i="16"/>
  <c r="G368" i="16"/>
  <c r="F369" i="16"/>
  <c r="G369" i="16"/>
  <c r="F370" i="16"/>
  <c r="G370" i="16"/>
  <c r="F371" i="16"/>
  <c r="G371" i="16"/>
  <c r="F372" i="16"/>
  <c r="G372" i="16"/>
  <c r="F373" i="16"/>
  <c r="G373" i="16"/>
  <c r="F374" i="16"/>
  <c r="G374" i="16"/>
  <c r="F375" i="16"/>
  <c r="G375" i="16"/>
  <c r="F376" i="16"/>
  <c r="G376" i="16"/>
  <c r="F377" i="16"/>
  <c r="G377" i="16"/>
  <c r="F378" i="16"/>
  <c r="G378" i="16"/>
  <c r="F379" i="16"/>
  <c r="G379" i="16"/>
  <c r="F380" i="16"/>
  <c r="G380" i="16"/>
  <c r="F381" i="16"/>
  <c r="G381" i="16"/>
  <c r="F382" i="16"/>
  <c r="G382" i="16"/>
  <c r="F383" i="16"/>
  <c r="G383" i="16"/>
  <c r="F384" i="16"/>
  <c r="G384" i="16"/>
  <c r="F385" i="16"/>
  <c r="G385" i="16"/>
  <c r="F386" i="16"/>
  <c r="G386" i="16"/>
  <c r="F387" i="16"/>
  <c r="G387" i="16"/>
  <c r="F388" i="16"/>
  <c r="G388" i="16"/>
  <c r="F389" i="16"/>
  <c r="G389" i="16"/>
  <c r="F390" i="16"/>
  <c r="G390" i="16"/>
  <c r="F391" i="16"/>
  <c r="G391" i="16"/>
  <c r="F392" i="16"/>
  <c r="G392" i="16"/>
  <c r="F393" i="16"/>
  <c r="G393" i="16"/>
  <c r="F394" i="16"/>
  <c r="G394" i="16"/>
  <c r="F395" i="16"/>
  <c r="G395" i="16"/>
  <c r="F396" i="16"/>
  <c r="G396" i="16"/>
  <c r="F397" i="16"/>
  <c r="G397" i="16"/>
  <c r="F398" i="16"/>
  <c r="G398" i="16"/>
  <c r="F399" i="16"/>
  <c r="G399" i="16"/>
  <c r="F400" i="16"/>
  <c r="G400" i="16"/>
  <c r="F401" i="16"/>
  <c r="G401" i="16"/>
  <c r="F402" i="16"/>
  <c r="G402" i="16"/>
  <c r="F403" i="16"/>
  <c r="G403" i="16"/>
  <c r="F404" i="16"/>
  <c r="G404" i="16"/>
  <c r="F405" i="16"/>
  <c r="G405" i="16"/>
  <c r="F406" i="16"/>
  <c r="G406" i="16"/>
  <c r="F407" i="16"/>
  <c r="G407" i="16"/>
  <c r="F408" i="16"/>
  <c r="G408" i="16"/>
  <c r="F409" i="16"/>
  <c r="G409" i="16"/>
  <c r="F410" i="16"/>
  <c r="G410" i="16"/>
  <c r="F411" i="16"/>
  <c r="G411" i="16"/>
  <c r="F412" i="16"/>
  <c r="G412" i="16"/>
  <c r="F413" i="16"/>
  <c r="G413" i="16"/>
  <c r="F414" i="16"/>
  <c r="G414" i="16"/>
  <c r="F415" i="16"/>
  <c r="G415" i="16"/>
  <c r="F416" i="16"/>
  <c r="G416" i="16"/>
  <c r="F417" i="16"/>
  <c r="G417" i="16"/>
  <c r="F418" i="16"/>
  <c r="G418" i="16"/>
  <c r="F419" i="16"/>
  <c r="G419" i="16"/>
  <c r="F420" i="16"/>
  <c r="G420" i="16"/>
  <c r="F421" i="16"/>
  <c r="G421" i="16"/>
  <c r="F422" i="16"/>
  <c r="G422" i="16"/>
  <c r="F423" i="16"/>
  <c r="G423" i="16"/>
  <c r="F424" i="16"/>
  <c r="G424" i="16"/>
  <c r="F425" i="16"/>
  <c r="G425" i="16"/>
  <c r="F426" i="16"/>
  <c r="G426" i="16"/>
  <c r="F427" i="16"/>
  <c r="G427" i="16"/>
  <c r="F428" i="16"/>
  <c r="G428" i="16"/>
  <c r="F429" i="16"/>
  <c r="G429" i="16"/>
  <c r="F430" i="16"/>
  <c r="G430" i="16"/>
  <c r="F431" i="16"/>
  <c r="G431" i="16"/>
  <c r="F432" i="16"/>
  <c r="G432" i="16"/>
  <c r="F433" i="16"/>
  <c r="G433" i="16"/>
  <c r="F434" i="16"/>
  <c r="G434" i="16"/>
  <c r="F435" i="16"/>
  <c r="G435" i="16"/>
  <c r="F436" i="16"/>
  <c r="G436" i="16"/>
  <c r="F437" i="16"/>
  <c r="G437" i="16"/>
  <c r="F438" i="16"/>
  <c r="G438" i="16"/>
  <c r="F439" i="16"/>
  <c r="G439" i="16"/>
  <c r="F440" i="16"/>
  <c r="G440" i="16"/>
  <c r="F441" i="16"/>
  <c r="G441" i="16"/>
  <c r="F442" i="16"/>
  <c r="G442" i="16"/>
  <c r="F443" i="16"/>
  <c r="G443" i="16"/>
  <c r="F444" i="16"/>
  <c r="G444" i="16"/>
  <c r="F445" i="16"/>
  <c r="G445" i="16"/>
  <c r="F446" i="16"/>
  <c r="G446" i="16"/>
  <c r="F447" i="16"/>
  <c r="G447" i="16"/>
  <c r="F448" i="16"/>
  <c r="G448" i="16"/>
  <c r="F449" i="16"/>
  <c r="G449" i="16"/>
  <c r="F450" i="16"/>
  <c r="G450" i="16"/>
  <c r="F451" i="16"/>
  <c r="G451" i="16"/>
  <c r="F452" i="16"/>
  <c r="G452" i="16"/>
  <c r="F453" i="16"/>
  <c r="G453" i="16"/>
  <c r="F454" i="16"/>
  <c r="G454" i="16"/>
  <c r="F455" i="16"/>
  <c r="G455" i="16"/>
  <c r="F456" i="16"/>
  <c r="G456" i="16"/>
  <c r="F457" i="16"/>
  <c r="G457" i="16"/>
  <c r="F458" i="16"/>
  <c r="G458" i="16"/>
  <c r="F459" i="16"/>
  <c r="G459" i="16"/>
  <c r="F460" i="16"/>
  <c r="G460" i="16"/>
  <c r="F461" i="16"/>
  <c r="G461" i="16"/>
  <c r="F462" i="16"/>
  <c r="G462" i="16"/>
  <c r="F463" i="16"/>
  <c r="G463" i="16"/>
  <c r="F464" i="16"/>
  <c r="G464" i="16"/>
  <c r="F465" i="16"/>
  <c r="G465" i="16"/>
  <c r="F466" i="16"/>
  <c r="G466" i="16"/>
  <c r="F467" i="16"/>
  <c r="G467" i="16"/>
  <c r="F468" i="16"/>
  <c r="G468" i="16"/>
  <c r="F469" i="16"/>
  <c r="G469" i="16"/>
  <c r="F470" i="16"/>
  <c r="G470" i="16"/>
  <c r="F471" i="16"/>
  <c r="G471" i="16"/>
  <c r="F472" i="16"/>
  <c r="G472" i="16"/>
  <c r="F473" i="16"/>
  <c r="G473" i="16"/>
  <c r="F474" i="16"/>
  <c r="G474" i="16"/>
  <c r="F475" i="16"/>
  <c r="G475" i="16"/>
  <c r="F476" i="16"/>
  <c r="G476" i="16"/>
  <c r="F477" i="16"/>
  <c r="G477" i="16"/>
  <c r="F478" i="16"/>
  <c r="G478" i="16"/>
  <c r="F479" i="16"/>
  <c r="G479" i="16"/>
  <c r="F480" i="16"/>
  <c r="G480" i="16"/>
  <c r="F481" i="16"/>
  <c r="G481" i="16"/>
  <c r="F482" i="16"/>
  <c r="G482" i="16"/>
  <c r="F483" i="16"/>
  <c r="G483" i="16"/>
  <c r="F484" i="16"/>
  <c r="G484" i="16"/>
  <c r="F485" i="16"/>
  <c r="G485" i="16"/>
  <c r="F486" i="16"/>
  <c r="G486" i="16"/>
  <c r="F487" i="16"/>
  <c r="G487" i="16"/>
  <c r="F488" i="16"/>
  <c r="G488" i="16"/>
  <c r="F489" i="16"/>
  <c r="G489" i="16"/>
  <c r="F490" i="16"/>
  <c r="G490" i="16"/>
  <c r="F491" i="16"/>
  <c r="G491" i="16"/>
  <c r="F492" i="16"/>
  <c r="G492" i="16"/>
  <c r="F493" i="16"/>
  <c r="G493" i="16"/>
  <c r="F494" i="16"/>
  <c r="G494" i="16"/>
  <c r="F495" i="16"/>
  <c r="G495" i="16"/>
  <c r="F496" i="16"/>
  <c r="G496" i="16"/>
  <c r="F497" i="16"/>
  <c r="G497" i="16"/>
  <c r="F498" i="16"/>
  <c r="G498" i="16"/>
  <c r="F499" i="16"/>
  <c r="G499" i="16"/>
  <c r="F500" i="16"/>
  <c r="G500" i="16"/>
  <c r="F501" i="16"/>
  <c r="G501" i="16"/>
  <c r="F502" i="16"/>
  <c r="G502" i="16"/>
  <c r="F503" i="16"/>
  <c r="G503" i="16"/>
  <c r="F504" i="16"/>
  <c r="G504" i="16"/>
  <c r="F505" i="16"/>
  <c r="G505" i="16"/>
  <c r="F506" i="16"/>
  <c r="G506" i="16"/>
  <c r="F507" i="16"/>
  <c r="G507" i="16"/>
  <c r="F508" i="16"/>
  <c r="G508" i="16"/>
  <c r="F509" i="16"/>
  <c r="G509" i="16"/>
  <c r="F510" i="16"/>
  <c r="G510" i="16"/>
  <c r="F511" i="16"/>
  <c r="G511" i="16"/>
  <c r="F512" i="16"/>
  <c r="G512" i="16"/>
  <c r="F513" i="16"/>
  <c r="G513" i="16"/>
  <c r="F514" i="16"/>
  <c r="G514" i="16"/>
  <c r="F515" i="16"/>
  <c r="G515" i="16"/>
  <c r="F516" i="16"/>
  <c r="G516" i="16"/>
  <c r="F517" i="16"/>
  <c r="G517" i="16"/>
  <c r="F518" i="16"/>
  <c r="G518" i="16"/>
  <c r="F519" i="16"/>
  <c r="G519" i="16"/>
  <c r="F520" i="16"/>
  <c r="G520" i="16"/>
  <c r="F521" i="16"/>
  <c r="G521" i="16"/>
  <c r="F522" i="16"/>
  <c r="G522" i="16"/>
  <c r="F523" i="16"/>
  <c r="G523" i="16"/>
  <c r="F524" i="16"/>
  <c r="G524" i="16"/>
  <c r="F525" i="16"/>
  <c r="G525" i="16"/>
  <c r="F526" i="16"/>
  <c r="G526" i="16"/>
  <c r="F527" i="16"/>
  <c r="G527" i="16"/>
  <c r="F528" i="16"/>
  <c r="G528" i="16"/>
  <c r="F529" i="16"/>
  <c r="G529" i="16"/>
  <c r="F530" i="16"/>
  <c r="G530" i="16"/>
  <c r="F531" i="16"/>
  <c r="G531" i="16"/>
  <c r="F532" i="16"/>
  <c r="G532" i="16"/>
  <c r="F533" i="16"/>
  <c r="G533" i="16"/>
  <c r="F534" i="16"/>
  <c r="G534" i="16"/>
  <c r="F535" i="16"/>
  <c r="G535" i="16"/>
  <c r="F536" i="16"/>
  <c r="G536" i="16"/>
  <c r="F537" i="16"/>
  <c r="G537" i="16"/>
  <c r="F538" i="16"/>
  <c r="G538" i="16"/>
  <c r="F539" i="16"/>
  <c r="G539" i="16"/>
  <c r="F540" i="16"/>
  <c r="G540" i="16"/>
  <c r="F541" i="16"/>
  <c r="G541" i="16"/>
  <c r="F542" i="16"/>
  <c r="G542" i="16"/>
  <c r="F543" i="16"/>
  <c r="G543" i="16"/>
  <c r="F544" i="16"/>
  <c r="G544" i="16"/>
  <c r="F545" i="16"/>
  <c r="G545" i="16"/>
  <c r="F546" i="16"/>
  <c r="G546" i="16"/>
  <c r="F547" i="16"/>
  <c r="G547" i="16"/>
  <c r="F548" i="16"/>
  <c r="G548" i="16"/>
  <c r="F549" i="16"/>
  <c r="G549" i="16"/>
  <c r="F550" i="16"/>
  <c r="G550" i="16"/>
  <c r="F551" i="16"/>
  <c r="G551" i="16"/>
  <c r="F552" i="16"/>
  <c r="G552" i="16"/>
  <c r="F553" i="16"/>
  <c r="G553" i="16"/>
  <c r="F554" i="16"/>
  <c r="G554" i="16"/>
  <c r="F555" i="16"/>
  <c r="G555" i="16"/>
  <c r="F556" i="16"/>
  <c r="G556" i="16"/>
  <c r="F557" i="16"/>
  <c r="G557" i="16"/>
  <c r="F558" i="16"/>
  <c r="G558" i="16"/>
  <c r="F559" i="16"/>
  <c r="G559" i="16"/>
  <c r="F560" i="16"/>
  <c r="G560" i="16"/>
  <c r="F561" i="16"/>
  <c r="G561" i="16"/>
  <c r="F562" i="16"/>
  <c r="G562" i="16"/>
  <c r="F563" i="16"/>
  <c r="G563" i="16"/>
  <c r="F564" i="16"/>
  <c r="G564" i="16"/>
  <c r="F565" i="16"/>
  <c r="G565" i="16"/>
  <c r="F566" i="16"/>
  <c r="G566" i="16"/>
  <c r="F567" i="16"/>
  <c r="G567" i="16"/>
  <c r="F568" i="16"/>
  <c r="G568" i="16"/>
  <c r="F569" i="16"/>
  <c r="G569" i="16"/>
  <c r="F570" i="16"/>
  <c r="G570" i="16"/>
  <c r="F571" i="16"/>
  <c r="G571" i="16"/>
  <c r="F572" i="16"/>
  <c r="G572" i="16"/>
  <c r="F573" i="16"/>
  <c r="G573" i="16"/>
  <c r="F574" i="16"/>
  <c r="G574" i="16"/>
  <c r="F575" i="16"/>
  <c r="G575" i="16"/>
  <c r="F576" i="16"/>
  <c r="G576" i="16"/>
  <c r="F577" i="16"/>
  <c r="G577" i="16"/>
  <c r="F578" i="16"/>
  <c r="G578" i="16"/>
  <c r="F579" i="16"/>
  <c r="G579" i="16"/>
  <c r="F580" i="16"/>
  <c r="G580" i="16"/>
  <c r="F581" i="16"/>
  <c r="G581" i="16"/>
  <c r="F582" i="16"/>
  <c r="G582" i="16"/>
  <c r="F583" i="16"/>
  <c r="G583" i="16"/>
  <c r="F584" i="16"/>
  <c r="G584" i="16"/>
  <c r="F585" i="16"/>
  <c r="G585" i="16"/>
  <c r="F586" i="16"/>
  <c r="G586" i="16"/>
  <c r="F587" i="16"/>
  <c r="G587" i="16"/>
  <c r="F588" i="16"/>
  <c r="G588" i="16"/>
  <c r="F589" i="16"/>
  <c r="G589" i="16"/>
  <c r="F590" i="16"/>
  <c r="G590" i="16"/>
  <c r="F591" i="16"/>
  <c r="G591" i="16"/>
  <c r="F592" i="16"/>
  <c r="G592" i="16"/>
  <c r="F593" i="16"/>
  <c r="G593" i="16"/>
  <c r="F594" i="16"/>
  <c r="G594" i="16"/>
  <c r="F595" i="16"/>
  <c r="G595" i="16"/>
  <c r="F596" i="16"/>
  <c r="G596" i="16"/>
  <c r="F597" i="16"/>
  <c r="G597" i="16"/>
  <c r="F598" i="16"/>
  <c r="G598" i="16"/>
  <c r="F599" i="16"/>
  <c r="G599" i="16"/>
  <c r="F600" i="16"/>
  <c r="G600" i="16"/>
  <c r="F601" i="16"/>
  <c r="G601" i="16"/>
  <c r="F602" i="16"/>
  <c r="G602" i="16"/>
  <c r="F603" i="16"/>
  <c r="G603" i="16"/>
  <c r="F604" i="16"/>
  <c r="G604" i="16"/>
  <c r="F605" i="16"/>
  <c r="G605" i="16"/>
  <c r="F606" i="16"/>
  <c r="G606" i="16"/>
  <c r="F607" i="16"/>
  <c r="G607" i="16"/>
  <c r="F608" i="16"/>
  <c r="G608" i="16"/>
  <c r="F609" i="16"/>
  <c r="G609" i="16"/>
  <c r="F610" i="16"/>
  <c r="G610" i="16"/>
  <c r="F611" i="16"/>
  <c r="G611" i="16"/>
  <c r="F612" i="16"/>
  <c r="G612" i="16"/>
  <c r="F613" i="16"/>
  <c r="G613" i="16"/>
  <c r="F614" i="16"/>
  <c r="G614" i="16"/>
  <c r="F615" i="16"/>
  <c r="G615" i="16"/>
  <c r="F616" i="16"/>
  <c r="G616" i="16"/>
  <c r="F617" i="16"/>
  <c r="G617" i="16"/>
  <c r="F618" i="16"/>
  <c r="G618" i="16"/>
  <c r="F619" i="16"/>
  <c r="G619" i="16"/>
  <c r="F620" i="16"/>
  <c r="G620" i="16"/>
  <c r="F621" i="16"/>
  <c r="G621" i="16"/>
  <c r="F622" i="16"/>
  <c r="G622" i="16"/>
  <c r="F623" i="16"/>
  <c r="G623" i="16"/>
  <c r="F624" i="16"/>
  <c r="G624" i="16"/>
  <c r="F625" i="16"/>
  <c r="G625" i="16"/>
  <c r="F626" i="16"/>
  <c r="G626" i="16"/>
  <c r="F627" i="16"/>
  <c r="G627" i="16"/>
  <c r="F628" i="16"/>
  <c r="G628" i="16"/>
  <c r="F629" i="16"/>
  <c r="G629" i="16"/>
  <c r="F630" i="16"/>
  <c r="G630" i="16"/>
  <c r="F631" i="16"/>
  <c r="G631" i="16"/>
  <c r="F632" i="16"/>
  <c r="G632" i="16"/>
  <c r="F633" i="16"/>
  <c r="G633" i="16"/>
  <c r="F634" i="16"/>
  <c r="G634" i="16"/>
  <c r="F635" i="16"/>
  <c r="G635" i="16"/>
  <c r="F636" i="16"/>
  <c r="G636" i="16"/>
  <c r="F637" i="16"/>
  <c r="G637" i="16"/>
  <c r="F638" i="16"/>
  <c r="G638" i="16"/>
  <c r="F639" i="16"/>
  <c r="G639" i="16"/>
  <c r="F640" i="16"/>
  <c r="G640" i="16"/>
  <c r="F641" i="16"/>
  <c r="G641" i="16"/>
  <c r="F642" i="16"/>
  <c r="G642" i="16"/>
  <c r="F643" i="16"/>
  <c r="G643" i="16"/>
  <c r="F644" i="16"/>
  <c r="G644" i="16"/>
  <c r="F645" i="16"/>
  <c r="G645" i="16"/>
  <c r="F646" i="16"/>
  <c r="G646" i="16"/>
  <c r="F647" i="16"/>
  <c r="G647" i="16"/>
  <c r="F648" i="16"/>
  <c r="G648" i="16"/>
  <c r="F649" i="16"/>
  <c r="G649" i="16"/>
  <c r="F650" i="16"/>
  <c r="G650" i="16"/>
  <c r="F651" i="16"/>
  <c r="G651" i="16"/>
  <c r="F652" i="16"/>
  <c r="G652" i="16"/>
  <c r="F653" i="16"/>
  <c r="G653" i="16"/>
  <c r="F654" i="16"/>
  <c r="G654" i="16"/>
  <c r="F655" i="16"/>
  <c r="G655" i="16"/>
  <c r="F656" i="16"/>
  <c r="G656" i="16"/>
  <c r="F657" i="16"/>
  <c r="G657" i="16"/>
  <c r="F658" i="16"/>
  <c r="G658" i="16"/>
  <c r="F659" i="16"/>
  <c r="G659" i="16"/>
  <c r="F660" i="16"/>
  <c r="G660" i="16"/>
  <c r="F661" i="16"/>
  <c r="G661" i="16"/>
  <c r="F662" i="16"/>
  <c r="G662" i="16"/>
  <c r="F663" i="16"/>
  <c r="G663" i="16"/>
  <c r="F664" i="16"/>
  <c r="G664" i="16"/>
  <c r="F665" i="16"/>
  <c r="G665" i="16"/>
  <c r="F666" i="16"/>
  <c r="G666" i="16"/>
  <c r="F667" i="16"/>
  <c r="G667" i="16"/>
  <c r="F668" i="16"/>
  <c r="G668" i="16"/>
  <c r="F669" i="16"/>
  <c r="G669" i="16"/>
  <c r="F670" i="16"/>
  <c r="G670" i="16"/>
  <c r="F671" i="16"/>
  <c r="G671" i="16"/>
  <c r="F672" i="16"/>
  <c r="G672" i="16"/>
  <c r="F673" i="16"/>
  <c r="G673" i="16"/>
  <c r="F674" i="16"/>
  <c r="G674" i="16"/>
  <c r="F675" i="16"/>
  <c r="G675" i="16"/>
  <c r="F676" i="16"/>
  <c r="G676" i="16"/>
  <c r="F677" i="16"/>
  <c r="G677" i="16"/>
  <c r="F678" i="16"/>
  <c r="G678" i="16"/>
  <c r="F679" i="16"/>
  <c r="G679" i="16"/>
  <c r="F680" i="16"/>
  <c r="G680" i="16"/>
  <c r="F681" i="16"/>
  <c r="G681" i="16"/>
  <c r="F682" i="16"/>
  <c r="G682" i="16"/>
  <c r="F683" i="16"/>
  <c r="G683" i="16"/>
  <c r="F684" i="16"/>
  <c r="G684" i="16"/>
  <c r="F685" i="16"/>
  <c r="G685" i="16"/>
  <c r="F686" i="16"/>
  <c r="G686" i="16"/>
  <c r="F687" i="16"/>
  <c r="G687" i="16"/>
  <c r="F688" i="16"/>
  <c r="G688" i="16"/>
  <c r="F689" i="16"/>
  <c r="G689" i="16"/>
  <c r="F690" i="16"/>
  <c r="G690" i="16"/>
  <c r="F691" i="16"/>
  <c r="G691" i="16"/>
  <c r="F692" i="16"/>
  <c r="G692" i="16"/>
  <c r="F693" i="16"/>
  <c r="G693" i="16"/>
  <c r="F694" i="16"/>
  <c r="G694" i="16"/>
  <c r="F695" i="16"/>
  <c r="G695" i="16"/>
  <c r="F696" i="16"/>
  <c r="G696" i="16"/>
  <c r="F697" i="16"/>
  <c r="G697" i="16"/>
  <c r="F698" i="16"/>
  <c r="G698" i="16"/>
  <c r="F699" i="16"/>
  <c r="G699" i="16"/>
  <c r="F700" i="16"/>
  <c r="G700" i="16"/>
  <c r="F701" i="16"/>
  <c r="G701" i="16"/>
  <c r="F702" i="16"/>
  <c r="G702" i="16"/>
  <c r="F703" i="16"/>
  <c r="G703" i="16"/>
  <c r="F704" i="16"/>
  <c r="G704" i="16"/>
  <c r="F705" i="16"/>
  <c r="G705" i="16"/>
  <c r="F706" i="16"/>
  <c r="G706" i="16"/>
  <c r="F707" i="16"/>
  <c r="G707" i="16"/>
  <c r="F708" i="16"/>
  <c r="G708" i="16"/>
  <c r="F709" i="16"/>
  <c r="G709" i="16"/>
  <c r="F710" i="16"/>
  <c r="G710" i="16"/>
  <c r="F711" i="16"/>
  <c r="G711" i="16"/>
  <c r="F712" i="16"/>
  <c r="G712" i="16"/>
  <c r="F713" i="16"/>
  <c r="G713" i="16"/>
  <c r="F714" i="16"/>
  <c r="G714" i="16"/>
  <c r="F715" i="16"/>
  <c r="G715" i="16"/>
  <c r="F716" i="16"/>
  <c r="G716" i="16"/>
  <c r="F717" i="16"/>
  <c r="G717" i="16"/>
  <c r="F718" i="16"/>
  <c r="G718" i="16"/>
  <c r="F719" i="16"/>
  <c r="G719" i="16"/>
  <c r="F720" i="16"/>
  <c r="G720" i="16"/>
  <c r="F721" i="16"/>
  <c r="G721" i="16"/>
  <c r="F722" i="16"/>
  <c r="G722" i="16"/>
  <c r="F723" i="16"/>
  <c r="G723" i="16"/>
  <c r="F724" i="16"/>
  <c r="G724" i="16"/>
  <c r="F725" i="16"/>
  <c r="G725" i="16"/>
  <c r="F726" i="16"/>
  <c r="G726" i="16"/>
  <c r="F727" i="16"/>
  <c r="G727" i="16"/>
  <c r="F728" i="16"/>
  <c r="G728" i="16"/>
  <c r="F729" i="16"/>
  <c r="G729" i="16"/>
  <c r="F730" i="16"/>
  <c r="G730" i="16"/>
  <c r="F731" i="16"/>
  <c r="G731" i="16"/>
  <c r="F732" i="16"/>
  <c r="G732" i="16"/>
  <c r="F733" i="16"/>
  <c r="G733" i="16"/>
  <c r="F734" i="16"/>
  <c r="G734" i="16"/>
  <c r="F735" i="16"/>
  <c r="G735" i="16"/>
  <c r="F736" i="16"/>
  <c r="G736" i="16"/>
  <c r="F737" i="16"/>
  <c r="G737" i="16"/>
  <c r="F738" i="16"/>
  <c r="G738" i="16"/>
  <c r="F739" i="16"/>
  <c r="G739" i="16"/>
  <c r="F740" i="16"/>
  <c r="G740" i="16"/>
  <c r="F741" i="16"/>
  <c r="G741" i="16"/>
  <c r="F742" i="16"/>
  <c r="G742" i="16"/>
  <c r="F743" i="16"/>
  <c r="G743" i="16"/>
  <c r="F744" i="16"/>
  <c r="G744" i="16"/>
  <c r="F745" i="16"/>
  <c r="G745" i="16"/>
  <c r="F746" i="16"/>
  <c r="G746" i="16"/>
  <c r="F747" i="16"/>
  <c r="G747" i="16"/>
  <c r="F748" i="16"/>
  <c r="G748" i="16"/>
  <c r="F749" i="16"/>
  <c r="G749" i="16"/>
  <c r="F750" i="16"/>
  <c r="G750" i="16"/>
  <c r="F751" i="16"/>
  <c r="G751" i="16"/>
  <c r="F752" i="16"/>
  <c r="G752" i="16"/>
  <c r="F753" i="16"/>
  <c r="G753" i="16"/>
  <c r="F754" i="16"/>
  <c r="G754" i="16"/>
  <c r="F755" i="16"/>
  <c r="G755" i="16"/>
  <c r="F756" i="16"/>
  <c r="G756" i="16"/>
  <c r="F757" i="16"/>
  <c r="G757" i="16"/>
  <c r="F758" i="16"/>
  <c r="G758" i="16"/>
  <c r="F759" i="16"/>
  <c r="G759" i="16"/>
  <c r="F760" i="16"/>
  <c r="G760" i="16"/>
  <c r="F761" i="16"/>
  <c r="G761" i="16"/>
  <c r="F762" i="16"/>
  <c r="G762" i="16"/>
  <c r="F763" i="16"/>
  <c r="G763" i="16"/>
  <c r="F764" i="16"/>
  <c r="G764" i="16"/>
  <c r="F765" i="16"/>
  <c r="G765" i="16"/>
  <c r="F766" i="16"/>
  <c r="G766" i="16"/>
  <c r="F767" i="16"/>
  <c r="G767" i="16"/>
  <c r="F768" i="16"/>
  <c r="G768" i="16"/>
  <c r="F769" i="16"/>
  <c r="G769" i="16"/>
  <c r="F770" i="16"/>
  <c r="G770" i="16"/>
  <c r="F771" i="16"/>
  <c r="G771" i="16"/>
  <c r="F772" i="16"/>
  <c r="G772" i="16"/>
  <c r="F773" i="16"/>
  <c r="G773" i="16"/>
  <c r="F774" i="16"/>
  <c r="G774" i="16"/>
  <c r="F775" i="16"/>
  <c r="G775" i="16"/>
  <c r="F776" i="16"/>
  <c r="G776" i="16"/>
  <c r="F777" i="16"/>
  <c r="G777" i="16"/>
  <c r="F778" i="16"/>
  <c r="G778" i="16"/>
  <c r="F779" i="16"/>
  <c r="G779" i="16"/>
  <c r="F780" i="16"/>
  <c r="G780" i="16"/>
  <c r="F781" i="16"/>
  <c r="G781" i="16"/>
  <c r="F782" i="16"/>
  <c r="G782" i="16"/>
  <c r="F783" i="16"/>
  <c r="G783" i="16"/>
  <c r="F784" i="16"/>
  <c r="G784" i="16"/>
  <c r="F785" i="16"/>
  <c r="G785" i="16"/>
  <c r="F786" i="16"/>
  <c r="G786" i="16"/>
  <c r="F787" i="16"/>
  <c r="G787" i="16"/>
  <c r="F788" i="16"/>
  <c r="G788" i="16"/>
  <c r="F789" i="16"/>
  <c r="G789" i="16"/>
  <c r="F790" i="16"/>
  <c r="G790" i="16"/>
  <c r="F791" i="16"/>
  <c r="G791" i="16"/>
  <c r="F792" i="16"/>
  <c r="G792" i="16"/>
  <c r="F793" i="16"/>
  <c r="G793" i="16"/>
  <c r="F794" i="16"/>
  <c r="G794" i="16"/>
  <c r="F795" i="16"/>
  <c r="G795" i="16"/>
  <c r="F796" i="16"/>
  <c r="G796" i="16"/>
  <c r="F797" i="16"/>
  <c r="G797" i="16"/>
  <c r="F798" i="16"/>
  <c r="G798" i="16"/>
  <c r="F799" i="16"/>
  <c r="G799" i="16"/>
  <c r="F800" i="16"/>
  <c r="G800" i="16"/>
  <c r="F801" i="16"/>
  <c r="G801" i="16"/>
  <c r="F802" i="16"/>
  <c r="G802" i="16"/>
  <c r="F803" i="16"/>
  <c r="G803" i="16"/>
  <c r="F804" i="16"/>
  <c r="G804" i="16"/>
  <c r="F805" i="16"/>
  <c r="G805" i="16"/>
  <c r="F806" i="16"/>
  <c r="G806" i="16"/>
  <c r="F807" i="16"/>
  <c r="G807" i="16"/>
  <c r="F808" i="16"/>
  <c r="G808" i="16"/>
  <c r="F809" i="16"/>
  <c r="G809" i="16"/>
  <c r="F810" i="16"/>
  <c r="G810" i="16"/>
  <c r="F811" i="16"/>
  <c r="G811" i="16"/>
  <c r="F812" i="16"/>
  <c r="G812" i="16"/>
  <c r="F813" i="16"/>
  <c r="G813" i="16"/>
  <c r="F814" i="16"/>
  <c r="G814" i="16"/>
  <c r="F815" i="16"/>
  <c r="G815" i="16"/>
  <c r="F816" i="16"/>
  <c r="G816" i="16"/>
  <c r="F817" i="16"/>
  <c r="G817" i="16"/>
  <c r="F818" i="16"/>
  <c r="G818" i="16"/>
  <c r="F819" i="16"/>
  <c r="G819" i="16"/>
  <c r="F820" i="16"/>
  <c r="G820" i="16"/>
  <c r="F821" i="16"/>
  <c r="G821" i="16"/>
  <c r="F822" i="16"/>
  <c r="G822" i="16"/>
  <c r="F823" i="16"/>
  <c r="G823" i="16"/>
  <c r="F824" i="16"/>
  <c r="G824" i="16"/>
  <c r="F825" i="16"/>
  <c r="G825" i="16"/>
  <c r="F826" i="16"/>
  <c r="G826" i="16"/>
  <c r="F827" i="16"/>
  <c r="G827" i="16"/>
  <c r="F828" i="16"/>
  <c r="G828" i="16"/>
  <c r="F829" i="16"/>
  <c r="G829" i="16"/>
  <c r="F830" i="16"/>
  <c r="G830" i="16"/>
  <c r="F831" i="16"/>
  <c r="G831" i="16"/>
  <c r="F832" i="16"/>
  <c r="G832" i="16"/>
  <c r="F833" i="16"/>
  <c r="G833" i="16"/>
  <c r="F834" i="16"/>
  <c r="G834" i="16"/>
  <c r="F835" i="16"/>
  <c r="G835" i="16"/>
  <c r="F836" i="16"/>
  <c r="G836" i="16"/>
  <c r="F837" i="16"/>
  <c r="G837" i="16"/>
  <c r="F838" i="16"/>
  <c r="G838" i="16"/>
  <c r="F839" i="16"/>
  <c r="G839" i="16"/>
  <c r="F840" i="16"/>
  <c r="G840" i="16"/>
  <c r="F841" i="16"/>
  <c r="G841" i="16"/>
  <c r="F842" i="16"/>
  <c r="G842" i="16"/>
  <c r="F843" i="16"/>
  <c r="G843" i="16"/>
  <c r="F844" i="16"/>
  <c r="G844" i="16"/>
  <c r="F845" i="16"/>
  <c r="G845" i="16"/>
  <c r="F846" i="16"/>
  <c r="G846" i="16"/>
  <c r="F847" i="16"/>
  <c r="G847" i="16"/>
  <c r="F848" i="16"/>
  <c r="G848" i="16"/>
  <c r="F849" i="16"/>
  <c r="G849" i="16"/>
  <c r="F850" i="16"/>
  <c r="G850" i="16"/>
  <c r="F851" i="16"/>
  <c r="G851" i="16"/>
  <c r="F852" i="16"/>
  <c r="G852" i="16"/>
  <c r="F853" i="16"/>
  <c r="G853" i="16"/>
  <c r="F854" i="16"/>
  <c r="G854" i="16"/>
  <c r="F855" i="16"/>
  <c r="G855" i="16"/>
  <c r="F856" i="16"/>
  <c r="G856" i="16"/>
  <c r="F857" i="16"/>
  <c r="G857" i="16"/>
  <c r="F858" i="16"/>
  <c r="G858" i="16"/>
  <c r="F859" i="16"/>
  <c r="G859" i="16"/>
  <c r="F860" i="16"/>
  <c r="G860" i="16"/>
  <c r="F861" i="16"/>
  <c r="G861" i="16"/>
  <c r="F862" i="16"/>
  <c r="G862" i="16"/>
  <c r="F863" i="16"/>
  <c r="G863" i="16"/>
  <c r="F864" i="16"/>
  <c r="G864" i="16"/>
  <c r="F865" i="16"/>
  <c r="G865" i="16"/>
  <c r="F866" i="16"/>
  <c r="G866" i="16"/>
  <c r="F867" i="16"/>
  <c r="G867" i="16"/>
  <c r="F868" i="16"/>
  <c r="G868" i="16"/>
  <c r="F869" i="16"/>
  <c r="G869" i="16"/>
  <c r="F870" i="16"/>
  <c r="G870" i="16"/>
  <c r="F871" i="16"/>
  <c r="G871" i="16"/>
  <c r="F872" i="16"/>
  <c r="G872" i="16"/>
  <c r="F873" i="16"/>
  <c r="G873" i="16"/>
  <c r="F874" i="16"/>
  <c r="G874" i="16"/>
  <c r="F875" i="16"/>
  <c r="G875" i="16"/>
  <c r="F876" i="16"/>
  <c r="G876" i="16"/>
  <c r="F877" i="16"/>
  <c r="G877" i="16"/>
  <c r="F878" i="16"/>
  <c r="G878" i="16"/>
  <c r="F879" i="16"/>
  <c r="G879" i="16"/>
  <c r="F880" i="16"/>
  <c r="G880" i="16"/>
  <c r="F881" i="16"/>
  <c r="G881" i="16"/>
  <c r="F882" i="16"/>
  <c r="G882" i="16"/>
  <c r="F883" i="16"/>
  <c r="G883" i="16"/>
  <c r="F884" i="16"/>
  <c r="G884" i="16"/>
  <c r="F885" i="16"/>
  <c r="G885" i="16"/>
  <c r="F886" i="16"/>
  <c r="G886" i="16"/>
  <c r="F887" i="16"/>
  <c r="G887" i="16"/>
  <c r="F888" i="16"/>
  <c r="G888" i="16"/>
  <c r="F889" i="16"/>
  <c r="G889" i="16"/>
  <c r="F890" i="16"/>
  <c r="G890" i="16"/>
  <c r="F891" i="16"/>
  <c r="G891" i="16"/>
  <c r="F892" i="16"/>
  <c r="G892" i="16"/>
  <c r="F893" i="16"/>
  <c r="G893" i="16"/>
  <c r="F894" i="16"/>
  <c r="G894" i="16"/>
  <c r="F895" i="16"/>
  <c r="G895" i="16"/>
  <c r="F896" i="16"/>
  <c r="G896" i="16"/>
  <c r="F897" i="16"/>
  <c r="G897" i="16"/>
  <c r="F898" i="16"/>
  <c r="G898" i="16"/>
  <c r="F899" i="16"/>
  <c r="G899" i="16"/>
  <c r="F900" i="16"/>
  <c r="G900" i="16"/>
  <c r="F901" i="16"/>
  <c r="G901" i="16"/>
  <c r="F902" i="16"/>
  <c r="G902" i="16"/>
  <c r="F903" i="16"/>
  <c r="G903" i="16"/>
  <c r="F904" i="16"/>
  <c r="G904" i="16"/>
  <c r="F905" i="16"/>
  <c r="G905" i="16"/>
  <c r="F906" i="16"/>
  <c r="G906" i="16"/>
  <c r="F907" i="16"/>
  <c r="G907" i="16"/>
  <c r="F908" i="16"/>
  <c r="G908" i="16"/>
  <c r="F909" i="16"/>
  <c r="G909" i="16"/>
  <c r="F910" i="16"/>
  <c r="G910" i="16"/>
  <c r="F911" i="16"/>
  <c r="G911" i="16"/>
  <c r="F912" i="16"/>
  <c r="G912" i="16"/>
  <c r="F913" i="16"/>
  <c r="G913" i="16"/>
  <c r="F914" i="16"/>
  <c r="G914" i="16"/>
  <c r="F915" i="16"/>
  <c r="G915" i="16"/>
  <c r="F916" i="16"/>
  <c r="G916" i="16"/>
  <c r="F917" i="16"/>
  <c r="G917" i="16"/>
  <c r="F918" i="16"/>
  <c r="G918" i="16"/>
  <c r="F919" i="16"/>
  <c r="G919" i="16"/>
  <c r="F920" i="16"/>
  <c r="G920" i="16"/>
  <c r="F921" i="16"/>
  <c r="G921" i="16"/>
  <c r="F922" i="16"/>
  <c r="G922" i="16"/>
  <c r="F923" i="16"/>
  <c r="G923" i="16"/>
  <c r="F924" i="16"/>
  <c r="G924" i="16"/>
  <c r="F925" i="16"/>
  <c r="G925" i="16"/>
  <c r="F926" i="16"/>
  <c r="G926" i="16"/>
  <c r="F927" i="16"/>
  <c r="G927" i="16"/>
  <c r="F928" i="16"/>
  <c r="G928" i="16"/>
  <c r="F929" i="16"/>
  <c r="G929" i="16"/>
  <c r="F930" i="16"/>
  <c r="G930" i="16"/>
  <c r="F931" i="16"/>
  <c r="G931" i="16"/>
  <c r="F932" i="16"/>
  <c r="G932" i="16"/>
  <c r="F933" i="16"/>
  <c r="G933" i="16"/>
  <c r="F934" i="16"/>
  <c r="G934" i="16"/>
  <c r="F935" i="16"/>
  <c r="G935" i="16"/>
  <c r="F936" i="16"/>
  <c r="G936" i="16"/>
  <c r="F937" i="16"/>
  <c r="G937" i="16"/>
  <c r="F938" i="16"/>
  <c r="G938" i="16"/>
  <c r="F939" i="16"/>
  <c r="G939" i="16"/>
  <c r="F940" i="16"/>
  <c r="G940" i="16"/>
  <c r="F941" i="16"/>
  <c r="G941" i="16"/>
  <c r="F942" i="16"/>
  <c r="G942" i="16"/>
  <c r="F943" i="16"/>
  <c r="G943" i="16"/>
  <c r="F944" i="16"/>
  <c r="G944" i="16"/>
  <c r="F945" i="16"/>
  <c r="G945" i="16"/>
  <c r="F946" i="16"/>
  <c r="G946" i="16"/>
  <c r="F947" i="16"/>
  <c r="G947" i="16"/>
  <c r="F948" i="16"/>
  <c r="G948" i="16"/>
  <c r="F949" i="16"/>
  <c r="G949" i="16"/>
  <c r="F950" i="16"/>
  <c r="G950" i="16"/>
  <c r="F951" i="16"/>
  <c r="G951" i="16"/>
  <c r="F952" i="16"/>
  <c r="G952" i="16"/>
  <c r="F953" i="16"/>
  <c r="G953" i="16"/>
  <c r="F954" i="16"/>
  <c r="G954" i="16"/>
  <c r="F955" i="16"/>
  <c r="G955" i="16"/>
  <c r="F956" i="16"/>
  <c r="G956" i="16"/>
  <c r="F957" i="16"/>
  <c r="G957" i="16"/>
  <c r="F958" i="16"/>
  <c r="G958" i="16"/>
  <c r="F959" i="16"/>
  <c r="G959" i="16"/>
  <c r="F960" i="16"/>
  <c r="G960" i="16"/>
  <c r="F961" i="16"/>
  <c r="G961" i="16"/>
  <c r="F962" i="16"/>
  <c r="G962" i="16"/>
  <c r="F963" i="16"/>
  <c r="G963" i="16"/>
  <c r="F964" i="16"/>
  <c r="G964" i="16"/>
  <c r="F965" i="16"/>
  <c r="G965" i="16"/>
  <c r="F966" i="16"/>
  <c r="G966" i="16"/>
  <c r="F967" i="16"/>
  <c r="G967" i="16"/>
  <c r="F968" i="16"/>
  <c r="G968" i="16"/>
  <c r="F969" i="16"/>
  <c r="G969" i="16"/>
  <c r="F970" i="16"/>
  <c r="G970" i="16"/>
  <c r="F971" i="16"/>
  <c r="G971" i="16"/>
  <c r="F972" i="16"/>
  <c r="G972" i="16"/>
  <c r="F973" i="16"/>
  <c r="G973" i="16"/>
  <c r="F974" i="16"/>
  <c r="G974" i="16"/>
  <c r="F975" i="16"/>
  <c r="G975" i="16"/>
  <c r="F976" i="16"/>
  <c r="G976" i="16"/>
  <c r="F977" i="16"/>
  <c r="G977" i="16"/>
  <c r="F978" i="16"/>
  <c r="G978" i="16"/>
  <c r="F979" i="16"/>
  <c r="G979" i="16"/>
  <c r="F980" i="16"/>
  <c r="G980" i="16"/>
  <c r="F981" i="16"/>
  <c r="G981" i="16"/>
  <c r="F982" i="16"/>
  <c r="G982" i="16"/>
  <c r="F983" i="16"/>
  <c r="G983" i="16"/>
  <c r="F984" i="16"/>
  <c r="G984" i="16"/>
  <c r="F985" i="16"/>
  <c r="G985" i="16"/>
  <c r="F986" i="16"/>
  <c r="G986" i="16"/>
  <c r="F987" i="16"/>
  <c r="G987" i="16"/>
  <c r="F988" i="16"/>
  <c r="G988" i="16"/>
  <c r="F989" i="16"/>
  <c r="G989" i="16"/>
  <c r="F990" i="16"/>
  <c r="G990" i="16"/>
  <c r="F991" i="16"/>
  <c r="G991" i="16"/>
  <c r="F992" i="16"/>
  <c r="G992" i="16"/>
  <c r="F993" i="16"/>
  <c r="G993" i="16"/>
  <c r="F994" i="16"/>
  <c r="G994" i="16"/>
  <c r="F995" i="16"/>
  <c r="G995" i="16"/>
  <c r="F996" i="16"/>
  <c r="G996" i="16"/>
  <c r="F997" i="16"/>
  <c r="G997" i="16"/>
  <c r="F998" i="16"/>
  <c r="G998" i="16"/>
  <c r="F999" i="16"/>
  <c r="G999" i="16"/>
  <c r="F1000" i="16"/>
  <c r="G1000" i="16"/>
  <c r="F1001" i="16"/>
  <c r="G1001" i="16"/>
  <c r="F1002" i="16"/>
  <c r="G1002" i="16"/>
  <c r="F1003" i="16"/>
  <c r="G1003" i="16"/>
  <c r="F1004" i="16"/>
  <c r="G1004" i="16"/>
  <c r="F1005" i="16"/>
  <c r="G1005" i="16"/>
  <c r="F1006" i="16"/>
  <c r="G1006" i="16"/>
  <c r="F1007" i="16"/>
  <c r="G1007" i="16"/>
  <c r="F1008" i="16"/>
  <c r="G1008" i="16"/>
  <c r="F1009" i="16"/>
  <c r="G1009" i="16"/>
  <c r="B421" i="2"/>
  <c r="J33" i="5"/>
  <c r="I33" i="5"/>
  <c r="H33" i="5"/>
  <c r="G33" i="5"/>
  <c r="F33" i="5"/>
  <c r="E33" i="5"/>
  <c r="B180" i="16" l="1"/>
  <c r="B181" i="16" s="1"/>
  <c r="B182" i="16" s="1"/>
  <c r="B183" i="16" s="1"/>
  <c r="B184" i="16" s="1"/>
  <c r="B185" i="16" s="1"/>
  <c r="B186" i="16" s="1"/>
  <c r="B187" i="16" s="1"/>
  <c r="B188" i="16" s="1"/>
  <c r="B189" i="16" s="1"/>
  <c r="B190" i="16" s="1"/>
  <c r="B191" i="16" s="1"/>
  <c r="B192" i="16" s="1"/>
  <c r="B193" i="16" s="1"/>
  <c r="B194" i="16" s="1"/>
  <c r="B195" i="16" s="1"/>
  <c r="B196" i="16" s="1"/>
  <c r="B197" i="16" s="1"/>
  <c r="B198" i="16" s="1"/>
  <c r="B199" i="16" s="1"/>
  <c r="B200" i="16" s="1"/>
  <c r="B201" i="16" s="1"/>
  <c r="B202" i="16" s="1"/>
  <c r="B203" i="16" s="1"/>
  <c r="B204" i="16" s="1"/>
  <c r="B205" i="16" s="1"/>
  <c r="B206" i="16" s="1"/>
  <c r="B207" i="16" s="1"/>
  <c r="B208" i="16" s="1"/>
  <c r="B209" i="16" s="1"/>
  <c r="B210" i="16" s="1"/>
  <c r="B211" i="16" s="1"/>
  <c r="B212" i="16" s="1"/>
  <c r="B213" i="16" s="1"/>
  <c r="B214" i="16" s="1"/>
  <c r="B215" i="16" s="1"/>
  <c r="B216" i="16" s="1"/>
  <c r="B217" i="16" s="1"/>
  <c r="B218" i="16" s="1"/>
  <c r="B219" i="16" s="1"/>
  <c r="B220" i="16" s="1"/>
  <c r="B221" i="16" s="1"/>
  <c r="B222" i="16" s="1"/>
  <c r="B223" i="16" s="1"/>
  <c r="B224" i="16" s="1"/>
  <c r="B225" i="16" s="1"/>
  <c r="B226" i="16" s="1"/>
  <c r="B227" i="16" s="1"/>
  <c r="B228" i="16" s="1"/>
  <c r="B229" i="16" s="1"/>
  <c r="B230" i="16" s="1"/>
  <c r="B231" i="16" s="1"/>
  <c r="B232" i="16" s="1"/>
  <c r="B233" i="16" s="1"/>
  <c r="B234" i="16" s="1"/>
  <c r="B235" i="16" s="1"/>
  <c r="B236" i="16" s="1"/>
  <c r="B237" i="16" s="1"/>
  <c r="B238" i="16" s="1"/>
  <c r="B239" i="16" s="1"/>
  <c r="B240" i="16" s="1"/>
  <c r="B241" i="16" s="1"/>
  <c r="B242" i="16" s="1"/>
  <c r="B243" i="16" s="1"/>
  <c r="B244" i="16" s="1"/>
  <c r="B245" i="16" s="1"/>
  <c r="B246" i="16" s="1"/>
  <c r="B247" i="16" s="1"/>
  <c r="B248" i="16" s="1"/>
  <c r="B249" i="16" s="1"/>
  <c r="B250" i="16" s="1"/>
  <c r="B251" i="16" s="1"/>
  <c r="B252" i="16" s="1"/>
  <c r="B253" i="16" s="1"/>
  <c r="B254" i="16" s="1"/>
  <c r="B255" i="16" s="1"/>
  <c r="B256" i="16" s="1"/>
  <c r="B257" i="16" s="1"/>
  <c r="B258" i="16" s="1"/>
  <c r="B259" i="16" s="1"/>
  <c r="B260" i="16" s="1"/>
  <c r="B261" i="16" s="1"/>
  <c r="B262" i="16" s="1"/>
  <c r="B263" i="16" s="1"/>
  <c r="B264" i="16" s="1"/>
  <c r="B265" i="16" s="1"/>
  <c r="B266" i="16" s="1"/>
  <c r="B267" i="16" s="1"/>
  <c r="B268" i="16" s="1"/>
  <c r="B269" i="16" s="1"/>
  <c r="B270" i="16" s="1"/>
  <c r="B271" i="16" s="1"/>
  <c r="B272" i="16" s="1"/>
  <c r="B273" i="16" s="1"/>
  <c r="B274" i="16" s="1"/>
  <c r="B275" i="16" s="1"/>
  <c r="B276" i="16" s="1"/>
  <c r="B277" i="16" s="1"/>
  <c r="B278" i="16" s="1"/>
  <c r="B279" i="16" s="1"/>
  <c r="B280" i="16" s="1"/>
  <c r="B281" i="16" s="1"/>
  <c r="B282" i="16" s="1"/>
  <c r="B283" i="16" s="1"/>
  <c r="B284" i="16" s="1"/>
  <c r="B285" i="16" s="1"/>
  <c r="B286" i="16" s="1"/>
  <c r="B287" i="16" s="1"/>
  <c r="B288" i="16" s="1"/>
  <c r="B289" i="16" s="1"/>
  <c r="B290" i="16" s="1"/>
  <c r="B291" i="16" s="1"/>
  <c r="B292" i="16" s="1"/>
  <c r="B293" i="16" s="1"/>
  <c r="B294" i="16" s="1"/>
  <c r="B295" i="16" s="1"/>
  <c r="B296" i="16" s="1"/>
  <c r="B297" i="16" s="1"/>
  <c r="B298" i="16" s="1"/>
  <c r="B299" i="16" s="1"/>
  <c r="B300" i="16" s="1"/>
  <c r="B301" i="16" s="1"/>
  <c r="B302" i="16" s="1"/>
  <c r="B303" i="16" s="1"/>
  <c r="B304" i="16" s="1"/>
  <c r="B305" i="16" s="1"/>
  <c r="B306" i="16" s="1"/>
  <c r="B307" i="16" s="1"/>
  <c r="B308" i="16" s="1"/>
  <c r="B309" i="16" s="1"/>
  <c r="B310" i="16" s="1"/>
  <c r="B311" i="16" s="1"/>
  <c r="B312" i="16" s="1"/>
  <c r="B313" i="16" s="1"/>
  <c r="B314" i="16" s="1"/>
  <c r="B315" i="16" s="1"/>
  <c r="B316" i="16" s="1"/>
  <c r="B317" i="16" s="1"/>
  <c r="B318" i="16" s="1"/>
  <c r="B319" i="16" s="1"/>
  <c r="B320" i="16" s="1"/>
  <c r="B321" i="16" s="1"/>
  <c r="B322" i="16" s="1"/>
  <c r="B323" i="16" s="1"/>
  <c r="B324" i="16" s="1"/>
  <c r="B325" i="16" s="1"/>
  <c r="B326" i="16" s="1"/>
  <c r="B327" i="16" s="1"/>
  <c r="B328" i="16" s="1"/>
  <c r="B329" i="16" s="1"/>
  <c r="B330" i="16" s="1"/>
  <c r="B331" i="16" s="1"/>
  <c r="B332" i="16" s="1"/>
  <c r="B333" i="16" s="1"/>
  <c r="B334" i="16" s="1"/>
  <c r="B335" i="16" s="1"/>
  <c r="B336" i="16" s="1"/>
  <c r="B337" i="16" s="1"/>
  <c r="B338" i="16" s="1"/>
  <c r="B339" i="16" s="1"/>
  <c r="B340" i="16" s="1"/>
  <c r="B341" i="16" s="1"/>
  <c r="B342" i="16" s="1"/>
  <c r="B343" i="16" s="1"/>
  <c r="B344" i="16" s="1"/>
  <c r="B345" i="16" s="1"/>
  <c r="B346" i="16" s="1"/>
  <c r="B347" i="16" s="1"/>
  <c r="B348" i="16" s="1"/>
  <c r="B349" i="16" s="1"/>
  <c r="B350" i="16" s="1"/>
  <c r="B351" i="16" s="1"/>
  <c r="B352" i="16" s="1"/>
  <c r="B353" i="16" s="1"/>
  <c r="B354" i="16" s="1"/>
  <c r="B355" i="16" s="1"/>
  <c r="B356" i="16" s="1"/>
  <c r="B357" i="16" s="1"/>
  <c r="B358" i="16" s="1"/>
  <c r="B359" i="16" s="1"/>
  <c r="B360" i="16" s="1"/>
  <c r="B361" i="16" s="1"/>
  <c r="B362" i="16" s="1"/>
  <c r="B363" i="16" s="1"/>
  <c r="B364" i="16" s="1"/>
  <c r="B365" i="16" s="1"/>
  <c r="B366" i="16" s="1"/>
  <c r="B367" i="16" s="1"/>
  <c r="B368" i="16" s="1"/>
  <c r="B369" i="16" s="1"/>
  <c r="B370" i="16" s="1"/>
  <c r="B371" i="16" s="1"/>
  <c r="B372" i="16" s="1"/>
  <c r="B373" i="16" s="1"/>
  <c r="B374" i="16" s="1"/>
  <c r="B375" i="16" s="1"/>
  <c r="B376" i="16" s="1"/>
  <c r="B377" i="16" s="1"/>
  <c r="B378" i="16" s="1"/>
  <c r="B379" i="16" s="1"/>
  <c r="B380" i="16" s="1"/>
  <c r="B381" i="16" s="1"/>
  <c r="B382" i="16" s="1"/>
  <c r="B383" i="16" s="1"/>
  <c r="B384" i="16" s="1"/>
  <c r="B385" i="16" s="1"/>
  <c r="B386" i="16" s="1"/>
  <c r="B387" i="16" s="1"/>
  <c r="B388" i="16" s="1"/>
  <c r="B389" i="16" s="1"/>
  <c r="B390" i="16" s="1"/>
  <c r="B391" i="16" s="1"/>
  <c r="B392" i="16" s="1"/>
  <c r="B393" i="16" s="1"/>
  <c r="B394" i="16" s="1"/>
  <c r="B395" i="16" s="1"/>
  <c r="B396" i="16" s="1"/>
  <c r="B397" i="16" s="1"/>
  <c r="B398" i="16" s="1"/>
  <c r="B399" i="16" s="1"/>
  <c r="B400" i="16" s="1"/>
  <c r="B401" i="16" s="1"/>
  <c r="B402" i="16" s="1"/>
  <c r="B403" i="16" s="1"/>
  <c r="B404" i="16" s="1"/>
  <c r="B405" i="16" s="1"/>
  <c r="B406" i="16" s="1"/>
  <c r="B407" i="16" s="1"/>
  <c r="B408" i="16" s="1"/>
  <c r="B409" i="16" s="1"/>
  <c r="B410" i="16" s="1"/>
  <c r="B411" i="16" s="1"/>
  <c r="B412" i="16" s="1"/>
  <c r="B413" i="16" s="1"/>
  <c r="B414" i="16" s="1"/>
  <c r="B415" i="16" s="1"/>
  <c r="B416" i="16" s="1"/>
  <c r="B417" i="16" s="1"/>
  <c r="B418" i="16" s="1"/>
  <c r="B419" i="16" s="1"/>
  <c r="B420" i="16" s="1"/>
  <c r="B421" i="16" s="1"/>
  <c r="B422" i="16" s="1"/>
  <c r="B423" i="16" s="1"/>
  <c r="B424" i="16" s="1"/>
  <c r="B425" i="16" s="1"/>
  <c r="B426" i="16" s="1"/>
  <c r="B427" i="16" s="1"/>
  <c r="B428" i="16" s="1"/>
  <c r="B429" i="16" s="1"/>
  <c r="B430" i="16" s="1"/>
  <c r="B431" i="16" s="1"/>
  <c r="B432" i="16" s="1"/>
  <c r="B433" i="16" s="1"/>
  <c r="B434" i="16" s="1"/>
  <c r="B435" i="16" s="1"/>
  <c r="B436" i="16" s="1"/>
  <c r="B437" i="16" s="1"/>
  <c r="B438" i="16" s="1"/>
  <c r="B439" i="16" s="1"/>
  <c r="B440" i="16" s="1"/>
  <c r="B441" i="16" s="1"/>
  <c r="B442" i="16" s="1"/>
  <c r="B443" i="16" s="1"/>
  <c r="B444" i="16" s="1"/>
  <c r="B445" i="16" s="1"/>
  <c r="B446" i="16" s="1"/>
  <c r="B447" i="16" s="1"/>
  <c r="B448" i="16" s="1"/>
  <c r="B449" i="16" s="1"/>
  <c r="B450" i="16" s="1"/>
  <c r="B451" i="16" s="1"/>
  <c r="B452" i="16" s="1"/>
  <c r="B453" i="16" s="1"/>
  <c r="B454" i="16" s="1"/>
  <c r="B455" i="16" s="1"/>
  <c r="B456" i="16" s="1"/>
  <c r="B457" i="16" s="1"/>
  <c r="B458" i="16" s="1"/>
  <c r="B459" i="16" s="1"/>
  <c r="B460" i="16" s="1"/>
  <c r="B461" i="16" s="1"/>
  <c r="B462" i="16" s="1"/>
  <c r="B463" i="16" s="1"/>
  <c r="B464" i="16" s="1"/>
  <c r="B465" i="16" s="1"/>
  <c r="B466" i="16" s="1"/>
  <c r="B467" i="16" s="1"/>
  <c r="B468" i="16" s="1"/>
  <c r="B469" i="16" s="1"/>
  <c r="B470" i="16" s="1"/>
  <c r="B471" i="16" s="1"/>
  <c r="B472" i="16" s="1"/>
  <c r="B473" i="16" s="1"/>
  <c r="B474" i="16" s="1"/>
  <c r="B475" i="16" s="1"/>
  <c r="B476" i="16" s="1"/>
  <c r="B477" i="16" s="1"/>
  <c r="B478" i="16" s="1"/>
  <c r="B479" i="16" s="1"/>
  <c r="B480" i="16" s="1"/>
  <c r="B481" i="16" s="1"/>
  <c r="B482" i="16" s="1"/>
  <c r="B483" i="16" s="1"/>
  <c r="B484" i="16" s="1"/>
  <c r="B485" i="16" s="1"/>
  <c r="B486" i="16" s="1"/>
  <c r="B487" i="16" s="1"/>
  <c r="B488" i="16" s="1"/>
  <c r="B489" i="16" s="1"/>
  <c r="B490" i="16" s="1"/>
  <c r="B491" i="16" s="1"/>
  <c r="B492" i="16" s="1"/>
  <c r="B493" i="16" s="1"/>
  <c r="B494" i="16" s="1"/>
  <c r="B495" i="16" s="1"/>
  <c r="B496" i="16" s="1"/>
  <c r="B497" i="16" s="1"/>
  <c r="B498" i="16" s="1"/>
  <c r="B499" i="16" s="1"/>
  <c r="B500" i="16" s="1"/>
  <c r="B501" i="16" s="1"/>
  <c r="B502" i="16" s="1"/>
  <c r="B503" i="16" s="1"/>
  <c r="B504" i="16" s="1"/>
  <c r="B505" i="16" s="1"/>
  <c r="B506" i="16" s="1"/>
  <c r="B507" i="16" s="1"/>
  <c r="B508" i="16" s="1"/>
  <c r="B509" i="16" s="1"/>
  <c r="B510" i="16" s="1"/>
  <c r="B511" i="16" s="1"/>
  <c r="B512" i="16" s="1"/>
  <c r="B513" i="16" s="1"/>
  <c r="B514" i="16" s="1"/>
  <c r="B515" i="16" s="1"/>
  <c r="B516" i="16" s="1"/>
  <c r="B517" i="16" s="1"/>
  <c r="B518" i="16" s="1"/>
  <c r="B519" i="16" s="1"/>
  <c r="B520" i="16" s="1"/>
  <c r="B521" i="16" s="1"/>
  <c r="B522" i="16" s="1"/>
  <c r="B523" i="16" s="1"/>
  <c r="B524" i="16" s="1"/>
  <c r="B525" i="16" s="1"/>
  <c r="B526" i="16" s="1"/>
  <c r="B527" i="16" s="1"/>
  <c r="B528" i="16" s="1"/>
  <c r="B529" i="16" s="1"/>
  <c r="B530" i="16" s="1"/>
  <c r="B531" i="16" s="1"/>
  <c r="B532" i="16" s="1"/>
  <c r="B533" i="16" s="1"/>
  <c r="B534" i="16" s="1"/>
  <c r="B535" i="16" s="1"/>
  <c r="B536" i="16" s="1"/>
  <c r="B537" i="16" s="1"/>
  <c r="B538" i="16" s="1"/>
  <c r="B539" i="16" s="1"/>
  <c r="B540" i="16" s="1"/>
  <c r="B541" i="16" s="1"/>
  <c r="B542" i="16" s="1"/>
  <c r="B543" i="16" s="1"/>
  <c r="B544" i="16" s="1"/>
  <c r="B545" i="16" s="1"/>
  <c r="B546" i="16" s="1"/>
  <c r="B547" i="16" s="1"/>
  <c r="B548" i="16" s="1"/>
  <c r="B549" i="16" s="1"/>
  <c r="B550" i="16" s="1"/>
  <c r="B551" i="16" s="1"/>
  <c r="B552" i="16" s="1"/>
  <c r="B553" i="16" s="1"/>
  <c r="B554" i="16" s="1"/>
  <c r="B555" i="16" s="1"/>
  <c r="B556" i="16" s="1"/>
  <c r="B557" i="16" s="1"/>
  <c r="B558" i="16" s="1"/>
  <c r="B559" i="16" s="1"/>
  <c r="B560" i="16" s="1"/>
  <c r="B561" i="16" s="1"/>
  <c r="B562" i="16" s="1"/>
  <c r="B563" i="16" s="1"/>
  <c r="B564" i="16" s="1"/>
  <c r="B565" i="16" s="1"/>
  <c r="B566" i="16" s="1"/>
  <c r="B567" i="16" s="1"/>
  <c r="B568" i="16" s="1"/>
  <c r="B569" i="16" s="1"/>
  <c r="B570" i="16" s="1"/>
  <c r="B571" i="16" s="1"/>
  <c r="B572" i="16" s="1"/>
  <c r="B573" i="16" s="1"/>
  <c r="B574" i="16" s="1"/>
  <c r="B575" i="16" s="1"/>
  <c r="B576" i="16" s="1"/>
  <c r="B577" i="16" s="1"/>
  <c r="B578" i="16" s="1"/>
  <c r="B579" i="16" s="1"/>
  <c r="B580" i="16" s="1"/>
  <c r="B581" i="16" s="1"/>
  <c r="B582" i="16" s="1"/>
  <c r="B583" i="16" s="1"/>
  <c r="B584" i="16" s="1"/>
  <c r="B585" i="16" s="1"/>
  <c r="B586" i="16" s="1"/>
  <c r="B587" i="16" s="1"/>
  <c r="B588" i="16" s="1"/>
  <c r="B589" i="16" s="1"/>
  <c r="B590" i="16" s="1"/>
  <c r="B591" i="16" s="1"/>
  <c r="B592" i="16" s="1"/>
  <c r="B593" i="16" s="1"/>
  <c r="B594" i="16" s="1"/>
  <c r="B595" i="16" s="1"/>
  <c r="B596" i="16" s="1"/>
  <c r="B597" i="16" s="1"/>
  <c r="B598" i="16" s="1"/>
  <c r="B599" i="16" s="1"/>
  <c r="B600" i="16" s="1"/>
  <c r="B601" i="16" s="1"/>
  <c r="B602" i="16" s="1"/>
  <c r="B603" i="16" s="1"/>
  <c r="B604" i="16" s="1"/>
  <c r="B605" i="16" s="1"/>
  <c r="B606" i="16" s="1"/>
  <c r="B607" i="16" s="1"/>
  <c r="B608" i="16" s="1"/>
  <c r="B609" i="16" s="1"/>
  <c r="B610" i="16" s="1"/>
  <c r="B611" i="16" s="1"/>
  <c r="B612" i="16" s="1"/>
  <c r="B613" i="16" s="1"/>
  <c r="B614" i="16" s="1"/>
  <c r="B615" i="16" s="1"/>
  <c r="B616" i="16" s="1"/>
  <c r="B617" i="16" s="1"/>
  <c r="B618" i="16" s="1"/>
  <c r="B619" i="16" s="1"/>
  <c r="B620" i="16" s="1"/>
  <c r="B621" i="16" s="1"/>
  <c r="B622" i="16" s="1"/>
  <c r="B623" i="16" s="1"/>
  <c r="B624" i="16" s="1"/>
  <c r="B625" i="16" s="1"/>
  <c r="B626" i="16" s="1"/>
  <c r="B627" i="16" s="1"/>
  <c r="B628" i="16" s="1"/>
  <c r="B629" i="16" s="1"/>
  <c r="B630" i="16" s="1"/>
  <c r="B631" i="16" s="1"/>
  <c r="B632" i="16" s="1"/>
  <c r="B633" i="16" s="1"/>
  <c r="B634" i="16" s="1"/>
  <c r="B635" i="16" s="1"/>
  <c r="B636" i="16" s="1"/>
  <c r="B637" i="16" s="1"/>
  <c r="B638" i="16" s="1"/>
  <c r="B639" i="16" s="1"/>
  <c r="B640" i="16" s="1"/>
  <c r="B641" i="16" s="1"/>
  <c r="B642" i="16" s="1"/>
  <c r="B643" i="16" s="1"/>
  <c r="B644" i="16" s="1"/>
  <c r="B645" i="16" s="1"/>
  <c r="B646" i="16" s="1"/>
  <c r="B647" i="16" s="1"/>
  <c r="B648" i="16" s="1"/>
  <c r="B649" i="16" s="1"/>
  <c r="B650" i="16" s="1"/>
  <c r="B651" i="16" s="1"/>
  <c r="B652" i="16" s="1"/>
  <c r="B653" i="16" s="1"/>
  <c r="B654" i="16" s="1"/>
  <c r="B655" i="16" s="1"/>
  <c r="B656" i="16" s="1"/>
  <c r="B657" i="16" s="1"/>
  <c r="B658" i="16" s="1"/>
  <c r="B659" i="16" s="1"/>
  <c r="B660" i="16" s="1"/>
  <c r="B661" i="16" s="1"/>
  <c r="B662" i="16" s="1"/>
  <c r="B663" i="16" s="1"/>
  <c r="B664" i="16" s="1"/>
  <c r="B665" i="16" s="1"/>
  <c r="B666" i="16" s="1"/>
  <c r="B667" i="16" s="1"/>
  <c r="B668" i="16" s="1"/>
  <c r="B669" i="16" s="1"/>
  <c r="B670" i="16" s="1"/>
  <c r="B671" i="16" s="1"/>
  <c r="B672" i="16" s="1"/>
  <c r="B673" i="16" s="1"/>
  <c r="B674" i="16" s="1"/>
  <c r="B675" i="16" s="1"/>
  <c r="B676" i="16" s="1"/>
  <c r="B677" i="16" s="1"/>
  <c r="B678" i="16" s="1"/>
  <c r="B679" i="16" s="1"/>
  <c r="B680" i="16" s="1"/>
  <c r="B681" i="16" s="1"/>
  <c r="B682" i="16" s="1"/>
  <c r="B683" i="16" s="1"/>
  <c r="B684" i="16" s="1"/>
  <c r="B685" i="16" s="1"/>
  <c r="B686" i="16" s="1"/>
  <c r="B687" i="16" s="1"/>
  <c r="B688" i="16" s="1"/>
  <c r="B689" i="16" s="1"/>
  <c r="B690" i="16" s="1"/>
  <c r="B691" i="16" s="1"/>
  <c r="B692" i="16" s="1"/>
  <c r="B693" i="16" s="1"/>
  <c r="B694" i="16" s="1"/>
  <c r="B695" i="16" s="1"/>
  <c r="B696" i="16" s="1"/>
  <c r="B697" i="16" s="1"/>
  <c r="B698" i="16" s="1"/>
  <c r="B699" i="16" s="1"/>
  <c r="B700" i="16" s="1"/>
  <c r="B701" i="16" s="1"/>
  <c r="B702" i="16" s="1"/>
  <c r="B703" i="16" s="1"/>
  <c r="B704" i="16" s="1"/>
  <c r="B705" i="16" s="1"/>
  <c r="B706" i="16" s="1"/>
  <c r="B707" i="16" s="1"/>
  <c r="B708" i="16" s="1"/>
  <c r="B709" i="16" s="1"/>
  <c r="B710" i="16" s="1"/>
  <c r="B711" i="16" s="1"/>
  <c r="B712" i="16" s="1"/>
  <c r="B713" i="16" s="1"/>
  <c r="B714" i="16" s="1"/>
  <c r="B715" i="16" s="1"/>
  <c r="B716" i="16" s="1"/>
  <c r="B717" i="16" s="1"/>
  <c r="B718" i="16" s="1"/>
  <c r="B719" i="16" s="1"/>
  <c r="B720" i="16" s="1"/>
  <c r="B721" i="16" s="1"/>
  <c r="B722" i="16" s="1"/>
  <c r="B723" i="16" s="1"/>
  <c r="B724" i="16" s="1"/>
  <c r="B725" i="16" s="1"/>
  <c r="B726" i="16" s="1"/>
  <c r="B727" i="16" s="1"/>
  <c r="B728" i="16" s="1"/>
  <c r="B729" i="16" s="1"/>
  <c r="B730" i="16" s="1"/>
  <c r="B731" i="16" s="1"/>
  <c r="B732" i="16" s="1"/>
  <c r="B733" i="16" s="1"/>
  <c r="B734" i="16" s="1"/>
  <c r="B735" i="16" s="1"/>
  <c r="B736" i="16" s="1"/>
  <c r="B737" i="16" s="1"/>
  <c r="B738" i="16" s="1"/>
  <c r="B739" i="16" s="1"/>
  <c r="B740" i="16" s="1"/>
  <c r="B741" i="16" s="1"/>
  <c r="B742" i="16" s="1"/>
  <c r="B743" i="16" s="1"/>
  <c r="B744" i="16" s="1"/>
  <c r="B745" i="16" s="1"/>
  <c r="B746" i="16" s="1"/>
  <c r="B747" i="16" s="1"/>
  <c r="B748" i="16" s="1"/>
  <c r="B749" i="16" s="1"/>
  <c r="B750" i="16" s="1"/>
  <c r="B751" i="16" s="1"/>
  <c r="B752" i="16" s="1"/>
  <c r="B753" i="16" s="1"/>
  <c r="B754" i="16" s="1"/>
  <c r="B755" i="16" s="1"/>
  <c r="B756" i="16" s="1"/>
  <c r="B757" i="16" s="1"/>
  <c r="B758" i="16" s="1"/>
  <c r="B759" i="16" s="1"/>
  <c r="B760" i="16" s="1"/>
  <c r="B761" i="16" s="1"/>
  <c r="B762" i="16" s="1"/>
  <c r="B763" i="16" s="1"/>
  <c r="B764" i="16" s="1"/>
  <c r="B765" i="16" s="1"/>
  <c r="B766" i="16" s="1"/>
  <c r="B767" i="16" s="1"/>
  <c r="B768" i="16" s="1"/>
  <c r="B769" i="16" s="1"/>
  <c r="B770" i="16" s="1"/>
  <c r="B771" i="16" s="1"/>
  <c r="B772" i="16" s="1"/>
  <c r="B773" i="16" s="1"/>
  <c r="B774" i="16" s="1"/>
  <c r="B775" i="16" s="1"/>
  <c r="B776" i="16" s="1"/>
  <c r="B777" i="16" s="1"/>
  <c r="B778" i="16" s="1"/>
  <c r="B779" i="16" s="1"/>
  <c r="B780" i="16" s="1"/>
  <c r="B781" i="16" s="1"/>
  <c r="B782" i="16" s="1"/>
  <c r="B783" i="16" s="1"/>
  <c r="B784" i="16" s="1"/>
  <c r="B785" i="16" s="1"/>
  <c r="B786" i="16" s="1"/>
  <c r="B787" i="16" s="1"/>
  <c r="B788" i="16" s="1"/>
  <c r="B789" i="16" s="1"/>
  <c r="B790" i="16" s="1"/>
  <c r="B791" i="16" s="1"/>
  <c r="B792" i="16" s="1"/>
  <c r="B793" i="16" s="1"/>
  <c r="B794" i="16" s="1"/>
  <c r="B795" i="16" s="1"/>
  <c r="B796" i="16" s="1"/>
  <c r="B797" i="16" s="1"/>
  <c r="B798" i="16" s="1"/>
  <c r="B799" i="16" s="1"/>
  <c r="B800" i="16" s="1"/>
  <c r="B801" i="16" s="1"/>
  <c r="B802" i="16" s="1"/>
  <c r="B803" i="16" s="1"/>
  <c r="B804" i="16" s="1"/>
  <c r="B805" i="16" s="1"/>
  <c r="B806" i="16" s="1"/>
  <c r="B807" i="16" s="1"/>
  <c r="B808" i="16" s="1"/>
  <c r="B809" i="16" s="1"/>
  <c r="B810" i="16" s="1"/>
  <c r="B811" i="16" s="1"/>
  <c r="B812" i="16" s="1"/>
  <c r="B813" i="16" s="1"/>
  <c r="B814" i="16" s="1"/>
  <c r="B815" i="16" s="1"/>
  <c r="B816" i="16" s="1"/>
  <c r="B817" i="16" s="1"/>
  <c r="B818" i="16" s="1"/>
  <c r="B819" i="16" s="1"/>
  <c r="B820" i="16" s="1"/>
  <c r="B821" i="16" s="1"/>
  <c r="B822" i="16" s="1"/>
  <c r="B823" i="16" s="1"/>
  <c r="B824" i="16" s="1"/>
  <c r="B825" i="16" s="1"/>
  <c r="B826" i="16" s="1"/>
  <c r="B827" i="16" s="1"/>
  <c r="B828" i="16" s="1"/>
  <c r="B829" i="16" s="1"/>
  <c r="B830" i="16" s="1"/>
  <c r="B831" i="16" s="1"/>
  <c r="B832" i="16" s="1"/>
  <c r="B833" i="16" s="1"/>
  <c r="B834" i="16" s="1"/>
  <c r="B835" i="16" s="1"/>
  <c r="B836" i="16" s="1"/>
  <c r="B837" i="16" s="1"/>
  <c r="B838" i="16" s="1"/>
  <c r="B839" i="16" s="1"/>
  <c r="B840" i="16" s="1"/>
  <c r="B841" i="16" s="1"/>
  <c r="B842" i="16" s="1"/>
  <c r="B843" i="16" s="1"/>
  <c r="B844" i="16" s="1"/>
  <c r="B845" i="16" s="1"/>
  <c r="B846" i="16" s="1"/>
  <c r="B847" i="16" s="1"/>
  <c r="B848" i="16" s="1"/>
  <c r="B849" i="16" s="1"/>
  <c r="B850" i="16" s="1"/>
  <c r="B851" i="16" s="1"/>
  <c r="B852" i="16" s="1"/>
  <c r="B853" i="16" s="1"/>
  <c r="B854" i="16" s="1"/>
  <c r="B855" i="16" s="1"/>
  <c r="B856" i="16" s="1"/>
  <c r="B857" i="16" s="1"/>
  <c r="B858" i="16" s="1"/>
  <c r="B859" i="16" s="1"/>
  <c r="B860" i="16" s="1"/>
  <c r="B861" i="16" s="1"/>
  <c r="B862" i="16" s="1"/>
  <c r="B863" i="16" s="1"/>
  <c r="B864" i="16" s="1"/>
  <c r="B865" i="16" s="1"/>
  <c r="B866" i="16" s="1"/>
  <c r="B867" i="16" s="1"/>
  <c r="B868" i="16" s="1"/>
  <c r="B869" i="16" s="1"/>
  <c r="B870" i="16" s="1"/>
  <c r="B871" i="16" s="1"/>
  <c r="B872" i="16" s="1"/>
  <c r="B873" i="16" s="1"/>
  <c r="B874" i="16" s="1"/>
  <c r="B875" i="16" s="1"/>
  <c r="B876" i="16" s="1"/>
  <c r="B877" i="16" s="1"/>
  <c r="B878" i="16" s="1"/>
  <c r="B879" i="16" s="1"/>
  <c r="B880" i="16" s="1"/>
  <c r="B881" i="16" s="1"/>
  <c r="B882" i="16" s="1"/>
  <c r="B883" i="16" s="1"/>
  <c r="B884" i="16" s="1"/>
  <c r="B885" i="16" s="1"/>
  <c r="B886" i="16" s="1"/>
  <c r="B887" i="16" s="1"/>
  <c r="B888" i="16" s="1"/>
  <c r="B889" i="16" s="1"/>
  <c r="B890" i="16" s="1"/>
  <c r="B891" i="16" s="1"/>
  <c r="B892" i="16" s="1"/>
  <c r="B893" i="16" s="1"/>
  <c r="B894" i="16" s="1"/>
  <c r="B895" i="16" s="1"/>
  <c r="B896" i="16" s="1"/>
  <c r="B897" i="16" s="1"/>
  <c r="B898" i="16" s="1"/>
  <c r="B899" i="16" s="1"/>
  <c r="B900" i="16" s="1"/>
  <c r="B901" i="16" s="1"/>
  <c r="B902" i="16" s="1"/>
  <c r="B903" i="16" s="1"/>
  <c r="B904" i="16" s="1"/>
  <c r="B905" i="16" s="1"/>
  <c r="B906" i="16" s="1"/>
  <c r="B907" i="16" s="1"/>
  <c r="B908" i="16" s="1"/>
  <c r="B909" i="16" s="1"/>
  <c r="B910" i="16" s="1"/>
  <c r="B911" i="16" s="1"/>
  <c r="B912" i="16" s="1"/>
  <c r="B913" i="16" s="1"/>
  <c r="B914" i="16" s="1"/>
  <c r="B915" i="16" s="1"/>
  <c r="B916" i="16" s="1"/>
  <c r="B917" i="16" s="1"/>
  <c r="B918" i="16" s="1"/>
  <c r="B919" i="16" s="1"/>
  <c r="B920" i="16" s="1"/>
  <c r="B921" i="16" s="1"/>
  <c r="B922" i="16" s="1"/>
  <c r="B923" i="16" s="1"/>
  <c r="B924" i="16" s="1"/>
  <c r="B925" i="16" s="1"/>
  <c r="B926" i="16" s="1"/>
  <c r="B927" i="16" s="1"/>
  <c r="B928" i="16" s="1"/>
  <c r="B929" i="16" s="1"/>
  <c r="B930" i="16" s="1"/>
  <c r="B931" i="16" s="1"/>
  <c r="B932" i="16" s="1"/>
  <c r="B933" i="16" s="1"/>
  <c r="B934" i="16" s="1"/>
  <c r="B935" i="16" s="1"/>
  <c r="B936" i="16" s="1"/>
  <c r="B937" i="16" s="1"/>
  <c r="B938" i="16" s="1"/>
  <c r="B939" i="16" s="1"/>
  <c r="B940" i="16" s="1"/>
  <c r="B941" i="16" s="1"/>
  <c r="B942" i="16" s="1"/>
  <c r="B943" i="16" s="1"/>
  <c r="B944" i="16" s="1"/>
  <c r="B945" i="16" s="1"/>
  <c r="B946" i="16" s="1"/>
  <c r="B947" i="16" s="1"/>
  <c r="B948" i="16" s="1"/>
  <c r="B949" i="16" s="1"/>
  <c r="B950" i="16" s="1"/>
  <c r="B951" i="16" s="1"/>
  <c r="B952" i="16" s="1"/>
  <c r="B953" i="16" s="1"/>
  <c r="B954" i="16" s="1"/>
  <c r="B955" i="16" s="1"/>
  <c r="B956" i="16" s="1"/>
  <c r="B957" i="16" s="1"/>
  <c r="B958" i="16" s="1"/>
  <c r="B959" i="16" s="1"/>
  <c r="B960" i="16" s="1"/>
  <c r="B961" i="16" s="1"/>
  <c r="B962" i="16" s="1"/>
  <c r="B963" i="16" s="1"/>
  <c r="B964" i="16" s="1"/>
  <c r="B965" i="16" s="1"/>
  <c r="B966" i="16" s="1"/>
  <c r="B967" i="16" s="1"/>
  <c r="B968" i="16" s="1"/>
  <c r="B969" i="16" s="1"/>
  <c r="B970" i="16" s="1"/>
  <c r="B971" i="16" s="1"/>
  <c r="B972" i="16" s="1"/>
  <c r="B973" i="16" s="1"/>
  <c r="B974" i="16" s="1"/>
  <c r="B975" i="16" s="1"/>
  <c r="B976" i="16" s="1"/>
  <c r="B977" i="16" s="1"/>
  <c r="B978" i="16" s="1"/>
  <c r="B979" i="16" s="1"/>
  <c r="B980" i="16" s="1"/>
  <c r="B981" i="16" s="1"/>
  <c r="B982" i="16" s="1"/>
  <c r="B983" i="16" s="1"/>
  <c r="B984" i="16" s="1"/>
  <c r="B985" i="16" s="1"/>
  <c r="B986" i="16" s="1"/>
  <c r="B987" i="16" s="1"/>
  <c r="B988" i="16" s="1"/>
  <c r="B989" i="16" s="1"/>
  <c r="B990" i="16" s="1"/>
  <c r="B991" i="16" s="1"/>
  <c r="B992" i="16" s="1"/>
  <c r="B993" i="16" s="1"/>
  <c r="B994" i="16" s="1"/>
  <c r="B995" i="16" s="1"/>
  <c r="B996" i="16" s="1"/>
  <c r="B997" i="16" s="1"/>
  <c r="B998" i="16" s="1"/>
  <c r="B999" i="16" s="1"/>
  <c r="B1000" i="16" s="1"/>
  <c r="B1001" i="16" s="1"/>
  <c r="B1002" i="16" s="1"/>
  <c r="B1003" i="16" s="1"/>
  <c r="B1004" i="16" s="1"/>
  <c r="B1005" i="16" s="1"/>
  <c r="B1006" i="16" s="1"/>
  <c r="B1007" i="16" s="1"/>
  <c r="B1008" i="16" s="1"/>
  <c r="B1009" i="16" s="1"/>
  <c r="B1010" i="16" s="1"/>
  <c r="B82" i="2"/>
  <c r="N272" i="19" l="1"/>
  <c r="M272" i="19"/>
  <c r="L272" i="19"/>
  <c r="K272" i="19"/>
  <c r="J272" i="19"/>
  <c r="I272" i="19"/>
  <c r="N271" i="19"/>
  <c r="M271" i="19"/>
  <c r="L271" i="19"/>
  <c r="K271" i="19"/>
  <c r="J271" i="19"/>
  <c r="I271" i="19"/>
  <c r="B271" i="19"/>
  <c r="N270" i="19"/>
  <c r="M270" i="19"/>
  <c r="L270" i="19"/>
  <c r="K270" i="19"/>
  <c r="J270" i="19"/>
  <c r="I270" i="19"/>
  <c r="B270" i="19"/>
  <c r="N269" i="19"/>
  <c r="M269" i="19"/>
  <c r="L269" i="19"/>
  <c r="K269" i="19"/>
  <c r="J269" i="19"/>
  <c r="I269" i="19"/>
  <c r="B269" i="19"/>
  <c r="N268" i="19"/>
  <c r="M268" i="19"/>
  <c r="L268" i="19"/>
  <c r="K268" i="19"/>
  <c r="J268" i="19"/>
  <c r="I268" i="19"/>
  <c r="B268" i="19"/>
  <c r="N267" i="19"/>
  <c r="M267" i="19"/>
  <c r="L267" i="19"/>
  <c r="K267" i="19"/>
  <c r="J267" i="19"/>
  <c r="I267" i="19"/>
  <c r="B267" i="19"/>
  <c r="N266" i="19"/>
  <c r="M266" i="19"/>
  <c r="L266" i="19"/>
  <c r="K266" i="19"/>
  <c r="J266" i="19"/>
  <c r="I266" i="19"/>
  <c r="B266" i="19"/>
  <c r="N265" i="19"/>
  <c r="M265" i="19"/>
  <c r="L265" i="19"/>
  <c r="K265" i="19"/>
  <c r="J265" i="19"/>
  <c r="I265" i="19"/>
  <c r="B265" i="19"/>
  <c r="N264" i="19"/>
  <c r="M264" i="19"/>
  <c r="L264" i="19"/>
  <c r="K264" i="19"/>
  <c r="J264" i="19"/>
  <c r="I264" i="19"/>
  <c r="B264" i="19"/>
  <c r="N263" i="19"/>
  <c r="M263" i="19"/>
  <c r="L263" i="19"/>
  <c r="K263" i="19"/>
  <c r="J263" i="19"/>
  <c r="I263" i="19"/>
  <c r="B263" i="19"/>
  <c r="N262" i="19"/>
  <c r="M262" i="19"/>
  <c r="L262" i="19"/>
  <c r="K262" i="19"/>
  <c r="J262" i="19"/>
  <c r="I262" i="19"/>
  <c r="B262" i="19"/>
  <c r="N261" i="19"/>
  <c r="M261" i="19"/>
  <c r="L261" i="19"/>
  <c r="K261" i="19"/>
  <c r="J261" i="19"/>
  <c r="I261" i="19"/>
  <c r="B261" i="19"/>
  <c r="N260" i="19"/>
  <c r="M260" i="19"/>
  <c r="L260" i="19"/>
  <c r="K260" i="19"/>
  <c r="J260" i="19"/>
  <c r="I260" i="19"/>
  <c r="B260" i="19"/>
  <c r="N259" i="19"/>
  <c r="M259" i="19"/>
  <c r="L259" i="19"/>
  <c r="K259" i="19"/>
  <c r="J259" i="19"/>
  <c r="I259" i="19"/>
  <c r="B259" i="19"/>
  <c r="N258" i="19"/>
  <c r="M258" i="19"/>
  <c r="L258" i="19"/>
  <c r="K258" i="19"/>
  <c r="J258" i="19"/>
  <c r="I258" i="19"/>
  <c r="B258" i="19"/>
  <c r="N257" i="19"/>
  <c r="M257" i="19"/>
  <c r="L257" i="19"/>
  <c r="K257" i="19"/>
  <c r="J257" i="19"/>
  <c r="I257" i="19"/>
  <c r="B257" i="19"/>
  <c r="N256" i="19"/>
  <c r="M256" i="19"/>
  <c r="L256" i="19"/>
  <c r="K256" i="19"/>
  <c r="J256" i="19"/>
  <c r="I256" i="19"/>
  <c r="B256" i="19"/>
  <c r="N255" i="19"/>
  <c r="M255" i="19"/>
  <c r="L255" i="19"/>
  <c r="K255" i="19"/>
  <c r="J255" i="19"/>
  <c r="I255" i="19"/>
  <c r="B255" i="19"/>
  <c r="N254" i="19"/>
  <c r="M254" i="19"/>
  <c r="L254" i="19"/>
  <c r="K254" i="19"/>
  <c r="J254" i="19"/>
  <c r="I254" i="19"/>
  <c r="B254" i="19"/>
  <c r="N253" i="19"/>
  <c r="M253" i="19"/>
  <c r="L253" i="19"/>
  <c r="K253" i="19"/>
  <c r="J253" i="19"/>
  <c r="I253" i="19"/>
  <c r="B253" i="19"/>
  <c r="N252" i="19"/>
  <c r="M252" i="19"/>
  <c r="L252" i="19"/>
  <c r="K252" i="19"/>
  <c r="J252" i="19"/>
  <c r="I252" i="19"/>
  <c r="B252" i="19"/>
  <c r="N251" i="19"/>
  <c r="M251" i="19"/>
  <c r="L251" i="19"/>
  <c r="K251" i="19"/>
  <c r="J251" i="19"/>
  <c r="I251" i="19"/>
  <c r="B251" i="19"/>
  <c r="N250" i="19"/>
  <c r="M250" i="19"/>
  <c r="L250" i="19"/>
  <c r="K250" i="19"/>
  <c r="J250" i="19"/>
  <c r="I250" i="19"/>
  <c r="B250" i="19"/>
  <c r="N249" i="19"/>
  <c r="M249" i="19"/>
  <c r="L249" i="19"/>
  <c r="K249" i="19"/>
  <c r="J249" i="19"/>
  <c r="I249" i="19"/>
  <c r="B249" i="19"/>
  <c r="N248" i="19"/>
  <c r="M248" i="19"/>
  <c r="L248" i="19"/>
  <c r="K248" i="19"/>
  <c r="J248" i="19"/>
  <c r="I248" i="19"/>
  <c r="B248" i="19"/>
  <c r="N247" i="19"/>
  <c r="M247" i="19"/>
  <c r="L247" i="19"/>
  <c r="K247" i="19"/>
  <c r="J247" i="19"/>
  <c r="I247" i="19"/>
  <c r="B247" i="19"/>
  <c r="N246" i="19"/>
  <c r="M246" i="19"/>
  <c r="L246" i="19"/>
  <c r="K246" i="19"/>
  <c r="J246" i="19"/>
  <c r="I246" i="19"/>
  <c r="B246" i="19"/>
  <c r="N245" i="19"/>
  <c r="M245" i="19"/>
  <c r="L245" i="19"/>
  <c r="K245" i="19"/>
  <c r="J245" i="19"/>
  <c r="I245" i="19"/>
  <c r="B245" i="19"/>
  <c r="O244" i="19"/>
  <c r="N244" i="19"/>
  <c r="M244" i="19"/>
  <c r="L244" i="19"/>
  <c r="K244" i="19"/>
  <c r="J244" i="19"/>
  <c r="I244" i="19"/>
  <c r="B244" i="19"/>
  <c r="B243" i="19"/>
  <c r="C242" i="19"/>
  <c r="B242" i="19"/>
  <c r="Y70" i="19"/>
  <c r="X70" i="19"/>
  <c r="W70" i="19"/>
  <c r="V70" i="19"/>
  <c r="U70" i="19"/>
  <c r="T70" i="19"/>
  <c r="S70" i="19"/>
  <c r="R70" i="19"/>
  <c r="Q70" i="19"/>
  <c r="P70" i="19"/>
  <c r="Y69" i="19"/>
  <c r="X69" i="19"/>
  <c r="W69" i="19"/>
  <c r="V69" i="19"/>
  <c r="U69" i="19"/>
  <c r="T69" i="19"/>
  <c r="S69" i="19"/>
  <c r="R69" i="19"/>
  <c r="Q69" i="19"/>
  <c r="P69" i="19"/>
  <c r="Y68" i="19"/>
  <c r="X68" i="19"/>
  <c r="W68" i="19"/>
  <c r="V68" i="19"/>
  <c r="U68" i="19"/>
  <c r="T68" i="19"/>
  <c r="S68" i="19"/>
  <c r="R68" i="19"/>
  <c r="Q68" i="19"/>
  <c r="P68" i="19"/>
  <c r="Y67" i="19"/>
  <c r="X67" i="19"/>
  <c r="W67" i="19"/>
  <c r="V67" i="19"/>
  <c r="U67" i="19"/>
  <c r="T67" i="19"/>
  <c r="S67" i="19"/>
  <c r="R67" i="19"/>
  <c r="Q67" i="19"/>
  <c r="P67" i="19"/>
  <c r="Y66" i="19"/>
  <c r="X66" i="19"/>
  <c r="W66" i="19"/>
  <c r="V66" i="19"/>
  <c r="U66" i="19"/>
  <c r="T66" i="19"/>
  <c r="S66" i="19"/>
  <c r="R66" i="19"/>
  <c r="Q66" i="19"/>
  <c r="P66" i="19"/>
  <c r="X65" i="19"/>
  <c r="W65" i="19"/>
  <c r="V65" i="19"/>
  <c r="U65" i="19"/>
  <c r="T65" i="19"/>
  <c r="S65" i="19"/>
  <c r="R65" i="19"/>
  <c r="Q65" i="19"/>
  <c r="D32" i="19"/>
  <c r="D43" i="19" s="1"/>
  <c r="F25" i="19"/>
  <c r="F32" i="19" s="1"/>
  <c r="F43" i="19" s="1"/>
  <c r="E25" i="19"/>
  <c r="E32" i="19" s="1"/>
  <c r="E43" i="19" s="1"/>
  <c r="D25" i="19"/>
  <c r="F17" i="19"/>
  <c r="E17" i="19"/>
  <c r="D17" i="19"/>
  <c r="E316" i="3" l="1"/>
  <c r="C137" i="14"/>
  <c r="C101" i="14"/>
  <c r="D99" i="14" s="1"/>
  <c r="F99" i="14" s="1"/>
  <c r="E25" i="3"/>
  <c r="B117" i="5"/>
  <c r="C116" i="5"/>
  <c r="D98" i="14" l="1"/>
  <c r="F98" i="14" s="1"/>
  <c r="F101" i="14" s="1"/>
  <c r="F102" i="14" s="1"/>
  <c r="D101" i="14"/>
  <c r="G202" i="14" l="1"/>
  <c r="G200" i="14"/>
  <c r="C210" i="14"/>
  <c r="C211" i="14" s="1"/>
  <c r="C208" i="14"/>
  <c r="C209" i="14" s="1"/>
  <c r="C204" i="14"/>
  <c r="C203" i="14" s="1"/>
  <c r="E203" i="14"/>
  <c r="F203" i="14"/>
  <c r="D203" i="14"/>
  <c r="E201" i="14"/>
  <c r="F201" i="14"/>
  <c r="D201" i="14"/>
  <c r="E210" i="14"/>
  <c r="E211" i="14" s="1"/>
  <c r="F210" i="14"/>
  <c r="F211" i="14" s="1"/>
  <c r="D210" i="14"/>
  <c r="E208" i="14"/>
  <c r="E212" i="14" s="1"/>
  <c r="F208" i="14"/>
  <c r="F209" i="14" s="1"/>
  <c r="D208" i="14"/>
  <c r="D209" i="14" s="1"/>
  <c r="E207" i="14"/>
  <c r="F207" i="14"/>
  <c r="G207" i="14" s="1"/>
  <c r="D207" i="14"/>
  <c r="G7" i="13"/>
  <c r="G8" i="13"/>
  <c r="G9" i="13"/>
  <c r="G10" i="13"/>
  <c r="G11" i="13"/>
  <c r="G12" i="13"/>
  <c r="G13" i="13"/>
  <c r="G6" i="13"/>
  <c r="D194" i="14"/>
  <c r="E194" i="14"/>
  <c r="C194" i="14"/>
  <c r="D197" i="14"/>
  <c r="E197" i="14"/>
  <c r="C197" i="14"/>
  <c r="E501" i="18"/>
  <c r="E500" i="18"/>
  <c r="E499" i="18"/>
  <c r="E498" i="18"/>
  <c r="E497" i="18"/>
  <c r="E496" i="18"/>
  <c r="E495" i="18"/>
  <c r="E494" i="18"/>
  <c r="E493" i="18"/>
  <c r="E492" i="18"/>
  <c r="E491" i="18"/>
  <c r="E490" i="18"/>
  <c r="E489" i="18"/>
  <c r="E488" i="18"/>
  <c r="E487" i="18"/>
  <c r="E486" i="18"/>
  <c r="E485" i="18"/>
  <c r="E484" i="18"/>
  <c r="E483" i="18"/>
  <c r="E482" i="18"/>
  <c r="E481" i="18"/>
  <c r="E480" i="18"/>
  <c r="E479" i="18"/>
  <c r="E478" i="18"/>
  <c r="E477" i="18"/>
  <c r="E476" i="18"/>
  <c r="E475" i="18"/>
  <c r="E474" i="18"/>
  <c r="E473" i="18"/>
  <c r="E472" i="18"/>
  <c r="E471" i="18"/>
  <c r="E470" i="18"/>
  <c r="E469" i="18"/>
  <c r="E468" i="18"/>
  <c r="E467" i="18"/>
  <c r="E466" i="18"/>
  <c r="E465" i="18"/>
  <c r="E464" i="18"/>
  <c r="E463" i="18"/>
  <c r="E462" i="18"/>
  <c r="E461" i="18"/>
  <c r="E460" i="18"/>
  <c r="E459" i="18"/>
  <c r="E458" i="18"/>
  <c r="E457" i="18"/>
  <c r="E456" i="18"/>
  <c r="E455" i="18"/>
  <c r="E454" i="18"/>
  <c r="E453" i="18"/>
  <c r="E452" i="18"/>
  <c r="E451" i="18"/>
  <c r="E450" i="18"/>
  <c r="E449" i="18"/>
  <c r="E448" i="18"/>
  <c r="E447" i="18"/>
  <c r="E446" i="18"/>
  <c r="E445" i="18"/>
  <c r="E444" i="18"/>
  <c r="E443" i="18"/>
  <c r="E442" i="18"/>
  <c r="E441" i="18"/>
  <c r="E440" i="18"/>
  <c r="E439" i="18"/>
  <c r="E438" i="18"/>
  <c r="E437" i="18"/>
  <c r="E436" i="18"/>
  <c r="E435" i="18"/>
  <c r="E434" i="18"/>
  <c r="E433" i="18"/>
  <c r="E432" i="18"/>
  <c r="E431" i="18"/>
  <c r="E430" i="18"/>
  <c r="E429" i="18"/>
  <c r="E428" i="18"/>
  <c r="E427" i="18"/>
  <c r="E426" i="18"/>
  <c r="E425" i="18"/>
  <c r="E424" i="18"/>
  <c r="E423" i="18"/>
  <c r="E422" i="18"/>
  <c r="E421" i="18"/>
  <c r="E420" i="18"/>
  <c r="E419" i="18"/>
  <c r="E418" i="18"/>
  <c r="E417" i="18"/>
  <c r="E416" i="18"/>
  <c r="E415" i="18"/>
  <c r="E414" i="18"/>
  <c r="E413" i="18"/>
  <c r="E412" i="18"/>
  <c r="E411" i="18"/>
  <c r="E410" i="18"/>
  <c r="E409" i="18"/>
  <c r="E408" i="18"/>
  <c r="E407" i="18"/>
  <c r="E406" i="18"/>
  <c r="E405" i="18"/>
  <c r="E404" i="18"/>
  <c r="E403" i="18"/>
  <c r="E402" i="18"/>
  <c r="E401" i="18"/>
  <c r="E400" i="18"/>
  <c r="E399" i="18"/>
  <c r="E398" i="18"/>
  <c r="E397" i="18"/>
  <c r="E396" i="18"/>
  <c r="E395" i="18"/>
  <c r="E394" i="18"/>
  <c r="E393" i="18"/>
  <c r="E392" i="18"/>
  <c r="E391" i="18"/>
  <c r="E390" i="18"/>
  <c r="E389" i="18"/>
  <c r="E388" i="18"/>
  <c r="E387" i="18"/>
  <c r="E386" i="18"/>
  <c r="E385" i="18"/>
  <c r="E384" i="18"/>
  <c r="E383" i="18"/>
  <c r="E382" i="18"/>
  <c r="E381" i="18"/>
  <c r="E380" i="18"/>
  <c r="E379" i="18"/>
  <c r="E378" i="18"/>
  <c r="E377" i="18"/>
  <c r="E376" i="18"/>
  <c r="E375" i="18"/>
  <c r="E374" i="18"/>
  <c r="E373" i="18"/>
  <c r="E372" i="18"/>
  <c r="E371" i="18"/>
  <c r="E370" i="18"/>
  <c r="E369" i="18"/>
  <c r="E368" i="18"/>
  <c r="E367" i="18"/>
  <c r="E366" i="18"/>
  <c r="E365" i="18"/>
  <c r="E364" i="18"/>
  <c r="E363" i="18"/>
  <c r="E362" i="18"/>
  <c r="E361" i="18"/>
  <c r="E360" i="18"/>
  <c r="E359" i="18"/>
  <c r="E358" i="18"/>
  <c r="E357" i="18"/>
  <c r="E356" i="18"/>
  <c r="E355" i="18"/>
  <c r="E354" i="18"/>
  <c r="E353" i="18"/>
  <c r="E352" i="18"/>
  <c r="E351" i="18"/>
  <c r="E350" i="18"/>
  <c r="E349" i="18"/>
  <c r="E348" i="18"/>
  <c r="E347" i="18"/>
  <c r="E346" i="18"/>
  <c r="E345" i="18"/>
  <c r="E344" i="18"/>
  <c r="E343" i="18"/>
  <c r="E342" i="18"/>
  <c r="E341" i="18"/>
  <c r="E340" i="18"/>
  <c r="E339" i="18"/>
  <c r="E338" i="18"/>
  <c r="E337" i="18"/>
  <c r="E336" i="18"/>
  <c r="E335" i="18"/>
  <c r="E334" i="18"/>
  <c r="E333" i="18"/>
  <c r="E332" i="18"/>
  <c r="E331" i="18"/>
  <c r="E330" i="18"/>
  <c r="E329" i="18"/>
  <c r="E328" i="18"/>
  <c r="E327" i="18"/>
  <c r="E326" i="18"/>
  <c r="E325" i="18"/>
  <c r="E324" i="18"/>
  <c r="E323" i="18"/>
  <c r="E322" i="18"/>
  <c r="E321" i="18"/>
  <c r="E320" i="18"/>
  <c r="E319" i="18"/>
  <c r="E318" i="18"/>
  <c r="E317" i="18"/>
  <c r="E316" i="18"/>
  <c r="E315" i="18"/>
  <c r="E314" i="18"/>
  <c r="E313" i="18"/>
  <c r="E312" i="18"/>
  <c r="E311" i="18"/>
  <c r="E310" i="18"/>
  <c r="E309" i="18"/>
  <c r="E308" i="18"/>
  <c r="E307" i="18"/>
  <c r="E306" i="18"/>
  <c r="E305" i="18"/>
  <c r="E304" i="18"/>
  <c r="E303" i="18"/>
  <c r="E302" i="18"/>
  <c r="E301" i="18"/>
  <c r="E300" i="18"/>
  <c r="E299" i="18"/>
  <c r="E298" i="18"/>
  <c r="E297" i="18"/>
  <c r="E296" i="18"/>
  <c r="E295" i="18"/>
  <c r="E294" i="18"/>
  <c r="E293" i="18"/>
  <c r="E292" i="18"/>
  <c r="E291" i="18"/>
  <c r="E290" i="18"/>
  <c r="E289" i="18"/>
  <c r="E288" i="18"/>
  <c r="E287" i="18"/>
  <c r="E286" i="18"/>
  <c r="E285" i="18"/>
  <c r="E284" i="18"/>
  <c r="E283" i="18"/>
  <c r="E282" i="18"/>
  <c r="E281" i="18"/>
  <c r="E280" i="18"/>
  <c r="E279" i="18"/>
  <c r="E278" i="18"/>
  <c r="E277" i="18"/>
  <c r="E276" i="18"/>
  <c r="E275" i="18"/>
  <c r="E274" i="18"/>
  <c r="E273" i="18"/>
  <c r="E272" i="18"/>
  <c r="E271" i="18"/>
  <c r="E270" i="18"/>
  <c r="E269" i="18"/>
  <c r="E268" i="18"/>
  <c r="E267" i="18"/>
  <c r="E266" i="18"/>
  <c r="E265" i="18"/>
  <c r="E264" i="18"/>
  <c r="E263" i="18"/>
  <c r="E262" i="18"/>
  <c r="E261" i="18"/>
  <c r="E260" i="18"/>
  <c r="E259" i="18"/>
  <c r="E258" i="18"/>
  <c r="E257" i="18"/>
  <c r="E256" i="18"/>
  <c r="E255" i="18"/>
  <c r="E254" i="18"/>
  <c r="E253" i="18"/>
  <c r="E252" i="18"/>
  <c r="E251" i="18"/>
  <c r="E250" i="18"/>
  <c r="E249" i="18"/>
  <c r="E248" i="18"/>
  <c r="E247" i="18"/>
  <c r="E246" i="18"/>
  <c r="E245" i="18"/>
  <c r="E244" i="18"/>
  <c r="E243" i="18"/>
  <c r="E242" i="18"/>
  <c r="E241" i="18"/>
  <c r="E240" i="18"/>
  <c r="E239" i="18"/>
  <c r="E238" i="18"/>
  <c r="E237" i="18"/>
  <c r="E236" i="18"/>
  <c r="E235" i="18"/>
  <c r="E234" i="18"/>
  <c r="E233" i="18"/>
  <c r="E232" i="18"/>
  <c r="E231" i="18"/>
  <c r="E230" i="18"/>
  <c r="E229" i="18"/>
  <c r="E228" i="18"/>
  <c r="E227" i="18"/>
  <c r="E226" i="18"/>
  <c r="E225" i="18"/>
  <c r="E224" i="18"/>
  <c r="E223" i="18"/>
  <c r="E222" i="18"/>
  <c r="E221" i="18"/>
  <c r="E220" i="18"/>
  <c r="E219" i="18"/>
  <c r="E218" i="18"/>
  <c r="E217" i="18"/>
  <c r="E216" i="18"/>
  <c r="E215" i="18"/>
  <c r="E214" i="18"/>
  <c r="E213" i="18"/>
  <c r="E212" i="18"/>
  <c r="E211" i="18"/>
  <c r="E210" i="18"/>
  <c r="E209" i="18"/>
  <c r="E208" i="18"/>
  <c r="E207" i="18"/>
  <c r="E206" i="18"/>
  <c r="E205" i="18"/>
  <c r="E204" i="18"/>
  <c r="E203" i="18"/>
  <c r="E202" i="18"/>
  <c r="E201" i="18"/>
  <c r="E200" i="18"/>
  <c r="E199" i="18"/>
  <c r="E198" i="18"/>
  <c r="E197" i="18"/>
  <c r="E196" i="18"/>
  <c r="E195" i="18"/>
  <c r="E194" i="18"/>
  <c r="E193" i="18"/>
  <c r="E192" i="18"/>
  <c r="E191" i="18"/>
  <c r="E190" i="18"/>
  <c r="E189" i="18"/>
  <c r="E188" i="18"/>
  <c r="E187" i="18"/>
  <c r="E186" i="18"/>
  <c r="E185" i="18"/>
  <c r="E184" i="18"/>
  <c r="E183" i="18"/>
  <c r="E182" i="18"/>
  <c r="E181" i="18"/>
  <c r="E180" i="18"/>
  <c r="E179" i="18"/>
  <c r="E178" i="18"/>
  <c r="E177" i="18"/>
  <c r="E176" i="18"/>
  <c r="E175" i="18"/>
  <c r="E174" i="18"/>
  <c r="E173" i="18"/>
  <c r="E172" i="18"/>
  <c r="E171" i="18"/>
  <c r="E170" i="18"/>
  <c r="E169" i="18"/>
  <c r="E168" i="18"/>
  <c r="E167" i="18"/>
  <c r="E166" i="18"/>
  <c r="E165" i="18"/>
  <c r="E164" i="18"/>
  <c r="E163" i="18"/>
  <c r="E162" i="18"/>
  <c r="E161" i="18"/>
  <c r="E160" i="18"/>
  <c r="E159" i="18"/>
  <c r="E158" i="18"/>
  <c r="E157" i="18"/>
  <c r="E156" i="18"/>
  <c r="E155" i="18"/>
  <c r="E154" i="18"/>
  <c r="E153" i="18"/>
  <c r="E152" i="18"/>
  <c r="E151" i="18"/>
  <c r="E150" i="18"/>
  <c r="E149" i="18"/>
  <c r="E148" i="18"/>
  <c r="E147" i="18"/>
  <c r="E146" i="18"/>
  <c r="E145" i="18"/>
  <c r="E144" i="18"/>
  <c r="E143" i="18"/>
  <c r="E142" i="18"/>
  <c r="E141" i="18"/>
  <c r="E140" i="18"/>
  <c r="E139" i="18"/>
  <c r="E138" i="18"/>
  <c r="E137" i="18"/>
  <c r="E136" i="18"/>
  <c r="E135" i="18"/>
  <c r="E134" i="18"/>
  <c r="E133" i="18"/>
  <c r="E132" i="18"/>
  <c r="E131" i="18"/>
  <c r="E130" i="18"/>
  <c r="E129" i="18"/>
  <c r="E128" i="18"/>
  <c r="E127" i="18"/>
  <c r="E126" i="18"/>
  <c r="E125" i="18"/>
  <c r="E124" i="18"/>
  <c r="E123" i="18"/>
  <c r="E122" i="18"/>
  <c r="E121" i="18"/>
  <c r="E120" i="18"/>
  <c r="E119" i="18"/>
  <c r="E118" i="18"/>
  <c r="E117" i="18"/>
  <c r="E116" i="18"/>
  <c r="E115" i="18"/>
  <c r="E114" i="18"/>
  <c r="E113" i="18"/>
  <c r="E112" i="18"/>
  <c r="E111" i="18"/>
  <c r="E110" i="18"/>
  <c r="E109" i="18"/>
  <c r="E108" i="18"/>
  <c r="E107" i="18"/>
  <c r="E106" i="18"/>
  <c r="E105" i="18"/>
  <c r="E104" i="18"/>
  <c r="E103" i="18"/>
  <c r="E102" i="18"/>
  <c r="E101" i="18"/>
  <c r="E100" i="18"/>
  <c r="E99" i="18"/>
  <c r="E98" i="18"/>
  <c r="E97" i="18"/>
  <c r="E96" i="18"/>
  <c r="E95" i="18"/>
  <c r="E94" i="18"/>
  <c r="E93" i="18"/>
  <c r="E92" i="18"/>
  <c r="E91" i="18"/>
  <c r="E90" i="18"/>
  <c r="E89" i="18"/>
  <c r="E88" i="18"/>
  <c r="E87" i="18"/>
  <c r="E86" i="18"/>
  <c r="E85" i="18"/>
  <c r="E84" i="18"/>
  <c r="E83" i="18"/>
  <c r="E82" i="18"/>
  <c r="E81" i="18"/>
  <c r="E80" i="18"/>
  <c r="E79" i="18"/>
  <c r="E78" i="18"/>
  <c r="E77" i="18"/>
  <c r="E76" i="18"/>
  <c r="E75" i="18"/>
  <c r="E74" i="18"/>
  <c r="E73" i="18"/>
  <c r="E72" i="18"/>
  <c r="E71" i="18"/>
  <c r="E70" i="18"/>
  <c r="E69" i="18"/>
  <c r="E68" i="18"/>
  <c r="E67" i="18"/>
  <c r="E66" i="18"/>
  <c r="E65" i="18"/>
  <c r="E64" i="18"/>
  <c r="E63" i="18"/>
  <c r="E62" i="18"/>
  <c r="E61" i="18"/>
  <c r="E60" i="18"/>
  <c r="E59" i="18"/>
  <c r="E58" i="18"/>
  <c r="E57" i="18"/>
  <c r="E56" i="18"/>
  <c r="E55" i="18"/>
  <c r="E54" i="18"/>
  <c r="E53" i="18"/>
  <c r="E52" i="18"/>
  <c r="E51" i="18"/>
  <c r="E50" i="18"/>
  <c r="E49" i="18"/>
  <c r="E48" i="18"/>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19" i="18"/>
  <c r="E18" i="18"/>
  <c r="E17" i="18"/>
  <c r="E16" i="18"/>
  <c r="E15" i="18"/>
  <c r="E14" i="18"/>
  <c r="E13" i="18"/>
  <c r="E12" i="18"/>
  <c r="E11" i="18"/>
  <c r="E10" i="18"/>
  <c r="E9" i="18"/>
  <c r="E8" i="18"/>
  <c r="E7" i="18"/>
  <c r="E6" i="18"/>
  <c r="E5" i="18"/>
  <c r="E4" i="18"/>
  <c r="E3" i="18"/>
  <c r="E2" i="18"/>
  <c r="D501" i="18"/>
  <c r="D500" i="18"/>
  <c r="D499" i="18"/>
  <c r="D498" i="18"/>
  <c r="D497" i="18"/>
  <c r="D496" i="18"/>
  <c r="D495" i="18"/>
  <c r="D494" i="18"/>
  <c r="D493" i="18"/>
  <c r="D492" i="18"/>
  <c r="D491" i="18"/>
  <c r="D490" i="18"/>
  <c r="D489" i="18"/>
  <c r="D488" i="18"/>
  <c r="D487" i="18"/>
  <c r="D486" i="18"/>
  <c r="D485" i="18"/>
  <c r="D484" i="18"/>
  <c r="D483" i="18"/>
  <c r="D482" i="18"/>
  <c r="D481" i="18"/>
  <c r="D480" i="18"/>
  <c r="D479" i="18"/>
  <c r="D478" i="18"/>
  <c r="D477" i="18"/>
  <c r="D476" i="18"/>
  <c r="D475" i="18"/>
  <c r="D474" i="18"/>
  <c r="D473" i="18"/>
  <c r="D472" i="18"/>
  <c r="D471" i="18"/>
  <c r="D470" i="18"/>
  <c r="D469" i="18"/>
  <c r="D468" i="18"/>
  <c r="D467" i="18"/>
  <c r="D466" i="18"/>
  <c r="D465" i="18"/>
  <c r="D464" i="18"/>
  <c r="D463" i="18"/>
  <c r="D462" i="18"/>
  <c r="D461" i="18"/>
  <c r="D460" i="18"/>
  <c r="D459" i="18"/>
  <c r="D458" i="18"/>
  <c r="D457" i="18"/>
  <c r="D456" i="18"/>
  <c r="D455" i="18"/>
  <c r="D454" i="18"/>
  <c r="D453" i="18"/>
  <c r="D452" i="18"/>
  <c r="D451" i="18"/>
  <c r="D450" i="18"/>
  <c r="D449" i="18"/>
  <c r="D448" i="18"/>
  <c r="D447" i="18"/>
  <c r="D446" i="18"/>
  <c r="D445" i="18"/>
  <c r="D444" i="18"/>
  <c r="D443" i="18"/>
  <c r="D442" i="18"/>
  <c r="D441" i="18"/>
  <c r="D440" i="18"/>
  <c r="D439" i="18"/>
  <c r="D438" i="18"/>
  <c r="D437" i="18"/>
  <c r="D436" i="18"/>
  <c r="D435" i="18"/>
  <c r="D434" i="18"/>
  <c r="D433" i="18"/>
  <c r="D432" i="18"/>
  <c r="D431" i="18"/>
  <c r="D430" i="18"/>
  <c r="D429" i="18"/>
  <c r="D428" i="18"/>
  <c r="D427" i="18"/>
  <c r="D426" i="18"/>
  <c r="D425" i="18"/>
  <c r="D424" i="18"/>
  <c r="D423" i="18"/>
  <c r="D422" i="18"/>
  <c r="D421" i="18"/>
  <c r="D420" i="18"/>
  <c r="D419" i="18"/>
  <c r="D418" i="18"/>
  <c r="D417" i="18"/>
  <c r="D416" i="18"/>
  <c r="D415" i="18"/>
  <c r="D414" i="18"/>
  <c r="D413" i="18"/>
  <c r="D412" i="18"/>
  <c r="D411" i="18"/>
  <c r="D410" i="18"/>
  <c r="D409" i="18"/>
  <c r="D408" i="18"/>
  <c r="D407" i="18"/>
  <c r="D406" i="18"/>
  <c r="D405" i="18"/>
  <c r="D404" i="18"/>
  <c r="D403" i="18"/>
  <c r="D402" i="18"/>
  <c r="D401" i="18"/>
  <c r="D400" i="18"/>
  <c r="D399" i="18"/>
  <c r="D398" i="18"/>
  <c r="D397" i="18"/>
  <c r="D396" i="18"/>
  <c r="D395" i="18"/>
  <c r="D394" i="18"/>
  <c r="D393" i="18"/>
  <c r="D392" i="18"/>
  <c r="D391" i="18"/>
  <c r="D390" i="18"/>
  <c r="D389" i="18"/>
  <c r="D388" i="18"/>
  <c r="D387" i="18"/>
  <c r="D386" i="18"/>
  <c r="D385" i="18"/>
  <c r="D384" i="18"/>
  <c r="D383" i="18"/>
  <c r="D382" i="18"/>
  <c r="D381" i="18"/>
  <c r="D380" i="18"/>
  <c r="D379" i="18"/>
  <c r="D378" i="18"/>
  <c r="D377" i="18"/>
  <c r="D376" i="18"/>
  <c r="D375" i="18"/>
  <c r="D374" i="18"/>
  <c r="D373" i="18"/>
  <c r="D372" i="18"/>
  <c r="D371" i="18"/>
  <c r="D370" i="18"/>
  <c r="D369" i="18"/>
  <c r="D368" i="18"/>
  <c r="D367" i="18"/>
  <c r="D366" i="18"/>
  <c r="D365" i="18"/>
  <c r="D364" i="18"/>
  <c r="D363" i="18"/>
  <c r="D362" i="18"/>
  <c r="D361" i="18"/>
  <c r="D360" i="18"/>
  <c r="D359" i="18"/>
  <c r="D358" i="18"/>
  <c r="D357" i="18"/>
  <c r="D356" i="18"/>
  <c r="D355" i="18"/>
  <c r="D354" i="18"/>
  <c r="D353" i="18"/>
  <c r="D352" i="18"/>
  <c r="D351" i="18"/>
  <c r="D350" i="18"/>
  <c r="D349" i="18"/>
  <c r="D348" i="18"/>
  <c r="D347" i="18"/>
  <c r="D346" i="18"/>
  <c r="D345" i="18"/>
  <c r="D344" i="18"/>
  <c r="D343" i="18"/>
  <c r="D342" i="18"/>
  <c r="D341" i="18"/>
  <c r="D340" i="18"/>
  <c r="D339" i="18"/>
  <c r="D338" i="18"/>
  <c r="D337" i="18"/>
  <c r="D336" i="18"/>
  <c r="D335" i="18"/>
  <c r="D334" i="18"/>
  <c r="D333" i="18"/>
  <c r="D332" i="18"/>
  <c r="D331" i="18"/>
  <c r="D330" i="18"/>
  <c r="D329" i="18"/>
  <c r="D328" i="18"/>
  <c r="D327" i="18"/>
  <c r="D326" i="18"/>
  <c r="D325" i="18"/>
  <c r="D324" i="18"/>
  <c r="D323" i="18"/>
  <c r="D322" i="18"/>
  <c r="D321" i="18"/>
  <c r="D320" i="18"/>
  <c r="D319" i="18"/>
  <c r="D318" i="18"/>
  <c r="D317" i="18"/>
  <c r="D316" i="18"/>
  <c r="D315" i="18"/>
  <c r="D314" i="18"/>
  <c r="D313" i="18"/>
  <c r="D312" i="18"/>
  <c r="D311" i="18"/>
  <c r="D310" i="18"/>
  <c r="D309" i="18"/>
  <c r="D308" i="18"/>
  <c r="D307" i="18"/>
  <c r="D306" i="18"/>
  <c r="D305" i="18"/>
  <c r="D304" i="18"/>
  <c r="D303" i="18"/>
  <c r="D302" i="18"/>
  <c r="D301" i="18"/>
  <c r="D300" i="18"/>
  <c r="D299" i="18"/>
  <c r="D298" i="18"/>
  <c r="D297" i="18"/>
  <c r="D296" i="18"/>
  <c r="D295" i="18"/>
  <c r="D294" i="18"/>
  <c r="D293" i="18"/>
  <c r="D292" i="18"/>
  <c r="D291" i="18"/>
  <c r="D290" i="18"/>
  <c r="D289" i="18"/>
  <c r="D288" i="18"/>
  <c r="D287" i="18"/>
  <c r="D286" i="18"/>
  <c r="D285" i="18"/>
  <c r="D284" i="18"/>
  <c r="D283" i="18"/>
  <c r="D282" i="18"/>
  <c r="D281" i="18"/>
  <c r="D280" i="18"/>
  <c r="D279" i="18"/>
  <c r="D278" i="18"/>
  <c r="D277" i="18"/>
  <c r="D276" i="18"/>
  <c r="D275" i="18"/>
  <c r="D274" i="18"/>
  <c r="D273" i="18"/>
  <c r="D272" i="18"/>
  <c r="D271" i="18"/>
  <c r="D270" i="18"/>
  <c r="D269" i="18"/>
  <c r="D268" i="18"/>
  <c r="D267" i="18"/>
  <c r="D266" i="18"/>
  <c r="D265" i="18"/>
  <c r="D264" i="18"/>
  <c r="D263" i="18"/>
  <c r="D262" i="18"/>
  <c r="D261" i="18"/>
  <c r="D260" i="18"/>
  <c r="D259" i="18"/>
  <c r="D258" i="18"/>
  <c r="D257" i="18"/>
  <c r="D256" i="18"/>
  <c r="D255" i="18"/>
  <c r="D254" i="18"/>
  <c r="D253" i="18"/>
  <c r="D252" i="18"/>
  <c r="D251" i="18"/>
  <c r="D250" i="18"/>
  <c r="D249" i="18"/>
  <c r="D248" i="18"/>
  <c r="D247" i="18"/>
  <c r="D246" i="18"/>
  <c r="D245" i="18"/>
  <c r="D244" i="18"/>
  <c r="D243" i="18"/>
  <c r="D242" i="18"/>
  <c r="D241" i="18"/>
  <c r="D240" i="18"/>
  <c r="D239" i="18"/>
  <c r="D238" i="18"/>
  <c r="D237" i="18"/>
  <c r="D236" i="18"/>
  <c r="D235" i="18"/>
  <c r="D234" i="18"/>
  <c r="D233" i="18"/>
  <c r="D232" i="18"/>
  <c r="D231" i="18"/>
  <c r="D230" i="18"/>
  <c r="D229" i="18"/>
  <c r="D228" i="18"/>
  <c r="D227" i="18"/>
  <c r="D226" i="18"/>
  <c r="D225" i="18"/>
  <c r="D224" i="18"/>
  <c r="D223" i="18"/>
  <c r="D222" i="18"/>
  <c r="D221" i="18"/>
  <c r="D220" i="18"/>
  <c r="D219" i="18"/>
  <c r="D218" i="18"/>
  <c r="D217" i="18"/>
  <c r="D216" i="18"/>
  <c r="D215" i="18"/>
  <c r="D214" i="18"/>
  <c r="D213" i="18"/>
  <c r="D212" i="18"/>
  <c r="D211" i="18"/>
  <c r="D210" i="18"/>
  <c r="D209" i="18"/>
  <c r="D208" i="18"/>
  <c r="D207" i="18"/>
  <c r="D206" i="18"/>
  <c r="D205" i="18"/>
  <c r="D204" i="18"/>
  <c r="D203" i="18"/>
  <c r="D202" i="18"/>
  <c r="D201" i="18"/>
  <c r="D200" i="18"/>
  <c r="D199" i="18"/>
  <c r="D198" i="18"/>
  <c r="D197" i="18"/>
  <c r="D196" i="18"/>
  <c r="D195" i="18"/>
  <c r="D194" i="18"/>
  <c r="D193" i="18"/>
  <c r="D192" i="18"/>
  <c r="D191" i="18"/>
  <c r="D190" i="18"/>
  <c r="D189" i="18"/>
  <c r="D188" i="18"/>
  <c r="D187" i="18"/>
  <c r="D186" i="18"/>
  <c r="D185" i="18"/>
  <c r="D184" i="18"/>
  <c r="D183" i="18"/>
  <c r="D182" i="18"/>
  <c r="D181" i="18"/>
  <c r="D180" i="18"/>
  <c r="D179" i="18"/>
  <c r="D178" i="18"/>
  <c r="D177" i="18"/>
  <c r="D176" i="18"/>
  <c r="D175" i="18"/>
  <c r="D174" i="18"/>
  <c r="D173" i="18"/>
  <c r="D172" i="18"/>
  <c r="D171" i="18"/>
  <c r="D170" i="18"/>
  <c r="D169" i="18"/>
  <c r="D168" i="18"/>
  <c r="D167" i="18"/>
  <c r="D166" i="18"/>
  <c r="D165" i="18"/>
  <c r="D164" i="18"/>
  <c r="D163" i="18"/>
  <c r="D162" i="18"/>
  <c r="D161" i="18"/>
  <c r="D160" i="18"/>
  <c r="D159" i="18"/>
  <c r="D158" i="18"/>
  <c r="D157" i="18"/>
  <c r="D156" i="18"/>
  <c r="D155" i="18"/>
  <c r="D154" i="18"/>
  <c r="D153" i="18"/>
  <c r="D152" i="18"/>
  <c r="D151" i="18"/>
  <c r="D150" i="18"/>
  <c r="D149" i="18"/>
  <c r="D148" i="18"/>
  <c r="D147" i="18"/>
  <c r="D146" i="18"/>
  <c r="D145" i="18"/>
  <c r="D144" i="18"/>
  <c r="D143" i="18"/>
  <c r="D142" i="18"/>
  <c r="D141" i="18"/>
  <c r="D140" i="18"/>
  <c r="D139" i="18"/>
  <c r="D138" i="18"/>
  <c r="D137" i="18"/>
  <c r="D136" i="18"/>
  <c r="D135" i="18"/>
  <c r="D134" i="18"/>
  <c r="D133" i="18"/>
  <c r="D132" i="18"/>
  <c r="D131" i="18"/>
  <c r="D130" i="18"/>
  <c r="D129" i="18"/>
  <c r="D128" i="18"/>
  <c r="D127" i="18"/>
  <c r="D126" i="18"/>
  <c r="D125" i="18"/>
  <c r="D124" i="18"/>
  <c r="D123" i="18"/>
  <c r="D122" i="18"/>
  <c r="D121" i="18"/>
  <c r="D120" i="18"/>
  <c r="D119" i="18"/>
  <c r="D118" i="18"/>
  <c r="D117" i="18"/>
  <c r="D116" i="18"/>
  <c r="D115" i="18"/>
  <c r="D114" i="18"/>
  <c r="D113" i="18"/>
  <c r="D112" i="18"/>
  <c r="D111" i="18"/>
  <c r="D110" i="18"/>
  <c r="D109" i="18"/>
  <c r="D108" i="18"/>
  <c r="D107" i="18"/>
  <c r="D106" i="18"/>
  <c r="D105" i="18"/>
  <c r="D104" i="18"/>
  <c r="D103" i="18"/>
  <c r="D102" i="18"/>
  <c r="D101" i="18"/>
  <c r="D100" i="18"/>
  <c r="D99" i="18"/>
  <c r="D98" i="18"/>
  <c r="D97" i="18"/>
  <c r="D96" i="18"/>
  <c r="D95" i="18"/>
  <c r="D94" i="18"/>
  <c r="D93" i="18"/>
  <c r="D92" i="18"/>
  <c r="D91" i="18"/>
  <c r="D90" i="18"/>
  <c r="D89" i="18"/>
  <c r="D88" i="18"/>
  <c r="D87" i="18"/>
  <c r="D86" i="18"/>
  <c r="D85" i="18"/>
  <c r="D84" i="18"/>
  <c r="D83" i="18"/>
  <c r="D82" i="18"/>
  <c r="D81" i="18"/>
  <c r="D80" i="18"/>
  <c r="D79" i="18"/>
  <c r="D78" i="18"/>
  <c r="D77" i="18"/>
  <c r="D76" i="18"/>
  <c r="D75" i="18"/>
  <c r="D74" i="18"/>
  <c r="D73" i="18"/>
  <c r="D72" i="18"/>
  <c r="D71" i="18"/>
  <c r="D70" i="18"/>
  <c r="D69" i="18"/>
  <c r="D68" i="18"/>
  <c r="D67" i="18"/>
  <c r="D66" i="18"/>
  <c r="D65" i="18"/>
  <c r="D64" i="18"/>
  <c r="D63" i="18"/>
  <c r="D62" i="18"/>
  <c r="D61" i="18"/>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D14" i="18"/>
  <c r="D13" i="18"/>
  <c r="D12" i="18"/>
  <c r="D11" i="18"/>
  <c r="D10" i="18"/>
  <c r="D9" i="18"/>
  <c r="D8" i="18"/>
  <c r="D7" i="18"/>
  <c r="D6" i="18"/>
  <c r="D5" i="18"/>
  <c r="D4" i="18"/>
  <c r="D3" i="18"/>
  <c r="D2" i="18"/>
  <c r="G1510" i="16"/>
  <c r="F1510" i="16"/>
  <c r="G1509" i="16"/>
  <c r="F1509" i="16"/>
  <c r="G1508" i="16"/>
  <c r="F1508" i="16"/>
  <c r="G1507" i="16"/>
  <c r="F1507" i="16"/>
  <c r="G1506" i="16"/>
  <c r="F1506" i="16"/>
  <c r="G1505" i="16"/>
  <c r="F1505" i="16"/>
  <c r="G1504" i="16"/>
  <c r="F1504" i="16"/>
  <c r="G1503" i="16"/>
  <c r="F1503" i="16"/>
  <c r="G1502" i="16"/>
  <c r="F1502" i="16"/>
  <c r="G1501" i="16"/>
  <c r="F1501" i="16"/>
  <c r="G1500" i="16"/>
  <c r="F1500" i="16"/>
  <c r="G1499" i="16"/>
  <c r="F1499" i="16"/>
  <c r="G1498" i="16"/>
  <c r="F1498" i="16"/>
  <c r="G1497" i="16"/>
  <c r="F1497" i="16"/>
  <c r="G1496" i="16"/>
  <c r="F1496" i="16"/>
  <c r="G1495" i="16"/>
  <c r="F1495" i="16"/>
  <c r="G1494" i="16"/>
  <c r="F1494" i="16"/>
  <c r="G1493" i="16"/>
  <c r="F1493" i="16"/>
  <c r="G1492" i="16"/>
  <c r="F1492" i="16"/>
  <c r="G1491" i="16"/>
  <c r="F1491" i="16"/>
  <c r="G1490" i="16"/>
  <c r="F1490" i="16"/>
  <c r="G1489" i="16"/>
  <c r="F1489" i="16"/>
  <c r="G1488" i="16"/>
  <c r="F1488" i="16"/>
  <c r="G1487" i="16"/>
  <c r="F1487" i="16"/>
  <c r="G1486" i="16"/>
  <c r="F1486" i="16"/>
  <c r="G1485" i="16"/>
  <c r="F1485" i="16"/>
  <c r="G1484" i="16"/>
  <c r="F1484" i="16"/>
  <c r="G1483" i="16"/>
  <c r="F1483" i="16"/>
  <c r="G1482" i="16"/>
  <c r="F1482" i="16"/>
  <c r="G1481" i="16"/>
  <c r="F1481" i="16"/>
  <c r="G1480" i="16"/>
  <c r="F1480" i="16"/>
  <c r="G1479" i="16"/>
  <c r="F1479" i="16"/>
  <c r="G1478" i="16"/>
  <c r="F1478" i="16"/>
  <c r="G1477" i="16"/>
  <c r="F1477" i="16"/>
  <c r="G1476" i="16"/>
  <c r="F1476" i="16"/>
  <c r="G1475" i="16"/>
  <c r="F1475" i="16"/>
  <c r="G1474" i="16"/>
  <c r="F1474" i="16"/>
  <c r="G1473" i="16"/>
  <c r="F1473" i="16"/>
  <c r="G1472" i="16"/>
  <c r="F1472" i="16"/>
  <c r="G1471" i="16"/>
  <c r="F1471" i="16"/>
  <c r="G1470" i="16"/>
  <c r="F1470" i="16"/>
  <c r="G1469" i="16"/>
  <c r="F1469" i="16"/>
  <c r="G1468" i="16"/>
  <c r="F1468" i="16"/>
  <c r="G1467" i="16"/>
  <c r="F1467" i="16"/>
  <c r="G1466" i="16"/>
  <c r="F1466" i="16"/>
  <c r="G1465" i="16"/>
  <c r="F1465" i="16"/>
  <c r="G1464" i="16"/>
  <c r="F1464" i="16"/>
  <c r="G1463" i="16"/>
  <c r="F1463" i="16"/>
  <c r="G1462" i="16"/>
  <c r="F1462" i="16"/>
  <c r="G1461" i="16"/>
  <c r="F1461" i="16"/>
  <c r="G1460" i="16"/>
  <c r="F1460" i="16"/>
  <c r="G1459" i="16"/>
  <c r="F1459" i="16"/>
  <c r="G1458" i="16"/>
  <c r="F1458" i="16"/>
  <c r="G1457" i="16"/>
  <c r="F1457" i="16"/>
  <c r="G1456" i="16"/>
  <c r="F1456" i="16"/>
  <c r="G1455" i="16"/>
  <c r="F1455" i="16"/>
  <c r="G1454" i="16"/>
  <c r="F1454" i="16"/>
  <c r="G1453" i="16"/>
  <c r="F1453" i="16"/>
  <c r="G1452" i="16"/>
  <c r="F1452" i="16"/>
  <c r="G1451" i="16"/>
  <c r="F1451" i="16"/>
  <c r="G1450" i="16"/>
  <c r="F1450" i="16"/>
  <c r="G1449" i="16"/>
  <c r="F1449" i="16"/>
  <c r="G1448" i="16"/>
  <c r="F1448" i="16"/>
  <c r="G1447" i="16"/>
  <c r="F1447" i="16"/>
  <c r="G1446" i="16"/>
  <c r="F1446" i="16"/>
  <c r="G1445" i="16"/>
  <c r="F1445" i="16"/>
  <c r="G1444" i="16"/>
  <c r="F1444" i="16"/>
  <c r="G1443" i="16"/>
  <c r="F1443" i="16"/>
  <c r="G1442" i="16"/>
  <c r="F1442" i="16"/>
  <c r="G1441" i="16"/>
  <c r="F1441" i="16"/>
  <c r="G1440" i="16"/>
  <c r="F1440" i="16"/>
  <c r="G1439" i="16"/>
  <c r="F1439" i="16"/>
  <c r="G1438" i="16"/>
  <c r="F1438" i="16"/>
  <c r="G1437" i="16"/>
  <c r="F1437" i="16"/>
  <c r="G1436" i="16"/>
  <c r="F1436" i="16"/>
  <c r="G1435" i="16"/>
  <c r="F1435" i="16"/>
  <c r="G1434" i="16"/>
  <c r="F1434" i="16"/>
  <c r="G1433" i="16"/>
  <c r="F1433" i="16"/>
  <c r="G1432" i="16"/>
  <c r="F1432" i="16"/>
  <c r="G1431" i="16"/>
  <c r="F1431" i="16"/>
  <c r="G1430" i="16"/>
  <c r="F1430" i="16"/>
  <c r="G1429" i="16"/>
  <c r="F1429" i="16"/>
  <c r="G1428" i="16"/>
  <c r="F1428" i="16"/>
  <c r="G1427" i="16"/>
  <c r="F1427" i="16"/>
  <c r="G1426" i="16"/>
  <c r="F1426" i="16"/>
  <c r="G1425" i="16"/>
  <c r="F1425" i="16"/>
  <c r="G1424" i="16"/>
  <c r="F1424" i="16"/>
  <c r="G1423" i="16"/>
  <c r="F1423" i="16"/>
  <c r="G1422" i="16"/>
  <c r="F1422" i="16"/>
  <c r="G1421" i="16"/>
  <c r="F1421" i="16"/>
  <c r="G1420" i="16"/>
  <c r="F1420" i="16"/>
  <c r="G1419" i="16"/>
  <c r="F1419" i="16"/>
  <c r="G1418" i="16"/>
  <c r="F1418" i="16"/>
  <c r="G1417" i="16"/>
  <c r="F1417" i="16"/>
  <c r="G1416" i="16"/>
  <c r="F1416" i="16"/>
  <c r="G1415" i="16"/>
  <c r="F1415" i="16"/>
  <c r="G1414" i="16"/>
  <c r="F1414" i="16"/>
  <c r="G1413" i="16"/>
  <c r="F1413" i="16"/>
  <c r="G1412" i="16"/>
  <c r="F1412" i="16"/>
  <c r="G1411" i="16"/>
  <c r="F1411" i="16"/>
  <c r="G1410" i="16"/>
  <c r="F1410" i="16"/>
  <c r="G1409" i="16"/>
  <c r="F1409" i="16"/>
  <c r="G1408" i="16"/>
  <c r="F1408" i="16"/>
  <c r="G1407" i="16"/>
  <c r="F1407" i="16"/>
  <c r="G1406" i="16"/>
  <c r="F1406" i="16"/>
  <c r="G1405" i="16"/>
  <c r="F1405" i="16"/>
  <c r="G1404" i="16"/>
  <c r="F1404" i="16"/>
  <c r="G1403" i="16"/>
  <c r="F1403" i="16"/>
  <c r="G1402" i="16"/>
  <c r="F1402" i="16"/>
  <c r="G1401" i="16"/>
  <c r="F1401" i="16"/>
  <c r="G1400" i="16"/>
  <c r="F1400" i="16"/>
  <c r="G1399" i="16"/>
  <c r="F1399" i="16"/>
  <c r="G1398" i="16"/>
  <c r="F1398" i="16"/>
  <c r="G1397" i="16"/>
  <c r="F1397" i="16"/>
  <c r="G1396" i="16"/>
  <c r="F1396" i="16"/>
  <c r="G1395" i="16"/>
  <c r="F1395" i="16"/>
  <c r="G1394" i="16"/>
  <c r="F1394" i="16"/>
  <c r="G1393" i="16"/>
  <c r="F1393" i="16"/>
  <c r="G1392" i="16"/>
  <c r="F1392" i="16"/>
  <c r="G1391" i="16"/>
  <c r="F1391" i="16"/>
  <c r="G1390" i="16"/>
  <c r="F1390" i="16"/>
  <c r="G1389" i="16"/>
  <c r="F1389" i="16"/>
  <c r="G1388" i="16"/>
  <c r="F1388" i="16"/>
  <c r="G1387" i="16"/>
  <c r="F1387" i="16"/>
  <c r="G1386" i="16"/>
  <c r="F1386" i="16"/>
  <c r="G1385" i="16"/>
  <c r="F1385" i="16"/>
  <c r="G1384" i="16"/>
  <c r="F1384" i="16"/>
  <c r="G1383" i="16"/>
  <c r="F1383" i="16"/>
  <c r="G1382" i="16"/>
  <c r="F1382" i="16"/>
  <c r="G1381" i="16"/>
  <c r="F1381" i="16"/>
  <c r="G1380" i="16"/>
  <c r="F1380" i="16"/>
  <c r="G1379" i="16"/>
  <c r="F1379" i="16"/>
  <c r="G1378" i="16"/>
  <c r="F1378" i="16"/>
  <c r="G1377" i="16"/>
  <c r="F1377" i="16"/>
  <c r="G1376" i="16"/>
  <c r="F1376" i="16"/>
  <c r="G1375" i="16"/>
  <c r="F1375" i="16"/>
  <c r="G1374" i="16"/>
  <c r="F1374" i="16"/>
  <c r="G1373" i="16"/>
  <c r="F1373" i="16"/>
  <c r="G1372" i="16"/>
  <c r="F1372" i="16"/>
  <c r="G1371" i="16"/>
  <c r="F1371" i="16"/>
  <c r="G1370" i="16"/>
  <c r="F1370" i="16"/>
  <c r="G1369" i="16"/>
  <c r="F1369" i="16"/>
  <c r="G1368" i="16"/>
  <c r="F1368" i="16"/>
  <c r="G1367" i="16"/>
  <c r="F1367" i="16"/>
  <c r="G1366" i="16"/>
  <c r="F1366" i="16"/>
  <c r="G1365" i="16"/>
  <c r="F1365" i="16"/>
  <c r="G1364" i="16"/>
  <c r="F1364" i="16"/>
  <c r="G1363" i="16"/>
  <c r="F1363" i="16"/>
  <c r="G1362" i="16"/>
  <c r="F1362" i="16"/>
  <c r="G1361" i="16"/>
  <c r="F1361" i="16"/>
  <c r="G1360" i="16"/>
  <c r="F1360" i="16"/>
  <c r="G1359" i="16"/>
  <c r="F1359" i="16"/>
  <c r="G1358" i="16"/>
  <c r="F1358" i="16"/>
  <c r="G1357" i="16"/>
  <c r="F1357" i="16"/>
  <c r="G1356" i="16"/>
  <c r="F1356" i="16"/>
  <c r="G1355" i="16"/>
  <c r="F1355" i="16"/>
  <c r="G1354" i="16"/>
  <c r="F1354" i="16"/>
  <c r="G1353" i="16"/>
  <c r="F1353" i="16"/>
  <c r="G1352" i="16"/>
  <c r="F1352" i="16"/>
  <c r="G1351" i="16"/>
  <c r="F1351" i="16"/>
  <c r="G1350" i="16"/>
  <c r="F1350" i="16"/>
  <c r="G1349" i="16"/>
  <c r="F1349" i="16"/>
  <c r="G1348" i="16"/>
  <c r="F1348" i="16"/>
  <c r="G1347" i="16"/>
  <c r="F1347" i="16"/>
  <c r="G1346" i="16"/>
  <c r="F1346" i="16"/>
  <c r="G1345" i="16"/>
  <c r="F1345" i="16"/>
  <c r="G1344" i="16"/>
  <c r="F1344" i="16"/>
  <c r="G1343" i="16"/>
  <c r="F1343" i="16"/>
  <c r="G1342" i="16"/>
  <c r="F1342" i="16"/>
  <c r="G1341" i="16"/>
  <c r="F1341" i="16"/>
  <c r="G1340" i="16"/>
  <c r="F1340" i="16"/>
  <c r="G1339" i="16"/>
  <c r="F1339" i="16"/>
  <c r="G1338" i="16"/>
  <c r="F1338" i="16"/>
  <c r="G1337" i="16"/>
  <c r="F1337" i="16"/>
  <c r="G1336" i="16"/>
  <c r="F1336" i="16"/>
  <c r="G1335" i="16"/>
  <c r="F1335" i="16"/>
  <c r="G1334" i="16"/>
  <c r="F1334" i="16"/>
  <c r="G1333" i="16"/>
  <c r="F1333" i="16"/>
  <c r="G1332" i="16"/>
  <c r="F1332" i="16"/>
  <c r="G1331" i="16"/>
  <c r="F1331" i="16"/>
  <c r="G1330" i="16"/>
  <c r="F1330" i="16"/>
  <c r="G1329" i="16"/>
  <c r="F1329" i="16"/>
  <c r="G1328" i="16"/>
  <c r="F1328" i="16"/>
  <c r="G1327" i="16"/>
  <c r="F1327" i="16"/>
  <c r="G1326" i="16"/>
  <c r="F1326" i="16"/>
  <c r="G1325" i="16"/>
  <c r="F1325" i="16"/>
  <c r="G1324" i="16"/>
  <c r="F1324" i="16"/>
  <c r="G1323" i="16"/>
  <c r="F1323" i="16"/>
  <c r="G1322" i="16"/>
  <c r="F1322" i="16"/>
  <c r="G1321" i="16"/>
  <c r="F1321" i="16"/>
  <c r="G1320" i="16"/>
  <c r="F1320" i="16"/>
  <c r="G1319" i="16"/>
  <c r="F1319" i="16"/>
  <c r="G1318" i="16"/>
  <c r="F1318" i="16"/>
  <c r="G1317" i="16"/>
  <c r="F1317" i="16"/>
  <c r="G1316" i="16"/>
  <c r="F1316" i="16"/>
  <c r="G1315" i="16"/>
  <c r="F1315" i="16"/>
  <c r="G1314" i="16"/>
  <c r="F1314" i="16"/>
  <c r="G1313" i="16"/>
  <c r="F1313" i="16"/>
  <c r="G1312" i="16"/>
  <c r="F1312" i="16"/>
  <c r="G1311" i="16"/>
  <c r="F1311" i="16"/>
  <c r="G1310" i="16"/>
  <c r="F1310" i="16"/>
  <c r="G1309" i="16"/>
  <c r="F1309" i="16"/>
  <c r="G1308" i="16"/>
  <c r="F1308" i="16"/>
  <c r="G1307" i="16"/>
  <c r="F1307" i="16"/>
  <c r="G1306" i="16"/>
  <c r="F1306" i="16"/>
  <c r="G1305" i="16"/>
  <c r="F1305" i="16"/>
  <c r="G1304" i="16"/>
  <c r="F1304" i="16"/>
  <c r="G1303" i="16"/>
  <c r="F1303" i="16"/>
  <c r="G1302" i="16"/>
  <c r="F1302" i="16"/>
  <c r="G1301" i="16"/>
  <c r="F1301" i="16"/>
  <c r="G1300" i="16"/>
  <c r="F1300" i="16"/>
  <c r="G1299" i="16"/>
  <c r="F1299" i="16"/>
  <c r="G1298" i="16"/>
  <c r="F1298" i="16"/>
  <c r="G1297" i="16"/>
  <c r="F1297" i="16"/>
  <c r="G1296" i="16"/>
  <c r="F1296" i="16"/>
  <c r="G1295" i="16"/>
  <c r="F1295" i="16"/>
  <c r="G1294" i="16"/>
  <c r="F1294" i="16"/>
  <c r="G1293" i="16"/>
  <c r="F1293" i="16"/>
  <c r="G1292" i="16"/>
  <c r="F1292" i="16"/>
  <c r="G1291" i="16"/>
  <c r="F1291" i="16"/>
  <c r="G1290" i="16"/>
  <c r="F1290" i="16"/>
  <c r="G1289" i="16"/>
  <c r="F1289" i="16"/>
  <c r="G1288" i="16"/>
  <c r="F1288" i="16"/>
  <c r="G1287" i="16"/>
  <c r="F1287" i="16"/>
  <c r="G1286" i="16"/>
  <c r="F1286" i="16"/>
  <c r="G1285" i="16"/>
  <c r="F1285" i="16"/>
  <c r="G1284" i="16"/>
  <c r="F1284" i="16"/>
  <c r="G1283" i="16"/>
  <c r="F1283" i="16"/>
  <c r="G1282" i="16"/>
  <c r="F1282" i="16"/>
  <c r="G1281" i="16"/>
  <c r="F1281" i="16"/>
  <c r="G1280" i="16"/>
  <c r="F1280" i="16"/>
  <c r="G1279" i="16"/>
  <c r="F1279" i="16"/>
  <c r="G1278" i="16"/>
  <c r="F1278" i="16"/>
  <c r="G1277" i="16"/>
  <c r="F1277" i="16"/>
  <c r="G1276" i="16"/>
  <c r="F1276" i="16"/>
  <c r="G1275" i="16"/>
  <c r="F1275" i="16"/>
  <c r="G1274" i="16"/>
  <c r="F1274" i="16"/>
  <c r="G1273" i="16"/>
  <c r="F1273" i="16"/>
  <c r="G1272" i="16"/>
  <c r="F1272" i="16"/>
  <c r="G1271" i="16"/>
  <c r="F1271" i="16"/>
  <c r="G1270" i="16"/>
  <c r="F1270" i="16"/>
  <c r="G1269" i="16"/>
  <c r="F1269" i="16"/>
  <c r="G1268" i="16"/>
  <c r="F1268" i="16"/>
  <c r="G1267" i="16"/>
  <c r="F1267" i="16"/>
  <c r="G1266" i="16"/>
  <c r="F1266" i="16"/>
  <c r="G1265" i="16"/>
  <c r="F1265" i="16"/>
  <c r="G1264" i="16"/>
  <c r="F1264" i="16"/>
  <c r="G1263" i="16"/>
  <c r="F1263" i="16"/>
  <c r="G1262" i="16"/>
  <c r="F1262" i="16"/>
  <c r="G1261" i="16"/>
  <c r="F1261" i="16"/>
  <c r="G1260" i="16"/>
  <c r="F1260" i="16"/>
  <c r="G1259" i="16"/>
  <c r="F1259" i="16"/>
  <c r="G1258" i="16"/>
  <c r="F1258" i="16"/>
  <c r="G1257" i="16"/>
  <c r="F1257" i="16"/>
  <c r="G1256" i="16"/>
  <c r="F1256" i="16"/>
  <c r="G1255" i="16"/>
  <c r="F1255" i="16"/>
  <c r="G1254" i="16"/>
  <c r="F1254" i="16"/>
  <c r="G1253" i="16"/>
  <c r="F1253" i="16"/>
  <c r="G1252" i="16"/>
  <c r="F1252" i="16"/>
  <c r="G1251" i="16"/>
  <c r="F1251" i="16"/>
  <c r="G1250" i="16"/>
  <c r="F1250" i="16"/>
  <c r="G1249" i="16"/>
  <c r="F1249" i="16"/>
  <c r="G1248" i="16"/>
  <c r="F1248" i="16"/>
  <c r="G1247" i="16"/>
  <c r="F1247" i="16"/>
  <c r="G1246" i="16"/>
  <c r="F1246" i="16"/>
  <c r="G1245" i="16"/>
  <c r="F1245" i="16"/>
  <c r="G1244" i="16"/>
  <c r="F1244" i="16"/>
  <c r="G1243" i="16"/>
  <c r="F1243" i="16"/>
  <c r="G1242" i="16"/>
  <c r="F1242" i="16"/>
  <c r="G1241" i="16"/>
  <c r="F1241" i="16"/>
  <c r="G1240" i="16"/>
  <c r="F1240" i="16"/>
  <c r="G1239" i="16"/>
  <c r="F1239" i="16"/>
  <c r="G1238" i="16"/>
  <c r="F1238" i="16"/>
  <c r="G1237" i="16"/>
  <c r="F1237" i="16"/>
  <c r="G1236" i="16"/>
  <c r="F1236" i="16"/>
  <c r="G1235" i="16"/>
  <c r="F1235" i="16"/>
  <c r="G1234" i="16"/>
  <c r="F1234" i="16"/>
  <c r="G1233" i="16"/>
  <c r="F1233" i="16"/>
  <c r="G1232" i="16"/>
  <c r="F1232" i="16"/>
  <c r="G1231" i="16"/>
  <c r="F1231" i="16"/>
  <c r="G1230" i="16"/>
  <c r="F1230" i="16"/>
  <c r="G1229" i="16"/>
  <c r="F1229" i="16"/>
  <c r="G1228" i="16"/>
  <c r="F1228" i="16"/>
  <c r="G1227" i="16"/>
  <c r="F1227" i="16"/>
  <c r="G1226" i="16"/>
  <c r="F1226" i="16"/>
  <c r="G1225" i="16"/>
  <c r="F1225" i="16"/>
  <c r="G1224" i="16"/>
  <c r="F1224" i="16"/>
  <c r="G1223" i="16"/>
  <c r="F1223" i="16"/>
  <c r="G1222" i="16"/>
  <c r="F1222" i="16"/>
  <c r="G1221" i="16"/>
  <c r="F1221" i="16"/>
  <c r="G1220" i="16"/>
  <c r="F1220" i="16"/>
  <c r="G1219" i="16"/>
  <c r="F1219" i="16"/>
  <c r="G1218" i="16"/>
  <c r="F1218" i="16"/>
  <c r="G1217" i="16"/>
  <c r="F1217" i="16"/>
  <c r="G1216" i="16"/>
  <c r="F1216" i="16"/>
  <c r="G1215" i="16"/>
  <c r="F1215" i="16"/>
  <c r="G1214" i="16"/>
  <c r="F1214" i="16"/>
  <c r="G1213" i="16"/>
  <c r="F1213" i="16"/>
  <c r="G1212" i="16"/>
  <c r="F1212" i="16"/>
  <c r="G1211" i="16"/>
  <c r="F1211" i="16"/>
  <c r="G1210" i="16"/>
  <c r="F1210" i="16"/>
  <c r="G1209" i="16"/>
  <c r="F1209" i="16"/>
  <c r="G1208" i="16"/>
  <c r="F1208" i="16"/>
  <c r="G1207" i="16"/>
  <c r="F1207" i="16"/>
  <c r="G1206" i="16"/>
  <c r="F1206" i="16"/>
  <c r="G1205" i="16"/>
  <c r="F1205" i="16"/>
  <c r="G1204" i="16"/>
  <c r="F1204" i="16"/>
  <c r="G1203" i="16"/>
  <c r="F1203" i="16"/>
  <c r="G1202" i="16"/>
  <c r="F1202" i="16"/>
  <c r="G1201" i="16"/>
  <c r="F1201" i="16"/>
  <c r="G1200" i="16"/>
  <c r="F1200" i="16"/>
  <c r="G1199" i="16"/>
  <c r="F1199" i="16"/>
  <c r="G1198" i="16"/>
  <c r="F1198" i="16"/>
  <c r="G1197" i="16"/>
  <c r="F1197" i="16"/>
  <c r="G1196" i="16"/>
  <c r="F1196" i="16"/>
  <c r="G1195" i="16"/>
  <c r="F1195" i="16"/>
  <c r="G1194" i="16"/>
  <c r="F1194" i="16"/>
  <c r="G1193" i="16"/>
  <c r="F1193" i="16"/>
  <c r="G1192" i="16"/>
  <c r="F1192" i="16"/>
  <c r="G1191" i="16"/>
  <c r="F1191" i="16"/>
  <c r="G1190" i="16"/>
  <c r="F1190" i="16"/>
  <c r="G1189" i="16"/>
  <c r="F1189" i="16"/>
  <c r="G1188" i="16"/>
  <c r="F1188" i="16"/>
  <c r="G1187" i="16"/>
  <c r="F1187" i="16"/>
  <c r="G1186" i="16"/>
  <c r="F1186" i="16"/>
  <c r="G1185" i="16"/>
  <c r="F1185" i="16"/>
  <c r="G1184" i="16"/>
  <c r="F1184" i="16"/>
  <c r="G1183" i="16"/>
  <c r="F1183" i="16"/>
  <c r="G1182" i="16"/>
  <c r="F1182" i="16"/>
  <c r="G1181" i="16"/>
  <c r="F1181" i="16"/>
  <c r="G1180" i="16"/>
  <c r="F1180" i="16"/>
  <c r="G1179" i="16"/>
  <c r="F1179" i="16"/>
  <c r="G1178" i="16"/>
  <c r="F1178" i="16"/>
  <c r="G1177" i="16"/>
  <c r="F1177" i="16"/>
  <c r="G1176" i="16"/>
  <c r="F1176" i="16"/>
  <c r="G1175" i="16"/>
  <c r="F1175" i="16"/>
  <c r="G1174" i="16"/>
  <c r="F1174" i="16"/>
  <c r="G1173" i="16"/>
  <c r="F1173" i="16"/>
  <c r="G1172" i="16"/>
  <c r="F1172" i="16"/>
  <c r="G1171" i="16"/>
  <c r="F1171" i="16"/>
  <c r="G1170" i="16"/>
  <c r="F1170" i="16"/>
  <c r="G1169" i="16"/>
  <c r="F1169" i="16"/>
  <c r="G1168" i="16"/>
  <c r="F1168" i="16"/>
  <c r="G1167" i="16"/>
  <c r="F1167" i="16"/>
  <c r="G1166" i="16"/>
  <c r="F1166" i="16"/>
  <c r="G1165" i="16"/>
  <c r="F1165" i="16"/>
  <c r="G1164" i="16"/>
  <c r="F1164" i="16"/>
  <c r="G1163" i="16"/>
  <c r="F1163" i="16"/>
  <c r="G1162" i="16"/>
  <c r="F1162" i="16"/>
  <c r="G1161" i="16"/>
  <c r="F1161" i="16"/>
  <c r="G1160" i="16"/>
  <c r="F1160" i="16"/>
  <c r="G1159" i="16"/>
  <c r="F1159" i="16"/>
  <c r="G1158" i="16"/>
  <c r="F1158" i="16"/>
  <c r="G1157" i="16"/>
  <c r="F1157" i="16"/>
  <c r="G1156" i="16"/>
  <c r="F1156" i="16"/>
  <c r="G1155" i="16"/>
  <c r="F1155" i="16"/>
  <c r="G1154" i="16"/>
  <c r="F1154" i="16"/>
  <c r="G1153" i="16"/>
  <c r="F1153" i="16"/>
  <c r="G1152" i="16"/>
  <c r="F1152" i="16"/>
  <c r="G1151" i="16"/>
  <c r="F1151" i="16"/>
  <c r="G1150" i="16"/>
  <c r="F1150" i="16"/>
  <c r="G1149" i="16"/>
  <c r="F1149" i="16"/>
  <c r="G1148" i="16"/>
  <c r="F1148" i="16"/>
  <c r="G1147" i="16"/>
  <c r="F1147" i="16"/>
  <c r="G1146" i="16"/>
  <c r="F1146" i="16"/>
  <c r="G1145" i="16"/>
  <c r="F1145" i="16"/>
  <c r="G1144" i="16"/>
  <c r="F1144" i="16"/>
  <c r="G1143" i="16"/>
  <c r="F1143" i="16"/>
  <c r="G1142" i="16"/>
  <c r="F1142" i="16"/>
  <c r="G1141" i="16"/>
  <c r="F1141" i="16"/>
  <c r="G1140" i="16"/>
  <c r="F1140" i="16"/>
  <c r="G1139" i="16"/>
  <c r="F1139" i="16"/>
  <c r="G1138" i="16"/>
  <c r="F1138" i="16"/>
  <c r="G1137" i="16"/>
  <c r="F1137" i="16"/>
  <c r="G1136" i="16"/>
  <c r="F1136" i="16"/>
  <c r="G1135" i="16"/>
  <c r="F1135" i="16"/>
  <c r="G1134" i="16"/>
  <c r="F1134" i="16"/>
  <c r="G1133" i="16"/>
  <c r="F1133" i="16"/>
  <c r="G1132" i="16"/>
  <c r="F1132" i="16"/>
  <c r="G1131" i="16"/>
  <c r="F1131" i="16"/>
  <c r="G1130" i="16"/>
  <c r="F1130" i="16"/>
  <c r="G1129" i="16"/>
  <c r="F1129" i="16"/>
  <c r="G1128" i="16"/>
  <c r="F1128" i="16"/>
  <c r="G1127" i="16"/>
  <c r="F1127" i="16"/>
  <c r="G1126" i="16"/>
  <c r="F1126" i="16"/>
  <c r="G1125" i="16"/>
  <c r="F1125" i="16"/>
  <c r="G1124" i="16"/>
  <c r="F1124" i="16"/>
  <c r="G1123" i="16"/>
  <c r="F1123" i="16"/>
  <c r="G1122" i="16"/>
  <c r="F1122" i="16"/>
  <c r="G1121" i="16"/>
  <c r="F1121" i="16"/>
  <c r="G1120" i="16"/>
  <c r="F1120" i="16"/>
  <c r="G1119" i="16"/>
  <c r="F1119" i="16"/>
  <c r="G1118" i="16"/>
  <c r="F1118" i="16"/>
  <c r="G1117" i="16"/>
  <c r="F1117" i="16"/>
  <c r="G1116" i="16"/>
  <c r="F1116" i="16"/>
  <c r="G1115" i="16"/>
  <c r="F1115" i="16"/>
  <c r="G1114" i="16"/>
  <c r="F1114" i="16"/>
  <c r="G1113" i="16"/>
  <c r="F1113" i="16"/>
  <c r="G1112" i="16"/>
  <c r="F1112" i="16"/>
  <c r="G1111" i="16"/>
  <c r="F1111" i="16"/>
  <c r="G1110" i="16"/>
  <c r="F1110" i="16"/>
  <c r="G1109" i="16"/>
  <c r="F1109" i="16"/>
  <c r="G1108" i="16"/>
  <c r="F1108" i="16"/>
  <c r="G1107" i="16"/>
  <c r="F1107" i="16"/>
  <c r="G1106" i="16"/>
  <c r="F1106" i="16"/>
  <c r="G1105" i="16"/>
  <c r="F1105" i="16"/>
  <c r="G1104" i="16"/>
  <c r="F1104" i="16"/>
  <c r="G1103" i="16"/>
  <c r="F1103" i="16"/>
  <c r="G1102" i="16"/>
  <c r="F1102" i="16"/>
  <c r="G1101" i="16"/>
  <c r="F1101" i="16"/>
  <c r="G1100" i="16"/>
  <c r="F1100" i="16"/>
  <c r="G1099" i="16"/>
  <c r="F1099" i="16"/>
  <c r="G1098" i="16"/>
  <c r="F1098" i="16"/>
  <c r="G1097" i="16"/>
  <c r="F1097" i="16"/>
  <c r="G1096" i="16"/>
  <c r="F1096" i="16"/>
  <c r="G1095" i="16"/>
  <c r="F1095" i="16"/>
  <c r="G1094" i="16"/>
  <c r="F1094" i="16"/>
  <c r="G1093" i="16"/>
  <c r="F1093" i="16"/>
  <c r="G1092" i="16"/>
  <c r="F1092" i="16"/>
  <c r="G1091" i="16"/>
  <c r="F1091" i="16"/>
  <c r="G1090" i="16"/>
  <c r="F1090" i="16"/>
  <c r="G1089" i="16"/>
  <c r="F1089" i="16"/>
  <c r="G1088" i="16"/>
  <c r="F1088" i="16"/>
  <c r="G1087" i="16"/>
  <c r="F1087" i="16"/>
  <c r="G1086" i="16"/>
  <c r="F1086" i="16"/>
  <c r="G1085" i="16"/>
  <c r="F1085" i="16"/>
  <c r="G1084" i="16"/>
  <c r="F1084" i="16"/>
  <c r="G1083" i="16"/>
  <c r="F1083" i="16"/>
  <c r="G1082" i="16"/>
  <c r="F1082" i="16"/>
  <c r="G1081" i="16"/>
  <c r="F1081" i="16"/>
  <c r="G1080" i="16"/>
  <c r="F1080" i="16"/>
  <c r="G1079" i="16"/>
  <c r="F1079" i="16"/>
  <c r="G1078" i="16"/>
  <c r="F1078" i="16"/>
  <c r="G1077" i="16"/>
  <c r="F1077" i="16"/>
  <c r="G1076" i="16"/>
  <c r="F1076" i="16"/>
  <c r="G1075" i="16"/>
  <c r="F1075" i="16"/>
  <c r="G1074" i="16"/>
  <c r="F1074" i="16"/>
  <c r="G1073" i="16"/>
  <c r="F1073" i="16"/>
  <c r="G1072" i="16"/>
  <c r="F1072" i="16"/>
  <c r="G1071" i="16"/>
  <c r="F1071" i="16"/>
  <c r="G1070" i="16"/>
  <c r="F1070" i="16"/>
  <c r="G1069" i="16"/>
  <c r="F1069" i="16"/>
  <c r="G1068" i="16"/>
  <c r="F1068" i="16"/>
  <c r="G1067" i="16"/>
  <c r="F1067" i="16"/>
  <c r="G1066" i="16"/>
  <c r="F1066" i="16"/>
  <c r="G1065" i="16"/>
  <c r="F1065" i="16"/>
  <c r="G1064" i="16"/>
  <c r="F1064" i="16"/>
  <c r="G1063" i="16"/>
  <c r="F1063" i="16"/>
  <c r="G1062" i="16"/>
  <c r="F1062" i="16"/>
  <c r="G1061" i="16"/>
  <c r="F1061" i="16"/>
  <c r="G1060" i="16"/>
  <c r="F1060" i="16"/>
  <c r="G1059" i="16"/>
  <c r="F1059" i="16"/>
  <c r="G1058" i="16"/>
  <c r="F1058" i="16"/>
  <c r="G1057" i="16"/>
  <c r="F1057" i="16"/>
  <c r="G1056" i="16"/>
  <c r="F1056" i="16"/>
  <c r="G1055" i="16"/>
  <c r="F1055" i="16"/>
  <c r="G1054" i="16"/>
  <c r="F1054" i="16"/>
  <c r="G1053" i="16"/>
  <c r="F1053" i="16"/>
  <c r="G1052" i="16"/>
  <c r="F1052" i="16"/>
  <c r="G1051" i="16"/>
  <c r="F1051" i="16"/>
  <c r="G1050" i="16"/>
  <c r="F1050" i="16"/>
  <c r="G1049" i="16"/>
  <c r="F1049" i="16"/>
  <c r="G1048" i="16"/>
  <c r="F1048" i="16"/>
  <c r="G1047" i="16"/>
  <c r="F1047" i="16"/>
  <c r="G1046" i="16"/>
  <c r="F1046" i="16"/>
  <c r="G1045" i="16"/>
  <c r="F1045" i="16"/>
  <c r="G1044" i="16"/>
  <c r="F1044" i="16"/>
  <c r="G1043" i="16"/>
  <c r="F1043" i="16"/>
  <c r="G1042" i="16"/>
  <c r="F1042" i="16"/>
  <c r="G1041" i="16"/>
  <c r="F1041" i="16"/>
  <c r="G1040" i="16"/>
  <c r="F1040" i="16"/>
  <c r="G1039" i="16"/>
  <c r="F1039" i="16"/>
  <c r="G1038" i="16"/>
  <c r="F1038" i="16"/>
  <c r="G1037" i="16"/>
  <c r="F1037" i="16"/>
  <c r="G1036" i="16"/>
  <c r="F1036" i="16"/>
  <c r="G1035" i="16"/>
  <c r="F1035" i="16"/>
  <c r="G1034" i="16"/>
  <c r="F1034" i="16"/>
  <c r="G1033" i="16"/>
  <c r="F1033" i="16"/>
  <c r="G1032" i="16"/>
  <c r="F1032" i="16"/>
  <c r="G1031" i="16"/>
  <c r="F1031" i="16"/>
  <c r="G1030" i="16"/>
  <c r="F1030" i="16"/>
  <c r="G1029" i="16"/>
  <c r="F1029" i="16"/>
  <c r="G1028" i="16"/>
  <c r="F1028" i="16"/>
  <c r="G1027" i="16"/>
  <c r="F1027" i="16"/>
  <c r="G1026" i="16"/>
  <c r="F1026" i="16"/>
  <c r="G1025" i="16"/>
  <c r="F1025" i="16"/>
  <c r="G1024" i="16"/>
  <c r="F1024" i="16"/>
  <c r="G1023" i="16"/>
  <c r="F1023" i="16"/>
  <c r="G1022" i="16"/>
  <c r="F1022" i="16"/>
  <c r="G1021" i="16"/>
  <c r="F1021" i="16"/>
  <c r="G1020" i="16"/>
  <c r="F1020" i="16"/>
  <c r="G1019" i="16"/>
  <c r="F1019" i="16"/>
  <c r="G1018" i="16"/>
  <c r="F1018" i="16"/>
  <c r="G1017" i="16"/>
  <c r="F1017" i="16"/>
  <c r="G1016" i="16"/>
  <c r="F1016" i="16"/>
  <c r="G1015" i="16"/>
  <c r="F1015" i="16"/>
  <c r="G1014" i="16"/>
  <c r="F1014" i="16"/>
  <c r="G1013" i="16"/>
  <c r="F1013" i="16"/>
  <c r="G1012" i="16"/>
  <c r="F1012" i="16"/>
  <c r="G1011" i="16"/>
  <c r="F1011" i="16"/>
  <c r="G1010" i="16"/>
  <c r="F1010" i="16"/>
  <c r="J10" i="15"/>
  <c r="J11" i="15"/>
  <c r="J12" i="15"/>
  <c r="J13" i="15"/>
  <c r="J14" i="15"/>
  <c r="J15" i="15"/>
  <c r="J16" i="15"/>
  <c r="J9" i="15"/>
  <c r="H10" i="15"/>
  <c r="H11" i="15"/>
  <c r="H12" i="15"/>
  <c r="H13" i="15"/>
  <c r="H14" i="15"/>
  <c r="H15" i="15"/>
  <c r="H16" i="15"/>
  <c r="H9" i="15"/>
  <c r="F10" i="15"/>
  <c r="F11" i="15"/>
  <c r="F12" i="15"/>
  <c r="F13" i="15"/>
  <c r="F14" i="15"/>
  <c r="F15" i="15"/>
  <c r="F16" i="15"/>
  <c r="F9" i="15"/>
  <c r="I9" i="15"/>
  <c r="G9" i="15"/>
  <c r="E9" i="15"/>
  <c r="L80" i="15"/>
  <c r="K80" i="15"/>
  <c r="J80" i="15"/>
  <c r="I80" i="15"/>
  <c r="H80" i="15"/>
  <c r="G80" i="15"/>
  <c r="F80" i="15"/>
  <c r="E80" i="15"/>
  <c r="D80" i="15"/>
  <c r="C80" i="15"/>
  <c r="B80" i="15"/>
  <c r="L79" i="15"/>
  <c r="K79" i="15"/>
  <c r="J79" i="15"/>
  <c r="I79" i="15"/>
  <c r="H79" i="15"/>
  <c r="G79" i="15"/>
  <c r="F79" i="15"/>
  <c r="E79" i="15"/>
  <c r="D79" i="15"/>
  <c r="C79" i="15"/>
  <c r="J68" i="5"/>
  <c r="J67" i="5"/>
  <c r="J69" i="5" s="1"/>
  <c r="J66" i="5"/>
  <c r="J53" i="5"/>
  <c r="J31" i="5"/>
  <c r="G153" i="14"/>
  <c r="D153" i="14"/>
  <c r="E153" i="14"/>
  <c r="F153" i="14"/>
  <c r="C153" i="14"/>
  <c r="I151" i="14"/>
  <c r="J151" i="14"/>
  <c r="K151" i="14"/>
  <c r="L151" i="14"/>
  <c r="H151" i="14"/>
  <c r="A75" i="3"/>
  <c r="F164" i="3"/>
  <c r="G164" i="3"/>
  <c r="H164" i="3"/>
  <c r="I164" i="3"/>
  <c r="J164" i="3"/>
  <c r="E87" i="3"/>
  <c r="J88" i="3"/>
  <c r="J25" i="3"/>
  <c r="A222" i="3"/>
  <c r="D150" i="14"/>
  <c r="E150" i="14"/>
  <c r="F150" i="14"/>
  <c r="G150" i="14"/>
  <c r="C150" i="14"/>
  <c r="D152" i="14"/>
  <c r="E152" i="14"/>
  <c r="G152" i="14"/>
  <c r="C152" i="14"/>
  <c r="D151" i="14"/>
  <c r="E151" i="14"/>
  <c r="F151" i="14"/>
  <c r="G151" i="14"/>
  <c r="C151" i="14"/>
  <c r="D149" i="14"/>
  <c r="E149" i="14"/>
  <c r="F149" i="14"/>
  <c r="G149" i="14"/>
  <c r="C149" i="14"/>
  <c r="C133" i="14"/>
  <c r="C136" i="14"/>
  <c r="C135" i="14"/>
  <c r="C134" i="14"/>
  <c r="D148" i="14"/>
  <c r="E148" i="14"/>
  <c r="G148" i="14"/>
  <c r="C148" i="14"/>
  <c r="D116" i="14"/>
  <c r="E116" i="14"/>
  <c r="D117" i="14"/>
  <c r="E117" i="14"/>
  <c r="C116" i="14"/>
  <c r="C117" i="14"/>
  <c r="D109" i="14"/>
  <c r="D108" i="14"/>
  <c r="D110" i="14"/>
  <c r="C110" i="14" s="1"/>
  <c r="D86" i="14"/>
  <c r="E86" i="14"/>
  <c r="C86" i="14"/>
  <c r="D85" i="14"/>
  <c r="E85" i="14"/>
  <c r="C85" i="14"/>
  <c r="D84" i="14"/>
  <c r="E84" i="14"/>
  <c r="C84" i="14"/>
  <c r="J83" i="14"/>
  <c r="D83" i="14"/>
  <c r="E83" i="14"/>
  <c r="F83" i="14"/>
  <c r="G83" i="14"/>
  <c r="H83" i="14"/>
  <c r="I83" i="14"/>
  <c r="C83" i="14"/>
  <c r="D72" i="14"/>
  <c r="E72" i="14"/>
  <c r="D77" i="14"/>
  <c r="E77" i="14"/>
  <c r="D82" i="14"/>
  <c r="E82" i="14"/>
  <c r="C82" i="14"/>
  <c r="D80" i="14"/>
  <c r="E80" i="14"/>
  <c r="F80" i="14"/>
  <c r="G80" i="14"/>
  <c r="H80" i="14"/>
  <c r="I80" i="14"/>
  <c r="D81" i="14"/>
  <c r="E81" i="14"/>
  <c r="F81" i="14"/>
  <c r="G81" i="14"/>
  <c r="H81" i="14"/>
  <c r="I81" i="14"/>
  <c r="J81" i="14"/>
  <c r="C81" i="14"/>
  <c r="C80" i="14"/>
  <c r="D79" i="14"/>
  <c r="E79" i="14"/>
  <c r="C79" i="14"/>
  <c r="D78" i="14"/>
  <c r="E78" i="14"/>
  <c r="C78" i="14"/>
  <c r="D73" i="14"/>
  <c r="E73" i="14"/>
  <c r="D74" i="14"/>
  <c r="E74" i="14"/>
  <c r="D75" i="14"/>
  <c r="E75" i="14"/>
  <c r="D76" i="14"/>
  <c r="E76" i="14"/>
  <c r="F76" i="14"/>
  <c r="G76" i="14"/>
  <c r="H76" i="14"/>
  <c r="I76" i="14"/>
  <c r="J76" i="14"/>
  <c r="C77" i="14"/>
  <c r="C76" i="14"/>
  <c r="C75" i="14"/>
  <c r="C74" i="14"/>
  <c r="C73" i="14"/>
  <c r="C72" i="14"/>
  <c r="D71" i="14"/>
  <c r="E71" i="14"/>
  <c r="C71" i="14"/>
  <c r="D70" i="14"/>
  <c r="E70" i="14"/>
  <c r="C70" i="14"/>
  <c r="D69" i="14"/>
  <c r="E69" i="14"/>
  <c r="C69" i="14"/>
  <c r="D68" i="14"/>
  <c r="E68" i="14"/>
  <c r="C68" i="14"/>
  <c r="D67" i="14"/>
  <c r="E67" i="14"/>
  <c r="C67" i="14"/>
  <c r="D66" i="14"/>
  <c r="E66" i="14"/>
  <c r="C66" i="14"/>
  <c r="D65" i="14"/>
  <c r="E65" i="14"/>
  <c r="C65" i="14"/>
  <c r="D64" i="14"/>
  <c r="E64" i="14"/>
  <c r="C64" i="14"/>
  <c r="D62" i="14"/>
  <c r="E62" i="14"/>
  <c r="C62" i="14"/>
  <c r="D61" i="14"/>
  <c r="E61" i="14"/>
  <c r="C61" i="14"/>
  <c r="B67" i="14"/>
  <c r="B68" i="14"/>
  <c r="B69" i="14"/>
  <c r="B70" i="14"/>
  <c r="B71" i="14"/>
  <c r="B72" i="14"/>
  <c r="B73" i="14"/>
  <c r="B74" i="14"/>
  <c r="B75" i="14"/>
  <c r="B76" i="14"/>
  <c r="B77" i="14"/>
  <c r="B78" i="14"/>
  <c r="B79" i="14"/>
  <c r="B80" i="14"/>
  <c r="B81" i="14"/>
  <c r="B82" i="14"/>
  <c r="B83" i="14"/>
  <c r="B84" i="14"/>
  <c r="B85" i="14"/>
  <c r="B86" i="14"/>
  <c r="B66" i="14"/>
  <c r="B65" i="14"/>
  <c r="B64" i="14"/>
  <c r="B63" i="14"/>
  <c r="B62" i="14"/>
  <c r="B61" i="14"/>
  <c r="A21" i="3"/>
  <c r="D9" i="14"/>
  <c r="E9" i="14"/>
  <c r="D10" i="14"/>
  <c r="E10" i="14"/>
  <c r="D11" i="14"/>
  <c r="E11" i="14"/>
  <c r="C10" i="14"/>
  <c r="C11" i="14"/>
  <c r="C9" i="14"/>
  <c r="B18" i="13"/>
  <c r="D18" i="13"/>
  <c r="E18" i="13"/>
  <c r="F18" i="13"/>
  <c r="C18" i="13"/>
  <c r="D41" i="12"/>
  <c r="E41" i="12"/>
  <c r="F41" i="12"/>
  <c r="C41" i="12"/>
  <c r="D42" i="12"/>
  <c r="E42" i="12"/>
  <c r="F42" i="12"/>
  <c r="C42" i="12"/>
  <c r="D39" i="12"/>
  <c r="E39" i="12"/>
  <c r="F39" i="12"/>
  <c r="C39" i="12"/>
  <c r="D36" i="12"/>
  <c r="E36" i="12"/>
  <c r="F36" i="12"/>
  <c r="C36" i="12"/>
  <c r="D33" i="12"/>
  <c r="E33" i="12"/>
  <c r="F33" i="12"/>
  <c r="C33" i="12"/>
  <c r="D14" i="12"/>
  <c r="E14" i="12"/>
  <c r="F14" i="12"/>
  <c r="C14" i="12"/>
  <c r="D12" i="12"/>
  <c r="E12" i="12"/>
  <c r="F12" i="12"/>
  <c r="C12" i="12"/>
  <c r="E164" i="3"/>
  <c r="C156" i="1"/>
  <c r="B370" i="2"/>
  <c r="C370" i="2"/>
  <c r="B190" i="2"/>
  <c r="D190" i="2"/>
  <c r="E190" i="2"/>
  <c r="F190" i="2"/>
  <c r="G190" i="2"/>
  <c r="C202" i="2"/>
  <c r="D202" i="2"/>
  <c r="F202" i="2"/>
  <c r="A156" i="2"/>
  <c r="B156" i="2"/>
  <c r="C156" i="2"/>
  <c r="D156" i="2"/>
  <c r="E156" i="2"/>
  <c r="F156" i="2"/>
  <c r="A190" i="2"/>
  <c r="B86" i="2"/>
  <c r="B87" i="2" s="1"/>
  <c r="C86" i="2"/>
  <c r="C87" i="2" s="1"/>
  <c r="D86" i="2"/>
  <c r="D87" i="2" s="1"/>
  <c r="E86" i="2"/>
  <c r="F86" i="2"/>
  <c r="F87" i="2" s="1"/>
  <c r="E87" i="2"/>
  <c r="B89" i="2"/>
  <c r="G87" i="2" s="1"/>
  <c r="C89" i="2"/>
  <c r="D89" i="2"/>
  <c r="E89" i="2"/>
  <c r="F89" i="2"/>
  <c r="B90" i="2"/>
  <c r="B91" i="2" s="1"/>
  <c r="C91" i="2"/>
  <c r="E91" i="2"/>
  <c r="F91" i="2"/>
  <c r="D91" i="2"/>
  <c r="B93" i="2"/>
  <c r="C93" i="2"/>
  <c r="D93" i="2"/>
  <c r="E93" i="2"/>
  <c r="F93" i="2"/>
  <c r="B81" i="2"/>
  <c r="C81" i="2"/>
  <c r="D81" i="2"/>
  <c r="F81" i="2"/>
  <c r="C82" i="2"/>
  <c r="D82" i="2"/>
  <c r="E82" i="2"/>
  <c r="F82" i="2"/>
  <c r="B83" i="2"/>
  <c r="C83" i="2"/>
  <c r="D83" i="2"/>
  <c r="E83" i="2"/>
  <c r="F83" i="2"/>
  <c r="F94" i="2" l="1"/>
  <c r="G204" i="14"/>
  <c r="C212" i="14"/>
  <c r="C201" i="14"/>
  <c r="G210" i="14"/>
  <c r="G208" i="14"/>
  <c r="D212" i="14"/>
  <c r="D63" i="14"/>
  <c r="E209" i="14"/>
  <c r="F212" i="14"/>
  <c r="D211" i="14"/>
  <c r="H3" i="18"/>
  <c r="H43" i="18"/>
  <c r="H107" i="18"/>
  <c r="H131" i="18"/>
  <c r="H195" i="18"/>
  <c r="H259" i="18"/>
  <c r="H299" i="18"/>
  <c r="H31" i="18"/>
  <c r="H39" i="18"/>
  <c r="H63" i="18"/>
  <c r="H95" i="18"/>
  <c r="H103" i="18"/>
  <c r="H127" i="18"/>
  <c r="H151" i="18"/>
  <c r="H167" i="18"/>
  <c r="H191" i="18"/>
  <c r="H215" i="18"/>
  <c r="H231" i="18"/>
  <c r="H247" i="18"/>
  <c r="H279" i="18"/>
  <c r="H295" i="18"/>
  <c r="H311" i="18"/>
  <c r="H24" i="18"/>
  <c r="H40" i="18"/>
  <c r="H48" i="18"/>
  <c r="H64" i="18"/>
  <c r="H72" i="18"/>
  <c r="H96" i="18"/>
  <c r="H112" i="18"/>
  <c r="H120" i="18"/>
  <c r="H136" i="18"/>
  <c r="H152" i="18"/>
  <c r="H168" i="18"/>
  <c r="H184" i="18"/>
  <c r="H192" i="18"/>
  <c r="H216" i="18"/>
  <c r="H224" i="18"/>
  <c r="H240" i="18"/>
  <c r="H256" i="18"/>
  <c r="H264" i="18"/>
  <c r="H288" i="18"/>
  <c r="H5" i="18"/>
  <c r="H21" i="18"/>
  <c r="H29" i="18"/>
  <c r="H45" i="18"/>
  <c r="H53" i="18"/>
  <c r="H69" i="18"/>
  <c r="H85" i="18"/>
  <c r="H93" i="18"/>
  <c r="H109" i="18"/>
  <c r="H117" i="18"/>
  <c r="H133" i="18"/>
  <c r="H149" i="18"/>
  <c r="H157" i="18"/>
  <c r="H173" i="18"/>
  <c r="H181" i="18"/>
  <c r="H197" i="18"/>
  <c r="H213" i="18"/>
  <c r="H221" i="18"/>
  <c r="H237" i="18"/>
  <c r="H245" i="18"/>
  <c r="H261" i="18"/>
  <c r="H277" i="18"/>
  <c r="H285" i="18"/>
  <c r="H301" i="18"/>
  <c r="H309" i="18"/>
  <c r="H325" i="18"/>
  <c r="H341" i="18"/>
  <c r="H349" i="18"/>
  <c r="H365" i="18"/>
  <c r="H373" i="18"/>
  <c r="H389" i="18"/>
  <c r="H405" i="18"/>
  <c r="H413" i="18"/>
  <c r="H429" i="18"/>
  <c r="H437" i="18"/>
  <c r="H453" i="18"/>
  <c r="H469" i="18"/>
  <c r="H477" i="18"/>
  <c r="H493" i="18"/>
  <c r="H501" i="18"/>
  <c r="H6" i="18"/>
  <c r="H22" i="18"/>
  <c r="H30" i="18"/>
  <c r="H46" i="18"/>
  <c r="H54" i="18"/>
  <c r="H62" i="18"/>
  <c r="H70" i="18"/>
  <c r="H86" i="18"/>
  <c r="H94" i="18"/>
  <c r="H110" i="18"/>
  <c r="H118" i="18"/>
  <c r="H126" i="18"/>
  <c r="H134" i="18"/>
  <c r="H150" i="18"/>
  <c r="H158" i="18"/>
  <c r="H174" i="18"/>
  <c r="H182" i="18"/>
  <c r="H190" i="18"/>
  <c r="H198" i="18"/>
  <c r="H214" i="18"/>
  <c r="H222" i="18"/>
  <c r="H238" i="18"/>
  <c r="H246" i="18"/>
  <c r="H254" i="18"/>
  <c r="H262" i="18"/>
  <c r="H278" i="18"/>
  <c r="H286" i="18"/>
  <c r="H302" i="18"/>
  <c r="H310" i="18"/>
  <c r="H318" i="18"/>
  <c r="H326" i="18"/>
  <c r="H342" i="18"/>
  <c r="H350" i="18"/>
  <c r="H366" i="18"/>
  <c r="H374" i="18"/>
  <c r="H382" i="18"/>
  <c r="H390" i="18"/>
  <c r="H406" i="18"/>
  <c r="H414" i="18"/>
  <c r="H430" i="18"/>
  <c r="H438" i="18"/>
  <c r="H446" i="18"/>
  <c r="H454" i="18"/>
  <c r="H470" i="18"/>
  <c r="H478" i="18"/>
  <c r="H494" i="18"/>
  <c r="H319" i="18"/>
  <c r="H327" i="18"/>
  <c r="H343" i="18"/>
  <c r="H351" i="18"/>
  <c r="H367" i="18"/>
  <c r="H375" i="18"/>
  <c r="H383" i="18"/>
  <c r="H391" i="18"/>
  <c r="H407" i="18"/>
  <c r="H415" i="18"/>
  <c r="H431" i="18"/>
  <c r="H439" i="18"/>
  <c r="H447" i="18"/>
  <c r="H455" i="18"/>
  <c r="H471" i="18"/>
  <c r="H479" i="18"/>
  <c r="H495" i="18"/>
  <c r="H296" i="18"/>
  <c r="H304" i="18"/>
  <c r="H312" i="18"/>
  <c r="H328" i="18"/>
  <c r="H336" i="18"/>
  <c r="H352" i="18"/>
  <c r="H360" i="18"/>
  <c r="H368" i="18"/>
  <c r="H376" i="18"/>
  <c r="H392" i="18"/>
  <c r="H400" i="18"/>
  <c r="H416" i="18"/>
  <c r="H424" i="18"/>
  <c r="H432" i="18"/>
  <c r="H440" i="18"/>
  <c r="H456" i="18"/>
  <c r="H464" i="18"/>
  <c r="H480" i="18"/>
  <c r="H488" i="18"/>
  <c r="H496" i="18"/>
  <c r="H9" i="18"/>
  <c r="H17" i="18"/>
  <c r="H33" i="18"/>
  <c r="H41" i="18"/>
  <c r="H57" i="18"/>
  <c r="H65" i="18"/>
  <c r="H73" i="18"/>
  <c r="H81" i="18"/>
  <c r="H97" i="18"/>
  <c r="H105" i="18"/>
  <c r="H121" i="18"/>
  <c r="H129" i="18"/>
  <c r="H137" i="18"/>
  <c r="H145" i="18"/>
  <c r="H161" i="18"/>
  <c r="H169" i="18"/>
  <c r="H185" i="18"/>
  <c r="H193" i="18"/>
  <c r="H201" i="18"/>
  <c r="H209" i="18"/>
  <c r="H225" i="18"/>
  <c r="H233" i="18"/>
  <c r="H249" i="18"/>
  <c r="H257" i="18"/>
  <c r="H265" i="18"/>
  <c r="H273" i="18"/>
  <c r="H289" i="18"/>
  <c r="H297" i="18"/>
  <c r="H313" i="18"/>
  <c r="H321" i="18"/>
  <c r="H329" i="18"/>
  <c r="H337" i="18"/>
  <c r="H353" i="18"/>
  <c r="H361" i="18"/>
  <c r="H377" i="18"/>
  <c r="H385" i="18"/>
  <c r="H393" i="18"/>
  <c r="H401" i="18"/>
  <c r="H409" i="18"/>
  <c r="H417" i="18"/>
  <c r="H425" i="18"/>
  <c r="H441" i="18"/>
  <c r="H449" i="18"/>
  <c r="H457" i="18"/>
  <c r="H465" i="18"/>
  <c r="H473" i="18"/>
  <c r="H481" i="18"/>
  <c r="H489" i="18"/>
  <c r="H10" i="18"/>
  <c r="H18" i="18"/>
  <c r="H26" i="18"/>
  <c r="H34" i="18"/>
  <c r="H42" i="18"/>
  <c r="H50" i="18"/>
  <c r="H58" i="18"/>
  <c r="H74" i="18"/>
  <c r="H82" i="18"/>
  <c r="H90" i="18"/>
  <c r="H98" i="18"/>
  <c r="H106" i="18"/>
  <c r="H114" i="18"/>
  <c r="H122" i="18"/>
  <c r="H138" i="18"/>
  <c r="H146" i="18"/>
  <c r="H154" i="18"/>
  <c r="H162" i="18"/>
  <c r="H170" i="18"/>
  <c r="H178" i="18"/>
  <c r="H186" i="18"/>
  <c r="H202" i="18"/>
  <c r="H210" i="18"/>
  <c r="H218" i="18"/>
  <c r="H226" i="18"/>
  <c r="H234" i="18"/>
  <c r="H242" i="18"/>
  <c r="H250" i="18"/>
  <c r="H266" i="18"/>
  <c r="H274" i="18"/>
  <c r="H282" i="18"/>
  <c r="H290" i="18"/>
  <c r="H298" i="18"/>
  <c r="H306" i="18"/>
  <c r="H314" i="18"/>
  <c r="H330" i="18"/>
  <c r="H338" i="18"/>
  <c r="H346" i="18"/>
  <c r="H354" i="18"/>
  <c r="H362" i="18"/>
  <c r="H370" i="18"/>
  <c r="H378" i="18"/>
  <c r="H394" i="18"/>
  <c r="H402" i="18"/>
  <c r="H410" i="18"/>
  <c r="H418" i="18"/>
  <c r="H426" i="18"/>
  <c r="H323" i="18"/>
  <c r="H331" i="18"/>
  <c r="H347" i="18"/>
  <c r="H355" i="18"/>
  <c r="H363" i="18"/>
  <c r="H371" i="18"/>
  <c r="H379" i="18"/>
  <c r="H387" i="18"/>
  <c r="H395" i="18"/>
  <c r="H411" i="18"/>
  <c r="H419" i="18"/>
  <c r="H427" i="18"/>
  <c r="H435" i="18"/>
  <c r="H443" i="18"/>
  <c r="H451" i="18"/>
  <c r="H459" i="18"/>
  <c r="H475" i="18"/>
  <c r="H483" i="18"/>
  <c r="H491" i="18"/>
  <c r="H499" i="18"/>
  <c r="H308" i="18"/>
  <c r="H316" i="18"/>
  <c r="H324" i="18"/>
  <c r="H340" i="18"/>
  <c r="H348" i="18"/>
  <c r="H356" i="18"/>
  <c r="H364" i="18"/>
  <c r="H372" i="18"/>
  <c r="H380" i="18"/>
  <c r="H388" i="18"/>
  <c r="H404" i="18"/>
  <c r="H412" i="18"/>
  <c r="H420" i="18"/>
  <c r="H428" i="18"/>
  <c r="H436" i="18"/>
  <c r="H444" i="18"/>
  <c r="H452" i="18"/>
  <c r="H468" i="18"/>
  <c r="H476" i="18"/>
  <c r="H484" i="18"/>
  <c r="H492" i="18"/>
  <c r="H500" i="18"/>
  <c r="H434" i="18"/>
  <c r="H442" i="18"/>
  <c r="H458" i="18"/>
  <c r="H466" i="18"/>
  <c r="H474" i="18"/>
  <c r="H482" i="18"/>
  <c r="H490" i="18"/>
  <c r="H498" i="18"/>
  <c r="C108" i="14"/>
  <c r="C109" i="14"/>
  <c r="C63" i="14"/>
  <c r="E63" i="14"/>
  <c r="B155" i="1"/>
  <c r="C155" i="1"/>
  <c r="D155" i="1"/>
  <c r="E155" i="1"/>
  <c r="F155" i="1"/>
  <c r="G155" i="1"/>
  <c r="F253" i="3"/>
  <c r="G253" i="3" s="1"/>
  <c r="H253" i="3" s="1"/>
  <c r="I253" i="3" s="1"/>
  <c r="B1011" i="16" l="1"/>
  <c r="B1012" i="16" s="1"/>
  <c r="B1013" i="16" s="1"/>
  <c r="B1014" i="16" s="1"/>
  <c r="B1015" i="16" s="1"/>
  <c r="B1016" i="16" s="1"/>
  <c r="B1017" i="16" s="1"/>
  <c r="B1018" i="16" s="1"/>
  <c r="B1019" i="16" s="1"/>
  <c r="B1020" i="16" s="1"/>
  <c r="B1021" i="16" s="1"/>
  <c r="B1022" i="16" s="1"/>
  <c r="B1023" i="16" s="1"/>
  <c r="B1024" i="16" s="1"/>
  <c r="B1025" i="16" s="1"/>
  <c r="B1026" i="16" s="1"/>
  <c r="B1027" i="16" s="1"/>
  <c r="B1028" i="16" s="1"/>
  <c r="B1029" i="16" s="1"/>
  <c r="B1030" i="16" s="1"/>
  <c r="B1031" i="16" s="1"/>
  <c r="B1032" i="16" s="1"/>
  <c r="B1033" i="16" s="1"/>
  <c r="B1034" i="16" s="1"/>
  <c r="B1035" i="16" s="1"/>
  <c r="B1036" i="16" s="1"/>
  <c r="B1037" i="16" s="1"/>
  <c r="B1038" i="16" s="1"/>
  <c r="B1039" i="16" s="1"/>
  <c r="B1040" i="16" s="1"/>
  <c r="B1041" i="16" s="1"/>
  <c r="B1042" i="16" s="1"/>
  <c r="B1043" i="16" s="1"/>
  <c r="B1044" i="16" s="1"/>
  <c r="B1045" i="16" s="1"/>
  <c r="B1046" i="16" s="1"/>
  <c r="B1047" i="16" s="1"/>
  <c r="B1048" i="16" s="1"/>
  <c r="B1049" i="16" s="1"/>
  <c r="B1050" i="16" s="1"/>
  <c r="B1051" i="16" s="1"/>
  <c r="B1052" i="16" s="1"/>
  <c r="B1053" i="16" s="1"/>
  <c r="B1054" i="16" s="1"/>
  <c r="B1055" i="16" s="1"/>
  <c r="B1056" i="16" s="1"/>
  <c r="B1057" i="16" s="1"/>
  <c r="B1058" i="16" s="1"/>
  <c r="B1059" i="16" s="1"/>
  <c r="B1060" i="16" s="1"/>
  <c r="B1061" i="16" s="1"/>
  <c r="B1062" i="16" s="1"/>
  <c r="B1063" i="16" s="1"/>
  <c r="B1064" i="16" s="1"/>
  <c r="B1065" i="16" s="1"/>
  <c r="B1066" i="16" s="1"/>
  <c r="B1067" i="16" s="1"/>
  <c r="B1068" i="16" s="1"/>
  <c r="B1069" i="16" s="1"/>
  <c r="B1070" i="16" s="1"/>
  <c r="B1071" i="16" s="1"/>
  <c r="B1072" i="16" s="1"/>
  <c r="B1073" i="16" s="1"/>
  <c r="B1074" i="16" s="1"/>
  <c r="B1075" i="16" s="1"/>
  <c r="B1076" i="16" s="1"/>
  <c r="B1077" i="16" s="1"/>
  <c r="B1078" i="16" s="1"/>
  <c r="B1079" i="16" s="1"/>
  <c r="B1080" i="16" s="1"/>
  <c r="B1081" i="16" s="1"/>
  <c r="B1082" i="16" s="1"/>
  <c r="B1083" i="16" s="1"/>
  <c r="B1084" i="16" s="1"/>
  <c r="B1085" i="16" s="1"/>
  <c r="B1086" i="16" s="1"/>
  <c r="B1087" i="16" s="1"/>
  <c r="B1088" i="16" s="1"/>
  <c r="B1089" i="16" s="1"/>
  <c r="B1090" i="16" s="1"/>
  <c r="B1091" i="16" s="1"/>
  <c r="B1092" i="16" s="1"/>
  <c r="B1093" i="16" s="1"/>
  <c r="B1094" i="16" s="1"/>
  <c r="B1095" i="16" s="1"/>
  <c r="B1096" i="16" s="1"/>
  <c r="B1097" i="16" s="1"/>
  <c r="B1098" i="16" s="1"/>
  <c r="B1099" i="16" s="1"/>
  <c r="B1100" i="16" s="1"/>
  <c r="B1101" i="16" s="1"/>
  <c r="B1102" i="16" s="1"/>
  <c r="B1103" i="16" s="1"/>
  <c r="B1104" i="16" s="1"/>
  <c r="B1105" i="16" s="1"/>
  <c r="B1106" i="16" s="1"/>
  <c r="B1107" i="16" s="1"/>
  <c r="B1108" i="16" s="1"/>
  <c r="B1109" i="16" s="1"/>
  <c r="B1110" i="16" s="1"/>
  <c r="B1111" i="16" s="1"/>
  <c r="B1112" i="16" s="1"/>
  <c r="B1113" i="16" s="1"/>
  <c r="B1114" i="16" s="1"/>
  <c r="B1115" i="16" s="1"/>
  <c r="B1116" i="16" s="1"/>
  <c r="B1117" i="16" s="1"/>
  <c r="B1118" i="16" s="1"/>
  <c r="B1119" i="16" s="1"/>
  <c r="B1120" i="16" s="1"/>
  <c r="B1121" i="16" s="1"/>
  <c r="B1122" i="16" s="1"/>
  <c r="B1123" i="16" s="1"/>
  <c r="B1124" i="16" s="1"/>
  <c r="B1125" i="16" s="1"/>
  <c r="B1126" i="16" s="1"/>
  <c r="B1127" i="16" s="1"/>
  <c r="B1128" i="16" s="1"/>
  <c r="B1129" i="16" s="1"/>
  <c r="B1130" i="16" s="1"/>
  <c r="B1131" i="16" s="1"/>
  <c r="B1132" i="16" s="1"/>
  <c r="B1133" i="16" s="1"/>
  <c r="B1134" i="16" s="1"/>
  <c r="B1135" i="16" s="1"/>
  <c r="B1136" i="16" s="1"/>
  <c r="B1137" i="16" s="1"/>
  <c r="B1138" i="16" s="1"/>
  <c r="B1139" i="16" s="1"/>
  <c r="B1140" i="16" s="1"/>
  <c r="B1141" i="16" s="1"/>
  <c r="B1142" i="16" s="1"/>
  <c r="B1143" i="16" s="1"/>
  <c r="B1144" i="16" s="1"/>
  <c r="B1145" i="16" s="1"/>
  <c r="B1146" i="16" s="1"/>
  <c r="B1147" i="16" s="1"/>
  <c r="B1148" i="16" s="1"/>
  <c r="B1149" i="16" s="1"/>
  <c r="B1150" i="16" s="1"/>
  <c r="B1151" i="16" s="1"/>
  <c r="B1152" i="16" s="1"/>
  <c r="B1153" i="16" s="1"/>
  <c r="B1154" i="16" s="1"/>
  <c r="B1155" i="16" s="1"/>
  <c r="B1156" i="16" s="1"/>
  <c r="B1157" i="16" s="1"/>
  <c r="B1158" i="16" s="1"/>
  <c r="B1159" i="16" s="1"/>
  <c r="B1160" i="16" s="1"/>
  <c r="B1161" i="16" s="1"/>
  <c r="B1162" i="16" s="1"/>
  <c r="B1163" i="16" s="1"/>
  <c r="B1164" i="16" s="1"/>
  <c r="B1165" i="16" s="1"/>
  <c r="B1166" i="16" s="1"/>
  <c r="B1167" i="16" s="1"/>
  <c r="B1168" i="16" s="1"/>
  <c r="B1169" i="16" s="1"/>
  <c r="B1170" i="16" s="1"/>
  <c r="B1171" i="16" s="1"/>
  <c r="B1172" i="16" s="1"/>
  <c r="B1173" i="16" s="1"/>
  <c r="B1174" i="16" s="1"/>
  <c r="B1175" i="16" s="1"/>
  <c r="B1176" i="16" s="1"/>
  <c r="B1177" i="16" s="1"/>
  <c r="B1178" i="16" s="1"/>
  <c r="B1179" i="16" s="1"/>
  <c r="B1180" i="16" s="1"/>
  <c r="B1181" i="16" s="1"/>
  <c r="B1182" i="16" s="1"/>
  <c r="B1183" i="16" s="1"/>
  <c r="B1184" i="16" s="1"/>
  <c r="B1185" i="16" s="1"/>
  <c r="B1186" i="16" s="1"/>
  <c r="B1187" i="16" s="1"/>
  <c r="B1188" i="16" s="1"/>
  <c r="B1189" i="16" s="1"/>
  <c r="B1190" i="16" s="1"/>
  <c r="B1191" i="16" s="1"/>
  <c r="B1192" i="16" s="1"/>
  <c r="B1193" i="16" s="1"/>
  <c r="B1194" i="16" s="1"/>
  <c r="B1195" i="16" s="1"/>
  <c r="B1196" i="16" s="1"/>
  <c r="B1197" i="16" s="1"/>
  <c r="B1198" i="16" s="1"/>
  <c r="B1199" i="16" s="1"/>
  <c r="B1200" i="16" s="1"/>
  <c r="B1201" i="16" s="1"/>
  <c r="B1202" i="16" s="1"/>
  <c r="B1203" i="16" s="1"/>
  <c r="B1204" i="16" s="1"/>
  <c r="B1205" i="16" s="1"/>
  <c r="B1206" i="16" s="1"/>
  <c r="B1207" i="16" s="1"/>
  <c r="B1208" i="16" s="1"/>
  <c r="B1209" i="16" s="1"/>
  <c r="B1210" i="16" s="1"/>
  <c r="B1211" i="16" s="1"/>
  <c r="B1212" i="16" s="1"/>
  <c r="B1213" i="16" s="1"/>
  <c r="B1214" i="16" s="1"/>
  <c r="B1215" i="16" s="1"/>
  <c r="B1216" i="16" s="1"/>
  <c r="B1217" i="16" s="1"/>
  <c r="B1218" i="16" s="1"/>
  <c r="B1219" i="16" s="1"/>
  <c r="B1220" i="16" s="1"/>
  <c r="B1221" i="16" s="1"/>
  <c r="B1222" i="16" s="1"/>
  <c r="B1223" i="16" s="1"/>
  <c r="B1224" i="16" s="1"/>
  <c r="B1225" i="16" s="1"/>
  <c r="B1226" i="16" s="1"/>
  <c r="B1227" i="16" s="1"/>
  <c r="B1228" i="16" s="1"/>
  <c r="B1229" i="16" s="1"/>
  <c r="B1230" i="16" s="1"/>
  <c r="B1231" i="16" s="1"/>
  <c r="B1232" i="16" s="1"/>
  <c r="B1233" i="16" s="1"/>
  <c r="B1234" i="16" s="1"/>
  <c r="B1235" i="16" s="1"/>
  <c r="B1236" i="16" s="1"/>
  <c r="B1237" i="16" s="1"/>
  <c r="B1238" i="16" s="1"/>
  <c r="B1239" i="16" s="1"/>
  <c r="B1240" i="16" s="1"/>
  <c r="B1241" i="16" s="1"/>
  <c r="B1242" i="16" s="1"/>
  <c r="B1243" i="16" s="1"/>
  <c r="B1244" i="16" s="1"/>
  <c r="B1245" i="16" s="1"/>
  <c r="B1246" i="16" s="1"/>
  <c r="B1247" i="16" s="1"/>
  <c r="B1248" i="16" s="1"/>
  <c r="B1249" i="16" s="1"/>
  <c r="B1250" i="16" s="1"/>
  <c r="B1251" i="16" s="1"/>
  <c r="B1252" i="16" s="1"/>
  <c r="B1253" i="16" s="1"/>
  <c r="B1254" i="16" s="1"/>
  <c r="B1255" i="16" s="1"/>
  <c r="B1256" i="16" s="1"/>
  <c r="B1257" i="16" s="1"/>
  <c r="B1258" i="16" s="1"/>
  <c r="B1259" i="16" s="1"/>
  <c r="B1260" i="16" s="1"/>
  <c r="B1261" i="16" s="1"/>
  <c r="B1262" i="16" s="1"/>
  <c r="B1263" i="16" s="1"/>
  <c r="B1264" i="16" s="1"/>
  <c r="B1265" i="16" s="1"/>
  <c r="B1266" i="16" s="1"/>
  <c r="B1267" i="16" s="1"/>
  <c r="B1268" i="16" s="1"/>
  <c r="B1269" i="16" s="1"/>
  <c r="B1270" i="16" s="1"/>
  <c r="B1271" i="16" s="1"/>
  <c r="B1272" i="16" s="1"/>
  <c r="B1273" i="16" s="1"/>
  <c r="B1274" i="16" s="1"/>
  <c r="B1275" i="16" s="1"/>
  <c r="B1276" i="16" s="1"/>
  <c r="B1277" i="16" s="1"/>
  <c r="B1278" i="16" s="1"/>
  <c r="B1279" i="16" s="1"/>
  <c r="B1280" i="16" s="1"/>
  <c r="B1281" i="16" s="1"/>
  <c r="B1282" i="16" s="1"/>
  <c r="B1283" i="16" s="1"/>
  <c r="B1284" i="16" s="1"/>
  <c r="B1285" i="16" s="1"/>
  <c r="B1286" i="16" s="1"/>
  <c r="B1287" i="16" s="1"/>
  <c r="B1288" i="16" s="1"/>
  <c r="B1289" i="16" s="1"/>
  <c r="B1290" i="16" s="1"/>
  <c r="B1291" i="16" s="1"/>
  <c r="B1292" i="16" s="1"/>
  <c r="B1293" i="16" s="1"/>
  <c r="B1294" i="16" s="1"/>
  <c r="B1295" i="16" s="1"/>
  <c r="B1296" i="16" s="1"/>
  <c r="B1297" i="16" s="1"/>
  <c r="B1298" i="16" s="1"/>
  <c r="B1299" i="16" s="1"/>
  <c r="B1300" i="16" s="1"/>
  <c r="B1301" i="16" s="1"/>
  <c r="B1302" i="16" s="1"/>
  <c r="B1303" i="16" s="1"/>
  <c r="B1304" i="16" s="1"/>
  <c r="B1305" i="16" s="1"/>
  <c r="B1306" i="16" s="1"/>
  <c r="B1307" i="16" s="1"/>
  <c r="B1308" i="16" s="1"/>
  <c r="B1309" i="16" s="1"/>
  <c r="B1310" i="16" s="1"/>
  <c r="B1311" i="16" s="1"/>
  <c r="B1312" i="16" s="1"/>
  <c r="B1313" i="16" s="1"/>
  <c r="B1314" i="16" s="1"/>
  <c r="B1315" i="16" s="1"/>
  <c r="B1316" i="16" s="1"/>
  <c r="B1317" i="16" s="1"/>
  <c r="B1318" i="16" s="1"/>
  <c r="B1319" i="16" s="1"/>
  <c r="B1320" i="16" s="1"/>
  <c r="B1321" i="16" s="1"/>
  <c r="B1322" i="16" s="1"/>
  <c r="B1323" i="16" s="1"/>
  <c r="B1324" i="16" s="1"/>
  <c r="B1325" i="16" s="1"/>
  <c r="B1326" i="16" s="1"/>
  <c r="B1327" i="16" s="1"/>
  <c r="B1328" i="16" s="1"/>
  <c r="B1329" i="16" s="1"/>
  <c r="B1330" i="16" s="1"/>
  <c r="B1331" i="16" s="1"/>
  <c r="B1332" i="16" s="1"/>
  <c r="B1333" i="16" s="1"/>
  <c r="B1334" i="16" s="1"/>
  <c r="B1335" i="16" s="1"/>
  <c r="B1336" i="16" s="1"/>
  <c r="B1337" i="16" s="1"/>
  <c r="B1338" i="16" s="1"/>
  <c r="B1339" i="16" s="1"/>
  <c r="B1340" i="16" s="1"/>
  <c r="B1341" i="16" s="1"/>
  <c r="B1342" i="16" s="1"/>
  <c r="B1343" i="16" s="1"/>
  <c r="B1344" i="16" s="1"/>
  <c r="B1345" i="16" s="1"/>
  <c r="B1346" i="16" s="1"/>
  <c r="B1347" i="16" s="1"/>
  <c r="B1348" i="16" s="1"/>
  <c r="B1349" i="16" s="1"/>
  <c r="B1350" i="16" s="1"/>
  <c r="B1351" i="16" s="1"/>
  <c r="B1352" i="16" s="1"/>
  <c r="B1353" i="16" s="1"/>
  <c r="B1354" i="16" s="1"/>
  <c r="B1355" i="16" s="1"/>
  <c r="B1356" i="16" s="1"/>
  <c r="B1357" i="16" s="1"/>
  <c r="B1358" i="16" s="1"/>
  <c r="B1359" i="16" s="1"/>
  <c r="B1360" i="16" s="1"/>
  <c r="B1361" i="16" s="1"/>
  <c r="B1362" i="16" s="1"/>
  <c r="B1363" i="16" s="1"/>
  <c r="B1364" i="16" s="1"/>
  <c r="B1365" i="16" s="1"/>
  <c r="B1366" i="16" s="1"/>
  <c r="B1367" i="16" s="1"/>
  <c r="B1368" i="16" s="1"/>
  <c r="B1369" i="16" s="1"/>
  <c r="B1370" i="16" s="1"/>
  <c r="B1371" i="16" s="1"/>
  <c r="B1372" i="16" s="1"/>
  <c r="B1373" i="16" s="1"/>
  <c r="B1374" i="16" s="1"/>
  <c r="B1375" i="16" s="1"/>
  <c r="B1376" i="16" s="1"/>
  <c r="B1377" i="16" s="1"/>
  <c r="B1378" i="16" s="1"/>
  <c r="B1379" i="16" s="1"/>
  <c r="B1380" i="16" s="1"/>
  <c r="B1381" i="16" s="1"/>
  <c r="B1382" i="16" s="1"/>
  <c r="B1383" i="16" s="1"/>
  <c r="B1384" i="16" s="1"/>
  <c r="B1385" i="16" s="1"/>
  <c r="B1386" i="16" s="1"/>
  <c r="B1387" i="16" s="1"/>
  <c r="B1388" i="16" s="1"/>
  <c r="B1389" i="16" s="1"/>
  <c r="B1390" i="16" s="1"/>
  <c r="B1391" i="16" s="1"/>
  <c r="B1392" i="16" s="1"/>
  <c r="B1393" i="16" s="1"/>
  <c r="B1394" i="16" s="1"/>
  <c r="B1395" i="16" s="1"/>
  <c r="B1396" i="16" s="1"/>
  <c r="B1397" i="16" s="1"/>
  <c r="B1398" i="16" s="1"/>
  <c r="B1399" i="16" s="1"/>
  <c r="B1400" i="16" s="1"/>
  <c r="B1401" i="16" s="1"/>
  <c r="B1402" i="16" s="1"/>
  <c r="B1403" i="16" s="1"/>
  <c r="B1404" i="16" s="1"/>
  <c r="B1405" i="16" s="1"/>
  <c r="B1406" i="16" s="1"/>
  <c r="B1407" i="16" s="1"/>
  <c r="B1408" i="16" s="1"/>
  <c r="B1409" i="16" s="1"/>
  <c r="B1410" i="16" s="1"/>
  <c r="B1411" i="16" s="1"/>
  <c r="B1412" i="16" s="1"/>
  <c r="B1413" i="16" s="1"/>
  <c r="B1414" i="16" s="1"/>
  <c r="B1415" i="16" s="1"/>
  <c r="B1416" i="16" s="1"/>
  <c r="B1417" i="16" s="1"/>
  <c r="B1418" i="16" s="1"/>
  <c r="B1419" i="16" s="1"/>
  <c r="B1420" i="16" s="1"/>
  <c r="B1421" i="16" s="1"/>
  <c r="B1422" i="16" s="1"/>
  <c r="B1423" i="16" s="1"/>
  <c r="B1424" i="16" s="1"/>
  <c r="B1425" i="16" s="1"/>
  <c r="B1426" i="16" s="1"/>
  <c r="B1427" i="16" s="1"/>
  <c r="B1428" i="16" s="1"/>
  <c r="B1429" i="16" s="1"/>
  <c r="B1430" i="16" s="1"/>
  <c r="B1431" i="16" s="1"/>
  <c r="B1432" i="16" s="1"/>
  <c r="B1433" i="16" s="1"/>
  <c r="B1434" i="16" s="1"/>
  <c r="B1435" i="16" s="1"/>
  <c r="B1436" i="16" s="1"/>
  <c r="B1437" i="16" s="1"/>
  <c r="B1438" i="16" s="1"/>
  <c r="B1439" i="16" s="1"/>
  <c r="B1440" i="16" s="1"/>
  <c r="B1441" i="16" s="1"/>
  <c r="B1442" i="16" s="1"/>
  <c r="B1443" i="16" s="1"/>
  <c r="B1444" i="16" s="1"/>
  <c r="B1445" i="16" s="1"/>
  <c r="B1446" i="16" s="1"/>
  <c r="B1447" i="16" s="1"/>
  <c r="B1448" i="16" s="1"/>
  <c r="B1449" i="16" s="1"/>
  <c r="B1450" i="16" s="1"/>
  <c r="B1451" i="16" s="1"/>
  <c r="B1452" i="16" s="1"/>
  <c r="B1453" i="16" s="1"/>
  <c r="B1454" i="16" s="1"/>
  <c r="B1455" i="16" s="1"/>
  <c r="B1456" i="16" s="1"/>
  <c r="B1457" i="16" s="1"/>
  <c r="B1458" i="16" s="1"/>
  <c r="B1459" i="16" s="1"/>
  <c r="B1460" i="16" s="1"/>
  <c r="B1461" i="16" s="1"/>
  <c r="B1462" i="16" s="1"/>
  <c r="B1463" i="16" s="1"/>
  <c r="B1464" i="16" s="1"/>
  <c r="B1465" i="16" s="1"/>
  <c r="B1466" i="16" s="1"/>
  <c r="B1467" i="16" s="1"/>
  <c r="B1468" i="16" s="1"/>
  <c r="B1469" i="16" s="1"/>
  <c r="B1470" i="16" s="1"/>
  <c r="B1471" i="16" s="1"/>
  <c r="B1472" i="16" s="1"/>
  <c r="B1473" i="16" s="1"/>
  <c r="B1474" i="16" s="1"/>
  <c r="B1475" i="16" s="1"/>
  <c r="B1476" i="16" s="1"/>
  <c r="B1477" i="16" s="1"/>
  <c r="B1478" i="16" s="1"/>
  <c r="B1479" i="16" s="1"/>
  <c r="B1480" i="16" s="1"/>
  <c r="B1481" i="16" s="1"/>
  <c r="B1482" i="16" s="1"/>
  <c r="B1483" i="16" s="1"/>
  <c r="B1484" i="16" s="1"/>
  <c r="B1485" i="16" s="1"/>
  <c r="B1486" i="16" s="1"/>
  <c r="B1487" i="16" s="1"/>
  <c r="B1488" i="16" s="1"/>
  <c r="B1489" i="16" s="1"/>
  <c r="B1490" i="16" s="1"/>
  <c r="B1491" i="16" s="1"/>
  <c r="B1492" i="16" s="1"/>
  <c r="B1493" i="16" s="1"/>
  <c r="B1494" i="16" s="1"/>
  <c r="B1495" i="16" s="1"/>
  <c r="B1496" i="16" s="1"/>
  <c r="B1497" i="16" s="1"/>
  <c r="B1498" i="16" s="1"/>
  <c r="B1499" i="16" s="1"/>
  <c r="B1500" i="16" s="1"/>
  <c r="B1501" i="16" s="1"/>
  <c r="B1502" i="16" s="1"/>
  <c r="B1503" i="16" s="1"/>
  <c r="B1504" i="16" s="1"/>
  <c r="B1505" i="16" s="1"/>
  <c r="B1506" i="16" s="1"/>
  <c r="B1507" i="16" s="1"/>
  <c r="B1508" i="16" s="1"/>
  <c r="B1509" i="16" s="1"/>
  <c r="B1510" i="16" s="1"/>
  <c r="C1011" i="16"/>
  <c r="C1012" i="16" s="1"/>
  <c r="C1013" i="16" s="1"/>
  <c r="C1014" i="16" s="1"/>
  <c r="C1015" i="16" s="1"/>
  <c r="C1016" i="16" s="1"/>
  <c r="C1017" i="16" s="1"/>
  <c r="C1018" i="16" s="1"/>
  <c r="C1019" i="16" s="1"/>
  <c r="C1020" i="16" s="1"/>
  <c r="C1021" i="16" s="1"/>
  <c r="C1022" i="16" s="1"/>
  <c r="C1023" i="16" s="1"/>
  <c r="C1024" i="16" s="1"/>
  <c r="C1025" i="16" s="1"/>
  <c r="C1026" i="16" s="1"/>
  <c r="C1027" i="16" s="1"/>
  <c r="C1028" i="16" s="1"/>
  <c r="C1029" i="16" s="1"/>
  <c r="C1030" i="16" s="1"/>
  <c r="C1031" i="16" s="1"/>
  <c r="C1032" i="16" s="1"/>
  <c r="C1033" i="16" s="1"/>
  <c r="C1034" i="16" s="1"/>
  <c r="C1035" i="16" s="1"/>
  <c r="C1036" i="16" s="1"/>
  <c r="C1037" i="16" s="1"/>
  <c r="C1038" i="16" s="1"/>
  <c r="C1039" i="16" s="1"/>
  <c r="C1040" i="16" s="1"/>
  <c r="C1041" i="16" s="1"/>
  <c r="C1042" i="16" s="1"/>
  <c r="C1043" i="16" s="1"/>
  <c r="C1044" i="16" s="1"/>
  <c r="C1045" i="16" s="1"/>
  <c r="C1046" i="16" s="1"/>
  <c r="C1047" i="16" s="1"/>
  <c r="C1048" i="16" s="1"/>
  <c r="C1049" i="16" s="1"/>
  <c r="C1050" i="16" s="1"/>
  <c r="C1051" i="16" s="1"/>
  <c r="C1052" i="16" s="1"/>
  <c r="C1053" i="16" s="1"/>
  <c r="C1054" i="16" s="1"/>
  <c r="C1055" i="16" s="1"/>
  <c r="C1056" i="16" s="1"/>
  <c r="C1057" i="16" s="1"/>
  <c r="C1058" i="16" s="1"/>
  <c r="C1059" i="16" s="1"/>
  <c r="C1060" i="16" s="1"/>
  <c r="C1061" i="16" s="1"/>
  <c r="C1062" i="16" s="1"/>
  <c r="C1063" i="16" s="1"/>
  <c r="C1064" i="16" s="1"/>
  <c r="C1065" i="16" s="1"/>
  <c r="C1066" i="16" s="1"/>
  <c r="C1067" i="16" s="1"/>
  <c r="C1068" i="16" s="1"/>
  <c r="C1069" i="16" s="1"/>
  <c r="C1070" i="16" s="1"/>
  <c r="C1071" i="16" s="1"/>
  <c r="C1072" i="16" s="1"/>
  <c r="C1073" i="16" s="1"/>
  <c r="C1074" i="16" s="1"/>
  <c r="C1075" i="16" s="1"/>
  <c r="C1076" i="16" s="1"/>
  <c r="C1077" i="16" s="1"/>
  <c r="C1078" i="16" s="1"/>
  <c r="C1079" i="16" s="1"/>
  <c r="C1080" i="16" s="1"/>
  <c r="C1081" i="16" s="1"/>
  <c r="C1082" i="16" s="1"/>
  <c r="C1083" i="16" s="1"/>
  <c r="C1084" i="16" s="1"/>
  <c r="C1085" i="16" s="1"/>
  <c r="C1086" i="16" s="1"/>
  <c r="C1087" i="16" s="1"/>
  <c r="C1088" i="16" s="1"/>
  <c r="C1089" i="16" s="1"/>
  <c r="C1090" i="16" s="1"/>
  <c r="C1091" i="16" s="1"/>
  <c r="C1092" i="16" s="1"/>
  <c r="C1093" i="16" s="1"/>
  <c r="C1094" i="16" s="1"/>
  <c r="C1095" i="16" s="1"/>
  <c r="C1096" i="16" s="1"/>
  <c r="C1097" i="16" s="1"/>
  <c r="C1098" i="16" s="1"/>
  <c r="C1099" i="16" s="1"/>
  <c r="C1100" i="16" s="1"/>
  <c r="C1101" i="16" s="1"/>
  <c r="C1102" i="16" s="1"/>
  <c r="C1103" i="16" s="1"/>
  <c r="C1104" i="16" s="1"/>
  <c r="C1105" i="16" s="1"/>
  <c r="C1106" i="16" s="1"/>
  <c r="C1107" i="16" s="1"/>
  <c r="C1108" i="16" s="1"/>
  <c r="C1109" i="16" s="1"/>
  <c r="C1110" i="16" s="1"/>
  <c r="C1111" i="16" s="1"/>
  <c r="C1112" i="16" s="1"/>
  <c r="C1113" i="16" s="1"/>
  <c r="C1114" i="16" s="1"/>
  <c r="C1115" i="16" s="1"/>
  <c r="C1116" i="16" s="1"/>
  <c r="C1117" i="16" s="1"/>
  <c r="C1118" i="16" s="1"/>
  <c r="C1119" i="16" s="1"/>
  <c r="C1120" i="16" s="1"/>
  <c r="C1121" i="16" s="1"/>
  <c r="C1122" i="16" s="1"/>
  <c r="C1123" i="16" s="1"/>
  <c r="C1124" i="16" s="1"/>
  <c r="C1125" i="16" s="1"/>
  <c r="C1126" i="16" s="1"/>
  <c r="C1127" i="16" s="1"/>
  <c r="C1128" i="16" s="1"/>
  <c r="C1129" i="16" s="1"/>
  <c r="C1130" i="16" s="1"/>
  <c r="C1131" i="16" s="1"/>
  <c r="C1132" i="16" s="1"/>
  <c r="C1133" i="16" s="1"/>
  <c r="C1134" i="16" s="1"/>
  <c r="C1135" i="16" s="1"/>
  <c r="C1136" i="16" s="1"/>
  <c r="C1137" i="16" s="1"/>
  <c r="C1138" i="16" s="1"/>
  <c r="C1139" i="16" s="1"/>
  <c r="C1140" i="16" s="1"/>
  <c r="C1141" i="16" s="1"/>
  <c r="C1142" i="16" s="1"/>
  <c r="C1143" i="16" s="1"/>
  <c r="C1144" i="16" s="1"/>
  <c r="C1145" i="16" s="1"/>
  <c r="C1146" i="16" s="1"/>
  <c r="C1147" i="16" s="1"/>
  <c r="C1148" i="16" s="1"/>
  <c r="C1149" i="16" s="1"/>
  <c r="C1150" i="16" s="1"/>
  <c r="C1151" i="16" s="1"/>
  <c r="C1152" i="16" s="1"/>
  <c r="C1153" i="16" s="1"/>
  <c r="C1154" i="16" s="1"/>
  <c r="C1155" i="16" s="1"/>
  <c r="C1156" i="16" s="1"/>
  <c r="C1157" i="16" s="1"/>
  <c r="C1158" i="16" s="1"/>
  <c r="C1159" i="16" s="1"/>
  <c r="C1160" i="16" s="1"/>
  <c r="C1161" i="16" s="1"/>
  <c r="C1162" i="16" s="1"/>
  <c r="C1163" i="16" s="1"/>
  <c r="C1164" i="16" s="1"/>
  <c r="C1165" i="16" s="1"/>
  <c r="C1166" i="16" s="1"/>
  <c r="C1167" i="16" s="1"/>
  <c r="C1168" i="16" s="1"/>
  <c r="C1169" i="16" s="1"/>
  <c r="C1170" i="16" s="1"/>
  <c r="C1171" i="16" s="1"/>
  <c r="C1172" i="16" s="1"/>
  <c r="C1173" i="16" s="1"/>
  <c r="C1174" i="16" s="1"/>
  <c r="C1175" i="16" s="1"/>
  <c r="C1176" i="16" s="1"/>
  <c r="C1177" i="16" s="1"/>
  <c r="C1178" i="16" s="1"/>
  <c r="C1179" i="16" s="1"/>
  <c r="C1180" i="16" s="1"/>
  <c r="C1181" i="16" s="1"/>
  <c r="C1182" i="16" s="1"/>
  <c r="C1183" i="16" s="1"/>
  <c r="C1184" i="16" s="1"/>
  <c r="C1185" i="16" s="1"/>
  <c r="C1186" i="16" s="1"/>
  <c r="C1187" i="16" s="1"/>
  <c r="C1188" i="16" s="1"/>
  <c r="C1189" i="16" s="1"/>
  <c r="C1190" i="16" s="1"/>
  <c r="C1191" i="16" s="1"/>
  <c r="C1192" i="16" s="1"/>
  <c r="C1193" i="16" s="1"/>
  <c r="C1194" i="16" s="1"/>
  <c r="C1195" i="16" s="1"/>
  <c r="C1196" i="16" s="1"/>
  <c r="C1197" i="16" s="1"/>
  <c r="C1198" i="16" s="1"/>
  <c r="C1199" i="16" s="1"/>
  <c r="C1200" i="16" s="1"/>
  <c r="C1201" i="16" s="1"/>
  <c r="C1202" i="16" s="1"/>
  <c r="C1203" i="16" s="1"/>
  <c r="C1204" i="16" s="1"/>
  <c r="C1205" i="16" s="1"/>
  <c r="C1206" i="16" s="1"/>
  <c r="C1207" i="16" s="1"/>
  <c r="C1208" i="16" s="1"/>
  <c r="C1209" i="16" s="1"/>
  <c r="C1210" i="16" s="1"/>
  <c r="C1211" i="16" s="1"/>
  <c r="C1212" i="16" s="1"/>
  <c r="C1213" i="16" s="1"/>
  <c r="C1214" i="16" s="1"/>
  <c r="C1215" i="16" s="1"/>
  <c r="C1216" i="16" s="1"/>
  <c r="C1217" i="16" s="1"/>
  <c r="C1218" i="16" s="1"/>
  <c r="C1219" i="16" s="1"/>
  <c r="C1220" i="16" s="1"/>
  <c r="C1221" i="16" s="1"/>
  <c r="C1222" i="16" s="1"/>
  <c r="C1223" i="16" s="1"/>
  <c r="C1224" i="16" s="1"/>
  <c r="C1225" i="16" s="1"/>
  <c r="C1226" i="16" s="1"/>
  <c r="C1227" i="16" s="1"/>
  <c r="C1228" i="16" s="1"/>
  <c r="C1229" i="16" s="1"/>
  <c r="C1230" i="16" s="1"/>
  <c r="C1231" i="16" s="1"/>
  <c r="C1232" i="16" s="1"/>
  <c r="C1233" i="16" s="1"/>
  <c r="C1234" i="16" s="1"/>
  <c r="C1235" i="16" s="1"/>
  <c r="C1236" i="16" s="1"/>
  <c r="C1237" i="16" s="1"/>
  <c r="C1238" i="16" s="1"/>
  <c r="C1239" i="16" s="1"/>
  <c r="C1240" i="16" s="1"/>
  <c r="C1241" i="16" s="1"/>
  <c r="C1242" i="16" s="1"/>
  <c r="C1243" i="16" s="1"/>
  <c r="C1244" i="16" s="1"/>
  <c r="C1245" i="16" s="1"/>
  <c r="C1246" i="16" s="1"/>
  <c r="C1247" i="16" s="1"/>
  <c r="C1248" i="16" s="1"/>
  <c r="C1249" i="16" s="1"/>
  <c r="C1250" i="16" s="1"/>
  <c r="C1251" i="16" s="1"/>
  <c r="C1252" i="16" s="1"/>
  <c r="C1253" i="16" s="1"/>
  <c r="C1254" i="16" s="1"/>
  <c r="C1255" i="16" s="1"/>
  <c r="C1256" i="16" s="1"/>
  <c r="C1257" i="16" s="1"/>
  <c r="C1258" i="16" s="1"/>
  <c r="C1259" i="16" s="1"/>
  <c r="C1260" i="16" s="1"/>
  <c r="C1261" i="16" s="1"/>
  <c r="C1262" i="16" s="1"/>
  <c r="C1263" i="16" s="1"/>
  <c r="C1264" i="16" s="1"/>
  <c r="C1265" i="16" s="1"/>
  <c r="C1266" i="16" s="1"/>
  <c r="C1267" i="16" s="1"/>
  <c r="C1268" i="16" s="1"/>
  <c r="C1269" i="16" s="1"/>
  <c r="C1270" i="16" s="1"/>
  <c r="C1271" i="16" s="1"/>
  <c r="C1272" i="16" s="1"/>
  <c r="C1273" i="16" s="1"/>
  <c r="C1274" i="16" s="1"/>
  <c r="C1275" i="16" s="1"/>
  <c r="C1276" i="16" s="1"/>
  <c r="C1277" i="16" s="1"/>
  <c r="C1278" i="16" s="1"/>
  <c r="C1279" i="16" s="1"/>
  <c r="C1280" i="16" s="1"/>
  <c r="C1281" i="16" s="1"/>
  <c r="C1282" i="16" s="1"/>
  <c r="C1283" i="16" s="1"/>
  <c r="C1284" i="16" s="1"/>
  <c r="C1285" i="16" s="1"/>
  <c r="C1286" i="16" s="1"/>
  <c r="C1287" i="16" s="1"/>
  <c r="C1288" i="16" s="1"/>
  <c r="C1289" i="16" s="1"/>
  <c r="C1290" i="16" s="1"/>
  <c r="C1291" i="16" s="1"/>
  <c r="C1292" i="16" s="1"/>
  <c r="C1293" i="16" s="1"/>
  <c r="C1294" i="16" s="1"/>
  <c r="C1295" i="16" s="1"/>
  <c r="C1296" i="16" s="1"/>
  <c r="C1297" i="16" s="1"/>
  <c r="C1298" i="16" s="1"/>
  <c r="C1299" i="16" s="1"/>
  <c r="C1300" i="16" s="1"/>
  <c r="C1301" i="16" s="1"/>
  <c r="C1302" i="16" s="1"/>
  <c r="C1303" i="16" s="1"/>
  <c r="C1304" i="16" s="1"/>
  <c r="C1305" i="16" s="1"/>
  <c r="C1306" i="16" s="1"/>
  <c r="C1307" i="16" s="1"/>
  <c r="C1308" i="16" s="1"/>
  <c r="C1309" i="16" s="1"/>
  <c r="C1310" i="16" s="1"/>
  <c r="C1311" i="16" s="1"/>
  <c r="C1312" i="16" s="1"/>
  <c r="C1313" i="16" s="1"/>
  <c r="C1314" i="16" s="1"/>
  <c r="C1315" i="16" s="1"/>
  <c r="C1316" i="16" s="1"/>
  <c r="C1317" i="16" s="1"/>
  <c r="C1318" i="16" s="1"/>
  <c r="C1319" i="16" s="1"/>
  <c r="C1320" i="16" s="1"/>
  <c r="C1321" i="16" s="1"/>
  <c r="C1322" i="16" s="1"/>
  <c r="C1323" i="16" s="1"/>
  <c r="C1324" i="16" s="1"/>
  <c r="C1325" i="16" s="1"/>
  <c r="C1326" i="16" s="1"/>
  <c r="C1327" i="16" s="1"/>
  <c r="C1328" i="16" s="1"/>
  <c r="C1329" i="16" s="1"/>
  <c r="C1330" i="16" s="1"/>
  <c r="C1331" i="16" s="1"/>
  <c r="C1332" i="16" s="1"/>
  <c r="C1333" i="16" s="1"/>
  <c r="C1334" i="16" s="1"/>
  <c r="C1335" i="16" s="1"/>
  <c r="C1336" i="16" s="1"/>
  <c r="C1337" i="16" s="1"/>
  <c r="C1338" i="16" s="1"/>
  <c r="C1339" i="16" s="1"/>
  <c r="C1340" i="16" s="1"/>
  <c r="C1341" i="16" s="1"/>
  <c r="C1342" i="16" s="1"/>
  <c r="C1343" i="16" s="1"/>
  <c r="C1344" i="16" s="1"/>
  <c r="C1345" i="16" s="1"/>
  <c r="C1346" i="16" s="1"/>
  <c r="C1347" i="16" s="1"/>
  <c r="C1348" i="16" s="1"/>
  <c r="C1349" i="16" s="1"/>
  <c r="C1350" i="16" s="1"/>
  <c r="C1351" i="16" s="1"/>
  <c r="C1352" i="16" s="1"/>
  <c r="C1353" i="16" s="1"/>
  <c r="C1354" i="16" s="1"/>
  <c r="C1355" i="16" s="1"/>
  <c r="C1356" i="16" s="1"/>
  <c r="C1357" i="16" s="1"/>
  <c r="C1358" i="16" s="1"/>
  <c r="C1359" i="16" s="1"/>
  <c r="C1360" i="16" s="1"/>
  <c r="C1361" i="16" s="1"/>
  <c r="C1362" i="16" s="1"/>
  <c r="C1363" i="16" s="1"/>
  <c r="C1364" i="16" s="1"/>
  <c r="C1365" i="16" s="1"/>
  <c r="C1366" i="16" s="1"/>
  <c r="C1367" i="16" s="1"/>
  <c r="C1368" i="16" s="1"/>
  <c r="C1369" i="16" s="1"/>
  <c r="C1370" i="16" s="1"/>
  <c r="C1371" i="16" s="1"/>
  <c r="C1372" i="16" s="1"/>
  <c r="C1373" i="16" s="1"/>
  <c r="C1374" i="16" s="1"/>
  <c r="C1375" i="16" s="1"/>
  <c r="C1376" i="16" s="1"/>
  <c r="C1377" i="16" s="1"/>
  <c r="C1378" i="16" s="1"/>
  <c r="C1379" i="16" s="1"/>
  <c r="C1380" i="16" s="1"/>
  <c r="C1381" i="16" s="1"/>
  <c r="C1382" i="16" s="1"/>
  <c r="C1383" i="16" s="1"/>
  <c r="C1384" i="16" s="1"/>
  <c r="C1385" i="16" s="1"/>
  <c r="C1386" i="16" s="1"/>
  <c r="C1387" i="16" s="1"/>
  <c r="C1388" i="16" s="1"/>
  <c r="C1389" i="16" s="1"/>
  <c r="C1390" i="16" s="1"/>
  <c r="C1391" i="16" s="1"/>
  <c r="C1392" i="16" s="1"/>
  <c r="C1393" i="16" s="1"/>
  <c r="C1394" i="16" s="1"/>
  <c r="C1395" i="16" s="1"/>
  <c r="C1396" i="16" s="1"/>
  <c r="C1397" i="16" s="1"/>
  <c r="C1398" i="16" s="1"/>
  <c r="C1399" i="16" s="1"/>
  <c r="C1400" i="16" s="1"/>
  <c r="C1401" i="16" s="1"/>
  <c r="C1402" i="16" s="1"/>
  <c r="C1403" i="16" s="1"/>
  <c r="C1404" i="16" s="1"/>
  <c r="C1405" i="16" s="1"/>
  <c r="C1406" i="16" s="1"/>
  <c r="C1407" i="16" s="1"/>
  <c r="C1408" i="16" s="1"/>
  <c r="C1409" i="16" s="1"/>
  <c r="C1410" i="16" s="1"/>
  <c r="C1411" i="16" s="1"/>
  <c r="C1412" i="16" s="1"/>
  <c r="C1413" i="16" s="1"/>
  <c r="C1414" i="16" s="1"/>
  <c r="C1415" i="16" s="1"/>
  <c r="C1416" i="16" s="1"/>
  <c r="C1417" i="16" s="1"/>
  <c r="C1418" i="16" s="1"/>
  <c r="C1419" i="16" s="1"/>
  <c r="C1420" i="16" s="1"/>
  <c r="C1421" i="16" s="1"/>
  <c r="C1422" i="16" s="1"/>
  <c r="C1423" i="16" s="1"/>
  <c r="C1424" i="16" s="1"/>
  <c r="C1425" i="16" s="1"/>
  <c r="C1426" i="16" s="1"/>
  <c r="C1427" i="16" s="1"/>
  <c r="C1428" i="16" s="1"/>
  <c r="C1429" i="16" s="1"/>
  <c r="C1430" i="16" s="1"/>
  <c r="C1431" i="16" s="1"/>
  <c r="C1432" i="16" s="1"/>
  <c r="C1433" i="16" s="1"/>
  <c r="C1434" i="16" s="1"/>
  <c r="C1435" i="16" s="1"/>
  <c r="C1436" i="16" s="1"/>
  <c r="C1437" i="16" s="1"/>
  <c r="C1438" i="16" s="1"/>
  <c r="C1439" i="16" s="1"/>
  <c r="C1440" i="16" s="1"/>
  <c r="C1441" i="16" s="1"/>
  <c r="C1442" i="16" s="1"/>
  <c r="C1443" i="16" s="1"/>
  <c r="C1444" i="16" s="1"/>
  <c r="C1445" i="16" s="1"/>
  <c r="C1446" i="16" s="1"/>
  <c r="C1447" i="16" s="1"/>
  <c r="C1448" i="16" s="1"/>
  <c r="C1449" i="16" s="1"/>
  <c r="C1450" i="16" s="1"/>
  <c r="C1451" i="16" s="1"/>
  <c r="C1452" i="16" s="1"/>
  <c r="C1453" i="16" s="1"/>
  <c r="C1454" i="16" s="1"/>
  <c r="C1455" i="16" s="1"/>
  <c r="C1456" i="16" s="1"/>
  <c r="C1457" i="16" s="1"/>
  <c r="C1458" i="16" s="1"/>
  <c r="C1459" i="16" s="1"/>
  <c r="C1460" i="16" s="1"/>
  <c r="C1461" i="16" s="1"/>
  <c r="C1462" i="16" s="1"/>
  <c r="C1463" i="16" s="1"/>
  <c r="C1464" i="16" s="1"/>
  <c r="C1465" i="16" s="1"/>
  <c r="C1466" i="16" s="1"/>
  <c r="C1467" i="16" s="1"/>
  <c r="C1468" i="16" s="1"/>
  <c r="C1469" i="16" s="1"/>
  <c r="C1470" i="16" s="1"/>
  <c r="C1471" i="16" s="1"/>
  <c r="C1472" i="16" s="1"/>
  <c r="C1473" i="16" s="1"/>
  <c r="C1474" i="16" s="1"/>
  <c r="C1475" i="16" s="1"/>
  <c r="C1476" i="16" s="1"/>
  <c r="C1477" i="16" s="1"/>
  <c r="C1478" i="16" s="1"/>
  <c r="C1479" i="16" s="1"/>
  <c r="C1480" i="16" s="1"/>
  <c r="C1481" i="16" s="1"/>
  <c r="C1482" i="16" s="1"/>
  <c r="C1483" i="16" s="1"/>
  <c r="C1484" i="16" s="1"/>
  <c r="C1485" i="16" s="1"/>
  <c r="C1486" i="16" s="1"/>
  <c r="C1487" i="16" s="1"/>
  <c r="C1488" i="16" s="1"/>
  <c r="C1489" i="16" s="1"/>
  <c r="C1490" i="16" s="1"/>
  <c r="C1491" i="16" s="1"/>
  <c r="C1492" i="16" s="1"/>
  <c r="C1493" i="16" s="1"/>
  <c r="C1494" i="16" s="1"/>
  <c r="C1495" i="16" s="1"/>
  <c r="C1496" i="16" s="1"/>
  <c r="C1497" i="16" s="1"/>
  <c r="C1498" i="16" s="1"/>
  <c r="C1499" i="16" s="1"/>
  <c r="C1500" i="16" s="1"/>
  <c r="C1501" i="16" s="1"/>
  <c r="C1502" i="16" s="1"/>
  <c r="C1503" i="16" s="1"/>
  <c r="C1504" i="16" s="1"/>
  <c r="C1505" i="16" s="1"/>
  <c r="C1506" i="16" s="1"/>
  <c r="C1507" i="16" s="1"/>
  <c r="C1508" i="16" s="1"/>
  <c r="C1509" i="16" s="1"/>
  <c r="C1510" i="16" s="1"/>
  <c r="G212" i="14"/>
  <c r="I494" i="18"/>
  <c r="I430" i="18"/>
  <c r="H450" i="18"/>
  <c r="H460" i="18"/>
  <c r="H396" i="18"/>
  <c r="H332" i="18"/>
  <c r="H467" i="18"/>
  <c r="H403" i="18"/>
  <c r="H339" i="18"/>
  <c r="H386" i="18"/>
  <c r="H322" i="18"/>
  <c r="H258" i="18"/>
  <c r="H194" i="18"/>
  <c r="H130" i="18"/>
  <c r="H66" i="18"/>
  <c r="H2" i="18"/>
  <c r="H497" i="18"/>
  <c r="H433" i="18"/>
  <c r="H369" i="18"/>
  <c r="H305" i="18"/>
  <c r="H241" i="18"/>
  <c r="H177" i="18"/>
  <c r="H113" i="18"/>
  <c r="H49" i="18"/>
  <c r="H472" i="18"/>
  <c r="H408" i="18"/>
  <c r="H344" i="18"/>
  <c r="H487" i="18"/>
  <c r="H423" i="18"/>
  <c r="H359" i="18"/>
  <c r="H486" i="18"/>
  <c r="H422" i="18"/>
  <c r="H358" i="18"/>
  <c r="H294" i="18"/>
  <c r="H230" i="18"/>
  <c r="H166" i="18"/>
  <c r="H102" i="18"/>
  <c r="H38" i="18"/>
  <c r="H445" i="18"/>
  <c r="H381" i="18"/>
  <c r="H317" i="18"/>
  <c r="H253" i="18"/>
  <c r="H189" i="18"/>
  <c r="H125" i="18"/>
  <c r="H61" i="18"/>
  <c r="H232" i="18"/>
  <c r="H160" i="18"/>
  <c r="H88" i="18"/>
  <c r="H8" i="18"/>
  <c r="H255" i="18"/>
  <c r="H159" i="18"/>
  <c r="H55" i="18"/>
  <c r="H171" i="18"/>
  <c r="H76" i="18"/>
  <c r="H196" i="18"/>
  <c r="H68" i="18"/>
  <c r="H204" i="18"/>
  <c r="H92" i="18"/>
  <c r="H212" i="18"/>
  <c r="H84" i="18"/>
  <c r="H220" i="18"/>
  <c r="H108" i="18"/>
  <c r="H228" i="18"/>
  <c r="H100" i="18"/>
  <c r="H236" i="18"/>
  <c r="H124" i="18"/>
  <c r="H244" i="18"/>
  <c r="H116" i="18"/>
  <c r="H252" i="18"/>
  <c r="H28" i="18"/>
  <c r="H156" i="18"/>
  <c r="H276" i="18"/>
  <c r="H20" i="18"/>
  <c r="H148" i="18"/>
  <c r="H284" i="18"/>
  <c r="H44" i="18"/>
  <c r="H164" i="18"/>
  <c r="H292" i="18"/>
  <c r="H36" i="18"/>
  <c r="H172" i="18"/>
  <c r="H300" i="18"/>
  <c r="H60" i="18"/>
  <c r="H180" i="18"/>
  <c r="H52" i="18"/>
  <c r="H188" i="18"/>
  <c r="H4" i="18"/>
  <c r="H132" i="18"/>
  <c r="H51" i="18"/>
  <c r="H115" i="18"/>
  <c r="H179" i="18"/>
  <c r="H243" i="18"/>
  <c r="H307" i="18"/>
  <c r="H7" i="18"/>
  <c r="H71" i="18"/>
  <c r="H135" i="18"/>
  <c r="H199" i="18"/>
  <c r="H263" i="18"/>
  <c r="H16" i="18"/>
  <c r="H80" i="18"/>
  <c r="H144" i="18"/>
  <c r="H208" i="18"/>
  <c r="H272" i="18"/>
  <c r="H268" i="18"/>
  <c r="H59" i="18"/>
  <c r="H123" i="18"/>
  <c r="H187" i="18"/>
  <c r="H251" i="18"/>
  <c r="H315" i="18"/>
  <c r="H15" i="18"/>
  <c r="H79" i="18"/>
  <c r="H143" i="18"/>
  <c r="H207" i="18"/>
  <c r="H271" i="18"/>
  <c r="H11" i="18"/>
  <c r="H75" i="18"/>
  <c r="H139" i="18"/>
  <c r="H203" i="18"/>
  <c r="H267" i="18"/>
  <c r="H12" i="18"/>
  <c r="H19" i="18"/>
  <c r="H83" i="18"/>
  <c r="H147" i="18"/>
  <c r="H211" i="18"/>
  <c r="H275" i="18"/>
  <c r="H140" i="18"/>
  <c r="H27" i="18"/>
  <c r="H91" i="18"/>
  <c r="H155" i="18"/>
  <c r="H219" i="18"/>
  <c r="H283" i="18"/>
  <c r="H47" i="18"/>
  <c r="H111" i="18"/>
  <c r="H175" i="18"/>
  <c r="H239" i="18"/>
  <c r="H303" i="18"/>
  <c r="H260" i="18"/>
  <c r="H35" i="18"/>
  <c r="H99" i="18"/>
  <c r="H163" i="18"/>
  <c r="H227" i="18"/>
  <c r="H291" i="18"/>
  <c r="I483" i="18"/>
  <c r="I419" i="18"/>
  <c r="I355" i="18"/>
  <c r="H345" i="18"/>
  <c r="H281" i="18"/>
  <c r="H217" i="18"/>
  <c r="H153" i="18"/>
  <c r="H89" i="18"/>
  <c r="H25" i="18"/>
  <c r="H448" i="18"/>
  <c r="H384" i="18"/>
  <c r="H320" i="18"/>
  <c r="H463" i="18"/>
  <c r="H399" i="18"/>
  <c r="H335" i="18"/>
  <c r="H462" i="18"/>
  <c r="H398" i="18"/>
  <c r="H334" i="18"/>
  <c r="H270" i="18"/>
  <c r="H206" i="18"/>
  <c r="H142" i="18"/>
  <c r="H78" i="18"/>
  <c r="H14" i="18"/>
  <c r="H485" i="18"/>
  <c r="H421" i="18"/>
  <c r="H357" i="18"/>
  <c r="H293" i="18"/>
  <c r="H229" i="18"/>
  <c r="H165" i="18"/>
  <c r="H101" i="18"/>
  <c r="H37" i="18"/>
  <c r="H280" i="18"/>
  <c r="H200" i="18"/>
  <c r="H128" i="18"/>
  <c r="H56" i="18"/>
  <c r="H223" i="18"/>
  <c r="H119" i="18"/>
  <c r="H23" i="18"/>
  <c r="I482" i="18"/>
  <c r="I418" i="18"/>
  <c r="I354" i="18"/>
  <c r="I290" i="18"/>
  <c r="I226" i="18"/>
  <c r="I162" i="18"/>
  <c r="I98" i="18"/>
  <c r="I34" i="18"/>
  <c r="H67" i="18"/>
  <c r="I359" i="18"/>
  <c r="I295" i="18"/>
  <c r="I231" i="18"/>
  <c r="I167" i="18"/>
  <c r="I366" i="18"/>
  <c r="I302" i="18"/>
  <c r="I238" i="18"/>
  <c r="I174" i="18"/>
  <c r="I110" i="18"/>
  <c r="I46" i="18"/>
  <c r="I459" i="18"/>
  <c r="I395" i="18"/>
  <c r="I331" i="18"/>
  <c r="H461" i="18"/>
  <c r="H397" i="18"/>
  <c r="H333" i="18"/>
  <c r="H269" i="18"/>
  <c r="H205" i="18"/>
  <c r="H141" i="18"/>
  <c r="H77" i="18"/>
  <c r="H13" i="18"/>
  <c r="H248" i="18"/>
  <c r="H176" i="18"/>
  <c r="H104" i="18"/>
  <c r="H32" i="18"/>
  <c r="H287" i="18"/>
  <c r="H183" i="18"/>
  <c r="H87" i="18"/>
  <c r="I458" i="18"/>
  <c r="I394" i="18"/>
  <c r="I330" i="18"/>
  <c r="I266" i="18"/>
  <c r="I202" i="18"/>
  <c r="I138" i="18"/>
  <c r="I74" i="18"/>
  <c r="I10" i="18"/>
  <c r="H235" i="18"/>
  <c r="I451" i="18"/>
  <c r="I387" i="18"/>
  <c r="I323" i="18"/>
  <c r="I259" i="18"/>
  <c r="I386" i="18"/>
  <c r="I322" i="18"/>
  <c r="I258" i="18"/>
  <c r="I130" i="18"/>
  <c r="I66" i="18"/>
  <c r="I2" i="18"/>
  <c r="I479" i="18"/>
  <c r="I415" i="18"/>
  <c r="I351" i="18"/>
  <c r="I159" i="18"/>
  <c r="I95" i="18"/>
  <c r="I31" i="18"/>
  <c r="I398" i="18"/>
  <c r="I334" i="18"/>
  <c r="I460" i="18"/>
  <c r="I388" i="18"/>
  <c r="I236" i="18"/>
  <c r="I20" i="18"/>
  <c r="I91" i="18"/>
  <c r="I488" i="18"/>
  <c r="I392" i="18"/>
  <c r="I312" i="18"/>
  <c r="I232" i="18"/>
  <c r="I136" i="18"/>
  <c r="I493" i="18"/>
  <c r="I181" i="18"/>
  <c r="I69" i="18"/>
  <c r="I35" i="18"/>
  <c r="I473" i="18"/>
  <c r="I443" i="18"/>
  <c r="I379" i="18"/>
  <c r="I442" i="18"/>
  <c r="I378" i="18"/>
  <c r="I314" i="18"/>
  <c r="I250" i="18"/>
  <c r="I186" i="18"/>
  <c r="I122" i="18"/>
  <c r="I58" i="18"/>
  <c r="I471" i="18"/>
  <c r="I407" i="18"/>
  <c r="I343" i="18"/>
  <c r="I279" i="18"/>
  <c r="I215" i="18"/>
  <c r="I151" i="18"/>
  <c r="I454" i="18"/>
  <c r="I390" i="18"/>
  <c r="I326" i="18"/>
  <c r="I262" i="18"/>
  <c r="I198" i="18"/>
  <c r="I134" i="18"/>
  <c r="I70" i="18"/>
  <c r="I6" i="18"/>
  <c r="I452" i="18"/>
  <c r="I300" i="18"/>
  <c r="I228" i="18"/>
  <c r="I84" i="18"/>
  <c r="I83" i="18"/>
  <c r="I464" i="18"/>
  <c r="I304" i="18"/>
  <c r="I48" i="18"/>
  <c r="I389" i="18"/>
  <c r="I277" i="18"/>
  <c r="I157" i="18"/>
  <c r="I61" i="18"/>
  <c r="I81" i="18"/>
  <c r="I499" i="18"/>
  <c r="I435" i="18"/>
  <c r="I371" i="18"/>
  <c r="I243" i="18"/>
  <c r="I498" i="18"/>
  <c r="I434" i="18"/>
  <c r="I370" i="18"/>
  <c r="I306" i="18"/>
  <c r="I242" i="18"/>
  <c r="I178" i="18"/>
  <c r="I114" i="18"/>
  <c r="I50" i="18"/>
  <c r="I335" i="18"/>
  <c r="I271" i="18"/>
  <c r="I207" i="18"/>
  <c r="I143" i="18"/>
  <c r="I79" i="18"/>
  <c r="I446" i="18"/>
  <c r="I382" i="18"/>
  <c r="I318" i="18"/>
  <c r="I254" i="18"/>
  <c r="I190" i="18"/>
  <c r="I126" i="18"/>
  <c r="I62" i="18"/>
  <c r="I364" i="18"/>
  <c r="I292" i="18"/>
  <c r="I148" i="18"/>
  <c r="I76" i="18"/>
  <c r="I75" i="18"/>
  <c r="I456" i="18"/>
  <c r="I376" i="18"/>
  <c r="I296" i="18"/>
  <c r="I200" i="18"/>
  <c r="I120" i="18"/>
  <c r="I40" i="18"/>
  <c r="I469" i="18"/>
  <c r="I365" i="18"/>
  <c r="I269" i="18"/>
  <c r="I149" i="18"/>
  <c r="I53" i="18"/>
  <c r="I481" i="18"/>
  <c r="I491" i="18"/>
  <c r="I427" i="18"/>
  <c r="I363" i="18"/>
  <c r="I299" i="18"/>
  <c r="I490" i="18"/>
  <c r="I426" i="18"/>
  <c r="I362" i="18"/>
  <c r="I298" i="18"/>
  <c r="I234" i="18"/>
  <c r="I170" i="18"/>
  <c r="I106" i="18"/>
  <c r="I42" i="18"/>
  <c r="I455" i="18"/>
  <c r="I391" i="18"/>
  <c r="I327" i="18"/>
  <c r="I263" i="18"/>
  <c r="I199" i="18"/>
  <c r="I135" i="18"/>
  <c r="I71" i="18"/>
  <c r="I7" i="18"/>
  <c r="I438" i="18"/>
  <c r="I374" i="18"/>
  <c r="I310" i="18"/>
  <c r="I246" i="18"/>
  <c r="I182" i="18"/>
  <c r="I118" i="18"/>
  <c r="I54" i="18"/>
  <c r="I428" i="18"/>
  <c r="I356" i="18"/>
  <c r="I68" i="18"/>
  <c r="I211" i="18"/>
  <c r="I139" i="18"/>
  <c r="I368" i="18"/>
  <c r="I272" i="18"/>
  <c r="I112" i="18"/>
  <c r="I461" i="18"/>
  <c r="I357" i="18"/>
  <c r="I261" i="18"/>
  <c r="I133" i="18"/>
  <c r="I29" i="18"/>
  <c r="I3" i="18"/>
  <c r="I353" i="18"/>
  <c r="I492" i="18"/>
  <c r="I420" i="18"/>
  <c r="I348" i="18"/>
  <c r="I276" i="18"/>
  <c r="I204" i="18"/>
  <c r="I132" i="18"/>
  <c r="I440" i="18"/>
  <c r="I360" i="18"/>
  <c r="I264" i="18"/>
  <c r="I184" i="18"/>
  <c r="I104" i="18"/>
  <c r="I8" i="18"/>
  <c r="I453" i="18"/>
  <c r="I341" i="18"/>
  <c r="I221" i="18"/>
  <c r="I21" i="18"/>
  <c r="I225" i="18"/>
  <c r="I475" i="18"/>
  <c r="I411" i="18"/>
  <c r="I347" i="18"/>
  <c r="I474" i="18"/>
  <c r="I410" i="18"/>
  <c r="I346" i="18"/>
  <c r="I282" i="18"/>
  <c r="I218" i="18"/>
  <c r="I154" i="18"/>
  <c r="I90" i="18"/>
  <c r="I26" i="18"/>
  <c r="I439" i="18"/>
  <c r="I375" i="18"/>
  <c r="I311" i="18"/>
  <c r="I247" i="18"/>
  <c r="I183" i="18"/>
  <c r="I119" i="18"/>
  <c r="I55" i="18"/>
  <c r="I486" i="18"/>
  <c r="I422" i="18"/>
  <c r="I358" i="18"/>
  <c r="I38" i="18"/>
  <c r="I484" i="18"/>
  <c r="I412" i="18"/>
  <c r="I340" i="18"/>
  <c r="I268" i="18"/>
  <c r="I196" i="18"/>
  <c r="I115" i="18"/>
  <c r="I432" i="18"/>
  <c r="I336" i="18"/>
  <c r="I429" i="18"/>
  <c r="I333" i="18"/>
  <c r="I213" i="18"/>
  <c r="I117" i="18"/>
  <c r="I5" i="18"/>
  <c r="I105" i="18"/>
  <c r="I467" i="18"/>
  <c r="I403" i="18"/>
  <c r="I339" i="18"/>
  <c r="I466" i="18"/>
  <c r="I402" i="18"/>
  <c r="I338" i="18"/>
  <c r="I274" i="18"/>
  <c r="I210" i="18"/>
  <c r="I146" i="18"/>
  <c r="I82" i="18"/>
  <c r="I18" i="18"/>
  <c r="I495" i="18"/>
  <c r="I431" i="18"/>
  <c r="I367" i="18"/>
  <c r="I303" i="18"/>
  <c r="I239" i="18"/>
  <c r="I476" i="18"/>
  <c r="I404" i="18"/>
  <c r="I332" i="18"/>
  <c r="I108" i="18"/>
  <c r="I36" i="18"/>
  <c r="I179" i="18"/>
  <c r="I107" i="18"/>
  <c r="I424" i="18"/>
  <c r="I328" i="18"/>
  <c r="I248" i="18"/>
  <c r="I168" i="18"/>
  <c r="I72" i="18"/>
  <c r="I421" i="18"/>
  <c r="I325" i="18"/>
  <c r="I197" i="18"/>
  <c r="I93" i="18"/>
  <c r="I67" i="18"/>
  <c r="I103" i="18"/>
  <c r="I39" i="18"/>
  <c r="I470" i="18"/>
  <c r="I406" i="18"/>
  <c r="I342" i="18"/>
  <c r="I278" i="18"/>
  <c r="I214" i="18"/>
  <c r="I150" i="18"/>
  <c r="I86" i="18"/>
  <c r="I22" i="18"/>
  <c r="I468" i="18"/>
  <c r="I396" i="18"/>
  <c r="I324" i="18"/>
  <c r="I172" i="18"/>
  <c r="I100" i="18"/>
  <c r="I496" i="18"/>
  <c r="I400" i="18"/>
  <c r="I240" i="18"/>
  <c r="I144" i="18"/>
  <c r="I405" i="18"/>
  <c r="I301" i="18"/>
  <c r="I85" i="18"/>
  <c r="I59" i="18"/>
  <c r="I156" i="18"/>
  <c r="I92" i="18"/>
  <c r="I28" i="18"/>
  <c r="I448" i="18"/>
  <c r="I256" i="18"/>
  <c r="I192" i="18"/>
  <c r="I128" i="18"/>
  <c r="I64" i="18"/>
  <c r="I477" i="18"/>
  <c r="I413" i="18"/>
  <c r="I349" i="18"/>
  <c r="I285" i="18"/>
  <c r="I19" i="18"/>
  <c r="I393" i="18"/>
  <c r="I265" i="18"/>
  <c r="I137" i="18"/>
  <c r="I401" i="18"/>
  <c r="I273" i="18"/>
  <c r="I145" i="18"/>
  <c r="I25" i="18"/>
  <c r="I11" i="18"/>
  <c r="I377" i="18"/>
  <c r="I249" i="18"/>
  <c r="I121" i="18"/>
  <c r="I385" i="18"/>
  <c r="I257" i="18"/>
  <c r="I129" i="18"/>
  <c r="I9" i="18"/>
  <c r="I245" i="18"/>
  <c r="I489" i="18"/>
  <c r="I361" i="18"/>
  <c r="I233" i="18"/>
  <c r="I97" i="18"/>
  <c r="I497" i="18"/>
  <c r="I369" i="18"/>
  <c r="I113" i="18"/>
  <c r="I253" i="18"/>
  <c r="I447" i="18"/>
  <c r="I383" i="18"/>
  <c r="I319" i="18"/>
  <c r="I255" i="18"/>
  <c r="I191" i="18"/>
  <c r="I127" i="18"/>
  <c r="I63" i="18"/>
  <c r="I478" i="18"/>
  <c r="I414" i="18"/>
  <c r="I350" i="18"/>
  <c r="I286" i="18"/>
  <c r="I222" i="18"/>
  <c r="I158" i="18"/>
  <c r="I94" i="18"/>
  <c r="I30" i="18"/>
  <c r="I444" i="18"/>
  <c r="I380" i="18"/>
  <c r="I316" i="18"/>
  <c r="I124" i="18"/>
  <c r="I60" i="18"/>
  <c r="I195" i="18"/>
  <c r="I131" i="18"/>
  <c r="I480" i="18"/>
  <c r="I416" i="18"/>
  <c r="I352" i="18"/>
  <c r="I288" i="18"/>
  <c r="I224" i="18"/>
  <c r="I160" i="18"/>
  <c r="I96" i="18"/>
  <c r="I32" i="18"/>
  <c r="I445" i="18"/>
  <c r="I381" i="18"/>
  <c r="I317" i="18"/>
  <c r="I237" i="18"/>
  <c r="I173" i="18"/>
  <c r="I109" i="18"/>
  <c r="I45" i="18"/>
  <c r="I51" i="18"/>
  <c r="I457" i="18"/>
  <c r="I329" i="18"/>
  <c r="I201" i="18"/>
  <c r="I65" i="18"/>
  <c r="I465" i="18"/>
  <c r="I337" i="18"/>
  <c r="I209" i="18"/>
  <c r="I89" i="18"/>
  <c r="I500" i="18"/>
  <c r="I436" i="18"/>
  <c r="I372" i="18"/>
  <c r="I308" i="18"/>
  <c r="I244" i="18"/>
  <c r="I180" i="18"/>
  <c r="I116" i="18"/>
  <c r="I52" i="18"/>
  <c r="I123" i="18"/>
  <c r="I472" i="18"/>
  <c r="I408" i="18"/>
  <c r="I344" i="18"/>
  <c r="I280" i="18"/>
  <c r="I216" i="18"/>
  <c r="I152" i="18"/>
  <c r="I88" i="18"/>
  <c r="I24" i="18"/>
  <c r="I501" i="18"/>
  <c r="I437" i="18"/>
  <c r="I373" i="18"/>
  <c r="I309" i="18"/>
  <c r="I229" i="18"/>
  <c r="I37" i="18"/>
  <c r="I43" i="18"/>
  <c r="I441" i="18"/>
  <c r="I313" i="18"/>
  <c r="I185" i="18"/>
  <c r="I49" i="18"/>
  <c r="I449" i="18"/>
  <c r="I321" i="18"/>
  <c r="I193" i="18"/>
  <c r="I73" i="18"/>
  <c r="I425" i="18"/>
  <c r="I297" i="18"/>
  <c r="I169" i="18"/>
  <c r="I33" i="18"/>
  <c r="I433" i="18"/>
  <c r="I177" i="18"/>
  <c r="I57" i="18"/>
  <c r="I27" i="18"/>
  <c r="I409" i="18"/>
  <c r="I281" i="18"/>
  <c r="I153" i="18"/>
  <c r="I17" i="18"/>
  <c r="I417" i="18"/>
  <c r="I289" i="18"/>
  <c r="I161" i="18"/>
  <c r="I41" i="18"/>
  <c r="F45" i="2"/>
  <c r="E45" i="2"/>
  <c r="D45" i="2"/>
  <c r="C45" i="2"/>
  <c r="B45" i="2"/>
  <c r="F65" i="2"/>
  <c r="E65" i="2"/>
  <c r="D65" i="2"/>
  <c r="C65" i="2"/>
  <c r="B65" i="2"/>
  <c r="F36" i="4"/>
  <c r="I78" i="18" l="1"/>
  <c r="I166" i="18"/>
  <c r="I230" i="18"/>
  <c r="I450" i="18"/>
  <c r="I252" i="18"/>
  <c r="I205" i="18"/>
  <c r="I171" i="18"/>
  <c r="I217" i="18"/>
  <c r="I275" i="18"/>
  <c r="I294" i="18"/>
  <c r="I140" i="18"/>
  <c r="I15" i="18"/>
  <c r="I251" i="18"/>
  <c r="I241" i="18"/>
  <c r="I13" i="18"/>
  <c r="I102" i="18"/>
  <c r="I220" i="18"/>
  <c r="I320" i="18"/>
  <c r="I189" i="18"/>
  <c r="I125" i="18"/>
  <c r="I16" i="18"/>
  <c r="I212" i="18"/>
  <c r="I208" i="18"/>
  <c r="I23" i="18"/>
  <c r="I315" i="18"/>
  <c r="I56" i="18"/>
  <c r="I164" i="18"/>
  <c r="I462" i="18"/>
  <c r="I423" i="18"/>
  <c r="I44" i="18"/>
  <c r="I142" i="18"/>
  <c r="I188" i="18"/>
  <c r="I307" i="18"/>
  <c r="I291" i="18"/>
  <c r="I305" i="18"/>
  <c r="I101" i="18"/>
  <c r="I187" i="18"/>
  <c r="I47" i="18"/>
  <c r="I80" i="18"/>
  <c r="I345" i="18"/>
  <c r="I284" i="18"/>
  <c r="I87" i="18"/>
  <c r="I487" i="18"/>
  <c r="I283" i="18"/>
  <c r="I194" i="18"/>
  <c r="I227" i="18"/>
  <c r="I399" i="18"/>
  <c r="I206" i="18"/>
  <c r="I463" i="18"/>
  <c r="I293" i="18"/>
  <c r="I165" i="18"/>
  <c r="I77" i="18"/>
  <c r="I163" i="18"/>
  <c r="I175" i="18"/>
  <c r="I235" i="18"/>
  <c r="I267" i="18"/>
  <c r="I219" i="18"/>
  <c r="I223" i="18"/>
  <c r="I397" i="18"/>
  <c r="I270" i="18"/>
  <c r="I287" i="18"/>
  <c r="I141" i="18"/>
  <c r="I99" i="18"/>
  <c r="I260" i="18"/>
  <c r="I176" i="18"/>
  <c r="I147" i="18"/>
  <c r="I12" i="18"/>
  <c r="I203" i="18"/>
  <c r="I111" i="18"/>
  <c r="I485" i="18"/>
  <c r="I14" i="18"/>
  <c r="I384" i="18"/>
  <c r="I4" i="18"/>
  <c r="I155" i="18"/>
  <c r="J15" i="3"/>
  <c r="C121" i="3"/>
  <c r="D121" i="3"/>
  <c r="B121" i="3"/>
  <c r="E53" i="1"/>
  <c r="C61" i="1"/>
  <c r="D61" i="1"/>
  <c r="G61" i="1"/>
  <c r="B61" i="1"/>
  <c r="B222" i="3"/>
  <c r="D115" i="3"/>
  <c r="F25" i="3"/>
  <c r="G25" i="3"/>
  <c r="H25" i="3"/>
  <c r="I25" i="3"/>
  <c r="D94" i="3"/>
  <c r="B94" i="3"/>
  <c r="C94" i="3"/>
  <c r="F91" i="1"/>
  <c r="E91" i="1"/>
  <c r="A94" i="3"/>
  <c r="H115" i="1"/>
  <c r="D37" i="3"/>
  <c r="B37" i="3"/>
  <c r="B49" i="3"/>
  <c r="B71" i="1"/>
  <c r="B69" i="1"/>
  <c r="B68" i="1"/>
  <c r="C71" i="1"/>
  <c r="C69" i="1"/>
  <c r="C68" i="1"/>
  <c r="D71" i="1"/>
  <c r="D69" i="1"/>
  <c r="D68" i="1"/>
  <c r="E71" i="1"/>
  <c r="E69" i="1"/>
  <c r="B34" i="3" s="1"/>
  <c r="E68" i="1"/>
  <c r="F71" i="1"/>
  <c r="F69" i="1"/>
  <c r="F68" i="1"/>
  <c r="G71" i="1"/>
  <c r="G69" i="1"/>
  <c r="G68" i="1"/>
  <c r="G70" i="1"/>
  <c r="J70" i="1"/>
  <c r="K70" i="1"/>
  <c r="L70" i="1"/>
  <c r="M70" i="1"/>
  <c r="N70" i="1"/>
  <c r="I70" i="1"/>
  <c r="J69" i="1"/>
  <c r="K69" i="1"/>
  <c r="L69" i="1"/>
  <c r="M69" i="1"/>
  <c r="N69" i="1"/>
  <c r="I69" i="1"/>
  <c r="B70" i="1"/>
  <c r="C70" i="1"/>
  <c r="D70" i="1"/>
  <c r="E70" i="1"/>
  <c r="F70" i="1"/>
  <c r="C124" i="3"/>
  <c r="D124" i="3"/>
  <c r="E124" i="3" s="1"/>
  <c r="B124" i="3"/>
  <c r="C40" i="5" l="1"/>
  <c r="D40" i="5"/>
  <c r="B40" i="5"/>
  <c r="C36" i="5"/>
  <c r="D36" i="5"/>
  <c r="B36" i="5"/>
  <c r="C32" i="5"/>
  <c r="D32" i="5"/>
  <c r="B32" i="5"/>
  <c r="A22" i="5"/>
  <c r="B9" i="14" s="1"/>
  <c r="B144" i="1"/>
  <c r="G118" i="1"/>
  <c r="E118" i="1"/>
  <c r="G110" i="1"/>
  <c r="F110" i="1"/>
  <c r="E110" i="1"/>
  <c r="G102" i="1"/>
  <c r="F102" i="1"/>
  <c r="E102" i="1"/>
  <c r="G53" i="1"/>
  <c r="E54" i="1"/>
  <c r="F53" i="1"/>
  <c r="D53" i="1"/>
  <c r="C53" i="1"/>
  <c r="G30" i="1"/>
  <c r="F30" i="1"/>
  <c r="E30" i="1"/>
  <c r="C30" i="1"/>
  <c r="D30" i="1"/>
  <c r="C145" i="1"/>
  <c r="D145" i="1"/>
  <c r="E145" i="1"/>
  <c r="F145" i="1"/>
  <c r="G145" i="1"/>
  <c r="B145" i="1"/>
  <c r="B53" i="1"/>
  <c r="B57" i="1" s="1"/>
  <c r="B59" i="1" s="1"/>
  <c r="B30" i="1"/>
  <c r="E80" i="4" l="1"/>
  <c r="F263" i="3"/>
  <c r="E263" i="3"/>
  <c r="G264" i="3"/>
  <c r="G263" i="3" s="1"/>
  <c r="F180" i="3"/>
  <c r="G180" i="3"/>
  <c r="H180" i="3"/>
  <c r="I180" i="3"/>
  <c r="E180" i="3"/>
  <c r="A133" i="3"/>
  <c r="A130" i="3"/>
  <c r="F50" i="3"/>
  <c r="G50" i="3" s="1"/>
  <c r="F44" i="3"/>
  <c r="G44" i="3" s="1"/>
  <c r="E40" i="5"/>
  <c r="F40" i="5" s="1"/>
  <c r="G40" i="5" s="1"/>
  <c r="H40" i="5" s="1"/>
  <c r="I40" i="5" s="1"/>
  <c r="E36" i="5"/>
  <c r="F36" i="5" s="1"/>
  <c r="G36" i="5" s="1"/>
  <c r="H36" i="5" s="1"/>
  <c r="I36" i="5" s="1"/>
  <c r="A24" i="5"/>
  <c r="B11" i="14" s="1"/>
  <c r="A23" i="5"/>
  <c r="B10" i="14" s="1"/>
  <c r="A256" i="2"/>
  <c r="A257" i="2"/>
  <c r="A258" i="2"/>
  <c r="A204" i="2"/>
  <c r="A205" i="2"/>
  <c r="A206" i="2"/>
  <c r="C96" i="2"/>
  <c r="D96" i="2"/>
  <c r="E96" i="2"/>
  <c r="F96" i="2"/>
  <c r="C97" i="2"/>
  <c r="D97" i="2"/>
  <c r="E97" i="2"/>
  <c r="F97" i="2"/>
  <c r="C98" i="2"/>
  <c r="D98" i="2"/>
  <c r="E98" i="2"/>
  <c r="F98" i="2"/>
  <c r="B97" i="2"/>
  <c r="B98" i="2"/>
  <c r="B96" i="2"/>
  <c r="I24" i="5" l="1"/>
  <c r="J11" i="14" s="1"/>
  <c r="K11" i="14" s="1"/>
  <c r="J40" i="5"/>
  <c r="J24" i="5" s="1"/>
  <c r="I23" i="5"/>
  <c r="J10" i="14" s="1"/>
  <c r="K10" i="14" s="1"/>
  <c r="J36" i="5"/>
  <c r="J23" i="5" s="1"/>
  <c r="H264" i="3"/>
  <c r="H50" i="3"/>
  <c r="H44" i="3"/>
  <c r="E23" i="5"/>
  <c r="F10" i="14" s="1"/>
  <c r="G23" i="5"/>
  <c r="H10" i="14" s="1"/>
  <c r="H23" i="5"/>
  <c r="I10" i="14" s="1"/>
  <c r="E24" i="5"/>
  <c r="F11" i="14" s="1"/>
  <c r="F23" i="5"/>
  <c r="G10" i="14" s="1"/>
  <c r="H24" i="5"/>
  <c r="I11" i="14" s="1"/>
  <c r="G24" i="5"/>
  <c r="H11" i="14" s="1"/>
  <c r="F24" i="5"/>
  <c r="G11" i="14" s="1"/>
  <c r="I264" i="3" l="1"/>
  <c r="I263" i="3" s="1"/>
  <c r="H263" i="3"/>
  <c r="I50" i="3"/>
  <c r="J50" i="3" s="1"/>
  <c r="I44" i="3"/>
  <c r="J44" i="3" s="1"/>
  <c r="C125" i="5"/>
  <c r="D125" i="5"/>
  <c r="B125" i="5"/>
  <c r="D37" i="5" l="1"/>
  <c r="C109" i="5"/>
  <c r="E109" i="5" s="1"/>
  <c r="C117" i="5" l="1"/>
  <c r="C114" i="5"/>
  <c r="E114" i="5" s="1"/>
  <c r="C112" i="5"/>
  <c r="E112" i="5" s="1"/>
  <c r="C110" i="5"/>
  <c r="E110" i="5" s="1"/>
  <c r="C115" i="5"/>
  <c r="E115" i="5" s="1"/>
  <c r="C113" i="5"/>
  <c r="E113" i="5" s="1"/>
  <c r="C111" i="5"/>
  <c r="E111" i="5" l="1"/>
  <c r="E117" i="5" s="1"/>
  <c r="E118" i="5" s="1"/>
  <c r="E63" i="3" l="1"/>
  <c r="F63" i="3"/>
  <c r="G63" i="3"/>
  <c r="H63" i="3"/>
  <c r="I63" i="3"/>
  <c r="J63" i="3"/>
  <c r="C44" i="5"/>
  <c r="C42" i="5" l="1"/>
  <c r="B44" i="5"/>
  <c r="B42" i="5" s="1"/>
  <c r="C45" i="5" l="1"/>
  <c r="D44" i="5"/>
  <c r="D45" i="5" l="1"/>
  <c r="D42" i="5"/>
  <c r="B189" i="3"/>
  <c r="C189" i="3"/>
  <c r="D189" i="3"/>
  <c r="E189" i="3" s="1"/>
  <c r="F189" i="3" s="1"/>
  <c r="G189" i="3" s="1"/>
  <c r="H189" i="3" s="1"/>
  <c r="I189" i="3" s="1"/>
  <c r="B186" i="3"/>
  <c r="C186" i="3"/>
  <c r="D186" i="3"/>
  <c r="E186" i="3" s="1"/>
  <c r="F186" i="3" s="1"/>
  <c r="G186" i="3" s="1"/>
  <c r="H186" i="3" s="1"/>
  <c r="I186" i="3" s="1"/>
  <c r="A189" i="3"/>
  <c r="A186" i="3"/>
  <c r="B142" i="3"/>
  <c r="C142" i="3"/>
  <c r="B145" i="3"/>
  <c r="C145" i="3"/>
  <c r="B148" i="3"/>
  <c r="C148" i="3"/>
  <c r="B151" i="3"/>
  <c r="C151" i="3"/>
  <c r="B154" i="3"/>
  <c r="C154" i="3"/>
  <c r="B160" i="3"/>
  <c r="C160" i="3"/>
  <c r="D154" i="3"/>
  <c r="E154" i="3" s="1"/>
  <c r="F154" i="3" s="1"/>
  <c r="G154" i="3" s="1"/>
  <c r="H154" i="3" s="1"/>
  <c r="I154" i="3" s="1"/>
  <c r="D151" i="3"/>
  <c r="D148" i="3"/>
  <c r="D145" i="3"/>
  <c r="E145" i="3" s="1"/>
  <c r="F145" i="3" s="1"/>
  <c r="G145" i="3" s="1"/>
  <c r="H145" i="3" s="1"/>
  <c r="I145" i="3" s="1"/>
  <c r="D142" i="3"/>
  <c r="E142" i="3" s="1"/>
  <c r="F142" i="3" s="1"/>
  <c r="G142" i="3" s="1"/>
  <c r="H142" i="3" s="1"/>
  <c r="I142" i="3" s="1"/>
  <c r="A163" i="3"/>
  <c r="A160" i="3"/>
  <c r="A157" i="3"/>
  <c r="A154" i="3"/>
  <c r="A151" i="3"/>
  <c r="A148" i="3"/>
  <c r="A145" i="3"/>
  <c r="A142" i="3"/>
  <c r="B144" i="3" s="1"/>
  <c r="C345" i="2"/>
  <c r="D345" i="2"/>
  <c r="B175" i="2"/>
  <c r="C175" i="2"/>
  <c r="D175" i="2"/>
  <c r="E175" i="2"/>
  <c r="F175" i="2"/>
  <c r="G175" i="2"/>
  <c r="A272" i="2"/>
  <c r="B272" i="2"/>
  <c r="C272" i="2"/>
  <c r="D272" i="2"/>
  <c r="E272" i="2"/>
  <c r="F272" i="2"/>
  <c r="G272" i="2"/>
  <c r="A273" i="2"/>
  <c r="B273" i="2"/>
  <c r="C273" i="2"/>
  <c r="D273" i="2"/>
  <c r="E273" i="2"/>
  <c r="F273" i="2"/>
  <c r="G273" i="2"/>
  <c r="A274" i="2"/>
  <c r="B274" i="2"/>
  <c r="C274" i="2"/>
  <c r="D274" i="2"/>
  <c r="E274" i="2"/>
  <c r="F274" i="2"/>
  <c r="G274" i="2"/>
  <c r="A275" i="2"/>
  <c r="B275" i="2"/>
  <c r="C275" i="2"/>
  <c r="D275" i="2"/>
  <c r="E275" i="2"/>
  <c r="F275" i="2"/>
  <c r="G275" i="2"/>
  <c r="A276" i="2"/>
  <c r="B276" i="2"/>
  <c r="C276" i="2"/>
  <c r="D276" i="2"/>
  <c r="E276" i="2"/>
  <c r="F276" i="2"/>
  <c r="G276" i="2"/>
  <c r="A277" i="2"/>
  <c r="B277" i="2"/>
  <c r="C277" i="2"/>
  <c r="D277" i="2"/>
  <c r="E277" i="2"/>
  <c r="F277" i="2"/>
  <c r="G277" i="2"/>
  <c r="A278" i="2"/>
  <c r="B278" i="2"/>
  <c r="C278" i="2"/>
  <c r="D278" i="2"/>
  <c r="E278" i="2"/>
  <c r="F278" i="2"/>
  <c r="G278" i="2"/>
  <c r="A261" i="2"/>
  <c r="B261" i="2"/>
  <c r="C261" i="2"/>
  <c r="D261" i="2"/>
  <c r="E261" i="2"/>
  <c r="F261" i="2"/>
  <c r="G261" i="2"/>
  <c r="A262" i="2"/>
  <c r="B262" i="2"/>
  <c r="C262" i="2"/>
  <c r="D262" i="2"/>
  <c r="E262" i="2"/>
  <c r="F262" i="2"/>
  <c r="G262" i="2"/>
  <c r="A263" i="2"/>
  <c r="B263" i="2"/>
  <c r="C263" i="2"/>
  <c r="D263" i="2"/>
  <c r="E263" i="2"/>
  <c r="F263" i="2"/>
  <c r="G263" i="2"/>
  <c r="A264" i="2"/>
  <c r="B264" i="2"/>
  <c r="C264" i="2"/>
  <c r="D264" i="2"/>
  <c r="E264" i="2"/>
  <c r="F264" i="2"/>
  <c r="G264" i="2"/>
  <c r="A265" i="2"/>
  <c r="B265" i="2"/>
  <c r="C265" i="2"/>
  <c r="A266" i="2"/>
  <c r="B266" i="2"/>
  <c r="C266" i="2"/>
  <c r="D266" i="2"/>
  <c r="E266" i="2"/>
  <c r="F266" i="2"/>
  <c r="A267" i="2"/>
  <c r="B267" i="2"/>
  <c r="C267" i="2"/>
  <c r="G260" i="2"/>
  <c r="C260" i="2"/>
  <c r="D260" i="2"/>
  <c r="E260" i="2"/>
  <c r="F260" i="2"/>
  <c r="B260" i="2"/>
  <c r="A260" i="2"/>
  <c r="A220" i="2"/>
  <c r="A221" i="2"/>
  <c r="A222" i="2"/>
  <c r="A223" i="2"/>
  <c r="A224" i="2"/>
  <c r="A225" i="2"/>
  <c r="A226" i="2"/>
  <c r="A209" i="2"/>
  <c r="A210" i="2"/>
  <c r="A211" i="2"/>
  <c r="A212" i="2"/>
  <c r="A213" i="2"/>
  <c r="A214" i="2"/>
  <c r="A215" i="2"/>
  <c r="A208" i="2"/>
  <c r="B121" i="1"/>
  <c r="D375" i="2"/>
  <c r="F375" i="2"/>
  <c r="D160" i="3"/>
  <c r="E160" i="3" s="1"/>
  <c r="F160" i="3" s="1"/>
  <c r="G160" i="3" s="1"/>
  <c r="H160" i="3" s="1"/>
  <c r="I160" i="3" s="1"/>
  <c r="B163" i="3"/>
  <c r="D163" i="3"/>
  <c r="E163" i="3" s="1"/>
  <c r="F163" i="3" s="1"/>
  <c r="G163" i="3" s="1"/>
  <c r="H163" i="3" s="1"/>
  <c r="I163" i="3" s="1"/>
  <c r="C120" i="2"/>
  <c r="C144" i="1"/>
  <c r="D144" i="1"/>
  <c r="C121" i="2" s="1"/>
  <c r="E144" i="1"/>
  <c r="F144" i="1"/>
  <c r="E121" i="2" s="1"/>
  <c r="D382" i="2"/>
  <c r="F384" i="2"/>
  <c r="E149" i="1"/>
  <c r="D149" i="1"/>
  <c r="G144" i="1"/>
  <c r="F121" i="2" s="1"/>
  <c r="C25" i="5"/>
  <c r="D25" i="5"/>
  <c r="D41" i="5"/>
  <c r="C41" i="5"/>
  <c r="C37" i="5"/>
  <c r="D33" i="5"/>
  <c r="C33" i="5"/>
  <c r="B25" i="5"/>
  <c r="D263" i="3"/>
  <c r="F88" i="3"/>
  <c r="A90" i="3"/>
  <c r="C87" i="3"/>
  <c r="D87" i="3"/>
  <c r="B87" i="3"/>
  <c r="A87" i="3"/>
  <c r="A240" i="3"/>
  <c r="B237" i="3"/>
  <c r="C237" i="3"/>
  <c r="D237" i="3"/>
  <c r="E313" i="3" s="1"/>
  <c r="A237" i="3"/>
  <c r="A2" i="4"/>
  <c r="A1" i="4"/>
  <c r="A2" i="5"/>
  <c r="A1" i="5"/>
  <c r="A2" i="3"/>
  <c r="A1" i="3"/>
  <c r="A2" i="2"/>
  <c r="A1" i="2"/>
  <c r="B341" i="2"/>
  <c r="C341" i="2"/>
  <c r="D341" i="2"/>
  <c r="A252" i="2"/>
  <c r="B252" i="2"/>
  <c r="C252" i="2"/>
  <c r="D252" i="2"/>
  <c r="E252" i="2"/>
  <c r="F252" i="2"/>
  <c r="G252" i="2"/>
  <c r="A253" i="2"/>
  <c r="B253" i="2"/>
  <c r="C253" i="2"/>
  <c r="D253" i="2"/>
  <c r="E253" i="2"/>
  <c r="F253" i="2"/>
  <c r="G253" i="2"/>
  <c r="A254" i="2"/>
  <c r="B254" i="2"/>
  <c r="C254" i="2"/>
  <c r="D254" i="2"/>
  <c r="E254" i="2"/>
  <c r="F254" i="2"/>
  <c r="G254" i="2"/>
  <c r="A255" i="2"/>
  <c r="B255" i="2"/>
  <c r="C255" i="2"/>
  <c r="D255" i="2"/>
  <c r="E255" i="2"/>
  <c r="F255" i="2"/>
  <c r="G255" i="2"/>
  <c r="C256" i="2"/>
  <c r="D256" i="2"/>
  <c r="E256" i="2"/>
  <c r="F256" i="2"/>
  <c r="B257" i="2"/>
  <c r="C257" i="2"/>
  <c r="D257" i="2"/>
  <c r="E257" i="2"/>
  <c r="F257" i="2"/>
  <c r="G257" i="2"/>
  <c r="B258" i="2"/>
  <c r="C258" i="2"/>
  <c r="D258" i="2"/>
  <c r="E258" i="2"/>
  <c r="F258" i="2"/>
  <c r="G258" i="2"/>
  <c r="A259" i="2"/>
  <c r="A268" i="2"/>
  <c r="A270" i="2"/>
  <c r="B270" i="2"/>
  <c r="C270" i="2"/>
  <c r="D270" i="2"/>
  <c r="E270" i="2"/>
  <c r="F270" i="2"/>
  <c r="G270" i="2"/>
  <c r="A271" i="2"/>
  <c r="B271" i="2"/>
  <c r="C271" i="2"/>
  <c r="D271" i="2"/>
  <c r="E271" i="2"/>
  <c r="F271" i="2"/>
  <c r="G271" i="2"/>
  <c r="A279" i="2"/>
  <c r="A280" i="2"/>
  <c r="B280" i="2"/>
  <c r="C280" i="2"/>
  <c r="D280" i="2"/>
  <c r="E280" i="2"/>
  <c r="F280" i="2"/>
  <c r="G280" i="2"/>
  <c r="A281" i="2"/>
  <c r="B281" i="2"/>
  <c r="C281" i="2"/>
  <c r="D281" i="2"/>
  <c r="E281" i="2"/>
  <c r="F281" i="2"/>
  <c r="G281" i="2"/>
  <c r="A282" i="2"/>
  <c r="B282" i="2"/>
  <c r="C282" i="2"/>
  <c r="D282" i="2"/>
  <c r="E282" i="2"/>
  <c r="F282" i="2"/>
  <c r="G282" i="2"/>
  <c r="A283" i="2"/>
  <c r="B283" i="2"/>
  <c r="C283" i="2"/>
  <c r="D283" i="2"/>
  <c r="E283" i="2"/>
  <c r="F283" i="2"/>
  <c r="G283" i="2"/>
  <c r="A284" i="2"/>
  <c r="B284" i="2"/>
  <c r="C284" i="2"/>
  <c r="D284" i="2"/>
  <c r="E284" i="2"/>
  <c r="F284" i="2"/>
  <c r="G284" i="2"/>
  <c r="A285" i="2"/>
  <c r="A287" i="2"/>
  <c r="A288" i="2"/>
  <c r="E288" i="2"/>
  <c r="F288" i="2"/>
  <c r="A289" i="2"/>
  <c r="B289" i="2"/>
  <c r="C289" i="2"/>
  <c r="D289" i="2"/>
  <c r="E289" i="2"/>
  <c r="F289" i="2"/>
  <c r="G289" i="2"/>
  <c r="A290" i="2"/>
  <c r="B290" i="2"/>
  <c r="C290" i="2"/>
  <c r="D290" i="2"/>
  <c r="E290" i="2"/>
  <c r="F290" i="2"/>
  <c r="G290" i="2"/>
  <c r="A291" i="2"/>
  <c r="B291" i="2"/>
  <c r="C291" i="2"/>
  <c r="D291" i="2"/>
  <c r="E291" i="2"/>
  <c r="F291" i="2"/>
  <c r="G291" i="2"/>
  <c r="A292" i="2"/>
  <c r="A293" i="2"/>
  <c r="B293" i="2"/>
  <c r="C293" i="2"/>
  <c r="D293" i="2"/>
  <c r="E293" i="2"/>
  <c r="F293" i="2"/>
  <c r="G293" i="2"/>
  <c r="A294" i="2"/>
  <c r="A295" i="2"/>
  <c r="A200" i="2"/>
  <c r="A201" i="2"/>
  <c r="A202" i="2"/>
  <c r="A203" i="2"/>
  <c r="A207" i="2"/>
  <c r="A216" i="2"/>
  <c r="A218" i="2"/>
  <c r="A219" i="2"/>
  <c r="A227" i="2"/>
  <c r="A228" i="2"/>
  <c r="A229" i="2"/>
  <c r="A230" i="2"/>
  <c r="A231" i="2"/>
  <c r="A232" i="2"/>
  <c r="A233" i="2"/>
  <c r="A235" i="2"/>
  <c r="A236" i="2"/>
  <c r="A237" i="2"/>
  <c r="A238" i="2"/>
  <c r="A239" i="2"/>
  <c r="A240" i="2"/>
  <c r="A241" i="2"/>
  <c r="A242" i="2"/>
  <c r="A243" i="2"/>
  <c r="F131" i="2"/>
  <c r="D310" i="2" s="1"/>
  <c r="F132" i="2"/>
  <c r="D311" i="2" s="1"/>
  <c r="F134" i="2"/>
  <c r="D313" i="2" s="1"/>
  <c r="F135" i="2"/>
  <c r="F136" i="2"/>
  <c r="F137" i="2"/>
  <c r="F138" i="2"/>
  <c r="F139" i="2"/>
  <c r="F140" i="2"/>
  <c r="F141" i="2"/>
  <c r="F143" i="2"/>
  <c r="F144" i="2"/>
  <c r="F145" i="2"/>
  <c r="F148" i="2"/>
  <c r="D316" i="2" s="1"/>
  <c r="F149" i="2"/>
  <c r="F150" i="2"/>
  <c r="F151" i="2"/>
  <c r="F153" i="2"/>
  <c r="C131" i="2"/>
  <c r="D131" i="2"/>
  <c r="B310" i="2" s="1"/>
  <c r="E131" i="2"/>
  <c r="C310" i="2" s="1"/>
  <c r="C132" i="2"/>
  <c r="D132" i="2"/>
  <c r="B311" i="2" s="1"/>
  <c r="E132" i="2"/>
  <c r="C311" i="2" s="1"/>
  <c r="C134" i="2"/>
  <c r="D134" i="2"/>
  <c r="B313" i="2" s="1"/>
  <c r="E134" i="2"/>
  <c r="C313" i="2" s="1"/>
  <c r="C135" i="2"/>
  <c r="D135" i="2"/>
  <c r="E135" i="2"/>
  <c r="C136" i="2"/>
  <c r="D136" i="2"/>
  <c r="E136" i="2"/>
  <c r="C137" i="2"/>
  <c r="D137" i="2"/>
  <c r="E137" i="2"/>
  <c r="C138" i="2"/>
  <c r="D138" i="2"/>
  <c r="E138" i="2"/>
  <c r="C139" i="2"/>
  <c r="D139" i="2"/>
  <c r="E139" i="2"/>
  <c r="C140" i="2"/>
  <c r="D140" i="2"/>
  <c r="E140" i="2"/>
  <c r="C141" i="2"/>
  <c r="D141" i="2"/>
  <c r="E141" i="2"/>
  <c r="C143" i="2"/>
  <c r="D143" i="2"/>
  <c r="E143" i="2"/>
  <c r="C144" i="2"/>
  <c r="D144" i="2"/>
  <c r="E144" i="2"/>
  <c r="C145" i="2"/>
  <c r="D145" i="2"/>
  <c r="E145" i="2"/>
  <c r="C146" i="2"/>
  <c r="D146" i="2"/>
  <c r="E146" i="2"/>
  <c r="C148" i="2"/>
  <c r="D148" i="2"/>
  <c r="B316" i="2" s="1"/>
  <c r="E148" i="2"/>
  <c r="C316" i="2" s="1"/>
  <c r="C149" i="2"/>
  <c r="D149" i="2"/>
  <c r="E149" i="2"/>
  <c r="C150" i="2"/>
  <c r="D150" i="2"/>
  <c r="E150" i="2"/>
  <c r="C151" i="2"/>
  <c r="D151" i="2"/>
  <c r="E151" i="2"/>
  <c r="C153" i="2"/>
  <c r="D153" i="2"/>
  <c r="E153" i="2"/>
  <c r="B132" i="2"/>
  <c r="B134" i="2"/>
  <c r="B135" i="2"/>
  <c r="B136" i="2"/>
  <c r="B137" i="2"/>
  <c r="B138" i="2"/>
  <c r="B139" i="2"/>
  <c r="B140" i="2"/>
  <c r="B141" i="2"/>
  <c r="B143" i="2"/>
  <c r="B144" i="2"/>
  <c r="B145" i="2"/>
  <c r="B146" i="2"/>
  <c r="B148" i="2"/>
  <c r="B149" i="2"/>
  <c r="B150" i="2"/>
  <c r="B151" i="2"/>
  <c r="B153" i="2"/>
  <c r="B131" i="2"/>
  <c r="A166" i="2"/>
  <c r="B166" i="2"/>
  <c r="C166" i="2"/>
  <c r="D166" i="2"/>
  <c r="E166" i="2"/>
  <c r="F166" i="2"/>
  <c r="G166" i="2"/>
  <c r="A167" i="2"/>
  <c r="A168" i="2"/>
  <c r="B168" i="2"/>
  <c r="C168" i="2"/>
  <c r="D168" i="2"/>
  <c r="E168" i="2"/>
  <c r="F168" i="2"/>
  <c r="G168" i="2"/>
  <c r="A169" i="2"/>
  <c r="B169" i="2"/>
  <c r="C169" i="2"/>
  <c r="D169" i="2"/>
  <c r="E169" i="2"/>
  <c r="F169" i="2"/>
  <c r="G169" i="2"/>
  <c r="A170" i="2"/>
  <c r="B170" i="2"/>
  <c r="C170" i="2"/>
  <c r="D170" i="2"/>
  <c r="E170" i="2"/>
  <c r="F170" i="2"/>
  <c r="G170" i="2"/>
  <c r="A171" i="2"/>
  <c r="B171" i="2"/>
  <c r="C171" i="2"/>
  <c r="D171" i="2"/>
  <c r="E171" i="2"/>
  <c r="F171" i="2"/>
  <c r="G171" i="2"/>
  <c r="A172" i="2"/>
  <c r="B172" i="2"/>
  <c r="C172" i="2"/>
  <c r="D172" i="2"/>
  <c r="E172" i="2"/>
  <c r="F172" i="2"/>
  <c r="G172" i="2"/>
  <c r="A173" i="2"/>
  <c r="B173" i="2"/>
  <c r="C173" i="2"/>
  <c r="D173" i="2"/>
  <c r="E173" i="2"/>
  <c r="F173" i="2"/>
  <c r="G173" i="2"/>
  <c r="A174" i="2"/>
  <c r="B174" i="2"/>
  <c r="C174" i="2"/>
  <c r="D174" i="2"/>
  <c r="E174" i="2"/>
  <c r="F174" i="2"/>
  <c r="G174" i="2"/>
  <c r="A175" i="2"/>
  <c r="A176" i="2"/>
  <c r="A177" i="2"/>
  <c r="B177" i="2"/>
  <c r="C177" i="2"/>
  <c r="D177" i="2"/>
  <c r="E177" i="2"/>
  <c r="F177" i="2"/>
  <c r="G177" i="2"/>
  <c r="A178" i="2"/>
  <c r="B178" i="2"/>
  <c r="C178" i="2"/>
  <c r="D178" i="2"/>
  <c r="E178" i="2"/>
  <c r="F178" i="2"/>
  <c r="G178" i="2"/>
  <c r="A179" i="2"/>
  <c r="B179" i="2"/>
  <c r="C179" i="2"/>
  <c r="D179" i="2"/>
  <c r="E179" i="2"/>
  <c r="F179" i="2"/>
  <c r="G179" i="2"/>
  <c r="A180" i="2"/>
  <c r="B180" i="2"/>
  <c r="C180" i="2"/>
  <c r="D180" i="2"/>
  <c r="E180" i="2"/>
  <c r="A181" i="2"/>
  <c r="A182" i="2"/>
  <c r="B182" i="2"/>
  <c r="C182" i="2"/>
  <c r="D182" i="2"/>
  <c r="E182" i="2"/>
  <c r="F182" i="2"/>
  <c r="G182" i="2"/>
  <c r="A183" i="2"/>
  <c r="B183" i="2"/>
  <c r="C183" i="2"/>
  <c r="D183" i="2"/>
  <c r="E183" i="2"/>
  <c r="F183" i="2"/>
  <c r="G183" i="2"/>
  <c r="A184" i="2"/>
  <c r="B184" i="2"/>
  <c r="C184" i="2"/>
  <c r="D184" i="2"/>
  <c r="E184" i="2"/>
  <c r="F184" i="2"/>
  <c r="G184" i="2"/>
  <c r="A185" i="2"/>
  <c r="B185" i="2"/>
  <c r="C185" i="2"/>
  <c r="D185" i="2"/>
  <c r="E185" i="2"/>
  <c r="F185" i="2"/>
  <c r="G185" i="2"/>
  <c r="A186" i="2"/>
  <c r="A187" i="2"/>
  <c r="B187" i="2"/>
  <c r="C187" i="2"/>
  <c r="D187" i="2"/>
  <c r="E187" i="2"/>
  <c r="F187" i="2"/>
  <c r="G187" i="2"/>
  <c r="A188" i="2"/>
  <c r="A191" i="2"/>
  <c r="A132" i="2"/>
  <c r="A311" i="2" s="1"/>
  <c r="A133" i="2"/>
  <c r="A312" i="2" s="1"/>
  <c r="A134" i="2"/>
  <c r="A313" i="2" s="1"/>
  <c r="A135" i="2"/>
  <c r="A136" i="2"/>
  <c r="A137" i="2"/>
  <c r="A138" i="2"/>
  <c r="A139" i="2"/>
  <c r="A140" i="2"/>
  <c r="A141" i="2"/>
  <c r="A142" i="2"/>
  <c r="A314" i="2" s="1"/>
  <c r="A143" i="2"/>
  <c r="A144" i="2"/>
  <c r="A145" i="2"/>
  <c r="A146" i="2"/>
  <c r="A147" i="2"/>
  <c r="A315" i="2" s="1"/>
  <c r="A148" i="2"/>
  <c r="A316" i="2" s="1"/>
  <c r="A149" i="2"/>
  <c r="A150" i="2"/>
  <c r="A151" i="2"/>
  <c r="A152" i="2"/>
  <c r="A153" i="2"/>
  <c r="A154" i="2"/>
  <c r="A157" i="2"/>
  <c r="B136" i="1"/>
  <c r="E269" i="4"/>
  <c r="D174" i="3"/>
  <c r="E174" i="3" s="1"/>
  <c r="F174" i="3" s="1"/>
  <c r="G174" i="3" s="1"/>
  <c r="H174" i="3" s="1"/>
  <c r="I174" i="3" s="1"/>
  <c r="F44" i="1"/>
  <c r="C365" i="3" s="1"/>
  <c r="E44" i="1"/>
  <c r="C135" i="1"/>
  <c r="D135" i="1"/>
  <c r="E135" i="1"/>
  <c r="F135" i="1"/>
  <c r="C136" i="1"/>
  <c r="D136" i="1"/>
  <c r="E136" i="1"/>
  <c r="F136" i="1"/>
  <c r="F381" i="2"/>
  <c r="D218" i="3"/>
  <c r="E218" i="3" s="1"/>
  <c r="F218" i="3" s="1"/>
  <c r="G218" i="3" s="1"/>
  <c r="H218" i="3" s="1"/>
  <c r="I218" i="3" s="1"/>
  <c r="D140" i="1"/>
  <c r="C140" i="1"/>
  <c r="B140" i="1"/>
  <c r="C382" i="2"/>
  <c r="B382" i="2"/>
  <c r="B380" i="2"/>
  <c r="C380" i="2"/>
  <c r="B375" i="2"/>
  <c r="D96" i="1"/>
  <c r="C96" i="1"/>
  <c r="B96" i="1"/>
  <c r="D67" i="1"/>
  <c r="D76" i="1" s="1"/>
  <c r="C67" i="1"/>
  <c r="B133" i="2" s="1"/>
  <c r="B67" i="1"/>
  <c r="B76" i="1" s="1"/>
  <c r="D63" i="1"/>
  <c r="C63" i="1"/>
  <c r="B63" i="1"/>
  <c r="D57" i="1"/>
  <c r="D59" i="1" s="1"/>
  <c r="C57" i="1"/>
  <c r="C59" i="1" s="1"/>
  <c r="B104" i="2" s="1"/>
  <c r="C44" i="1"/>
  <c r="C50" i="1" s="1"/>
  <c r="B44" i="1"/>
  <c r="B50" i="1" s="1"/>
  <c r="D24" i="1"/>
  <c r="D33" i="1" s="1"/>
  <c r="C24" i="1"/>
  <c r="F140" i="1"/>
  <c r="E140" i="1"/>
  <c r="F96" i="1"/>
  <c r="E96" i="1"/>
  <c r="F67" i="1"/>
  <c r="F76" i="1" s="1"/>
  <c r="F81" i="1" s="1"/>
  <c r="E108" i="2" s="1"/>
  <c r="E67" i="1"/>
  <c r="D46" i="2" s="1"/>
  <c r="B355" i="3" s="1"/>
  <c r="F63" i="1"/>
  <c r="E63" i="1"/>
  <c r="F57" i="1"/>
  <c r="E57" i="1"/>
  <c r="E59" i="1" s="1"/>
  <c r="F24" i="1"/>
  <c r="E24" i="1"/>
  <c r="G149" i="1"/>
  <c r="F125" i="2" s="1"/>
  <c r="G135" i="1"/>
  <c r="G136" i="1"/>
  <c r="G251" i="2"/>
  <c r="F251" i="2"/>
  <c r="E251" i="2"/>
  <c r="D251" i="2"/>
  <c r="C251" i="2"/>
  <c r="B251" i="2"/>
  <c r="G165" i="2"/>
  <c r="F165" i="2"/>
  <c r="D328" i="3" s="1"/>
  <c r="E165" i="2"/>
  <c r="C328" i="3" s="1"/>
  <c r="D165" i="2"/>
  <c r="B328" i="3" s="1"/>
  <c r="C165" i="2"/>
  <c r="B165" i="2"/>
  <c r="F120" i="2"/>
  <c r="F95" i="2"/>
  <c r="D361" i="3" s="1"/>
  <c r="E95" i="2"/>
  <c r="C361" i="3" s="1"/>
  <c r="D95" i="2"/>
  <c r="E312" i="2" s="1"/>
  <c r="C95" i="2"/>
  <c r="B95" i="2"/>
  <c r="F311" i="2"/>
  <c r="B360" i="3"/>
  <c r="C359" i="3"/>
  <c r="F56" i="2"/>
  <c r="E56" i="2"/>
  <c r="D56" i="2"/>
  <c r="C56" i="2"/>
  <c r="B56" i="2"/>
  <c r="E255" i="3"/>
  <c r="A19" i="4"/>
  <c r="C19" i="4"/>
  <c r="A20" i="4"/>
  <c r="C20" i="4"/>
  <c r="C63" i="4"/>
  <c r="A64" i="4"/>
  <c r="C64" i="4"/>
  <c r="A65" i="4"/>
  <c r="C65" i="4"/>
  <c r="C90" i="4"/>
  <c r="A91" i="4"/>
  <c r="C91" i="4"/>
  <c r="A92" i="4"/>
  <c r="C92" i="4"/>
  <c r="E101" i="4"/>
  <c r="F101" i="4"/>
  <c r="G101" i="4"/>
  <c r="H101" i="4"/>
  <c r="I101" i="4"/>
  <c r="J101" i="4"/>
  <c r="C120" i="4"/>
  <c r="A121" i="4"/>
  <c r="C121" i="4"/>
  <c r="A122" i="4"/>
  <c r="C122" i="4"/>
  <c r="C146" i="4"/>
  <c r="A147" i="4"/>
  <c r="C147" i="4"/>
  <c r="A148" i="4"/>
  <c r="C148" i="4"/>
  <c r="C177" i="4"/>
  <c r="A178" i="4"/>
  <c r="C178" i="4"/>
  <c r="A179" i="4"/>
  <c r="C179" i="4"/>
  <c r="C203" i="4"/>
  <c r="A204" i="4"/>
  <c r="C204" i="4"/>
  <c r="A205" i="4"/>
  <c r="C205" i="4"/>
  <c r="C239" i="4"/>
  <c r="A240" i="4"/>
  <c r="C240" i="4"/>
  <c r="A241" i="4"/>
  <c r="C241" i="4"/>
  <c r="E261" i="4"/>
  <c r="B11" i="5"/>
  <c r="B12" i="5"/>
  <c r="E19" i="5"/>
  <c r="F19" i="5"/>
  <c r="G19" i="5"/>
  <c r="H19" i="5"/>
  <c r="I19" i="5"/>
  <c r="B55" i="5"/>
  <c r="C55" i="5"/>
  <c r="D55" i="5"/>
  <c r="B56" i="5"/>
  <c r="C56" i="5"/>
  <c r="D56" i="5"/>
  <c r="B69" i="5"/>
  <c r="B97" i="5" s="1"/>
  <c r="C69" i="5"/>
  <c r="C97" i="5" s="1"/>
  <c r="D69" i="5"/>
  <c r="B74" i="5"/>
  <c r="C74" i="5"/>
  <c r="D74" i="5"/>
  <c r="E72" i="5" s="1"/>
  <c r="B99" i="5"/>
  <c r="C99" i="5"/>
  <c r="D99" i="5"/>
  <c r="A10" i="3"/>
  <c r="B10" i="3"/>
  <c r="A11" i="3"/>
  <c r="B11" i="3"/>
  <c r="J16" i="3"/>
  <c r="B19" i="3"/>
  <c r="B112" i="3" s="1"/>
  <c r="C19" i="3"/>
  <c r="C19" i="5" s="1"/>
  <c r="D19" i="3"/>
  <c r="D19" i="5" s="1"/>
  <c r="B21" i="3"/>
  <c r="C21" i="3"/>
  <c r="C22" i="3" s="1"/>
  <c r="D21" i="3"/>
  <c r="A24" i="3"/>
  <c r="B24" i="3"/>
  <c r="C24" i="3"/>
  <c r="D24" i="3"/>
  <c r="A27" i="3"/>
  <c r="A31" i="3"/>
  <c r="B31" i="3"/>
  <c r="C31" i="3"/>
  <c r="D31" i="3"/>
  <c r="A34" i="3"/>
  <c r="C34" i="3"/>
  <c r="D34" i="3"/>
  <c r="A37" i="3"/>
  <c r="C37" i="3"/>
  <c r="A40" i="3"/>
  <c r="B40" i="3"/>
  <c r="C40" i="3"/>
  <c r="D40" i="3"/>
  <c r="A43" i="3"/>
  <c r="B43" i="3"/>
  <c r="C43" i="3"/>
  <c r="D43" i="3"/>
  <c r="A46" i="3"/>
  <c r="B46" i="3"/>
  <c r="C46" i="3"/>
  <c r="D46" i="3"/>
  <c r="F47" i="3"/>
  <c r="G47" i="3" s="1"/>
  <c r="H47" i="3" s="1"/>
  <c r="I47" i="3" s="1"/>
  <c r="J47" i="3" s="1"/>
  <c r="A49" i="3"/>
  <c r="C49" i="3"/>
  <c r="D49" i="3"/>
  <c r="A52" i="3"/>
  <c r="B52" i="3"/>
  <c r="C52" i="3"/>
  <c r="D52" i="3"/>
  <c r="A55" i="3"/>
  <c r="A59" i="3"/>
  <c r="B59" i="3"/>
  <c r="C59" i="3"/>
  <c r="D59" i="3"/>
  <c r="D60" i="3" s="1"/>
  <c r="A62" i="3"/>
  <c r="B62" i="3"/>
  <c r="C62" i="3"/>
  <c r="D62" i="3"/>
  <c r="A65" i="3"/>
  <c r="B65" i="3"/>
  <c r="C65" i="3"/>
  <c r="D65" i="3"/>
  <c r="A68" i="3"/>
  <c r="B68" i="3"/>
  <c r="C68" i="3"/>
  <c r="A71" i="3"/>
  <c r="B75" i="3"/>
  <c r="C75" i="3"/>
  <c r="D75" i="3"/>
  <c r="A78" i="3"/>
  <c r="B78" i="3"/>
  <c r="C78" i="3"/>
  <c r="D78" i="3"/>
  <c r="A81" i="3"/>
  <c r="B81" i="3"/>
  <c r="C81" i="3"/>
  <c r="D81" i="3"/>
  <c r="A84" i="3"/>
  <c r="A97" i="3"/>
  <c r="A103" i="3"/>
  <c r="B103" i="3"/>
  <c r="A104" i="3"/>
  <c r="B104" i="3"/>
  <c r="E112" i="3"/>
  <c r="F112" i="3"/>
  <c r="G112" i="3"/>
  <c r="H112" i="3"/>
  <c r="I112" i="3"/>
  <c r="J112" i="3"/>
  <c r="A115" i="3"/>
  <c r="B115" i="3"/>
  <c r="C115" i="3"/>
  <c r="A118" i="3"/>
  <c r="B118" i="3"/>
  <c r="C118" i="3"/>
  <c r="D118" i="3"/>
  <c r="E118" i="3" s="1"/>
  <c r="F118" i="3" s="1"/>
  <c r="G118" i="3" s="1"/>
  <c r="H118" i="3" s="1"/>
  <c r="I118" i="3" s="1"/>
  <c r="A121" i="3"/>
  <c r="E121" i="3"/>
  <c r="F121" i="3" s="1"/>
  <c r="G121" i="3" s="1"/>
  <c r="H121" i="3" s="1"/>
  <c r="I121" i="3" s="1"/>
  <c r="A124" i="3"/>
  <c r="F124" i="3"/>
  <c r="G124" i="3" s="1"/>
  <c r="H124" i="3" s="1"/>
  <c r="I124" i="3" s="1"/>
  <c r="A127" i="3"/>
  <c r="B127" i="3"/>
  <c r="C127" i="3"/>
  <c r="D127" i="3"/>
  <c r="B130" i="3"/>
  <c r="C130" i="3"/>
  <c r="D130" i="3"/>
  <c r="B133" i="3"/>
  <c r="C133" i="3"/>
  <c r="D133" i="3"/>
  <c r="A136" i="3"/>
  <c r="B136" i="3"/>
  <c r="C136" i="3"/>
  <c r="D136" i="3"/>
  <c r="E136" i="3" s="1"/>
  <c r="F136" i="3" s="1"/>
  <c r="G136" i="3" s="1"/>
  <c r="H136" i="3" s="1"/>
  <c r="I136" i="3" s="1"/>
  <c r="A139" i="3"/>
  <c r="A166" i="3"/>
  <c r="A171" i="3"/>
  <c r="B171" i="3"/>
  <c r="C171" i="3"/>
  <c r="D171" i="3"/>
  <c r="E171" i="3" s="1"/>
  <c r="F171" i="3" s="1"/>
  <c r="G171" i="3" s="1"/>
  <c r="H171" i="3" s="1"/>
  <c r="I171" i="3" s="1"/>
  <c r="A174" i="3"/>
  <c r="A177" i="3"/>
  <c r="B177" i="3"/>
  <c r="C177" i="3"/>
  <c r="D177" i="3"/>
  <c r="A180" i="3"/>
  <c r="B180" i="3"/>
  <c r="C180" i="3"/>
  <c r="D180" i="3"/>
  <c r="A183" i="3"/>
  <c r="B183" i="3"/>
  <c r="C183" i="3"/>
  <c r="D183" i="3"/>
  <c r="E183" i="3" s="1"/>
  <c r="F183" i="3" s="1"/>
  <c r="G183" i="3" s="1"/>
  <c r="H183" i="3" s="1"/>
  <c r="I183" i="3" s="1"/>
  <c r="A192" i="3"/>
  <c r="B192" i="3"/>
  <c r="C192" i="3"/>
  <c r="D192" i="3"/>
  <c r="A195" i="3"/>
  <c r="A198" i="3"/>
  <c r="B198" i="3"/>
  <c r="C198" i="3"/>
  <c r="D198" i="3"/>
  <c r="E198" i="3" s="1"/>
  <c r="A201" i="3"/>
  <c r="B201" i="3"/>
  <c r="C201" i="3"/>
  <c r="D201" i="3"/>
  <c r="E201" i="3" s="1"/>
  <c r="F201" i="3" s="1"/>
  <c r="G201" i="3" s="1"/>
  <c r="H201" i="3" s="1"/>
  <c r="I201" i="3" s="1"/>
  <c r="A204" i="3"/>
  <c r="B204" i="3"/>
  <c r="C204" i="3"/>
  <c r="D204" i="3"/>
  <c r="E204" i="3" s="1"/>
  <c r="F204" i="3" s="1"/>
  <c r="G204" i="3" s="1"/>
  <c r="H204" i="3" s="1"/>
  <c r="I204" i="3" s="1"/>
  <c r="A207" i="3"/>
  <c r="B207" i="3"/>
  <c r="C207" i="3"/>
  <c r="D207" i="3"/>
  <c r="A210" i="3"/>
  <c r="B210" i="3"/>
  <c r="C210" i="3"/>
  <c r="D210" i="3"/>
  <c r="A213" i="3"/>
  <c r="A218" i="3"/>
  <c r="A225" i="3"/>
  <c r="B225" i="3"/>
  <c r="C225" i="3"/>
  <c r="D225" i="3"/>
  <c r="A228" i="3"/>
  <c r="B228" i="3"/>
  <c r="C228" i="3"/>
  <c r="D228" i="3"/>
  <c r="E228" i="3" s="1"/>
  <c r="A231" i="3"/>
  <c r="B231" i="3"/>
  <c r="C231" i="3"/>
  <c r="D231" i="3"/>
  <c r="E231" i="3" s="1"/>
  <c r="A234" i="3"/>
  <c r="A243" i="3"/>
  <c r="F255" i="3"/>
  <c r="G256" i="3"/>
  <c r="G255" i="3" s="1"/>
  <c r="A274" i="3"/>
  <c r="B274" i="3"/>
  <c r="A275" i="3"/>
  <c r="B275" i="3"/>
  <c r="E278" i="3"/>
  <c r="F278" i="3"/>
  <c r="G278" i="3"/>
  <c r="H278" i="3"/>
  <c r="I278" i="3"/>
  <c r="J278" i="3"/>
  <c r="A321" i="3"/>
  <c r="B321" i="3"/>
  <c r="A322" i="3"/>
  <c r="B322" i="3"/>
  <c r="B325" i="3"/>
  <c r="C325" i="3"/>
  <c r="D325" i="3"/>
  <c r="E325" i="3"/>
  <c r="F325" i="3"/>
  <c r="G325" i="3"/>
  <c r="H325" i="3"/>
  <c r="I325" i="3"/>
  <c r="J325" i="3"/>
  <c r="A9" i="2"/>
  <c r="B9" i="2"/>
  <c r="A10" i="2"/>
  <c r="B10" i="2"/>
  <c r="A14" i="2"/>
  <c r="A15" i="2"/>
  <c r="A16" i="2"/>
  <c r="B21" i="2"/>
  <c r="C21" i="2"/>
  <c r="D21" i="2"/>
  <c r="E21" i="2"/>
  <c r="F21" i="2"/>
  <c r="B78" i="2"/>
  <c r="C78" i="2"/>
  <c r="D78" i="2"/>
  <c r="E78" i="2"/>
  <c r="F78" i="2"/>
  <c r="B129" i="2"/>
  <c r="C129" i="2"/>
  <c r="D129" i="2"/>
  <c r="E129" i="2"/>
  <c r="F129" i="2"/>
  <c r="A131" i="2"/>
  <c r="A310" i="2" s="1"/>
  <c r="B161" i="2"/>
  <c r="C161" i="2"/>
  <c r="D161" i="2"/>
  <c r="E161" i="2"/>
  <c r="F161" i="2"/>
  <c r="A165" i="2"/>
  <c r="B196" i="2"/>
  <c r="C196" i="2"/>
  <c r="D196" i="2"/>
  <c r="E196" i="2"/>
  <c r="F196" i="2"/>
  <c r="A198" i="2"/>
  <c r="A199" i="2"/>
  <c r="B247" i="2"/>
  <c r="C247" i="2"/>
  <c r="D247" i="2"/>
  <c r="E247" i="2"/>
  <c r="F247" i="2"/>
  <c r="A250" i="2"/>
  <c r="A251" i="2"/>
  <c r="C302" i="2"/>
  <c r="B337" i="2" s="1"/>
  <c r="D302" i="2"/>
  <c r="C324" i="2" s="1"/>
  <c r="C327" i="2" s="1"/>
  <c r="E302" i="2"/>
  <c r="D324" i="2" s="1"/>
  <c r="D327" i="2" s="1"/>
  <c r="B364" i="2"/>
  <c r="C364" i="2"/>
  <c r="D364" i="2"/>
  <c r="E364" i="2"/>
  <c r="F364" i="2"/>
  <c r="A367" i="2"/>
  <c r="A368" i="2"/>
  <c r="B368" i="2"/>
  <c r="C368" i="2"/>
  <c r="D368" i="2"/>
  <c r="E368" i="2"/>
  <c r="F368" i="2"/>
  <c r="B369" i="2"/>
  <c r="C369" i="2"/>
  <c r="D369" i="2"/>
  <c r="E369" i="2"/>
  <c r="F369" i="2"/>
  <c r="A371" i="2"/>
  <c r="D374" i="2"/>
  <c r="E374" i="2"/>
  <c r="F374" i="2"/>
  <c r="B376" i="2"/>
  <c r="C376" i="2"/>
  <c r="A377" i="2"/>
  <c r="B381" i="2"/>
  <c r="C381" i="2"/>
  <c r="D381" i="2"/>
  <c r="E381" i="2"/>
  <c r="B383" i="2"/>
  <c r="C383" i="2"/>
  <c r="D383" i="2"/>
  <c r="E383" i="2"/>
  <c r="F383" i="2"/>
  <c r="B384" i="2"/>
  <c r="C384" i="2"/>
  <c r="A385" i="2"/>
  <c r="A387" i="2"/>
  <c r="B387" i="2"/>
  <c r="C387" i="2"/>
  <c r="D387" i="2"/>
  <c r="E387" i="2"/>
  <c r="F387" i="2"/>
  <c r="A388" i="2"/>
  <c r="G24" i="1"/>
  <c r="G33" i="1" s="1"/>
  <c r="C222" i="3"/>
  <c r="D222" i="3"/>
  <c r="E222" i="3" s="1"/>
  <c r="F222" i="3" s="1"/>
  <c r="G222" i="3" s="1"/>
  <c r="H222" i="3" s="1"/>
  <c r="I222" i="3" s="1"/>
  <c r="G63" i="1"/>
  <c r="G67" i="1"/>
  <c r="F133" i="2" s="1"/>
  <c r="D312" i="2" s="1"/>
  <c r="G96" i="1"/>
  <c r="G140" i="1"/>
  <c r="F25" i="4"/>
  <c r="B174" i="3"/>
  <c r="G57" i="1"/>
  <c r="C288" i="2"/>
  <c r="E375" i="2"/>
  <c r="B288" i="2"/>
  <c r="C287" i="2"/>
  <c r="D380" i="2"/>
  <c r="B287" i="2"/>
  <c r="F380" i="2"/>
  <c r="C174" i="3"/>
  <c r="C375" i="2"/>
  <c r="B132" i="1"/>
  <c r="D287" i="2"/>
  <c r="D288" i="2"/>
  <c r="D132" i="1"/>
  <c r="G288" i="2"/>
  <c r="D44" i="1"/>
  <c r="B345" i="2"/>
  <c r="G287" i="2"/>
  <c r="G44" i="1"/>
  <c r="G50" i="1" s="1"/>
  <c r="C132" i="1"/>
  <c r="E380" i="2"/>
  <c r="B218" i="3"/>
  <c r="F287" i="2"/>
  <c r="E287" i="2"/>
  <c r="C218" i="3"/>
  <c r="D220" i="3" s="1"/>
  <c r="F40" i="4"/>
  <c r="E384" i="2"/>
  <c r="F382" i="2"/>
  <c r="F149" i="1"/>
  <c r="E119" i="2" s="1"/>
  <c r="F146" i="2"/>
  <c r="G132" i="1"/>
  <c r="E121" i="1"/>
  <c r="D376" i="2"/>
  <c r="E370" i="2"/>
  <c r="F370" i="2"/>
  <c r="G180" i="2"/>
  <c r="F376" i="2"/>
  <c r="G121" i="1"/>
  <c r="E120" i="2"/>
  <c r="B120" i="2"/>
  <c r="C149" i="1"/>
  <c r="B123" i="2" s="1"/>
  <c r="F180" i="2"/>
  <c r="D68" i="3"/>
  <c r="E169" i="4" l="1"/>
  <c r="M20" i="4"/>
  <c r="E12" i="14"/>
  <c r="D38" i="5"/>
  <c r="D34" i="5"/>
  <c r="D12" i="14"/>
  <c r="C34" i="5"/>
  <c r="C38" i="5"/>
  <c r="C12" i="14"/>
  <c r="B38" i="5"/>
  <c r="B34" i="5"/>
  <c r="F33" i="1"/>
  <c r="E81" i="2"/>
  <c r="F198" i="3"/>
  <c r="H150" i="14"/>
  <c r="D79" i="3"/>
  <c r="D63" i="3"/>
  <c r="D22" i="3"/>
  <c r="F39" i="4"/>
  <c r="E260" i="4" s="1"/>
  <c r="D122" i="2"/>
  <c r="K55" i="5"/>
  <c r="E55" i="5" s="1"/>
  <c r="E133" i="2"/>
  <c r="C312" i="2" s="1"/>
  <c r="E290" i="3"/>
  <c r="D290" i="3"/>
  <c r="D144" i="3"/>
  <c r="C200" i="3"/>
  <c r="F119" i="2"/>
  <c r="E46" i="2"/>
  <c r="C355" i="3" s="1"/>
  <c r="F61" i="2"/>
  <c r="E66" i="2"/>
  <c r="B364" i="3"/>
  <c r="E227" i="2"/>
  <c r="E201" i="2"/>
  <c r="E230" i="4"/>
  <c r="E228" i="2"/>
  <c r="E199" i="2"/>
  <c r="E218" i="2"/>
  <c r="E230" i="2"/>
  <c r="E237" i="2"/>
  <c r="E203" i="2"/>
  <c r="E241" i="2"/>
  <c r="B150" i="3"/>
  <c r="D35" i="3"/>
  <c r="C296" i="3"/>
  <c r="E308" i="3"/>
  <c r="E102" i="4" s="1"/>
  <c r="C48" i="3"/>
  <c r="C42" i="3"/>
  <c r="D89" i="3"/>
  <c r="B147" i="3"/>
  <c r="C133" i="2"/>
  <c r="C46" i="2"/>
  <c r="F86" i="1"/>
  <c r="E299" i="3"/>
  <c r="E142" i="2"/>
  <c r="C314" i="2" s="1"/>
  <c r="C233" i="3"/>
  <c r="D227" i="3"/>
  <c r="C206" i="3"/>
  <c r="F206" i="2"/>
  <c r="F237" i="2"/>
  <c r="C67" i="3"/>
  <c r="C61" i="3"/>
  <c r="D51" i="3"/>
  <c r="B46" i="2"/>
  <c r="C364" i="3"/>
  <c r="B66" i="2"/>
  <c r="C76" i="1"/>
  <c r="B52" i="2" s="1"/>
  <c r="C167" i="2"/>
  <c r="F50" i="1"/>
  <c r="E233" i="2" s="1"/>
  <c r="C203" i="3"/>
  <c r="D32" i="3"/>
  <c r="D289" i="3"/>
  <c r="D42" i="3"/>
  <c r="D36" i="3"/>
  <c r="C291" i="3"/>
  <c r="G292" i="2"/>
  <c r="C138" i="3"/>
  <c r="D39" i="3"/>
  <c r="C230" i="3"/>
  <c r="D285" i="3"/>
  <c r="D283" i="3"/>
  <c r="D80" i="3"/>
  <c r="E205" i="2"/>
  <c r="D67" i="3"/>
  <c r="D296" i="3"/>
  <c r="D95" i="3"/>
  <c r="C286" i="3"/>
  <c r="D66" i="3"/>
  <c r="B19" i="5"/>
  <c r="B31" i="5" s="1"/>
  <c r="C50" i="3"/>
  <c r="H256" i="3"/>
  <c r="H255" i="3" s="1"/>
  <c r="C220" i="3"/>
  <c r="E234" i="2"/>
  <c r="D105" i="2"/>
  <c r="D104" i="2"/>
  <c r="C209" i="2"/>
  <c r="C234" i="2"/>
  <c r="C237" i="2"/>
  <c r="C241" i="2"/>
  <c r="C218" i="2"/>
  <c r="E147" i="2"/>
  <c r="C315" i="2" s="1"/>
  <c r="F204" i="2"/>
  <c r="C135" i="3"/>
  <c r="E112" i="4"/>
  <c r="G167" i="2"/>
  <c r="F167" i="2"/>
  <c r="G279" i="2"/>
  <c r="D167" i="2"/>
  <c r="C176" i="3"/>
  <c r="F66" i="2"/>
  <c r="D309" i="3"/>
  <c r="D311" i="3"/>
  <c r="C123" i="3"/>
  <c r="C64" i="3"/>
  <c r="C292" i="2"/>
  <c r="F143" i="1"/>
  <c r="E107" i="2"/>
  <c r="C370" i="3" s="1"/>
  <c r="F201" i="2"/>
  <c r="E67" i="2"/>
  <c r="F46" i="2"/>
  <c r="D355" i="3" s="1"/>
  <c r="D230" i="3"/>
  <c r="F122" i="2"/>
  <c r="D61" i="2"/>
  <c r="C238" i="2"/>
  <c r="C200" i="2"/>
  <c r="D279" i="2"/>
  <c r="C126" i="3"/>
  <c r="C120" i="3"/>
  <c r="B139" i="3"/>
  <c r="E240" i="2"/>
  <c r="C232" i="2"/>
  <c r="C207" i="2"/>
  <c r="C240" i="2"/>
  <c r="C205" i="2"/>
  <c r="C204" i="2"/>
  <c r="D209" i="3"/>
  <c r="E177" i="3"/>
  <c r="F177" i="3" s="1"/>
  <c r="G177" i="3" s="1"/>
  <c r="H177" i="3" s="1"/>
  <c r="I177" i="3" s="1"/>
  <c r="C132" i="3"/>
  <c r="C199" i="2"/>
  <c r="E125" i="2"/>
  <c r="C343" i="2"/>
  <c r="C352" i="2" s="1"/>
  <c r="E68" i="2"/>
  <c r="F35" i="2"/>
  <c r="D344" i="3" s="1"/>
  <c r="C203" i="2"/>
  <c r="C236" i="2"/>
  <c r="B125" i="2"/>
  <c r="C201" i="2"/>
  <c r="C229" i="2"/>
  <c r="E47" i="2"/>
  <c r="C356" i="3" s="1"/>
  <c r="E229" i="2"/>
  <c r="E238" i="2"/>
  <c r="C239" i="2"/>
  <c r="G76" i="1"/>
  <c r="F47" i="2" s="1"/>
  <c r="D356" i="3" s="1"/>
  <c r="D50" i="1"/>
  <c r="D60" i="1" s="1"/>
  <c r="C83" i="3"/>
  <c r="C259" i="2"/>
  <c r="B294" i="2"/>
  <c r="C69" i="3"/>
  <c r="C224" i="3"/>
  <c r="C53" i="3"/>
  <c r="C185" i="3"/>
  <c r="B195" i="3"/>
  <c r="B213" i="3" s="1"/>
  <c r="D77" i="3"/>
  <c r="C313" i="3"/>
  <c r="C79" i="3"/>
  <c r="C89" i="3"/>
  <c r="C32" i="3"/>
  <c r="D179" i="3"/>
  <c r="C60" i="3"/>
  <c r="D200" i="3"/>
  <c r="C25" i="3"/>
  <c r="D206" i="3"/>
  <c r="D308" i="3"/>
  <c r="C292" i="3"/>
  <c r="C66" i="3"/>
  <c r="C44" i="3"/>
  <c r="B38" i="3"/>
  <c r="C35" i="3"/>
  <c r="D132" i="3"/>
  <c r="E130" i="3"/>
  <c r="F130" i="3" s="1"/>
  <c r="G130" i="3" s="1"/>
  <c r="H130" i="3" s="1"/>
  <c r="I130" i="3" s="1"/>
  <c r="E207" i="3"/>
  <c r="F207" i="3" s="1"/>
  <c r="D48" i="3"/>
  <c r="D126" i="3"/>
  <c r="E192" i="3"/>
  <c r="F192" i="3" s="1"/>
  <c r="G192" i="3" s="1"/>
  <c r="H192" i="3" s="1"/>
  <c r="I192" i="3" s="1"/>
  <c r="I256" i="3"/>
  <c r="I255" i="3" s="1"/>
  <c r="D182" i="3"/>
  <c r="D129" i="3"/>
  <c r="E127" i="3"/>
  <c r="F127" i="3" s="1"/>
  <c r="G127" i="3" s="1"/>
  <c r="H127" i="3" s="1"/>
  <c r="I127" i="3" s="1"/>
  <c r="B76" i="3"/>
  <c r="D212" i="3"/>
  <c r="E210" i="3"/>
  <c r="F210" i="3" s="1"/>
  <c r="G210" i="3" s="1"/>
  <c r="H210" i="3" s="1"/>
  <c r="I210" i="3" s="1"/>
  <c r="D286" i="3"/>
  <c r="E133" i="3"/>
  <c r="F133" i="3" s="1"/>
  <c r="G133" i="3" s="1"/>
  <c r="H133" i="3" s="1"/>
  <c r="I133" i="3" s="1"/>
  <c r="E172" i="4"/>
  <c r="E233" i="4"/>
  <c r="F123" i="2"/>
  <c r="B119" i="2"/>
  <c r="D96" i="3"/>
  <c r="D54" i="3"/>
  <c r="C39" i="3"/>
  <c r="C33" i="3"/>
  <c r="C54" i="3"/>
  <c r="B53" i="3"/>
  <c r="D81" i="1"/>
  <c r="C68" i="2" s="1"/>
  <c r="C67" i="2"/>
  <c r="B69" i="3"/>
  <c r="B47" i="3"/>
  <c r="B79" i="3"/>
  <c r="B63" i="3"/>
  <c r="B22" i="3"/>
  <c r="B27" i="3"/>
  <c r="B28" i="3" s="1"/>
  <c r="B66" i="3"/>
  <c r="B25" i="3"/>
  <c r="B88" i="3"/>
  <c r="B60" i="3"/>
  <c r="B35" i="3"/>
  <c r="B82" i="3"/>
  <c r="B292" i="2"/>
  <c r="B60" i="1"/>
  <c r="C122" i="2"/>
  <c r="G59" i="1"/>
  <c r="F103" i="2" s="1"/>
  <c r="D369" i="3" s="1"/>
  <c r="B105" i="2"/>
  <c r="C294" i="2"/>
  <c r="D234" i="3"/>
  <c r="E155" i="4" s="1"/>
  <c r="E157" i="4" s="1"/>
  <c r="B103" i="2"/>
  <c r="D310" i="3"/>
  <c r="C294" i="3"/>
  <c r="C144" i="3"/>
  <c r="E85" i="4"/>
  <c r="C209" i="3"/>
  <c r="D135" i="3"/>
  <c r="D33" i="3"/>
  <c r="D299" i="3"/>
  <c r="D284" i="3"/>
  <c r="D294" i="3"/>
  <c r="D360" i="3"/>
  <c r="D123" i="3"/>
  <c r="D139" i="3"/>
  <c r="B153" i="3"/>
  <c r="E115" i="4"/>
  <c r="C88" i="3"/>
  <c r="D120" i="3"/>
  <c r="C41" i="3"/>
  <c r="D176" i="3"/>
  <c r="C38" i="3"/>
  <c r="C23" i="3"/>
  <c r="F26" i="4"/>
  <c r="C311" i="3"/>
  <c r="C27" i="3"/>
  <c r="C55" i="3" s="1"/>
  <c r="C56" i="3" s="1"/>
  <c r="C95" i="3"/>
  <c r="E82" i="4"/>
  <c r="C310" i="3"/>
  <c r="C283" i="3"/>
  <c r="C117" i="3"/>
  <c r="B41" i="3"/>
  <c r="D185" i="3"/>
  <c r="C63" i="3"/>
  <c r="C234" i="3"/>
  <c r="C240" i="3" s="1"/>
  <c r="C47" i="3"/>
  <c r="D292" i="3"/>
  <c r="C295" i="3"/>
  <c r="C309" i="3"/>
  <c r="D233" i="3"/>
  <c r="C80" i="3"/>
  <c r="C77" i="3"/>
  <c r="D295" i="3"/>
  <c r="D224" i="3"/>
  <c r="E266" i="4"/>
  <c r="D45" i="3"/>
  <c r="C76" i="3"/>
  <c r="C284" i="3"/>
  <c r="C299" i="3"/>
  <c r="B32" i="3"/>
  <c r="C33" i="1"/>
  <c r="B233" i="2" s="1"/>
  <c r="C231" i="2"/>
  <c r="C119" i="2"/>
  <c r="C125" i="2"/>
  <c r="C123" i="2"/>
  <c r="D267" i="2"/>
  <c r="G266" i="2"/>
  <c r="C230" i="2"/>
  <c r="E259" i="2"/>
  <c r="D370" i="2"/>
  <c r="C213" i="2"/>
  <c r="C162" i="3"/>
  <c r="C147" i="3"/>
  <c r="C307" i="3"/>
  <c r="C173" i="3"/>
  <c r="E267" i="2"/>
  <c r="B156" i="3"/>
  <c r="C301" i="3"/>
  <c r="C156" i="3"/>
  <c r="C298" i="3"/>
  <c r="C290" i="3"/>
  <c r="D117" i="3"/>
  <c r="C150" i="3"/>
  <c r="D298" i="3"/>
  <c r="C306" i="3"/>
  <c r="D293" i="3"/>
  <c r="B162" i="3"/>
  <c r="E302" i="3"/>
  <c r="D301" i="3"/>
  <c r="D281" i="3"/>
  <c r="D300" i="3"/>
  <c r="F302" i="3"/>
  <c r="D307" i="3"/>
  <c r="D162" i="3"/>
  <c r="E301" i="3"/>
  <c r="C153" i="3"/>
  <c r="C281" i="3"/>
  <c r="C289" i="3"/>
  <c r="C227" i="3"/>
  <c r="D306" i="3"/>
  <c r="C288" i="3"/>
  <c r="C293" i="3"/>
  <c r="C285" i="3"/>
  <c r="C300" i="3"/>
  <c r="C126" i="5"/>
  <c r="B126" i="5"/>
  <c r="D126" i="5"/>
  <c r="E310" i="3"/>
  <c r="F228" i="3"/>
  <c r="C308" i="3"/>
  <c r="C212" i="3"/>
  <c r="D203" i="3"/>
  <c r="C182" i="3"/>
  <c r="C179" i="3"/>
  <c r="D173" i="3"/>
  <c r="C70" i="3"/>
  <c r="D64" i="3"/>
  <c r="D61" i="3"/>
  <c r="C51" i="3"/>
  <c r="C36" i="3"/>
  <c r="D150" i="3"/>
  <c r="D195" i="3"/>
  <c r="D213" i="3" s="1"/>
  <c r="F221" i="2"/>
  <c r="F223" i="2"/>
  <c r="F225" i="2"/>
  <c r="F209" i="2"/>
  <c r="F211" i="2"/>
  <c r="F208" i="2"/>
  <c r="D344" i="2"/>
  <c r="D349" i="2" s="1"/>
  <c r="F224" i="2"/>
  <c r="F214" i="2"/>
  <c r="F229" i="2"/>
  <c r="F239" i="2"/>
  <c r="F241" i="2"/>
  <c r="F236" i="2"/>
  <c r="F268" i="2"/>
  <c r="D330" i="3" s="1"/>
  <c r="F220" i="2"/>
  <c r="F210" i="2"/>
  <c r="F226" i="2"/>
  <c r="F212" i="2"/>
  <c r="F235" i="2"/>
  <c r="F227" i="2"/>
  <c r="F219" i="2"/>
  <c r="F216" i="2"/>
  <c r="F232" i="2"/>
  <c r="D70" i="3"/>
  <c r="D69" i="3"/>
  <c r="G285" i="2"/>
  <c r="F102" i="2"/>
  <c r="D368" i="3" s="1"/>
  <c r="F259" i="2"/>
  <c r="F207" i="2"/>
  <c r="F233" i="2"/>
  <c r="F228" i="2"/>
  <c r="F199" i="2"/>
  <c r="D364" i="3"/>
  <c r="F222" i="2"/>
  <c r="F42" i="2"/>
  <c r="D330" i="2" s="1"/>
  <c r="F200" i="2"/>
  <c r="F230" i="2"/>
  <c r="F238" i="2"/>
  <c r="B50" i="3"/>
  <c r="D294" i="2"/>
  <c r="E221" i="2"/>
  <c r="E223" i="2"/>
  <c r="E225" i="2"/>
  <c r="E209" i="2"/>
  <c r="E211" i="2"/>
  <c r="E208" i="2"/>
  <c r="E222" i="2"/>
  <c r="E212" i="2"/>
  <c r="E200" i="2"/>
  <c r="E207" i="2"/>
  <c r="E235" i="2"/>
  <c r="E231" i="2"/>
  <c r="E236" i="2"/>
  <c r="E219" i="2"/>
  <c r="F36" i="2"/>
  <c r="D345" i="3" s="1"/>
  <c r="E226" i="2"/>
  <c r="E210" i="2"/>
  <c r="E214" i="2"/>
  <c r="E216" i="2"/>
  <c r="E204" i="2"/>
  <c r="E239" i="2"/>
  <c r="E206" i="2"/>
  <c r="E232" i="2"/>
  <c r="F25" i="2"/>
  <c r="D334" i="3" s="1"/>
  <c r="B234" i="3"/>
  <c r="D287" i="3"/>
  <c r="C287" i="3"/>
  <c r="D138" i="3"/>
  <c r="E292" i="2"/>
  <c r="E122" i="2"/>
  <c r="F292" i="2"/>
  <c r="C346" i="2"/>
  <c r="C354" i="2" s="1"/>
  <c r="F59" i="1"/>
  <c r="D346" i="2"/>
  <c r="D354" i="2" s="1"/>
  <c r="B121" i="2"/>
  <c r="B122" i="2"/>
  <c r="D384" i="2"/>
  <c r="D385" i="2" s="1"/>
  <c r="E132" i="1"/>
  <c r="E382" i="2"/>
  <c r="E385" i="2" s="1"/>
  <c r="F132" i="1"/>
  <c r="E224" i="2"/>
  <c r="E287" i="3"/>
  <c r="F287" i="3"/>
  <c r="F41" i="2"/>
  <c r="D350" i="3" s="1"/>
  <c r="F231" i="2"/>
  <c r="F205" i="2"/>
  <c r="C242" i="2"/>
  <c r="C105" i="2"/>
  <c r="C104" i="2"/>
  <c r="F30" i="2"/>
  <c r="F240" i="2"/>
  <c r="F234" i="2"/>
  <c r="F218" i="2"/>
  <c r="F203" i="2"/>
  <c r="C60" i="1"/>
  <c r="B285" i="2"/>
  <c r="D83" i="3"/>
  <c r="C82" i="3"/>
  <c r="C45" i="3"/>
  <c r="B44" i="3"/>
  <c r="C26" i="3"/>
  <c r="D26" i="3"/>
  <c r="D88" i="3"/>
  <c r="D50" i="3"/>
  <c r="D44" i="3"/>
  <c r="D82" i="3"/>
  <c r="D23" i="3"/>
  <c r="D76" i="3"/>
  <c r="D38" i="3"/>
  <c r="D41" i="3"/>
  <c r="D27" i="3"/>
  <c r="D47" i="3"/>
  <c r="D112" i="3"/>
  <c r="D278" i="3"/>
  <c r="D259" i="2"/>
  <c r="E33" i="1"/>
  <c r="D42" i="2" s="1"/>
  <c r="B279" i="2"/>
  <c r="B346" i="2"/>
  <c r="B354" i="2" s="1"/>
  <c r="D292" i="2"/>
  <c r="B167" i="2"/>
  <c r="B61" i="2"/>
  <c r="C220" i="2"/>
  <c r="C222" i="2"/>
  <c r="C224" i="2"/>
  <c r="C226" i="2"/>
  <c r="C210" i="2"/>
  <c r="C212" i="2"/>
  <c r="C214" i="2"/>
  <c r="C221" i="2"/>
  <c r="C211" i="2"/>
  <c r="C208" i="2"/>
  <c r="C219" i="2"/>
  <c r="C227" i="2"/>
  <c r="C228" i="2"/>
  <c r="C206" i="2"/>
  <c r="C235" i="2"/>
  <c r="C216" i="2"/>
  <c r="C225" i="2"/>
  <c r="C215" i="2"/>
  <c r="D194" i="3"/>
  <c r="C194" i="3"/>
  <c r="C139" i="3"/>
  <c r="E279" i="2"/>
  <c r="B365" i="3"/>
  <c r="E50" i="1"/>
  <c r="D313" i="3"/>
  <c r="D239" i="3"/>
  <c r="C239" i="3"/>
  <c r="G88" i="3"/>
  <c r="F87" i="3"/>
  <c r="F237" i="3" s="1"/>
  <c r="F121" i="1"/>
  <c r="E376" i="2"/>
  <c r="E377" i="2" s="1"/>
  <c r="D121" i="2"/>
  <c r="D120" i="2"/>
  <c r="D119" i="2"/>
  <c r="B157" i="3"/>
  <c r="D265" i="2"/>
  <c r="E213" i="2"/>
  <c r="C157" i="3"/>
  <c r="E265" i="2"/>
  <c r="D121" i="1"/>
  <c r="C374" i="2"/>
  <c r="C377" i="2" s="1"/>
  <c r="B374" i="2"/>
  <c r="B377" i="2" s="1"/>
  <c r="C121" i="1"/>
  <c r="C223" i="2"/>
  <c r="F265" i="2"/>
  <c r="D359" i="3"/>
  <c r="E167" i="2"/>
  <c r="D133" i="2"/>
  <c r="B312" i="2" s="1"/>
  <c r="E76" i="1"/>
  <c r="E61" i="2"/>
  <c r="D66" i="2"/>
  <c r="C52" i="2"/>
  <c r="C142" i="2"/>
  <c r="C47" i="2"/>
  <c r="F308" i="3"/>
  <c r="D123" i="2"/>
  <c r="D125" i="2"/>
  <c r="D25" i="3"/>
  <c r="F267" i="2"/>
  <c r="F215" i="2"/>
  <c r="D157" i="3"/>
  <c r="E157" i="3" s="1"/>
  <c r="F157" i="3" s="1"/>
  <c r="G157" i="3" s="1"/>
  <c r="H157" i="3" s="1"/>
  <c r="I157" i="3" s="1"/>
  <c r="J157" i="3" s="1"/>
  <c r="G265" i="2"/>
  <c r="F213" i="2"/>
  <c r="E52" i="2"/>
  <c r="D288" i="3"/>
  <c r="C129" i="3"/>
  <c r="D365" i="3"/>
  <c r="F279" i="2"/>
  <c r="C279" i="2"/>
  <c r="D53" i="3"/>
  <c r="C112" i="3"/>
  <c r="C278" i="3"/>
  <c r="C66" i="2"/>
  <c r="C61" i="2"/>
  <c r="E123" i="2"/>
  <c r="C163" i="3"/>
  <c r="D165" i="3" s="1"/>
  <c r="D147" i="3"/>
  <c r="D291" i="3"/>
  <c r="F290" i="3"/>
  <c r="E215" i="2"/>
  <c r="D188" i="3"/>
  <c r="E67" i="5"/>
  <c r="C26" i="5"/>
  <c r="D26" i="5"/>
  <c r="C337" i="2"/>
  <c r="G310" i="2"/>
  <c r="B306" i="2"/>
  <c r="B309" i="2" s="1"/>
  <c r="F312" i="2"/>
  <c r="F310" i="2"/>
  <c r="C306" i="2"/>
  <c r="C309" i="2" s="1"/>
  <c r="F385" i="2"/>
  <c r="C360" i="3"/>
  <c r="D306" i="2"/>
  <c r="D309" i="2" s="1"/>
  <c r="D94" i="2"/>
  <c r="B324" i="2"/>
  <c r="B327" i="2" s="1"/>
  <c r="F306" i="2"/>
  <c r="F309" i="2" s="1"/>
  <c r="E310" i="2"/>
  <c r="G312" i="2"/>
  <c r="F377" i="2"/>
  <c r="B385" i="2"/>
  <c r="G306" i="2"/>
  <c r="G309" i="2" s="1"/>
  <c r="D377" i="2"/>
  <c r="E311" i="2"/>
  <c r="D337" i="2"/>
  <c r="C385" i="2"/>
  <c r="B94" i="2"/>
  <c r="C94" i="2"/>
  <c r="G311" i="2"/>
  <c r="B361" i="3"/>
  <c r="B359" i="3"/>
  <c r="E306" i="2"/>
  <c r="E309" i="2" s="1"/>
  <c r="F42" i="4"/>
  <c r="D31" i="5"/>
  <c r="I31" i="5"/>
  <c r="E31" i="5"/>
  <c r="H31" i="5"/>
  <c r="C31" i="5"/>
  <c r="G31" i="5"/>
  <c r="D53" i="5"/>
  <c r="D66" i="5" s="1"/>
  <c r="C57" i="5"/>
  <c r="C61" i="5" s="1"/>
  <c r="F31" i="5"/>
  <c r="B76" i="5"/>
  <c r="D80" i="5"/>
  <c r="D97" i="5"/>
  <c r="D98" i="5" s="1"/>
  <c r="D100" i="5" s="1"/>
  <c r="D76" i="5"/>
  <c r="D81" i="5" s="1"/>
  <c r="D57" i="5"/>
  <c r="D60" i="5" s="1"/>
  <c r="G53" i="5"/>
  <c r="G66" i="5" s="1"/>
  <c r="G124" i="5" s="1"/>
  <c r="C76" i="5"/>
  <c r="C53" i="5"/>
  <c r="C66" i="5" s="1"/>
  <c r="C98" i="5"/>
  <c r="C100" i="5" s="1"/>
  <c r="H53" i="5"/>
  <c r="H66" i="5" s="1"/>
  <c r="H124" i="5" s="1"/>
  <c r="B57" i="5"/>
  <c r="B60" i="5" s="1"/>
  <c r="I53" i="5"/>
  <c r="I66" i="5" s="1"/>
  <c r="I124" i="5" s="1"/>
  <c r="E53" i="5"/>
  <c r="E66" i="5" s="1"/>
  <c r="E124" i="5" s="1"/>
  <c r="F53" i="5"/>
  <c r="F66" i="5" s="1"/>
  <c r="F124" i="5" s="1"/>
  <c r="H75" i="4"/>
  <c r="D191" i="3"/>
  <c r="C191" i="3"/>
  <c r="C195" i="3"/>
  <c r="C188" i="3"/>
  <c r="D153" i="3"/>
  <c r="I160" i="4"/>
  <c r="E219" i="4"/>
  <c r="I75" i="4"/>
  <c r="F65" i="3"/>
  <c r="G75" i="14" s="1"/>
  <c r="E65" i="3"/>
  <c r="F75" i="14" s="1"/>
  <c r="F160" i="4"/>
  <c r="D156" i="3"/>
  <c r="E226" i="4"/>
  <c r="G105" i="4"/>
  <c r="E75" i="4"/>
  <c r="E110" i="4"/>
  <c r="H105" i="4"/>
  <c r="H160" i="4"/>
  <c r="H219" i="4"/>
  <c r="J109" i="3"/>
  <c r="F75" i="4"/>
  <c r="F219" i="4"/>
  <c r="I105" i="4"/>
  <c r="E160" i="4"/>
  <c r="E167" i="4"/>
  <c r="G219" i="4"/>
  <c r="G160" i="4"/>
  <c r="F105" i="4"/>
  <c r="G75" i="4"/>
  <c r="E105" i="4"/>
  <c r="J68" i="3"/>
  <c r="K24" i="21" s="1"/>
  <c r="J81" i="3"/>
  <c r="K28" i="21" s="1"/>
  <c r="F28" i="4"/>
  <c r="J108" i="3"/>
  <c r="F55" i="5" l="1"/>
  <c r="E57" i="5"/>
  <c r="H80" i="5"/>
  <c r="E220" i="2"/>
  <c r="F148" i="14"/>
  <c r="E202" i="2"/>
  <c r="F152" i="14"/>
  <c r="F61" i="1"/>
  <c r="G198" i="3"/>
  <c r="I150" i="14"/>
  <c r="E62" i="3"/>
  <c r="F74" i="14" s="1"/>
  <c r="E69" i="2"/>
  <c r="F92" i="1"/>
  <c r="F56" i="4"/>
  <c r="E29" i="2"/>
  <c r="C317" i="2" s="1"/>
  <c r="E152" i="2"/>
  <c r="E24" i="2"/>
  <c r="C333" i="3" s="1"/>
  <c r="F88" i="1"/>
  <c r="C71" i="3"/>
  <c r="C84" i="3" s="1"/>
  <c r="C90" i="3" s="1"/>
  <c r="C312" i="3" s="1"/>
  <c r="C314" i="3" s="1"/>
  <c r="F97" i="1"/>
  <c r="F113" i="1" s="1"/>
  <c r="G60" i="1"/>
  <c r="G295" i="2" s="1"/>
  <c r="F105" i="2"/>
  <c r="E103" i="2"/>
  <c r="C369" i="3" s="1"/>
  <c r="E112" i="2"/>
  <c r="E113" i="2" s="1"/>
  <c r="F285" i="2"/>
  <c r="E102" i="2"/>
  <c r="C368" i="3" s="1"/>
  <c r="C233" i="2"/>
  <c r="F292" i="3"/>
  <c r="B53" i="5"/>
  <c r="B66" i="5" s="1"/>
  <c r="B124" i="5" s="1"/>
  <c r="C112" i="2"/>
  <c r="C113" i="2" s="1"/>
  <c r="C81" i="1"/>
  <c r="B68" i="2" s="1"/>
  <c r="C176" i="2"/>
  <c r="B67" i="2"/>
  <c r="E70" i="2"/>
  <c r="C62" i="2"/>
  <c r="C342" i="2"/>
  <c r="C348" i="2" s="1"/>
  <c r="F142" i="2"/>
  <c r="D314" i="2" s="1"/>
  <c r="B142" i="2"/>
  <c r="B47" i="2"/>
  <c r="C25" i="2"/>
  <c r="D166" i="3"/>
  <c r="D238" i="3" s="1"/>
  <c r="D30" i="2"/>
  <c r="E307" i="2" s="1"/>
  <c r="E286" i="3"/>
  <c r="C102" i="2"/>
  <c r="F176" i="2"/>
  <c r="B221" i="2"/>
  <c r="E306" i="3"/>
  <c r="C285" i="2"/>
  <c r="B224" i="2"/>
  <c r="F286" i="3"/>
  <c r="C103" i="2"/>
  <c r="C268" i="2"/>
  <c r="C243" i="2"/>
  <c r="D154" i="1"/>
  <c r="D14" i="2" s="1"/>
  <c r="E295" i="3"/>
  <c r="F67" i="2"/>
  <c r="F62" i="2"/>
  <c r="F52" i="2"/>
  <c r="G81" i="1"/>
  <c r="E212" i="4"/>
  <c r="E216" i="4" s="1"/>
  <c r="E165" i="4"/>
  <c r="E285" i="3"/>
  <c r="B55" i="3"/>
  <c r="C57" i="3" s="1"/>
  <c r="D236" i="3"/>
  <c r="D240" i="3"/>
  <c r="D243" i="3" s="1"/>
  <c r="C29" i="3"/>
  <c r="E292" i="3"/>
  <c r="C28" i="3"/>
  <c r="G207" i="3"/>
  <c r="H207" i="3" s="1"/>
  <c r="I207" i="3" s="1"/>
  <c r="F295" i="3"/>
  <c r="D101" i="5"/>
  <c r="F80" i="5" s="1"/>
  <c r="B238" i="2"/>
  <c r="B241" i="2"/>
  <c r="B216" i="2"/>
  <c r="B232" i="2"/>
  <c r="B212" i="2"/>
  <c r="B213" i="2"/>
  <c r="B201" i="2"/>
  <c r="B204" i="2"/>
  <c r="B211" i="2"/>
  <c r="B209" i="2"/>
  <c r="C35" i="2"/>
  <c r="B237" i="2"/>
  <c r="B225" i="2"/>
  <c r="B208" i="2"/>
  <c r="B210" i="2"/>
  <c r="B220" i="2"/>
  <c r="B226" i="2"/>
  <c r="B227" i="2"/>
  <c r="B200" i="2"/>
  <c r="C36" i="2"/>
  <c r="B215" i="2"/>
  <c r="C108" i="2"/>
  <c r="C107" i="2"/>
  <c r="D86" i="1"/>
  <c r="D92" i="1" s="1"/>
  <c r="C147" i="2"/>
  <c r="D143" i="1"/>
  <c r="F242" i="2"/>
  <c r="G294" i="2"/>
  <c r="F104" i="2"/>
  <c r="D207" i="2"/>
  <c r="D213" i="2"/>
  <c r="B222" i="2"/>
  <c r="B218" i="2"/>
  <c r="B214" i="2"/>
  <c r="B207" i="2"/>
  <c r="B223" i="2"/>
  <c r="E296" i="3"/>
  <c r="F57" i="4"/>
  <c r="F55" i="4"/>
  <c r="F58" i="4"/>
  <c r="B229" i="2"/>
  <c r="B202" i="2"/>
  <c r="B203" i="2"/>
  <c r="B219" i="2"/>
  <c r="B240" i="2"/>
  <c r="B231" i="2"/>
  <c r="B102" i="2"/>
  <c r="B228" i="2"/>
  <c r="B242" i="2"/>
  <c r="B235" i="2"/>
  <c r="B206" i="2"/>
  <c r="B230" i="2"/>
  <c r="B199" i="2"/>
  <c r="B234" i="2"/>
  <c r="C42" i="2"/>
  <c r="C30" i="2"/>
  <c r="B205" i="2"/>
  <c r="B239" i="2"/>
  <c r="B236" i="2"/>
  <c r="C41" i="2"/>
  <c r="E94" i="2"/>
  <c r="D329" i="2"/>
  <c r="C165" i="3"/>
  <c r="D302" i="3"/>
  <c r="C159" i="3"/>
  <c r="D303" i="3"/>
  <c r="B166" i="3"/>
  <c r="B125" i="3" s="1"/>
  <c r="C303" i="3"/>
  <c r="F301" i="3"/>
  <c r="F306" i="3"/>
  <c r="C302" i="3"/>
  <c r="F300" i="3"/>
  <c r="G302" i="3"/>
  <c r="E300" i="3"/>
  <c r="C60" i="5"/>
  <c r="D95" i="5"/>
  <c r="D124" i="5"/>
  <c r="C95" i="5"/>
  <c r="C124" i="5"/>
  <c r="G228" i="3"/>
  <c r="F310" i="3"/>
  <c r="D52" i="2"/>
  <c r="D62" i="2"/>
  <c r="D142" i="2"/>
  <c r="B314" i="2" s="1"/>
  <c r="E176" i="2"/>
  <c r="D47" i="2"/>
  <c r="B356" i="3" s="1"/>
  <c r="E81" i="1"/>
  <c r="E62" i="2"/>
  <c r="D176" i="2"/>
  <c r="D67" i="2"/>
  <c r="C96" i="3"/>
  <c r="B95" i="3"/>
  <c r="E60" i="1"/>
  <c r="D102" i="2"/>
  <c r="B368" i="3" s="1"/>
  <c r="D103" i="2"/>
  <c r="B369" i="3" s="1"/>
  <c r="D285" i="2"/>
  <c r="E285" i="2"/>
  <c r="D233" i="2"/>
  <c r="B243" i="2"/>
  <c r="B295" i="2"/>
  <c r="C295" i="2"/>
  <c r="G65" i="3"/>
  <c r="H75" i="14" s="1"/>
  <c r="B159" i="3"/>
  <c r="E104" i="2"/>
  <c r="E105" i="2"/>
  <c r="E294" i="2"/>
  <c r="F294" i="2"/>
  <c r="E242" i="2"/>
  <c r="B240" i="3"/>
  <c r="C236" i="3"/>
  <c r="F231" i="3"/>
  <c r="E311" i="3"/>
  <c r="H88" i="3"/>
  <c r="G87" i="3"/>
  <c r="D351" i="3"/>
  <c r="G308" i="3"/>
  <c r="F313" i="3"/>
  <c r="F102" i="4" s="1"/>
  <c r="G237" i="3"/>
  <c r="D55" i="3"/>
  <c r="D28" i="3"/>
  <c r="D29" i="3"/>
  <c r="D339" i="3"/>
  <c r="G307" i="2"/>
  <c r="F60" i="1"/>
  <c r="F295" i="2" s="1"/>
  <c r="C166" i="3"/>
  <c r="C158" i="3" s="1"/>
  <c r="D159" i="3"/>
  <c r="F299" i="3"/>
  <c r="G299" i="3"/>
  <c r="D141" i="3"/>
  <c r="C141" i="3"/>
  <c r="B330" i="2"/>
  <c r="B351" i="3"/>
  <c r="D220" i="2"/>
  <c r="D222" i="2"/>
  <c r="D224" i="2"/>
  <c r="D226" i="2"/>
  <c r="D210" i="2"/>
  <c r="D212" i="2"/>
  <c r="D214" i="2"/>
  <c r="D223" i="2"/>
  <c r="D199" i="2"/>
  <c r="D230" i="2"/>
  <c r="D240" i="2"/>
  <c r="D232" i="2"/>
  <c r="E35" i="2"/>
  <c r="C344" i="3" s="1"/>
  <c r="D206" i="2"/>
  <c r="D209" i="2"/>
  <c r="D221" i="2"/>
  <c r="D208" i="2"/>
  <c r="D225" i="2"/>
  <c r="D234" i="2"/>
  <c r="D200" i="2"/>
  <c r="D237" i="2"/>
  <c r="E30" i="2"/>
  <c r="E25" i="2"/>
  <c r="C334" i="3" s="1"/>
  <c r="E41" i="2"/>
  <c r="B344" i="2"/>
  <c r="B349" i="2" s="1"/>
  <c r="D36" i="2"/>
  <c r="B345" i="3" s="1"/>
  <c r="E268" i="2"/>
  <c r="C330" i="3" s="1"/>
  <c r="D219" i="2"/>
  <c r="D229" i="2"/>
  <c r="D41" i="2"/>
  <c r="D241" i="2"/>
  <c r="D227" i="2"/>
  <c r="D238" i="2"/>
  <c r="D215" i="2"/>
  <c r="D211" i="2"/>
  <c r="D201" i="2"/>
  <c r="D268" i="2"/>
  <c r="B330" i="3" s="1"/>
  <c r="E36" i="2"/>
  <c r="C345" i="3" s="1"/>
  <c r="D216" i="2"/>
  <c r="E42" i="2"/>
  <c r="D236" i="2"/>
  <c r="D231" i="2"/>
  <c r="D205" i="2"/>
  <c r="E31" i="2"/>
  <c r="D218" i="2"/>
  <c r="D228" i="2"/>
  <c r="D239" i="2"/>
  <c r="D25" i="2"/>
  <c r="B334" i="3" s="1"/>
  <c r="D204" i="2"/>
  <c r="D35" i="2"/>
  <c r="B344" i="3" s="1"/>
  <c r="D235" i="2"/>
  <c r="D203" i="2"/>
  <c r="E26" i="2"/>
  <c r="C335" i="3" s="1"/>
  <c r="G286" i="3"/>
  <c r="G287" i="3"/>
  <c r="C344" i="2"/>
  <c r="D242" i="2"/>
  <c r="C154" i="1"/>
  <c r="C14" i="2" s="1"/>
  <c r="D61" i="5"/>
  <c r="B61" i="5"/>
  <c r="G292" i="3"/>
  <c r="C213" i="3"/>
  <c r="D197" i="3"/>
  <c r="C197" i="3"/>
  <c r="G290" i="3"/>
  <c r="H302" i="3"/>
  <c r="J180" i="3"/>
  <c r="K61" i="21" s="1"/>
  <c r="J183" i="3"/>
  <c r="K62" i="21" s="1"/>
  <c r="J255" i="3"/>
  <c r="J204" i="3"/>
  <c r="K69" i="21" s="1"/>
  <c r="G80" i="5" l="1"/>
  <c r="E68" i="5"/>
  <c r="E69" i="5" s="1"/>
  <c r="D84" i="5"/>
  <c r="I84" i="5" s="1"/>
  <c r="E60" i="5"/>
  <c r="G84" i="5"/>
  <c r="G55" i="5"/>
  <c r="F57" i="5"/>
  <c r="F60" i="5" s="1"/>
  <c r="H198" i="3"/>
  <c r="H213" i="3" s="1"/>
  <c r="J150" i="14"/>
  <c r="E154" i="1"/>
  <c r="E14" i="2" s="1"/>
  <c r="E61" i="1"/>
  <c r="B95" i="5"/>
  <c r="E43" i="2"/>
  <c r="C352" i="3" s="1"/>
  <c r="C307" i="2"/>
  <c r="C97" i="3"/>
  <c r="C98" i="3" s="1"/>
  <c r="C338" i="3"/>
  <c r="E74" i="2"/>
  <c r="E73" i="2"/>
  <c r="C280" i="3"/>
  <c r="C297" i="3" s="1"/>
  <c r="C72" i="3"/>
  <c r="C85" i="3"/>
  <c r="E124" i="2"/>
  <c r="E53" i="2"/>
  <c r="E37" i="2"/>
  <c r="C346" i="3" s="1"/>
  <c r="E154" i="2"/>
  <c r="E40" i="2"/>
  <c r="F15" i="2"/>
  <c r="E34" i="2"/>
  <c r="C343" i="3" s="1"/>
  <c r="E48" i="2"/>
  <c r="E367" i="2"/>
  <c r="E371" i="2" s="1"/>
  <c r="E388" i="2" s="1"/>
  <c r="E106" i="2"/>
  <c r="F134" i="1"/>
  <c r="F156" i="1" s="1"/>
  <c r="F16" i="2" s="1"/>
  <c r="F243" i="2"/>
  <c r="G154" i="1"/>
  <c r="B339" i="3"/>
  <c r="C193" i="3"/>
  <c r="D208" i="3"/>
  <c r="D219" i="3"/>
  <c r="C211" i="3"/>
  <c r="E228" i="4"/>
  <c r="C143" i="1"/>
  <c r="C86" i="1"/>
  <c r="B108" i="2"/>
  <c r="B147" i="2"/>
  <c r="C181" i="2"/>
  <c r="B107" i="2"/>
  <c r="B112" i="2"/>
  <c r="B113" i="2" s="1"/>
  <c r="B71" i="3"/>
  <c r="B72" i="3" s="1"/>
  <c r="D305" i="3"/>
  <c r="D242" i="3"/>
  <c r="D187" i="3"/>
  <c r="D205" i="3"/>
  <c r="D246" i="3"/>
  <c r="D184" i="3"/>
  <c r="D211" i="3"/>
  <c r="D161" i="3"/>
  <c r="D229" i="3"/>
  <c r="D199" i="3"/>
  <c r="D193" i="3"/>
  <c r="D152" i="3"/>
  <c r="D214" i="3"/>
  <c r="D241" i="3"/>
  <c r="D137" i="3"/>
  <c r="D181" i="3"/>
  <c r="D149" i="3"/>
  <c r="D172" i="3"/>
  <c r="D190" i="3"/>
  <c r="D155" i="3"/>
  <c r="D146" i="3"/>
  <c r="D164" i="3"/>
  <c r="D167" i="3"/>
  <c r="D128" i="3"/>
  <c r="D178" i="3"/>
  <c r="D202" i="3"/>
  <c r="D125" i="3"/>
  <c r="D175" i="3"/>
  <c r="D226" i="3"/>
  <c r="D232" i="3"/>
  <c r="D116" i="3"/>
  <c r="D131" i="3"/>
  <c r="D223" i="3"/>
  <c r="D140" i="3"/>
  <c r="D122" i="3"/>
  <c r="D119" i="3"/>
  <c r="D143" i="3"/>
  <c r="D235" i="3"/>
  <c r="D196" i="3"/>
  <c r="D158" i="3"/>
  <c r="D134" i="3"/>
  <c r="C184" i="3"/>
  <c r="C219" i="3"/>
  <c r="C175" i="3"/>
  <c r="G143" i="1"/>
  <c r="D343" i="2"/>
  <c r="D352" i="2" s="1"/>
  <c r="F181" i="2"/>
  <c r="F107" i="2"/>
  <c r="D370" i="3" s="1"/>
  <c r="F108" i="2"/>
  <c r="F147" i="2"/>
  <c r="D315" i="2" s="1"/>
  <c r="F68" i="2"/>
  <c r="G86" i="1"/>
  <c r="G92" i="1" s="1"/>
  <c r="F112" i="2"/>
  <c r="F113" i="2" s="1"/>
  <c r="C137" i="3"/>
  <c r="C146" i="3"/>
  <c r="C143" i="3"/>
  <c r="C305" i="3"/>
  <c r="C116" i="3"/>
  <c r="C208" i="3"/>
  <c r="B56" i="3"/>
  <c r="B128" i="3"/>
  <c r="D244" i="3"/>
  <c r="G295" i="3"/>
  <c r="H84" i="5"/>
  <c r="E80" i="5"/>
  <c r="E81" i="5" s="1"/>
  <c r="F81" i="5" s="1"/>
  <c r="G81" i="5" s="1"/>
  <c r="H81" i="5" s="1"/>
  <c r="I80" i="5" s="1"/>
  <c r="I81" i="5" s="1"/>
  <c r="F84" i="5"/>
  <c r="F59" i="4"/>
  <c r="D88" i="1"/>
  <c r="C29" i="2"/>
  <c r="C26" i="2"/>
  <c r="C70" i="2"/>
  <c r="C152" i="2"/>
  <c r="C69" i="2"/>
  <c r="D97" i="1"/>
  <c r="C24" i="2"/>
  <c r="C31" i="2"/>
  <c r="B161" i="3"/>
  <c r="B196" i="3"/>
  <c r="B226" i="3"/>
  <c r="B208" i="3"/>
  <c r="B122" i="3"/>
  <c r="B175" i="3"/>
  <c r="B238" i="3"/>
  <c r="B152" i="3"/>
  <c r="B119" i="3"/>
  <c r="F296" i="3"/>
  <c r="B167" i="3"/>
  <c r="B193" i="3"/>
  <c r="B172" i="3"/>
  <c r="B190" i="3"/>
  <c r="B184" i="3"/>
  <c r="B205" i="3"/>
  <c r="B146" i="3"/>
  <c r="B187" i="3"/>
  <c r="B149" i="3"/>
  <c r="B214" i="3"/>
  <c r="B134" i="3"/>
  <c r="B140" i="3"/>
  <c r="B155" i="3"/>
  <c r="B211" i="3"/>
  <c r="B143" i="3"/>
  <c r="B229" i="3"/>
  <c r="B178" i="3"/>
  <c r="B232" i="3"/>
  <c r="B223" i="3"/>
  <c r="B116" i="3"/>
  <c r="B158" i="3"/>
  <c r="B199" i="3"/>
  <c r="B164" i="3"/>
  <c r="B219" i="3"/>
  <c r="B235" i="3"/>
  <c r="B131" i="3"/>
  <c r="B202" i="3"/>
  <c r="B137" i="3"/>
  <c r="B181" i="3"/>
  <c r="C181" i="3"/>
  <c r="C226" i="3"/>
  <c r="C128" i="3"/>
  <c r="C164" i="3"/>
  <c r="C119" i="3"/>
  <c r="C134" i="3"/>
  <c r="C122" i="3"/>
  <c r="C238" i="3"/>
  <c r="C140" i="3"/>
  <c r="C161" i="3"/>
  <c r="D168" i="3"/>
  <c r="C223" i="3"/>
  <c r="C131" i="3"/>
  <c r="C205" i="3"/>
  <c r="C172" i="3"/>
  <c r="C187" i="3"/>
  <c r="C202" i="3"/>
  <c r="C167" i="3"/>
  <c r="C196" i="3"/>
  <c r="C155" i="3"/>
  <c r="H295" i="3"/>
  <c r="C125" i="3"/>
  <c r="C232" i="3"/>
  <c r="C190" i="3"/>
  <c r="C235" i="3"/>
  <c r="C178" i="3"/>
  <c r="C214" i="3"/>
  <c r="C229" i="3"/>
  <c r="C241" i="3"/>
  <c r="C168" i="3"/>
  <c r="C149" i="3"/>
  <c r="G306" i="3"/>
  <c r="E303" i="3"/>
  <c r="G300" i="3"/>
  <c r="G301" i="3"/>
  <c r="E283" i="3"/>
  <c r="G310" i="3"/>
  <c r="H228" i="3"/>
  <c r="C349" i="2"/>
  <c r="C350" i="2"/>
  <c r="C353" i="2" s="1"/>
  <c r="C355" i="2" s="1"/>
  <c r="C357" i="2" s="1"/>
  <c r="C329" i="2"/>
  <c r="C350" i="3"/>
  <c r="D71" i="3"/>
  <c r="D56" i="3"/>
  <c r="D57" i="3"/>
  <c r="C242" i="3"/>
  <c r="B241" i="3"/>
  <c r="B243" i="3"/>
  <c r="D295" i="2"/>
  <c r="D243" i="2"/>
  <c r="H286" i="3"/>
  <c r="H308" i="3"/>
  <c r="G231" i="3"/>
  <c r="F311" i="3"/>
  <c r="B329" i="2"/>
  <c r="B350" i="3"/>
  <c r="F307" i="2"/>
  <c r="C339" i="3"/>
  <c r="G313" i="3"/>
  <c r="G102" i="4" s="1"/>
  <c r="D181" i="2"/>
  <c r="D68" i="2"/>
  <c r="E86" i="1"/>
  <c r="E92" i="1" s="1"/>
  <c r="D147" i="2"/>
  <c r="B315" i="2" s="1"/>
  <c r="B343" i="2"/>
  <c r="B352" i="2" s="1"/>
  <c r="E181" i="2"/>
  <c r="D108" i="2"/>
  <c r="D107" i="2"/>
  <c r="B370" i="3" s="1"/>
  <c r="E143" i="1"/>
  <c r="D112" i="2"/>
  <c r="D113" i="2" s="1"/>
  <c r="C340" i="3"/>
  <c r="D303" i="2"/>
  <c r="C351" i="3"/>
  <c r="C330" i="2"/>
  <c r="H299" i="3"/>
  <c r="C152" i="3"/>
  <c r="C199" i="3"/>
  <c r="E295" i="2"/>
  <c r="E243" i="2"/>
  <c r="F154" i="1"/>
  <c r="F14" i="2" s="1"/>
  <c r="E115" i="2"/>
  <c r="E116" i="2" s="1"/>
  <c r="H87" i="3"/>
  <c r="H237" i="3" s="1"/>
  <c r="I88" i="3"/>
  <c r="C91" i="3"/>
  <c r="F285" i="3"/>
  <c r="H292" i="3"/>
  <c r="C243" i="3"/>
  <c r="C215" i="3"/>
  <c r="D215" i="3"/>
  <c r="H290" i="3"/>
  <c r="J163" i="3"/>
  <c r="K55" i="21" s="1"/>
  <c r="G255" i="4" l="1"/>
  <c r="J255" i="4"/>
  <c r="H55" i="5"/>
  <c r="G57" i="5"/>
  <c r="E84" i="5"/>
  <c r="E148" i="3"/>
  <c r="E298" i="3" s="1"/>
  <c r="F67" i="5"/>
  <c r="I198" i="3"/>
  <c r="K150" i="14"/>
  <c r="B152" i="2"/>
  <c r="C92" i="1"/>
  <c r="B157" i="2" s="1"/>
  <c r="C325" i="2"/>
  <c r="C338" i="2" s="1"/>
  <c r="E49" i="2"/>
  <c r="E157" i="2"/>
  <c r="C315" i="3"/>
  <c r="C319" i="3" s="1"/>
  <c r="C328" i="2"/>
  <c r="C349" i="3"/>
  <c r="B84" i="3"/>
  <c r="B97" i="3" s="1"/>
  <c r="C73" i="3"/>
  <c r="B70" i="2"/>
  <c r="C88" i="1"/>
  <c r="B53" i="2" s="1"/>
  <c r="C63" i="2"/>
  <c r="C186" i="2"/>
  <c r="B69" i="2"/>
  <c r="B24" i="2"/>
  <c r="C97" i="1"/>
  <c r="B367" i="2" s="1"/>
  <c r="B371" i="2" s="1"/>
  <c r="B388" i="2" s="1"/>
  <c r="B29" i="2"/>
  <c r="F63" i="2"/>
  <c r="G97" i="1"/>
  <c r="F29" i="2"/>
  <c r="F70" i="2"/>
  <c r="D342" i="2"/>
  <c r="F69" i="2"/>
  <c r="F152" i="2"/>
  <c r="F26" i="2"/>
  <c r="D335" i="3" s="1"/>
  <c r="F31" i="2"/>
  <c r="F186" i="2"/>
  <c r="D329" i="3" s="1"/>
  <c r="G88" i="1"/>
  <c r="F24" i="2"/>
  <c r="D333" i="3" s="1"/>
  <c r="E89" i="5"/>
  <c r="E73" i="5" s="1"/>
  <c r="E74" i="5" s="1"/>
  <c r="E76" i="5" s="1"/>
  <c r="I255" i="4"/>
  <c r="H255" i="4"/>
  <c r="E264" i="4"/>
  <c r="F255" i="4"/>
  <c r="E255" i="4"/>
  <c r="D63" i="2"/>
  <c r="E63" i="2"/>
  <c r="C49" i="2"/>
  <c r="C73" i="2"/>
  <c r="C74" i="2"/>
  <c r="C157" i="2"/>
  <c r="D113" i="1"/>
  <c r="C367" i="2"/>
  <c r="C371" i="2" s="1"/>
  <c r="C388" i="2" s="1"/>
  <c r="C124" i="2"/>
  <c r="C53" i="2"/>
  <c r="C154" i="2"/>
  <c r="C34" i="2"/>
  <c r="C43" i="2"/>
  <c r="C48" i="2"/>
  <c r="C40" i="2"/>
  <c r="C37" i="2"/>
  <c r="D15" i="2"/>
  <c r="G296" i="3"/>
  <c r="H285" i="3"/>
  <c r="I295" i="3"/>
  <c r="J207" i="3"/>
  <c r="I301" i="3"/>
  <c r="H65" i="3"/>
  <c r="I75" i="14" s="1"/>
  <c r="G303" i="3"/>
  <c r="I302" i="3"/>
  <c r="H306" i="3"/>
  <c r="H301" i="3"/>
  <c r="H300" i="3"/>
  <c r="F303" i="3"/>
  <c r="J302" i="3"/>
  <c r="J111" i="21" s="1"/>
  <c r="I228" i="3"/>
  <c r="H310" i="3"/>
  <c r="H313" i="3"/>
  <c r="H102" i="4" s="1"/>
  <c r="J136" i="3"/>
  <c r="J287" i="3" s="1"/>
  <c r="J96" i="21" s="1"/>
  <c r="I87" i="3"/>
  <c r="J87" i="3" s="1"/>
  <c r="K30" i="21" s="1"/>
  <c r="J133" i="3"/>
  <c r="J286" i="3" s="1"/>
  <c r="J95" i="21" s="1"/>
  <c r="B244" i="3"/>
  <c r="B246" i="3"/>
  <c r="D72" i="3"/>
  <c r="D84" i="3"/>
  <c r="D73" i="3"/>
  <c r="J118" i="3"/>
  <c r="K42" i="21" s="1"/>
  <c r="E88" i="1"/>
  <c r="D29" i="2"/>
  <c r="D24" i="2"/>
  <c r="B333" i="3" s="1"/>
  <c r="B342" i="2"/>
  <c r="D70" i="2"/>
  <c r="E97" i="1"/>
  <c r="D26" i="2"/>
  <c r="B335" i="3" s="1"/>
  <c r="D69" i="2"/>
  <c r="D152" i="2"/>
  <c r="D31" i="2"/>
  <c r="D186" i="2"/>
  <c r="B329" i="3" s="1"/>
  <c r="E186" i="2"/>
  <c r="C329" i="3" s="1"/>
  <c r="H287" i="3"/>
  <c r="G311" i="3"/>
  <c r="H231" i="3"/>
  <c r="I308" i="3"/>
  <c r="J218" i="3"/>
  <c r="K74" i="21" s="1"/>
  <c r="F283" i="3"/>
  <c r="G285" i="3"/>
  <c r="J145" i="3"/>
  <c r="K49" i="21" s="1"/>
  <c r="I292" i="3"/>
  <c r="J192" i="3"/>
  <c r="C245" i="3"/>
  <c r="D245" i="3"/>
  <c r="C246" i="3"/>
  <c r="C244" i="3"/>
  <c r="I290" i="3"/>
  <c r="J186" i="3"/>
  <c r="K63" i="21" s="1"/>
  <c r="J295" i="3" l="1"/>
  <c r="J104" i="21" s="1"/>
  <c r="K70" i="21"/>
  <c r="J292" i="3"/>
  <c r="J101" i="21" s="1"/>
  <c r="K65" i="21"/>
  <c r="J299" i="3"/>
  <c r="J108" i="21" s="1"/>
  <c r="I55" i="5"/>
  <c r="H57" i="5"/>
  <c r="L150" i="14"/>
  <c r="C86" i="3"/>
  <c r="B90" i="3"/>
  <c r="B91" i="3" s="1"/>
  <c r="B85" i="3"/>
  <c r="B73" i="2"/>
  <c r="C191" i="2"/>
  <c r="C188" i="2"/>
  <c r="B124" i="2"/>
  <c r="C58" i="2"/>
  <c r="C15" i="2"/>
  <c r="B74" i="2"/>
  <c r="B40" i="2"/>
  <c r="B48" i="2"/>
  <c r="B34" i="2"/>
  <c r="C57" i="2"/>
  <c r="B43" i="2"/>
  <c r="B154" i="2"/>
  <c r="B37" i="2"/>
  <c r="C113" i="1"/>
  <c r="B106" i="2" s="1"/>
  <c r="B49" i="2"/>
  <c r="F48" i="2"/>
  <c r="F154" i="2"/>
  <c r="F57" i="2"/>
  <c r="F53" i="2"/>
  <c r="F40" i="2"/>
  <c r="F188" i="2"/>
  <c r="F58" i="2"/>
  <c r="F43" i="2"/>
  <c r="F37" i="2"/>
  <c r="D346" i="3" s="1"/>
  <c r="F124" i="2"/>
  <c r="F34" i="2"/>
  <c r="D343" i="3" s="1"/>
  <c r="D338" i="3"/>
  <c r="D317" i="2"/>
  <c r="D307" i="2"/>
  <c r="F367" i="2"/>
  <c r="F371" i="2" s="1"/>
  <c r="F388" i="2" s="1"/>
  <c r="G113" i="1"/>
  <c r="F49" i="2"/>
  <c r="F74" i="2"/>
  <c r="F157" i="2"/>
  <c r="F191" i="2"/>
  <c r="F73" i="2"/>
  <c r="D340" i="3"/>
  <c r="E303" i="2"/>
  <c r="D348" i="2"/>
  <c r="D350" i="2"/>
  <c r="D353" i="2" s="1"/>
  <c r="D355" i="2" s="1"/>
  <c r="D357" i="2" s="1"/>
  <c r="F72" i="5"/>
  <c r="E91" i="5"/>
  <c r="E92" i="5"/>
  <c r="E37" i="3"/>
  <c r="F66" i="14" s="1"/>
  <c r="E151" i="3"/>
  <c r="E281" i="3" s="1"/>
  <c r="C106" i="2"/>
  <c r="C115" i="2"/>
  <c r="C116" i="2" s="1"/>
  <c r="D134" i="1"/>
  <c r="D156" i="1" s="1"/>
  <c r="D16" i="2" s="1"/>
  <c r="H296" i="3"/>
  <c r="J308" i="3"/>
  <c r="J117" i="21" s="1"/>
  <c r="J142" i="3"/>
  <c r="K48" i="21" s="1"/>
  <c r="I65" i="3"/>
  <c r="I300" i="3"/>
  <c r="I306" i="3"/>
  <c r="J177" i="3"/>
  <c r="H303" i="3"/>
  <c r="J160" i="3"/>
  <c r="I310" i="3"/>
  <c r="I287" i="3"/>
  <c r="I286" i="3"/>
  <c r="D157" i="2"/>
  <c r="D49" i="2"/>
  <c r="D73" i="2"/>
  <c r="D74" i="2"/>
  <c r="D191" i="2"/>
  <c r="E191" i="2"/>
  <c r="C303" i="2"/>
  <c r="B340" i="3"/>
  <c r="E113" i="1"/>
  <c r="D367" i="2"/>
  <c r="D371" i="2" s="1"/>
  <c r="D388" i="2" s="1"/>
  <c r="B307" i="2"/>
  <c r="B317" i="2"/>
  <c r="B338" i="3"/>
  <c r="D57" i="2"/>
  <c r="D124" i="2"/>
  <c r="D37" i="2"/>
  <c r="B346" i="3" s="1"/>
  <c r="E57" i="2"/>
  <c r="E15" i="2"/>
  <c r="E58" i="2"/>
  <c r="D43" i="2"/>
  <c r="D34" i="2"/>
  <c r="B343" i="3" s="1"/>
  <c r="D154" i="2"/>
  <c r="E188" i="2"/>
  <c r="D53" i="2"/>
  <c r="D40" i="2"/>
  <c r="D48" i="2"/>
  <c r="D58" i="2"/>
  <c r="D188" i="2"/>
  <c r="H311" i="3"/>
  <c r="I231" i="3"/>
  <c r="B350" i="2"/>
  <c r="B348" i="2"/>
  <c r="I299" i="3"/>
  <c r="D97" i="3"/>
  <c r="D86" i="3"/>
  <c r="D85" i="3"/>
  <c r="D90" i="3"/>
  <c r="D280" i="3"/>
  <c r="D297" i="3" s="1"/>
  <c r="B98" i="3"/>
  <c r="C99" i="3"/>
  <c r="I237" i="3"/>
  <c r="I313" i="3" s="1"/>
  <c r="I102" i="4" s="1"/>
  <c r="J127" i="3"/>
  <c r="J290" i="3"/>
  <c r="J99" i="21" s="1"/>
  <c r="J306" i="3" l="1"/>
  <c r="J115" i="21" s="1"/>
  <c r="K60" i="21"/>
  <c r="J301" i="3"/>
  <c r="J110" i="21" s="1"/>
  <c r="K54" i="21"/>
  <c r="J300" i="3"/>
  <c r="J109" i="21" s="1"/>
  <c r="J285" i="3"/>
  <c r="J94" i="21" s="1"/>
  <c r="K45" i="21"/>
  <c r="J55" i="5"/>
  <c r="J57" i="5" s="1"/>
  <c r="I57" i="5"/>
  <c r="J65" i="3"/>
  <c r="K23" i="21" s="1"/>
  <c r="J75" i="14"/>
  <c r="C92" i="3"/>
  <c r="C134" i="1"/>
  <c r="C16" i="2" s="1"/>
  <c r="F115" i="2"/>
  <c r="F116" i="2" s="1"/>
  <c r="G134" i="1"/>
  <c r="G156" i="1" s="1"/>
  <c r="F106" i="2"/>
  <c r="D352" i="3"/>
  <c r="D325" i="2"/>
  <c r="D338" i="2" s="1"/>
  <c r="D349" i="3"/>
  <c r="D328" i="2"/>
  <c r="I296" i="3"/>
  <c r="J210" i="3"/>
  <c r="J237" i="3"/>
  <c r="J303" i="3"/>
  <c r="B328" i="2"/>
  <c r="B349" i="3"/>
  <c r="E134" i="1"/>
  <c r="E156" i="1" s="1"/>
  <c r="E16" i="2" s="1"/>
  <c r="D106" i="2"/>
  <c r="D115" i="2"/>
  <c r="D116" i="2" s="1"/>
  <c r="D91" i="3"/>
  <c r="D312" i="3"/>
  <c r="D314" i="3" s="1"/>
  <c r="D315" i="3" s="1"/>
  <c r="D319" i="3" s="1"/>
  <c r="D92" i="3"/>
  <c r="B325" i="2"/>
  <c r="B338" i="2" s="1"/>
  <c r="B352" i="3"/>
  <c r="I311" i="3"/>
  <c r="J231" i="3"/>
  <c r="D98" i="3"/>
  <c r="D99" i="3"/>
  <c r="B353" i="2"/>
  <c r="B355" i="2" s="1"/>
  <c r="B357" i="2" s="1"/>
  <c r="D85" i="5"/>
  <c r="I85" i="5" s="1"/>
  <c r="I285" i="3"/>
  <c r="D86" i="5"/>
  <c r="I86" i="5" s="1"/>
  <c r="J313" i="3" l="1"/>
  <c r="K80" i="21"/>
  <c r="J311" i="3"/>
  <c r="J120" i="21" s="1"/>
  <c r="K78" i="21"/>
  <c r="J296" i="3"/>
  <c r="J105" i="21" s="1"/>
  <c r="K71" i="21"/>
  <c r="I303" i="3"/>
  <c r="G283" i="3"/>
  <c r="F68" i="5"/>
  <c r="F69" i="5" s="1"/>
  <c r="F148" i="3" s="1"/>
  <c r="F85" i="5"/>
  <c r="F89" i="5" s="1"/>
  <c r="G85" i="5"/>
  <c r="H85" i="5"/>
  <c r="G68" i="5"/>
  <c r="H86" i="5"/>
  <c r="G86" i="5"/>
  <c r="J102" i="4" l="1"/>
  <c r="J122" i="21"/>
  <c r="F92" i="5"/>
  <c r="F37" i="3"/>
  <c r="G66" i="14" s="1"/>
  <c r="F73" i="5"/>
  <c r="F74" i="5" s="1"/>
  <c r="G72" i="5" s="1"/>
  <c r="F91" i="5"/>
  <c r="G60" i="5"/>
  <c r="G89" i="5"/>
  <c r="G67" i="5"/>
  <c r="G69" i="5" s="1"/>
  <c r="G148" i="3" s="1"/>
  <c r="G91" i="5" l="1"/>
  <c r="G37" i="3"/>
  <c r="H66" i="14" s="1"/>
  <c r="F76" i="5"/>
  <c r="F151" i="3"/>
  <c r="F298" i="3"/>
  <c r="H283" i="3"/>
  <c r="H60" i="5"/>
  <c r="G92" i="5"/>
  <c r="G73" i="5"/>
  <c r="G74" i="5" s="1"/>
  <c r="G151" i="3" s="1"/>
  <c r="I68" i="5"/>
  <c r="H67" i="5"/>
  <c r="D87" i="5"/>
  <c r="I87" i="5" s="1"/>
  <c r="H68" i="5"/>
  <c r="G298" i="3" l="1"/>
  <c r="G281" i="3"/>
  <c r="F281" i="3"/>
  <c r="J121" i="3"/>
  <c r="K43" i="21" s="1"/>
  <c r="I283" i="3"/>
  <c r="D88" i="5"/>
  <c r="I88" i="5" s="1"/>
  <c r="H69" i="5"/>
  <c r="H148" i="3" s="1"/>
  <c r="H87" i="5"/>
  <c r="H89" i="5" s="1"/>
  <c r="H37" i="3" s="1"/>
  <c r="I66" i="14" s="1"/>
  <c r="H72" i="5"/>
  <c r="G76" i="5"/>
  <c r="J283" i="3" l="1"/>
  <c r="J92" i="21" s="1"/>
  <c r="Q210" i="14"/>
  <c r="E293" i="3"/>
  <c r="I60" i="5"/>
  <c r="I89" i="5"/>
  <c r="E305" i="3"/>
  <c r="I67" i="5"/>
  <c r="I69" i="5" s="1"/>
  <c r="H73" i="5"/>
  <c r="H74" i="5" s="1"/>
  <c r="H151" i="3" s="1"/>
  <c r="H91" i="5"/>
  <c r="H92" i="5"/>
  <c r="I148" i="3" l="1"/>
  <c r="J60" i="5"/>
  <c r="J148" i="3"/>
  <c r="I92" i="5"/>
  <c r="I37" i="3"/>
  <c r="J66" i="14" s="1"/>
  <c r="I91" i="5"/>
  <c r="H281" i="3"/>
  <c r="I298" i="3"/>
  <c r="H298" i="3"/>
  <c r="F293" i="3"/>
  <c r="I73" i="5"/>
  <c r="E99" i="4"/>
  <c r="E251" i="4"/>
  <c r="F305" i="3"/>
  <c r="I72" i="5"/>
  <c r="H76" i="5"/>
  <c r="Q212" i="14" l="1"/>
  <c r="K50" i="21"/>
  <c r="J37" i="3"/>
  <c r="K14" i="21" s="1"/>
  <c r="J298" i="3"/>
  <c r="J107" i="21" s="1"/>
  <c r="G293" i="3"/>
  <c r="G305" i="3"/>
  <c r="F251" i="4"/>
  <c r="F99" i="4"/>
  <c r="I74" i="5"/>
  <c r="I76" i="5" l="1"/>
  <c r="I151" i="3"/>
  <c r="I281" i="3" s="1"/>
  <c r="G251" i="4"/>
  <c r="G99" i="4"/>
  <c r="J151" i="3" l="1"/>
  <c r="K51" i="21" s="1"/>
  <c r="H305" i="3"/>
  <c r="H251" i="4" s="1"/>
  <c r="H293" i="3"/>
  <c r="I305" i="3"/>
  <c r="J281" i="3" l="1"/>
  <c r="J90" i="21" s="1"/>
  <c r="H99" i="4"/>
  <c r="I293" i="3"/>
  <c r="J154" i="3"/>
  <c r="I251" i="4"/>
  <c r="I99" i="4"/>
  <c r="J130" i="3"/>
  <c r="K46" i="21" s="1"/>
  <c r="J305" i="3" l="1"/>
  <c r="K52" i="21"/>
  <c r="J293" i="3"/>
  <c r="J102" i="21" s="1"/>
  <c r="J99" i="4" l="1"/>
  <c r="J114" i="21"/>
  <c r="J251" i="4"/>
  <c r="E307" i="3"/>
  <c r="E100" i="4" s="1"/>
  <c r="F307" i="3"/>
  <c r="F100" i="4" l="1"/>
  <c r="G62" i="3"/>
  <c r="H74" i="14" s="1"/>
  <c r="F62" i="3"/>
  <c r="G74" i="14" s="1"/>
  <c r="G307" i="3" l="1"/>
  <c r="G100" i="4" l="1"/>
  <c r="I62" i="3"/>
  <c r="J74" i="14" s="1"/>
  <c r="H307" i="3"/>
  <c r="H62" i="3"/>
  <c r="I74" i="14" s="1"/>
  <c r="J62" i="3" l="1"/>
  <c r="K22" i="21" s="1"/>
  <c r="H100" i="4"/>
  <c r="I307" i="3"/>
  <c r="J198" i="3"/>
  <c r="K67" i="21" s="1"/>
  <c r="M150" i="14" l="1"/>
  <c r="M151" i="14"/>
  <c r="I100" i="4"/>
  <c r="J307" i="3"/>
  <c r="J116" i="21" s="1"/>
  <c r="J100" i="4" l="1"/>
  <c r="E32" i="5"/>
  <c r="E22" i="5" l="1"/>
  <c r="E44" i="5"/>
  <c r="F32" i="5"/>
  <c r="E125" i="5" l="1"/>
  <c r="E42" i="5"/>
  <c r="E38" i="5"/>
  <c r="E34" i="5"/>
  <c r="E25" i="5"/>
  <c r="F12" i="14" s="1"/>
  <c r="F9" i="14"/>
  <c r="F22" i="5"/>
  <c r="G9" i="14" s="1"/>
  <c r="E45" i="5"/>
  <c r="E24" i="3"/>
  <c r="G32" i="5"/>
  <c r="F44" i="5"/>
  <c r="F34" i="5" s="1"/>
  <c r="G22" i="5" l="1"/>
  <c r="H9" i="14" s="1"/>
  <c r="F125" i="5"/>
  <c r="F42" i="5"/>
  <c r="F38" i="5"/>
  <c r="F62" i="14"/>
  <c r="E35" i="19"/>
  <c r="E36" i="19" s="1"/>
  <c r="E37" i="19"/>
  <c r="E38" i="19" s="1"/>
  <c r="E61" i="5"/>
  <c r="E26" i="5"/>
  <c r="E21" i="3"/>
  <c r="F25" i="5"/>
  <c r="F61" i="5" s="1"/>
  <c r="F45" i="5"/>
  <c r="G25" i="5"/>
  <c r="H32" i="5"/>
  <c r="G44" i="5"/>
  <c r="G125" i="5" l="1"/>
  <c r="G38" i="5"/>
  <c r="G42" i="5"/>
  <c r="G34" i="5"/>
  <c r="H22" i="5"/>
  <c r="I9" i="14" s="1"/>
  <c r="F61" i="14"/>
  <c r="F63" i="14" s="1"/>
  <c r="E40" i="19"/>
  <c r="E41" i="19" s="1"/>
  <c r="E33" i="19"/>
  <c r="E34" i="19" s="1"/>
  <c r="E39" i="19" s="1"/>
  <c r="E359" i="3"/>
  <c r="E328" i="3"/>
  <c r="E49" i="3"/>
  <c r="F70" i="14" s="1"/>
  <c r="E31" i="3"/>
  <c r="F64" i="14" s="1"/>
  <c r="E43" i="3"/>
  <c r="F68" i="14" s="1"/>
  <c r="E46" i="3"/>
  <c r="F69" i="14" s="1"/>
  <c r="E361" i="3"/>
  <c r="E23" i="3"/>
  <c r="E27" i="3"/>
  <c r="E29" i="3" s="1"/>
  <c r="E22" i="3"/>
  <c r="E52" i="3"/>
  <c r="F71" i="14" s="1"/>
  <c r="E94" i="3"/>
  <c r="F85" i="14" s="1"/>
  <c r="E78" i="3"/>
  <c r="F79" i="14" s="1"/>
  <c r="E34" i="3"/>
  <c r="F65" i="14" s="1"/>
  <c r="F26" i="5"/>
  <c r="H12" i="14"/>
  <c r="G21" i="3"/>
  <c r="G12" i="14"/>
  <c r="F21" i="3"/>
  <c r="G45" i="5"/>
  <c r="E291" i="3"/>
  <c r="E284" i="3"/>
  <c r="F24" i="3"/>
  <c r="H44" i="5"/>
  <c r="H25" i="5"/>
  <c r="I32" i="5"/>
  <c r="E360" i="3"/>
  <c r="E289" i="3"/>
  <c r="G61" i="5"/>
  <c r="G26" i="5"/>
  <c r="E294" i="3"/>
  <c r="H125" i="5" l="1"/>
  <c r="H42" i="5"/>
  <c r="H38" i="5"/>
  <c r="H34" i="5"/>
  <c r="F37" i="19"/>
  <c r="F38" i="19" s="1"/>
  <c r="F35" i="19"/>
  <c r="F36" i="19" s="1"/>
  <c r="E33" i="3"/>
  <c r="F52" i="3"/>
  <c r="G71" i="14" s="1"/>
  <c r="F40" i="19"/>
  <c r="F41" i="19" s="1"/>
  <c r="F33" i="19"/>
  <c r="F34" i="19" s="1"/>
  <c r="E28" i="3"/>
  <c r="F23" i="3"/>
  <c r="G61" i="14"/>
  <c r="E355" i="3"/>
  <c r="E36" i="3"/>
  <c r="F40" i="3"/>
  <c r="G67" i="14" s="1"/>
  <c r="F34" i="3"/>
  <c r="G65" i="14" s="1"/>
  <c r="F49" i="3"/>
  <c r="G70" i="14" s="1"/>
  <c r="F94" i="3"/>
  <c r="G85" i="14" s="1"/>
  <c r="F43" i="3"/>
  <c r="G68" i="14" s="1"/>
  <c r="F46" i="3"/>
  <c r="G69" i="14" s="1"/>
  <c r="F31" i="3"/>
  <c r="G64" i="14" s="1"/>
  <c r="F361" i="3"/>
  <c r="F22" i="3"/>
  <c r="F328" i="3"/>
  <c r="F359" i="3"/>
  <c r="F78" i="3"/>
  <c r="G79" i="14" s="1"/>
  <c r="I12" i="14"/>
  <c r="H21" i="3"/>
  <c r="I22" i="5"/>
  <c r="J9" i="14" s="1"/>
  <c r="K9" i="14" s="1"/>
  <c r="J32" i="5"/>
  <c r="F27" i="3"/>
  <c r="F29" i="3" s="1"/>
  <c r="G62" i="14"/>
  <c r="H61" i="14"/>
  <c r="G23" i="3"/>
  <c r="G52" i="3"/>
  <c r="H71" i="14" s="1"/>
  <c r="G31" i="3"/>
  <c r="G22" i="3"/>
  <c r="G94" i="3"/>
  <c r="H85" i="14" s="1"/>
  <c r="G78" i="3"/>
  <c r="H79" i="14" s="1"/>
  <c r="G40" i="3"/>
  <c r="H67" i="14" s="1"/>
  <c r="H45" i="5"/>
  <c r="G46" i="3"/>
  <c r="H69" i="14" s="1"/>
  <c r="G34" i="3"/>
  <c r="G43" i="3"/>
  <c r="H68" i="14" s="1"/>
  <c r="G49" i="3"/>
  <c r="H70" i="14" s="1"/>
  <c r="G359" i="3"/>
  <c r="G361" i="3"/>
  <c r="G328" i="3"/>
  <c r="G24" i="3"/>
  <c r="E288" i="3"/>
  <c r="E195" i="3"/>
  <c r="I44" i="5"/>
  <c r="H61" i="5"/>
  <c r="H26" i="5"/>
  <c r="I125" i="5" l="1"/>
  <c r="I42" i="5"/>
  <c r="I38" i="5"/>
  <c r="I34" i="5"/>
  <c r="F39" i="19"/>
  <c r="G63" i="14"/>
  <c r="F36" i="3"/>
  <c r="F33" i="3"/>
  <c r="I25" i="5"/>
  <c r="I21" i="3" s="1"/>
  <c r="J22" i="5"/>
  <c r="J25" i="5" s="1"/>
  <c r="J61" i="5" s="1"/>
  <c r="J44" i="5"/>
  <c r="J34" i="5" s="1"/>
  <c r="F55" i="3"/>
  <c r="F28" i="3"/>
  <c r="G27" i="3"/>
  <c r="G28" i="3" s="1"/>
  <c r="H62" i="14"/>
  <c r="H63" i="14" s="1"/>
  <c r="I61" i="14"/>
  <c r="H52" i="3"/>
  <c r="I71" i="14" s="1"/>
  <c r="H94" i="3"/>
  <c r="I85" i="14" s="1"/>
  <c r="H22" i="3"/>
  <c r="H23" i="3"/>
  <c r="H78" i="3"/>
  <c r="I79" i="14" s="1"/>
  <c r="H31" i="3"/>
  <c r="H64" i="14"/>
  <c r="G33" i="3"/>
  <c r="H65" i="14"/>
  <c r="G36" i="3"/>
  <c r="H40" i="3"/>
  <c r="I67" i="14" s="1"/>
  <c r="I45" i="5"/>
  <c r="H34" i="3"/>
  <c r="H46" i="3"/>
  <c r="I69" i="14" s="1"/>
  <c r="H43" i="3"/>
  <c r="I68" i="14" s="1"/>
  <c r="H49" i="3"/>
  <c r="I70" i="14" s="1"/>
  <c r="F360" i="3"/>
  <c r="F288" i="3"/>
  <c r="F355" i="3"/>
  <c r="H24" i="3"/>
  <c r="F289" i="3"/>
  <c r="F294" i="3"/>
  <c r="F284" i="3"/>
  <c r="H328" i="3"/>
  <c r="H359" i="3"/>
  <c r="H361" i="3"/>
  <c r="F291" i="3"/>
  <c r="E197" i="3"/>
  <c r="E213" i="3"/>
  <c r="J42" i="5" l="1"/>
  <c r="J38" i="5"/>
  <c r="F22" i="19"/>
  <c r="F28" i="19"/>
  <c r="F20" i="19"/>
  <c r="F56" i="3"/>
  <c r="E135" i="14"/>
  <c r="E136" i="14"/>
  <c r="I61" i="5"/>
  <c r="I26" i="5"/>
  <c r="J12" i="14"/>
  <c r="K12" i="14" s="1"/>
  <c r="G29" i="3"/>
  <c r="G72" i="14"/>
  <c r="J45" i="5"/>
  <c r="J125" i="5"/>
  <c r="J24" i="3" s="1"/>
  <c r="J21" i="3"/>
  <c r="J26" i="5"/>
  <c r="H27" i="3"/>
  <c r="H28" i="3" s="1"/>
  <c r="I62" i="14"/>
  <c r="I63" i="14" s="1"/>
  <c r="H33" i="3"/>
  <c r="I64" i="14"/>
  <c r="I65" i="14"/>
  <c r="H36" i="3"/>
  <c r="J61" i="14"/>
  <c r="I52" i="3"/>
  <c r="J71" i="14" s="1"/>
  <c r="I94" i="3"/>
  <c r="J85" i="14" s="1"/>
  <c r="I78" i="3"/>
  <c r="J79" i="14" s="1"/>
  <c r="I31" i="3"/>
  <c r="I22" i="3"/>
  <c r="I23" i="3"/>
  <c r="G55" i="3"/>
  <c r="H72" i="14" s="1"/>
  <c r="G355" i="3"/>
  <c r="I40" i="3"/>
  <c r="I43" i="3"/>
  <c r="I34" i="3"/>
  <c r="I46" i="3"/>
  <c r="I49" i="3"/>
  <c r="F195" i="3"/>
  <c r="G288" i="3"/>
  <c r="G195" i="3"/>
  <c r="E215" i="3"/>
  <c r="G360" i="3"/>
  <c r="I328" i="3"/>
  <c r="I359" i="3"/>
  <c r="I361" i="3"/>
  <c r="F356" i="3"/>
  <c r="G291" i="3"/>
  <c r="E71" i="4"/>
  <c r="E309" i="3"/>
  <c r="F71" i="4"/>
  <c r="G294" i="3"/>
  <c r="G289" i="3"/>
  <c r="G284" i="3"/>
  <c r="I24" i="3"/>
  <c r="G57" i="3" l="1"/>
  <c r="H29" i="3"/>
  <c r="G56" i="3"/>
  <c r="J46" i="3"/>
  <c r="K17" i="21" s="1"/>
  <c r="J69" i="14"/>
  <c r="J40" i="3"/>
  <c r="K15" i="21" s="1"/>
  <c r="J67" i="14"/>
  <c r="I27" i="3"/>
  <c r="I55" i="3" s="1"/>
  <c r="J72" i="14" s="1"/>
  <c r="J62" i="14"/>
  <c r="J63" i="14" s="1"/>
  <c r="H55" i="3"/>
  <c r="I72" i="14" s="1"/>
  <c r="J49" i="3"/>
  <c r="K18" i="21" s="1"/>
  <c r="J70" i="14"/>
  <c r="J65" i="14"/>
  <c r="I36" i="3"/>
  <c r="J43" i="3"/>
  <c r="K16" i="21" s="1"/>
  <c r="J68" i="14"/>
  <c r="I33" i="3"/>
  <c r="J64" i="14"/>
  <c r="J78" i="3"/>
  <c r="J94" i="3"/>
  <c r="J228" i="3" s="1"/>
  <c r="J31" i="3"/>
  <c r="J33" i="3" s="1"/>
  <c r="J52" i="3"/>
  <c r="G356" i="3"/>
  <c r="J22" i="3"/>
  <c r="J23" i="3"/>
  <c r="J34" i="3"/>
  <c r="F213" i="3"/>
  <c r="F215" i="3" s="1"/>
  <c r="F197" i="3"/>
  <c r="H360" i="3"/>
  <c r="H284" i="3"/>
  <c r="H291" i="3"/>
  <c r="H195" i="3"/>
  <c r="H288" i="3"/>
  <c r="H289" i="3"/>
  <c r="H355" i="3"/>
  <c r="J361" i="3"/>
  <c r="J328" i="3"/>
  <c r="J359" i="3"/>
  <c r="H294" i="3"/>
  <c r="G71" i="4"/>
  <c r="G197" i="3"/>
  <c r="G213" i="3"/>
  <c r="F309" i="3"/>
  <c r="J36" i="3" l="1"/>
  <c r="K13" i="21"/>
  <c r="I28" i="3"/>
  <c r="I29" i="3"/>
  <c r="H57" i="3"/>
  <c r="H56" i="3"/>
  <c r="I57" i="3"/>
  <c r="I56" i="3"/>
  <c r="J310" i="3"/>
  <c r="J27" i="3"/>
  <c r="J55" i="3" s="1"/>
  <c r="K20" i="21" s="1"/>
  <c r="I355" i="3"/>
  <c r="I360" i="3"/>
  <c r="I195" i="3"/>
  <c r="I288" i="3"/>
  <c r="J171" i="3"/>
  <c r="K58" i="21" s="1"/>
  <c r="I289" i="3"/>
  <c r="J174" i="3"/>
  <c r="I291" i="3"/>
  <c r="J189" i="3"/>
  <c r="J201" i="3"/>
  <c r="I294" i="3"/>
  <c r="H197" i="3"/>
  <c r="I284" i="3"/>
  <c r="G309" i="3"/>
  <c r="I356" i="3"/>
  <c r="H356" i="3"/>
  <c r="J124" i="3"/>
  <c r="G215" i="3"/>
  <c r="J294" i="3" l="1"/>
  <c r="J103" i="21" s="1"/>
  <c r="K68" i="21"/>
  <c r="J289" i="3"/>
  <c r="J98" i="21" s="1"/>
  <c r="K59" i="21"/>
  <c r="J291" i="3"/>
  <c r="J100" i="21" s="1"/>
  <c r="K64" i="21"/>
  <c r="Q211" i="14"/>
  <c r="K44" i="21"/>
  <c r="J355" i="3"/>
  <c r="J56" i="3"/>
  <c r="J57" i="3"/>
  <c r="J29" i="3"/>
  <c r="J28" i="3"/>
  <c r="H215" i="3"/>
  <c r="J360" i="3"/>
  <c r="J356" i="3"/>
  <c r="J195" i="3"/>
  <c r="J197" i="3" s="1"/>
  <c r="J288" i="3"/>
  <c r="J97" i="21" s="1"/>
  <c r="J284" i="3"/>
  <c r="J93" i="21" s="1"/>
  <c r="I197" i="3"/>
  <c r="I213" i="3"/>
  <c r="I215" i="3" l="1"/>
  <c r="H309" i="3"/>
  <c r="H71" i="4"/>
  <c r="J213" i="3"/>
  <c r="K72" i="21" s="1"/>
  <c r="I71" i="4"/>
  <c r="I309" i="3" l="1"/>
  <c r="J222" i="3"/>
  <c r="J71" i="4" l="1"/>
  <c r="K75" i="21"/>
  <c r="J309" i="3"/>
  <c r="J118" i="21" s="1"/>
  <c r="G256" i="2" l="1"/>
  <c r="B256" i="2"/>
  <c r="B24" i="1"/>
  <c r="B33" i="1" l="1"/>
  <c r="G267" i="2" s="1"/>
  <c r="G259" i="2"/>
  <c r="B259" i="2"/>
  <c r="B268" i="2" l="1"/>
  <c r="B42" i="2"/>
  <c r="G268" i="2"/>
  <c r="B25" i="2"/>
  <c r="B115" i="2"/>
  <c r="B116" i="2" s="1"/>
  <c r="B26" i="2"/>
  <c r="B36" i="2"/>
  <c r="B31" i="2"/>
  <c r="B30" i="2"/>
  <c r="B35" i="2"/>
  <c r="B41" i="2"/>
  <c r="B154" i="1"/>
  <c r="B14" i="2" s="1"/>
  <c r="B62" i="2"/>
  <c r="B176" i="2"/>
  <c r="G176" i="2"/>
  <c r="B81" i="1"/>
  <c r="B181" i="2" s="1"/>
  <c r="B86" i="1" l="1"/>
  <c r="B92" i="1" s="1"/>
  <c r="B143" i="1"/>
  <c r="G181" i="2"/>
  <c r="B63" i="2" l="1"/>
  <c r="B88" i="1"/>
  <c r="G186" i="2"/>
  <c r="B97" i="1"/>
  <c r="B113" i="1" s="1"/>
  <c r="B134" i="1" s="1"/>
  <c r="B186" i="2"/>
  <c r="B191" i="2" l="1"/>
  <c r="G191" i="2"/>
  <c r="B57" i="2"/>
  <c r="B58" i="2"/>
  <c r="G188" i="2"/>
  <c r="B188" i="2"/>
  <c r="B15" i="2"/>
  <c r="E40" i="3" l="1"/>
  <c r="E55" i="3" l="1"/>
  <c r="F67" i="14"/>
  <c r="E115" i="3"/>
  <c r="E365" i="3" s="1"/>
  <c r="E22" i="19" l="1"/>
  <c r="E28" i="19"/>
  <c r="E20" i="19"/>
  <c r="D136" i="14"/>
  <c r="D135" i="14"/>
  <c r="F57" i="3"/>
  <c r="F72" i="14"/>
  <c r="E57" i="3"/>
  <c r="E56" i="3"/>
  <c r="E356" i="3"/>
  <c r="E59" i="3"/>
  <c r="F115" i="3"/>
  <c r="E139" i="3"/>
  <c r="E71" i="3" l="1"/>
  <c r="F77" i="14" s="1"/>
  <c r="F73" i="14"/>
  <c r="F139" i="3"/>
  <c r="F365" i="3"/>
  <c r="G115" i="3"/>
  <c r="E141" i="3"/>
  <c r="E166" i="3"/>
  <c r="E364" i="3"/>
  <c r="F59" i="3"/>
  <c r="E149" i="3" l="1"/>
  <c r="E26" i="19"/>
  <c r="E18" i="19"/>
  <c r="E75" i="3"/>
  <c r="E73" i="3"/>
  <c r="E370" i="3"/>
  <c r="E72" i="3"/>
  <c r="F71" i="3"/>
  <c r="G77" i="14" s="1"/>
  <c r="G73" i="14"/>
  <c r="E229" i="3"/>
  <c r="H152" i="14"/>
  <c r="H148" i="14"/>
  <c r="E152" i="3"/>
  <c r="E330" i="3"/>
  <c r="E350" i="3"/>
  <c r="E339" i="3"/>
  <c r="E344" i="3"/>
  <c r="E334" i="3"/>
  <c r="E214" i="3"/>
  <c r="E368" i="3"/>
  <c r="E168" i="3"/>
  <c r="E196" i="3"/>
  <c r="E167" i="3"/>
  <c r="E140" i="3"/>
  <c r="G365" i="3"/>
  <c r="G139" i="3"/>
  <c r="H115" i="3"/>
  <c r="H59" i="3" s="1"/>
  <c r="G59" i="3"/>
  <c r="F166" i="3"/>
  <c r="F141" i="3"/>
  <c r="F364" i="3"/>
  <c r="F149" i="3" l="1"/>
  <c r="F26" i="19"/>
  <c r="F18" i="19"/>
  <c r="F78" i="14"/>
  <c r="E84" i="3"/>
  <c r="E338" i="3"/>
  <c r="E340" i="3"/>
  <c r="F370" i="3"/>
  <c r="F72" i="3"/>
  <c r="E247" i="4"/>
  <c r="F75" i="3"/>
  <c r="F340" i="3" s="1"/>
  <c r="F73" i="3"/>
  <c r="G71" i="3"/>
  <c r="H77" i="14" s="1"/>
  <c r="H73" i="14"/>
  <c r="H71" i="3"/>
  <c r="I77" i="14" s="1"/>
  <c r="I73" i="14"/>
  <c r="F229" i="3"/>
  <c r="I152" i="14"/>
  <c r="I148" i="14"/>
  <c r="F152" i="3"/>
  <c r="G141" i="3"/>
  <c r="G364" i="3"/>
  <c r="G166" i="3"/>
  <c r="G149" i="3" s="1"/>
  <c r="H139" i="3"/>
  <c r="I115" i="3"/>
  <c r="H365" i="3"/>
  <c r="F350" i="3"/>
  <c r="F339" i="3"/>
  <c r="F196" i="3"/>
  <c r="F334" i="3"/>
  <c r="F330" i="3"/>
  <c r="F368" i="3"/>
  <c r="F168" i="3"/>
  <c r="F344" i="3"/>
  <c r="F214" i="3"/>
  <c r="F167" i="3"/>
  <c r="F140" i="3"/>
  <c r="L85" i="3" l="1"/>
  <c r="E13" i="19"/>
  <c r="E349" i="3"/>
  <c r="F82" i="14"/>
  <c r="E280" i="3"/>
  <c r="E297" i="3" s="1"/>
  <c r="E46" i="19" s="1"/>
  <c r="E333" i="3"/>
  <c r="E86" i="3"/>
  <c r="E335" i="3"/>
  <c r="E90" i="3"/>
  <c r="E91" i="3" s="1"/>
  <c r="E97" i="3"/>
  <c r="F86" i="14" s="1"/>
  <c r="E85" i="3"/>
  <c r="E343" i="3"/>
  <c r="E329" i="3"/>
  <c r="G75" i="3"/>
  <c r="G247" i="4" s="1"/>
  <c r="G78" i="14"/>
  <c r="F338" i="3"/>
  <c r="F247" i="4"/>
  <c r="F84" i="3"/>
  <c r="G73" i="3"/>
  <c r="G370" i="3"/>
  <c r="G72" i="3"/>
  <c r="H75" i="3"/>
  <c r="I78" i="14" s="1"/>
  <c r="H370" i="3"/>
  <c r="H72" i="3"/>
  <c r="H73" i="3"/>
  <c r="I59" i="3"/>
  <c r="J73" i="14" s="1"/>
  <c r="J115" i="3"/>
  <c r="J152" i="14"/>
  <c r="J148" i="14"/>
  <c r="G229" i="3"/>
  <c r="G152" i="3"/>
  <c r="G167" i="3"/>
  <c r="G350" i="3"/>
  <c r="G339" i="3"/>
  <c r="G196" i="3"/>
  <c r="G214" i="3"/>
  <c r="G344" i="3"/>
  <c r="G168" i="3"/>
  <c r="G330" i="3"/>
  <c r="G368" i="3"/>
  <c r="G334" i="3"/>
  <c r="I139" i="3"/>
  <c r="I365" i="3"/>
  <c r="G140" i="3"/>
  <c r="H364" i="3"/>
  <c r="H166" i="3"/>
  <c r="H149" i="3" s="1"/>
  <c r="H141" i="3"/>
  <c r="F90" i="3" l="1"/>
  <c r="G84" i="14" s="1"/>
  <c r="F13" i="19"/>
  <c r="E246" i="4"/>
  <c r="E29" i="19"/>
  <c r="E153" i="4"/>
  <c r="E158" i="4" s="1"/>
  <c r="E161" i="4" s="1"/>
  <c r="E92" i="3"/>
  <c r="F84" i="14"/>
  <c r="E252" i="3"/>
  <c r="E258" i="3" s="1"/>
  <c r="E248" i="3" s="1"/>
  <c r="E266" i="3" s="1"/>
  <c r="E268" i="3" s="1"/>
  <c r="E72" i="4" s="1"/>
  <c r="E99" i="3"/>
  <c r="E97" i="4"/>
  <c r="E98" i="3"/>
  <c r="G84" i="3"/>
  <c r="H82" i="14" s="1"/>
  <c r="G338" i="3"/>
  <c r="G340" i="3"/>
  <c r="H78" i="14"/>
  <c r="F329" i="3"/>
  <c r="H84" i="3"/>
  <c r="I82" i="14" s="1"/>
  <c r="F85" i="3"/>
  <c r="F97" i="3"/>
  <c r="F98" i="3" s="1"/>
  <c r="F86" i="3"/>
  <c r="G82" i="14"/>
  <c r="H247" i="4"/>
  <c r="F333" i="3"/>
  <c r="F335" i="3"/>
  <c r="F343" i="3"/>
  <c r="F349" i="3"/>
  <c r="F280" i="3"/>
  <c r="F297" i="3" s="1"/>
  <c r="F46" i="19" s="1"/>
  <c r="H338" i="3"/>
  <c r="J59" i="3"/>
  <c r="I71" i="3"/>
  <c r="J77" i="14" s="1"/>
  <c r="H229" i="3"/>
  <c r="K152" i="14"/>
  <c r="K148" i="14"/>
  <c r="E70" i="4"/>
  <c r="F91" i="3"/>
  <c r="F252" i="3"/>
  <c r="F92" i="3"/>
  <c r="H340" i="3"/>
  <c r="H152" i="3"/>
  <c r="H140" i="3"/>
  <c r="H350" i="3"/>
  <c r="H344" i="3"/>
  <c r="H168" i="3"/>
  <c r="H368" i="3"/>
  <c r="H167" i="3"/>
  <c r="H330" i="3"/>
  <c r="H339" i="3"/>
  <c r="H214" i="3"/>
  <c r="H196" i="3"/>
  <c r="H334" i="3"/>
  <c r="J365" i="3"/>
  <c r="J139" i="3"/>
  <c r="K47" i="21" s="1"/>
  <c r="I141" i="3"/>
  <c r="I364" i="3"/>
  <c r="I166" i="3"/>
  <c r="I149" i="3" s="1"/>
  <c r="J71" i="3" l="1"/>
  <c r="K25" i="21" s="1"/>
  <c r="K21" i="21"/>
  <c r="F97" i="4"/>
  <c r="F29" i="19"/>
  <c r="E73" i="4"/>
  <c r="E76" i="4" s="1"/>
  <c r="E210" i="4"/>
  <c r="E214" i="4" s="1"/>
  <c r="E215" i="4" s="1"/>
  <c r="E217" i="4" s="1"/>
  <c r="E220" i="4" s="1"/>
  <c r="G343" i="3"/>
  <c r="E225" i="3"/>
  <c r="E234" i="3" s="1"/>
  <c r="E346" i="3" s="1"/>
  <c r="G335" i="3"/>
  <c r="G333" i="3"/>
  <c r="G90" i="3"/>
  <c r="G92" i="3" s="1"/>
  <c r="G97" i="3"/>
  <c r="H86" i="14" s="1"/>
  <c r="G280" i="3"/>
  <c r="G297" i="3" s="1"/>
  <c r="G246" i="4" s="1"/>
  <c r="G85" i="3"/>
  <c r="G86" i="3"/>
  <c r="G329" i="3"/>
  <c r="G349" i="3"/>
  <c r="G86" i="14"/>
  <c r="F153" i="4"/>
  <c r="F210" i="4" s="1"/>
  <c r="H335" i="3"/>
  <c r="H85" i="3"/>
  <c r="H343" i="3"/>
  <c r="H90" i="3"/>
  <c r="I84" i="14" s="1"/>
  <c r="H97" i="3"/>
  <c r="I86" i="14" s="1"/>
  <c r="H349" i="3"/>
  <c r="H329" i="3"/>
  <c r="H333" i="3"/>
  <c r="F99" i="3"/>
  <c r="H280" i="3"/>
  <c r="H297" i="3" s="1"/>
  <c r="H246" i="4" s="1"/>
  <c r="H86" i="3"/>
  <c r="I370" i="3"/>
  <c r="F246" i="4"/>
  <c r="I75" i="3"/>
  <c r="I247" i="4" s="1"/>
  <c r="I72" i="3"/>
  <c r="I73" i="3"/>
  <c r="I229" i="3"/>
  <c r="L152" i="14"/>
  <c r="L148" i="14"/>
  <c r="I140" i="3"/>
  <c r="I152" i="3"/>
  <c r="I168" i="3"/>
  <c r="I330" i="3"/>
  <c r="I334" i="3"/>
  <c r="I344" i="3"/>
  <c r="I368" i="3"/>
  <c r="I167" i="3"/>
  <c r="I196" i="3"/>
  <c r="I339" i="3"/>
  <c r="I214" i="3"/>
  <c r="I350" i="3"/>
  <c r="J141" i="3"/>
  <c r="J364" i="3"/>
  <c r="J166" i="3"/>
  <c r="K56" i="21" s="1"/>
  <c r="J73" i="3" l="1"/>
  <c r="J370" i="3"/>
  <c r="J75" i="3"/>
  <c r="J340" i="3" s="1"/>
  <c r="J72" i="3"/>
  <c r="Q213" i="14"/>
  <c r="M152" i="14"/>
  <c r="M148" i="14"/>
  <c r="H84" i="14"/>
  <c r="G252" i="3"/>
  <c r="J229" i="3"/>
  <c r="J149" i="3"/>
  <c r="E226" i="3"/>
  <c r="G91" i="3"/>
  <c r="E312" i="3"/>
  <c r="E314" i="3" s="1"/>
  <c r="E315" i="3" s="1"/>
  <c r="G97" i="4"/>
  <c r="G98" i="3"/>
  <c r="G99" i="3"/>
  <c r="G153" i="4"/>
  <c r="G210" i="4" s="1"/>
  <c r="H252" i="3"/>
  <c r="H92" i="3"/>
  <c r="H98" i="3"/>
  <c r="H91" i="3"/>
  <c r="H99" i="3"/>
  <c r="H97" i="4"/>
  <c r="H153" i="4"/>
  <c r="H210" i="4" s="1"/>
  <c r="I340" i="3"/>
  <c r="I84" i="3"/>
  <c r="J78" i="14"/>
  <c r="I338" i="3"/>
  <c r="E351" i="3"/>
  <c r="E345" i="3"/>
  <c r="E240" i="3"/>
  <c r="E235" i="3"/>
  <c r="F155" i="4"/>
  <c r="F212" i="4" s="1"/>
  <c r="E369" i="3"/>
  <c r="E352" i="3"/>
  <c r="E236" i="3"/>
  <c r="J152" i="3"/>
  <c r="J344" i="3"/>
  <c r="J214" i="3"/>
  <c r="J350" i="3"/>
  <c r="J196" i="3"/>
  <c r="J168" i="3"/>
  <c r="J330" i="3"/>
  <c r="J167" i="3"/>
  <c r="J368" i="3"/>
  <c r="J334" i="3"/>
  <c r="J339" i="3"/>
  <c r="J140" i="3"/>
  <c r="J84" i="3" l="1"/>
  <c r="J97" i="3" s="1"/>
  <c r="K33" i="21" s="1"/>
  <c r="K26" i="21"/>
  <c r="J338" i="3"/>
  <c r="J247" i="4"/>
  <c r="D134" i="14"/>
  <c r="E27" i="19"/>
  <c r="E19" i="19"/>
  <c r="E319" i="3"/>
  <c r="E317" i="3"/>
  <c r="E30" i="19" s="1"/>
  <c r="E249" i="4"/>
  <c r="E250" i="4" s="1"/>
  <c r="E253" i="4" s="1"/>
  <c r="E256" i="4" s="1"/>
  <c r="E98" i="4"/>
  <c r="E103" i="4" s="1"/>
  <c r="E106" i="4" s="1"/>
  <c r="E241" i="3"/>
  <c r="H153" i="14"/>
  <c r="J82" i="14"/>
  <c r="I90" i="3"/>
  <c r="J84" i="14" s="1"/>
  <c r="I280" i="3"/>
  <c r="I297" i="3" s="1"/>
  <c r="I97" i="4" s="1"/>
  <c r="I343" i="3"/>
  <c r="I85" i="3"/>
  <c r="I335" i="3"/>
  <c r="I86" i="3"/>
  <c r="I329" i="3"/>
  <c r="I333" i="3"/>
  <c r="I97" i="3"/>
  <c r="J86" i="14" s="1"/>
  <c r="I349" i="3"/>
  <c r="F157" i="4"/>
  <c r="F158" i="4" s="1"/>
  <c r="F161" i="4" s="1"/>
  <c r="E242" i="3"/>
  <c r="H149" i="14"/>
  <c r="E243" i="3"/>
  <c r="E245" i="3" s="1"/>
  <c r="F216" i="4"/>
  <c r="F214" i="4"/>
  <c r="F215" i="4" s="1"/>
  <c r="J86" i="3" l="1"/>
  <c r="J335" i="3"/>
  <c r="J85" i="3"/>
  <c r="J349" i="3"/>
  <c r="J90" i="3"/>
  <c r="J91" i="3" s="1"/>
  <c r="J329" i="3"/>
  <c r="J280" i="3"/>
  <c r="J333" i="3"/>
  <c r="J343" i="3"/>
  <c r="K29" i="21"/>
  <c r="D137" i="14"/>
  <c r="F316" i="3"/>
  <c r="I91" i="3"/>
  <c r="I252" i="3"/>
  <c r="J252" i="3" s="1"/>
  <c r="J258" i="3" s="1"/>
  <c r="J70" i="4" s="1"/>
  <c r="I92" i="3"/>
  <c r="I99" i="3"/>
  <c r="I153" i="4"/>
  <c r="I210" i="4" s="1"/>
  <c r="J99" i="3"/>
  <c r="I246" i="4"/>
  <c r="I98" i="3"/>
  <c r="J98" i="3"/>
  <c r="J153" i="4"/>
  <c r="J210" i="4" s="1"/>
  <c r="E246" i="3"/>
  <c r="E244" i="3"/>
  <c r="F217" i="4"/>
  <c r="F220" i="4" s="1"/>
  <c r="H258" i="3"/>
  <c r="H70" i="4" s="1"/>
  <c r="G258" i="3"/>
  <c r="G70" i="4" s="1"/>
  <c r="F258" i="3"/>
  <c r="F248" i="3" s="1"/>
  <c r="F266" i="3" s="1"/>
  <c r="F268" i="3" s="1"/>
  <c r="F72" i="4" s="1"/>
  <c r="J297" i="3" l="1"/>
  <c r="J97" i="4" s="1"/>
  <c r="J89" i="21"/>
  <c r="J92" i="3"/>
  <c r="K31" i="21"/>
  <c r="I258" i="3"/>
  <c r="I70" i="4" s="1"/>
  <c r="F225" i="3"/>
  <c r="F70" i="4"/>
  <c r="F73" i="4" s="1"/>
  <c r="F76" i="4" s="1"/>
  <c r="J246" i="4" l="1"/>
  <c r="J106" i="21"/>
  <c r="F312" i="3"/>
  <c r="F314" i="3" s="1"/>
  <c r="F315" i="3" s="1"/>
  <c r="F317" i="3" s="1"/>
  <c r="F30" i="19" s="1"/>
  <c r="F234" i="3"/>
  <c r="F226" i="3"/>
  <c r="G248" i="3"/>
  <c r="G266" i="3" s="1"/>
  <c r="G268" i="3" s="1"/>
  <c r="G72" i="4" s="1"/>
  <c r="G73" i="4" s="1"/>
  <c r="G76" i="4" s="1"/>
  <c r="G316" i="3" l="1"/>
  <c r="E137" i="14"/>
  <c r="F352" i="3"/>
  <c r="F240" i="3"/>
  <c r="F235" i="3"/>
  <c r="F369" i="3"/>
  <c r="F346" i="3"/>
  <c r="F351" i="3"/>
  <c r="F345" i="3"/>
  <c r="F236" i="3"/>
  <c r="G155" i="4"/>
  <c r="G225" i="3"/>
  <c r="F98" i="4"/>
  <c r="F103" i="4" s="1"/>
  <c r="F106" i="4" s="1"/>
  <c r="F249" i="4"/>
  <c r="F250" i="4" s="1"/>
  <c r="F253" i="4" s="1"/>
  <c r="F256" i="4" s="1"/>
  <c r="F319" i="3"/>
  <c r="F27" i="19" l="1"/>
  <c r="F19" i="19"/>
  <c r="I153" i="14"/>
  <c r="E134" i="14"/>
  <c r="I149" i="14"/>
  <c r="H248" i="3"/>
  <c r="H266" i="3" s="1"/>
  <c r="H268" i="3" s="1"/>
  <c r="H72" i="4" s="1"/>
  <c r="H73" i="4" s="1"/>
  <c r="H76" i="4" s="1"/>
  <c r="G226" i="3"/>
  <c r="G312" i="3"/>
  <c r="G314" i="3" s="1"/>
  <c r="G315" i="3" s="1"/>
  <c r="G317" i="3" s="1"/>
  <c r="H316" i="3" s="1"/>
  <c r="G234" i="3"/>
  <c r="F242" i="3"/>
  <c r="F241" i="3"/>
  <c r="F243" i="3"/>
  <c r="G212" i="4"/>
  <c r="G157" i="4"/>
  <c r="G158" i="4" s="1"/>
  <c r="G161" i="4" s="1"/>
  <c r="H155" i="4" l="1"/>
  <c r="G351" i="3"/>
  <c r="G346" i="3"/>
  <c r="G235" i="3"/>
  <c r="G345" i="3"/>
  <c r="G369" i="3"/>
  <c r="G236" i="3"/>
  <c r="G352" i="3"/>
  <c r="G240" i="3"/>
  <c r="J153" i="14" s="1"/>
  <c r="G319" i="3"/>
  <c r="G98" i="4"/>
  <c r="G103" i="4" s="1"/>
  <c r="G106" i="4" s="1"/>
  <c r="G249" i="4"/>
  <c r="G250" i="4" s="1"/>
  <c r="G253" i="4" s="1"/>
  <c r="G256" i="4" s="1"/>
  <c r="H225" i="3"/>
  <c r="G214" i="4"/>
  <c r="G215" i="4" s="1"/>
  <c r="G216" i="4"/>
  <c r="F246" i="3"/>
  <c r="F245" i="3"/>
  <c r="F244" i="3"/>
  <c r="J149" i="14" l="1"/>
  <c r="G217" i="4"/>
  <c r="G220" i="4" s="1"/>
  <c r="G243" i="3"/>
  <c r="G241" i="3"/>
  <c r="G242" i="3"/>
  <c r="H212" i="4"/>
  <c r="H157" i="4"/>
  <c r="H158" i="4" s="1"/>
  <c r="H161" i="4" s="1"/>
  <c r="I248" i="3"/>
  <c r="I266" i="3" s="1"/>
  <c r="I268" i="3" s="1"/>
  <c r="I72" i="4" s="1"/>
  <c r="I73" i="4" s="1"/>
  <c r="I76" i="4" s="1"/>
  <c r="H312" i="3"/>
  <c r="H314" i="3" s="1"/>
  <c r="H315" i="3" s="1"/>
  <c r="H317" i="3" s="1"/>
  <c r="I316" i="3" s="1"/>
  <c r="H226" i="3"/>
  <c r="H234" i="3"/>
  <c r="I225" i="3" l="1"/>
  <c r="I234" i="3" s="1"/>
  <c r="H216" i="4"/>
  <c r="H214" i="4"/>
  <c r="H215" i="4" s="1"/>
  <c r="H235" i="3"/>
  <c r="H369" i="3"/>
  <c r="H346" i="3"/>
  <c r="H240" i="3"/>
  <c r="H352" i="3"/>
  <c r="H351" i="3"/>
  <c r="I155" i="4"/>
  <c r="H345" i="3"/>
  <c r="H236" i="3"/>
  <c r="G245" i="3"/>
  <c r="G244" i="3"/>
  <c r="G246" i="3"/>
  <c r="H319" i="3"/>
  <c r="H98" i="4"/>
  <c r="H103" i="4" s="1"/>
  <c r="H106" i="4" s="1"/>
  <c r="H249" i="4"/>
  <c r="H250" i="4" s="1"/>
  <c r="H253" i="4" s="1"/>
  <c r="H256" i="4" s="1"/>
  <c r="H243" i="3" l="1"/>
  <c r="K153" i="14"/>
  <c r="K149" i="14"/>
  <c r="H217" i="4"/>
  <c r="H220" i="4" s="1"/>
  <c r="H242" i="3"/>
  <c r="H241" i="3"/>
  <c r="I212" i="4"/>
  <c r="I157" i="4"/>
  <c r="I158" i="4" s="1"/>
  <c r="I161" i="4" s="1"/>
  <c r="I226" i="3"/>
  <c r="I312" i="3"/>
  <c r="I314" i="3" s="1"/>
  <c r="I315" i="3" s="1"/>
  <c r="I317" i="3" s="1"/>
  <c r="J316" i="3" s="1"/>
  <c r="J248" i="3"/>
  <c r="J266" i="3" s="1"/>
  <c r="J268" i="3" s="1"/>
  <c r="J72" i="4" s="1"/>
  <c r="J73" i="4" s="1"/>
  <c r="J76" i="4" s="1"/>
  <c r="E77" i="4" s="1"/>
  <c r="J225" i="3" l="1"/>
  <c r="E78" i="4"/>
  <c r="E79" i="4" s="1"/>
  <c r="E81" i="4" s="1"/>
  <c r="E83" i="4" s="1"/>
  <c r="I214" i="4"/>
  <c r="I215" i="4" s="1"/>
  <c r="I216" i="4"/>
  <c r="I369" i="3"/>
  <c r="I240" i="3"/>
  <c r="L153" i="14" s="1"/>
  <c r="I352" i="3"/>
  <c r="I346" i="3"/>
  <c r="I351" i="3"/>
  <c r="I345" i="3"/>
  <c r="J155" i="4"/>
  <c r="I236" i="3"/>
  <c r="I235" i="3"/>
  <c r="H245" i="3"/>
  <c r="H244" i="3"/>
  <c r="H246" i="3"/>
  <c r="I249" i="4"/>
  <c r="I250" i="4" s="1"/>
  <c r="I253" i="4" s="1"/>
  <c r="I256" i="4" s="1"/>
  <c r="I319" i="3"/>
  <c r="I98" i="4"/>
  <c r="I103" i="4" s="1"/>
  <c r="I106" i="4" s="1"/>
  <c r="J234" i="3" l="1"/>
  <c r="K79" i="21" s="1"/>
  <c r="K76" i="21"/>
  <c r="J312" i="3"/>
  <c r="J226" i="3"/>
  <c r="L149" i="14"/>
  <c r="J157" i="4"/>
  <c r="J158" i="4" s="1"/>
  <c r="J212" i="4"/>
  <c r="E86" i="4"/>
  <c r="F9" i="4"/>
  <c r="I217" i="4"/>
  <c r="I220" i="4" s="1"/>
  <c r="I243" i="3"/>
  <c r="I241" i="3"/>
  <c r="I242" i="3"/>
  <c r="J314" i="3" l="1"/>
  <c r="J121" i="21"/>
  <c r="J240" i="3"/>
  <c r="K81" i="21" s="1"/>
  <c r="J352" i="3"/>
  <c r="J236" i="3"/>
  <c r="J351" i="3"/>
  <c r="J346" i="3"/>
  <c r="J345" i="3"/>
  <c r="J235" i="3"/>
  <c r="J369" i="3"/>
  <c r="E163" i="4"/>
  <c r="J161" i="4"/>
  <c r="E162" i="4" s="1"/>
  <c r="I245" i="3"/>
  <c r="I246" i="3"/>
  <c r="I244" i="3"/>
  <c r="J216" i="4"/>
  <c r="J214" i="4"/>
  <c r="J215" i="4" s="1"/>
  <c r="J315" i="3" l="1"/>
  <c r="J123" i="21"/>
  <c r="J243" i="3"/>
  <c r="K82" i="21" s="1"/>
  <c r="M149" i="14"/>
  <c r="J242" i="3"/>
  <c r="M153" i="14"/>
  <c r="J241" i="3"/>
  <c r="E164" i="4"/>
  <c r="E166" i="4" s="1"/>
  <c r="E168" i="4" s="1"/>
  <c r="E170" i="4" s="1"/>
  <c r="B184" i="4" s="1"/>
  <c r="D13" i="19"/>
  <c r="J217" i="4"/>
  <c r="J124" i="21" l="1"/>
  <c r="J317" i="3"/>
  <c r="J126" i="21" s="1"/>
  <c r="J319" i="3"/>
  <c r="J249" i="4"/>
  <c r="J250" i="4" s="1"/>
  <c r="J253" i="4" s="1"/>
  <c r="J98" i="4"/>
  <c r="J103" i="4" s="1"/>
  <c r="J245" i="3"/>
  <c r="J244" i="3"/>
  <c r="J246" i="3"/>
  <c r="E222" i="4"/>
  <c r="J220" i="4"/>
  <c r="E221" i="4" s="1"/>
  <c r="F11" i="4"/>
  <c r="N20" i="4" s="1"/>
  <c r="E14" i="19" s="1"/>
  <c r="E173" i="4"/>
  <c r="E108" i="4" l="1"/>
  <c r="J106" i="4"/>
  <c r="E107" i="4" s="1"/>
  <c r="J256" i="4"/>
  <c r="E257" i="4" s="1"/>
  <c r="E258" i="4"/>
  <c r="E223" i="4"/>
  <c r="E225" i="4" s="1"/>
  <c r="E227" i="4" s="1"/>
  <c r="E229" i="4" s="1"/>
  <c r="E231" i="4" s="1"/>
  <c r="E234" i="4" s="1"/>
  <c r="E109" i="4" l="1"/>
  <c r="E111" i="4" s="1"/>
  <c r="E113" i="4" s="1"/>
  <c r="E259" i="4"/>
  <c r="E263" i="4" s="1"/>
  <c r="E265" i="4" s="1"/>
  <c r="E267" i="4" s="1"/>
  <c r="F12" i="4"/>
  <c r="E116" i="4" l="1"/>
  <c r="B127" i="4"/>
  <c r="F10" i="4"/>
  <c r="O20" i="4" s="1"/>
  <c r="F14" i="19" s="1"/>
  <c r="F13" i="4"/>
  <c r="E27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Leonard</author>
  </authors>
  <commentList>
    <comment ref="A359" authorId="0" shapeId="0" xr:uid="{00000000-0006-0000-0200-000001000000}">
      <text>
        <r>
          <rPr>
            <sz val="8"/>
            <color indexed="81"/>
            <rFont val="Tahoma"/>
            <family val="2"/>
          </rPr>
          <t xml:space="preserve">Accounts Receivable Turnover
</t>
        </r>
      </text>
    </comment>
    <comment ref="A360" authorId="0" shapeId="0" xr:uid="{00000000-0006-0000-0200-000002000000}">
      <text>
        <r>
          <rPr>
            <sz val="8"/>
            <color indexed="81"/>
            <rFont val="Tahoma"/>
            <family val="2"/>
          </rPr>
          <t>Inventory Turnover</t>
        </r>
      </text>
    </comment>
    <comment ref="A361" authorId="0" shapeId="0" xr:uid="{00000000-0006-0000-0200-000003000000}">
      <text>
        <r>
          <rPr>
            <sz val="8"/>
            <color indexed="81"/>
            <rFont val="Tahoma"/>
            <family val="2"/>
          </rPr>
          <t>Fixed Asset Turnover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Torben Sommer</author>
    <author>SKEMA</author>
  </authors>
  <commentList>
    <comment ref="A6" authorId="0" shapeId="0" xr:uid="{67680747-45C3-4DBF-AE0A-E76E6E36128E}">
      <text>
        <r>
          <rPr>
            <b/>
            <sz val="9"/>
            <color indexed="81"/>
            <rFont val="Tahoma"/>
            <family val="2"/>
          </rPr>
          <t>Torben Sommer:</t>
        </r>
        <r>
          <rPr>
            <sz val="9"/>
            <color indexed="81"/>
            <rFont val="Tahoma"/>
            <family val="2"/>
          </rPr>
          <t xml:space="preserve">
measure if the shares are illiquid as this will indicate a 30% discount to intrinsic value</t>
        </r>
      </text>
    </comment>
    <comment ref="A13" authorId="1" shapeId="0" xr:uid="{B709363B-D890-4BCF-9693-45D97BBA42FF}">
      <text>
        <r>
          <rPr>
            <b/>
            <sz val="9"/>
            <color indexed="81"/>
            <rFont val="Tahoma"/>
            <family val="2"/>
          </rPr>
          <t>SKEMA:</t>
        </r>
        <r>
          <rPr>
            <sz val="9"/>
            <color indexed="81"/>
            <rFont val="Tahoma"/>
            <family val="2"/>
          </rPr>
          <t xml:space="preserve">
PEG = PE DIVIDED BY EARNINGS GROWTH (NET PROFIT)
PEG RATIO BELOW 1 IS BUY SIGNAL
MOST COMPANIES WILL TRADE ABOVE 1</t>
        </r>
      </text>
    </comment>
    <comment ref="A15" authorId="1" shapeId="0" xr:uid="{8C138A1E-7CC4-465F-A261-0826E0462868}">
      <text>
        <r>
          <rPr>
            <b/>
            <sz val="9"/>
            <color indexed="81"/>
            <rFont val="Tahoma"/>
            <family val="2"/>
          </rPr>
          <t>SKEMA:</t>
        </r>
        <r>
          <rPr>
            <sz val="9"/>
            <color indexed="81"/>
            <rFont val="Tahoma"/>
            <family val="2"/>
          </rPr>
          <t xml:space="preserve">
dividend yield:
dividend per share / share price X100%</t>
        </r>
      </text>
    </comment>
    <comment ref="A22" authorId="0" shapeId="0" xr:uid="{94144518-AA17-4974-91AE-E822A16FE9C2}">
      <text>
        <r>
          <rPr>
            <b/>
            <sz val="9"/>
            <color indexed="81"/>
            <rFont val="Tahoma"/>
            <family val="2"/>
          </rPr>
          <t>Torben Sommer:</t>
        </r>
        <r>
          <rPr>
            <sz val="9"/>
            <color indexed="81"/>
            <rFont val="Tahoma"/>
            <family val="2"/>
          </rPr>
          <t xml:space="preserve">
check if margins are thin or fat competitive situation</t>
        </r>
      </text>
    </comment>
    <comment ref="A23" authorId="0" shapeId="0" xr:uid="{B44AC291-1596-4FD2-976F-24E9DA0ACF8F}">
      <text>
        <r>
          <rPr>
            <b/>
            <sz val="9"/>
            <color indexed="81"/>
            <rFont val="Tahoma"/>
            <family val="2"/>
          </rPr>
          <t>Torben Sommer:</t>
        </r>
        <r>
          <rPr>
            <sz val="9"/>
            <color indexed="81"/>
            <rFont val="Tahoma"/>
            <family val="2"/>
          </rPr>
          <t xml:space="preserve">
Free Cash Flow/EV in %
OPERATION PROFIT+DEP+AMOR-CAPEX</t>
        </r>
      </text>
    </comment>
    <comment ref="A27" authorId="0" shapeId="0" xr:uid="{5702BCEF-9366-4713-B6E1-F8263518DA4B}">
      <text>
        <r>
          <rPr>
            <b/>
            <sz val="9"/>
            <color indexed="81"/>
            <rFont val="Tahoma"/>
            <family val="2"/>
          </rPr>
          <t>Torben Sommer:</t>
        </r>
        <r>
          <rPr>
            <sz val="9"/>
            <color indexed="81"/>
            <rFont val="Tahoma"/>
            <family val="2"/>
          </rPr>
          <t xml:space="preserve">
GEARING RATIO
0-50% VERY STRONG BS
50-75% OK BS
75%-100% = 1 red flag
&gt;100% HELP!! Sell the stock
or gearing calculation:
NetDebt/total share capital</t>
        </r>
      </text>
    </comment>
    <comment ref="A41" authorId="0" shapeId="0" xr:uid="{BFEDB92C-8644-4F38-AE2A-70159E2E78BF}">
      <text>
        <r>
          <rPr>
            <b/>
            <sz val="9"/>
            <color indexed="81"/>
            <rFont val="Tahoma"/>
            <family val="2"/>
          </rPr>
          <t>Torben Sommer:</t>
        </r>
        <r>
          <rPr>
            <sz val="9"/>
            <color indexed="81"/>
            <rFont val="Tahoma"/>
            <family val="2"/>
          </rPr>
          <t xml:space="preserve">
days of sales held in Cash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Torben Sommer</author>
  </authors>
  <commentList>
    <comment ref="B134" authorId="0" shapeId="0" xr:uid="{FA5273E0-1030-4F01-A9C9-D60B176E1B29}">
      <text>
        <r>
          <rPr>
            <b/>
            <sz val="9"/>
            <color rgb="FF000000"/>
            <rFont val="Tahoma"/>
            <family val="2"/>
          </rPr>
          <t>Torben Sommer:</t>
        </r>
        <r>
          <rPr>
            <sz val="9"/>
            <color rgb="FF000000"/>
            <rFont val="Tahoma"/>
            <family val="2"/>
          </rPr>
          <t xml:space="preserve">
</t>
        </r>
        <r>
          <rPr>
            <sz val="9"/>
            <color rgb="FF000000"/>
            <rFont val="Tahoma"/>
            <family val="2"/>
          </rPr>
          <t xml:space="preserve">GEARING RATIO
</t>
        </r>
        <r>
          <rPr>
            <sz val="9"/>
            <color rgb="FF000000"/>
            <rFont val="Tahoma"/>
            <family val="2"/>
          </rPr>
          <t xml:space="preserve">0-50% VERY STRONG BS
</t>
        </r>
        <r>
          <rPr>
            <sz val="9"/>
            <color rgb="FF000000"/>
            <rFont val="Tahoma"/>
            <family val="2"/>
          </rPr>
          <t xml:space="preserve">50-75% OK BS
</t>
        </r>
        <r>
          <rPr>
            <sz val="9"/>
            <color rgb="FF000000"/>
            <rFont val="Tahoma"/>
            <family val="2"/>
          </rPr>
          <t xml:space="preserve">75%-100% = 1 red flag
</t>
        </r>
        <r>
          <rPr>
            <sz val="9"/>
            <color rgb="FF000000"/>
            <rFont val="Tahoma"/>
            <family val="2"/>
          </rPr>
          <t xml:space="preserve">&gt;100% HELP!! Sell the stock
</t>
        </r>
        <r>
          <rPr>
            <sz val="9"/>
            <color rgb="FF000000"/>
            <rFont val="Tahoma"/>
            <family val="2"/>
          </rPr>
          <t xml:space="preserve">or gearing calculation:
</t>
        </r>
        <r>
          <rPr>
            <sz val="9"/>
            <color rgb="FF000000"/>
            <rFont val="Tahoma"/>
            <family val="2"/>
          </rPr>
          <t>NetDebt/total share capital</t>
        </r>
      </text>
    </comment>
  </commentList>
</comments>
</file>

<file path=xl/sharedStrings.xml><?xml version="1.0" encoding="utf-8"?>
<sst xmlns="http://schemas.openxmlformats.org/spreadsheetml/2006/main" count="2117" uniqueCount="1307">
  <si>
    <t xml:space="preserve">For long-run forecast amounts, the FSAP user needs to enter a long-run growth rate assumption. FSAP will automatically use that growth rate to compute forecast amounts for all of the accounts for Year +6 and beyond.  The FSAP user should not alter the specific forecast computations for any of the accounts for Year +6 and beyond. The FSAP user must be sure to enter the same long run growth rate assumption as a valuation parameter in the Valuation spreadsheet. </t>
  </si>
  <si>
    <t xml:space="preserve">This worksheet allows the FSAP user to build forecasts of future income statements, balance sheets, and statements of cash flows. FSAP automatically enters data from the DATA spreadsheet for the most recent three years in columns B, C, and D.  This worksheet allows the user flexibility to compute forecast amounts for each income statement and balance sheet account. For each account, the user should enter the forecast computations in the first row (highlighted in green with bold blue font). In the second row for each account, the user can enter forecast assumption parameters (such as growth rates or percentages) to be used in the forecast computations. In the third row for each account, the user can enter a brief explanatory note to explain the forecast assumptions.  The FSAP user can also develop more detailed computations of forecast amounts in the Forecast Development worksheet, and incorporate those forecast amounts by referencing them here in the Forecasts worksheet. </t>
  </si>
  <si>
    <t xml:space="preserve">Income Statement Default Assumptions: </t>
  </si>
  <si>
    <t>The FSAP Forecasts worksheet defaults to assume that each income statement line item will remain the same percent of total revenues as in the most current year.  The FSAP user must either accept this default as a reasonable expectation or override it and enter more reasonable forecast assumptions.</t>
  </si>
  <si>
    <t xml:space="preserve">Balance Sheet Default Assumptions: </t>
  </si>
  <si>
    <t xml:space="preserve">The FSAP Forecasts worksheet defaults to assume that each balance sheet item (except retained earnngs) will remain the same percent of total assets as in the most current year.  The FSAP user must either accept this default as a reasonable expectation or override it and enter more reasonable forecast assumptions.  </t>
  </si>
  <si>
    <t>Implied Statements of Cash Flows:</t>
  </si>
  <si>
    <t>Forecast Validity Checks:</t>
  </si>
  <si>
    <t xml:space="preserve">FSAP computes these ratios using the forecast amounts above. The FSAP user can evaluate these ratios to assess whether forecast assumptions are reasonable or not. </t>
  </si>
  <si>
    <t xml:space="preserve">  - build forecasts of capital expenditures, property, plant and equipment, depreciation expense, and accumulated depreciation.</t>
  </si>
  <si>
    <t>Forecast Development:</t>
  </si>
  <si>
    <t xml:space="preserve">Check Figure: </t>
  </si>
  <si>
    <t>Net change in cash - Change in cash balance</t>
  </si>
  <si>
    <t>FORECAST VALIDITY CHECK DATA:</t>
  </si>
  <si>
    <t>Net Income Growth Rates:</t>
  </si>
  <si>
    <t>Total Asset Growth Rates</t>
  </si>
  <si>
    <t>Total Liabilities / Total Equity</t>
  </si>
  <si>
    <t>Revenues</t>
  </si>
  <si>
    <t>Year</t>
  </si>
  <si>
    <t>COMMON SIZE BALANCE SHEET - AS A PERCENT OF TOTAL ASSETS</t>
  </si>
  <si>
    <t>INCOME STATEMENT ITEMS: GROWTH RATES</t>
  </si>
  <si>
    <t>BALANCE SHEET ITEMS: GROWTH RATES</t>
  </si>
  <si>
    <t>Explain assumptions</t>
  </si>
  <si>
    <t>Year +6 and beyond:</t>
  </si>
  <si>
    <t>Long-Run Growth Rate:</t>
  </si>
  <si>
    <t>Common Size Percentage</t>
  </si>
  <si>
    <t>Rate of Change Percentage</t>
  </si>
  <si>
    <t>FINANCIAL STATEMENT FORECASTS</t>
  </si>
  <si>
    <t>Revenue Growth Rates:</t>
  </si>
  <si>
    <t>Gross Profit / Revenues</t>
  </si>
  <si>
    <t>Revenues / Avg. Accounts Receivable</t>
  </si>
  <si>
    <t>Revenues / Average Fixed Assets</t>
  </si>
  <si>
    <t>Revenues / Average Net Fixed Assets</t>
  </si>
  <si>
    <t>INCOME STATEMENT ITEMS AS A PERCENT OF REVENUES:</t>
  </si>
  <si>
    <t>Effects of exchange rate changes on cash</t>
  </si>
  <si>
    <t>Stock Returns</t>
  </si>
  <si>
    <t>In the computations below, a #DIV/0! message indicates that a ratio denominator is zero.</t>
  </si>
  <si>
    <t>Total dividend forecast amounts.</t>
  </si>
  <si>
    <t>Dividends forecasts:</t>
  </si>
  <si>
    <t>Initial adjustment needed to balance the balance sheet:</t>
  </si>
  <si>
    <t xml:space="preserve"> </t>
  </si>
  <si>
    <t>VALUATION PARAMETER ASSUMPTIONS</t>
  </si>
  <si>
    <t>COST OF EQUITY CAPITAL:</t>
  </si>
  <si>
    <t>Debt capital</t>
  </si>
  <si>
    <t>Market risk premium</t>
  </si>
  <si>
    <t>Effective tax rate</t>
  </si>
  <si>
    <t>Required rate of return on common equity:</t>
  </si>
  <si>
    <t>COST OF PREFERRED STOCK</t>
  </si>
  <si>
    <t>Current share price</t>
  </si>
  <si>
    <t>WEIGHTED AVERAGE COST OF CAPITAL</t>
  </si>
  <si>
    <t>Weight of equity in capital structure</t>
  </si>
  <si>
    <t>Weight of debt in capital structure</t>
  </si>
  <si>
    <t>Weight of preferred in capital structure</t>
  </si>
  <si>
    <t>Weighted average cost of capital</t>
  </si>
  <si>
    <t>Continuing</t>
  </si>
  <si>
    <t>Value</t>
  </si>
  <si>
    <t>Net Cash Flow from Operations</t>
  </si>
  <si>
    <t>Add back: Interest Expense after tax</t>
  </si>
  <si>
    <t>Subtract: Interest Income after tax</t>
  </si>
  <si>
    <t>Free Cash Flow from Operations</t>
  </si>
  <si>
    <t>Net Cash Flow from Investing</t>
  </si>
  <si>
    <t>Present Value Factors</t>
  </si>
  <si>
    <t>Adjust to midyear discounting</t>
  </si>
  <si>
    <t>Shares Outstanding</t>
  </si>
  <si>
    <t>Estimated Value per Share</t>
  </si>
  <si>
    <t xml:space="preserve">Percent difference </t>
  </si>
  <si>
    <t>(Value/price)-1: positive number indicates underpricing.</t>
  </si>
  <si>
    <t>Net CFs from Debt Financing</t>
  </si>
  <si>
    <t>Net CFs into Financial Assets</t>
  </si>
  <si>
    <t>Free Cash Flow for Common Equity</t>
  </si>
  <si>
    <t>Total</t>
  </si>
  <si>
    <t>Long-Run Growth Assumptions</t>
  </si>
  <si>
    <t>Discount</t>
  </si>
  <si>
    <t>Rates:</t>
  </si>
  <si>
    <t>RESIDUAL INCOME  VALUATION</t>
  </si>
  <si>
    <t xml:space="preserve">Comprehensive Income Available </t>
  </si>
  <si>
    <t xml:space="preserve">    for Common Shareholders</t>
  </si>
  <si>
    <t>Book Value of Common</t>
  </si>
  <si>
    <t xml:space="preserve">    Shareholders' Equity (at t-1)</t>
  </si>
  <si>
    <t>Required Earnings</t>
  </si>
  <si>
    <t>Residual Income</t>
  </si>
  <si>
    <t>Add: Beginning Book Value of Equity</t>
  </si>
  <si>
    <t>RESIDUAL INCOME VALUATION SENSITIVITY ANALYSIS:</t>
  </si>
  <si>
    <t>Market-to-Book Approach</t>
  </si>
  <si>
    <t xml:space="preserve">Implied ROCE </t>
  </si>
  <si>
    <t xml:space="preserve">Residual ROCE </t>
  </si>
  <si>
    <t>Add one for book value of equity at t-1</t>
  </si>
  <si>
    <t>Sum</t>
  </si>
  <si>
    <t>Adjust to mid-year discounting</t>
  </si>
  <si>
    <t>Implied Market-to-Book Ratio</t>
  </si>
  <si>
    <t>Times Beginning Book Value of Equity</t>
  </si>
  <si>
    <t>Sensitivity analysis for the market-to-book approach should be identical to that of the residual income approach.</t>
  </si>
  <si>
    <t>Dividends Paid to Common Shareholders</t>
  </si>
  <si>
    <t>Less: Common Stock Issues</t>
  </si>
  <si>
    <t>Plus: Common Stock Repurchases</t>
  </si>
  <si>
    <t>Lagged Book Value of Common</t>
  </si>
  <si>
    <t>Net Income / Revenues</t>
  </si>
  <si>
    <t>Revenue Growth</t>
  </si>
  <si>
    <t>Net Income Growth</t>
  </si>
  <si>
    <t>PERSISTENT OPERATING PERFORMANCE (excluding the effects of nonrecurring items):</t>
  </si>
  <si>
    <t>Operating Profit / Revenues</t>
  </si>
  <si>
    <t>Persistent Operating Profit / Revenues</t>
  </si>
  <si>
    <t>Persistent Net Income / Revenues</t>
  </si>
  <si>
    <t>Persistent Net Income Growth</t>
  </si>
  <si>
    <t>Beneish Earnings Manipulation Score</t>
  </si>
  <si>
    <t>Bankruptcy Predictors:</t>
  </si>
  <si>
    <t>Altman Z Score</t>
  </si>
  <si>
    <t>Earnings Manipulation Predictors:</t>
  </si>
  <si>
    <t xml:space="preserve">   Bankruptcy Probability</t>
  </si>
  <si>
    <t xml:space="preserve">   Earnings Manipulation Probability</t>
  </si>
  <si>
    <t>Market Value to Book Value Ratio</t>
  </si>
  <si>
    <t>Accounts Payable Turnover</t>
  </si>
  <si>
    <t>Net Working Capital Days</t>
  </si>
  <si>
    <t xml:space="preserve">   Days Receivables Held</t>
  </si>
  <si>
    <t xml:space="preserve">   Days Inventory Held</t>
  </si>
  <si>
    <t xml:space="preserve">   Days Payables Held</t>
  </si>
  <si>
    <t>Accounts Receivable Turnover</t>
  </si>
  <si>
    <t xml:space="preserve">  - build detailed forecasts of other financial statement amounts.</t>
  </si>
  <si>
    <t xml:space="preserve">  Days Sales Held in Cash</t>
  </si>
  <si>
    <t>CAPEX Forecasts:</t>
  </si>
  <si>
    <t>CAPEX:</t>
  </si>
  <si>
    <t>Property, Plant and Equipment and Depreciation</t>
  </si>
  <si>
    <t>Property, Plant and Equipment and Depreciation Forecasts:</t>
  </si>
  <si>
    <t>PP&amp;E - net</t>
  </si>
  <si>
    <t>Remaining balance to be depreciated.</t>
  </si>
  <si>
    <t xml:space="preserve">PP&amp;E Purchases: </t>
  </si>
  <si>
    <t>Total Depreciation Expense</t>
  </si>
  <si>
    <t>Depreciation methods:</t>
  </si>
  <si>
    <t>Depreciation Expense</t>
  </si>
  <si>
    <t>Forecast Development: Capital Expenditures, Property, Plant and Equipment, and Depreciation</t>
  </si>
  <si>
    <t>Capital Expenditures:</t>
  </si>
  <si>
    <t>PP&amp;E Acquired</t>
  </si>
  <si>
    <t>PP&amp;E Sold</t>
  </si>
  <si>
    <t>Net CAPEX</t>
  </si>
  <si>
    <t>Net CAPEX as a percent of:</t>
  </si>
  <si>
    <t xml:space="preserve"> Gross PP&amp;E</t>
  </si>
  <si>
    <t>Avg Depreciable PPE</t>
  </si>
  <si>
    <t>(in years)</t>
  </si>
  <si>
    <t>Useful Life Forecast Assumption:</t>
  </si>
  <si>
    <t>Depreciation Expense Forecast Development:</t>
  </si>
  <si>
    <t>Existing PP&amp;E at cost:</t>
  </si>
  <si>
    <t>Depreciation expense forecast on existing PP&amp;E:</t>
  </si>
  <si>
    <t>Capex Year +1</t>
  </si>
  <si>
    <t>Capex Year +2</t>
  </si>
  <si>
    <t>Capex Year +3</t>
  </si>
  <si>
    <t>Capex Year +4</t>
  </si>
  <si>
    <t>Capex Year +5</t>
  </si>
  <si>
    <t>Depreciation expense forecasts on new PP&amp;E:</t>
  </si>
  <si>
    <t>Beg. balance at cost:</t>
  </si>
  <si>
    <t>End balance at cost:</t>
  </si>
  <si>
    <t>Add: CAPEX forecasts from above:</t>
  </si>
  <si>
    <t xml:space="preserve">PP&amp;E at cost: </t>
  </si>
  <si>
    <t>Accumulated Depreciation:</t>
  </si>
  <si>
    <t>Beg. Balance:</t>
  </si>
  <si>
    <t>End Balance:</t>
  </si>
  <si>
    <t>Subtract: Depreciation expense forecasts from below:</t>
  </si>
  <si>
    <t>Gross Profit Control Index</t>
  </si>
  <si>
    <t>Operating Profit Contol Index</t>
  </si>
  <si>
    <t>PP&amp;E assumptions - see schedule in forecast development</t>
  </si>
  <si>
    <t>See depreciation schedule in forecast development worksheet.</t>
  </si>
  <si>
    <t>Assets - Liabilities - Equities</t>
  </si>
  <si>
    <t>Net Income (computed) - Net Income (reported)</t>
  </si>
  <si>
    <t>Cash Changes</t>
  </si>
  <si>
    <t>SUPPLEMENTAL DATA</t>
  </si>
  <si>
    <t>RETURN ON ASSETS (based on reported amounts):</t>
  </si>
  <si>
    <t>RETURN ON ASSETS (excluding the effects of nonrecurring items):</t>
  </si>
  <si>
    <t>RETURN ON COMMON EQUITY (based on reported amounts):</t>
  </si>
  <si>
    <t>Explain assumptions.</t>
  </si>
  <si>
    <t>Cash Turnover</t>
  </si>
  <si>
    <t>Enter the amount of depreciation expense on property, plant and equipment. These amounts (if any) are usually disclosed either in the property, plant and equipment note or in a supplemental inforrmation note. If depreciation expense is not disclosed separately from amortization expense, enter depreciation plus amortization expense.</t>
  </si>
  <si>
    <t>Add accumulated other comprehensive income items from income statement</t>
  </si>
  <si>
    <t>The following implied statements of cash flows are derived from the above income statements and balance sheets. They are not the reported statements of cash flows.</t>
  </si>
  <si>
    <t>This row approximates depreciation expense using the change in accumulated depreciation.</t>
  </si>
  <si>
    <t xml:space="preserve">  Net Cash Flows from Operations</t>
  </si>
  <si>
    <t>These check figures should be zero, indicating the net change in cash on the statement of cash flows agrees with the change in cash on the balance sheet. If a check figure is not zero, it indicates one or more errors either in the balance sheet or the statement of cash flows. The user must find and correct any errors.</t>
  </si>
  <si>
    <t>Comprehensive Income Performance:</t>
  </si>
  <si>
    <t>These check figures should be zero, indicating the total assets on the  balance sheet balances with the total liabilities and shareholders' equity. If a check figure is not zero, it indicates one or more errors either on the balance sheet or in the plug figure used to balance the balance sheet. The user must find and correct any errors.</t>
  </si>
  <si>
    <t>VALUATION MODELS</t>
  </si>
  <si>
    <t>After-tax cost of debt capital</t>
  </si>
  <si>
    <t>Market Value Parameters:</t>
  </si>
  <si>
    <t>Long Run Growth Parameters:</t>
  </si>
  <si>
    <t>Cost of Equity Capital Parameters:</t>
  </si>
  <si>
    <t>Cost of Debt Capital Parameters:</t>
  </si>
  <si>
    <t>Cost of Preferred Stock Parameters:</t>
  </si>
  <si>
    <t>Weighted Average Cost of Capital:</t>
  </si>
  <si>
    <t>Enter the long run growth rate assumption for use in the valuation models. This growth rate must agree with the long run growth rate used to forecast Year +6 and Beyond in the Forecasts spreadsheet.</t>
  </si>
  <si>
    <t>The FSAP user must enter valuation parameter assumptions in the green-shaded, blue font boxes below. These valuation parameters involve the costs of common equity capital, debt capital, and preferred stock capital (if any), as well as the long run growth rate assumption.  FSAP references data in the Data spreadsheet and the Forecasts spreadsheet when available. FSAP uses these parameters to compute costs of capital to use as discount rates in the valuation models.</t>
  </si>
  <si>
    <t xml:space="preserve">FSAP uses the above parameters to compute the after-tax cost of debt capital. </t>
  </si>
  <si>
    <t>Free Cash Flows for All Debt and Equity</t>
  </si>
  <si>
    <t>Free Cash Flows for Common Equity</t>
  </si>
  <si>
    <t>Dividends-Based Valuation</t>
  </si>
  <si>
    <t>This row enables the analyst to adjust for any investing cash flows that should be classified as financing cash flows. For example, if the investing cash flows include cash outflows to acquire investment securities that will be used to retire debt, then these cash outflows should be added back in computing free cash flows to debt and equity.</t>
  </si>
  <si>
    <t>The analyst should adjust free cash flows for changes in cash required for operations.  As firms grow, they typically require larger cash balances for liquidity in operating activities.  FSAP is programmed to automatically adjust free cash flows for the change in the cash balance, which is assumed to be required for operations.</t>
  </si>
  <si>
    <t>The analyst should adjust free cash flows for changes in cash required for operations.  As firms grow, they typically require larger cash balances for liquidity in operating activities.  FSAP is programmed to automatically adjust free cash flows for the changes in cash balances, which are assumed to be required for operations.</t>
  </si>
  <si>
    <t>Decrease (Increase) in Cash Required for Operations</t>
  </si>
  <si>
    <t>Free Cash Flows - All Debt and Equity</t>
  </si>
  <si>
    <t>This adjustment corrects for over-discounting. The present value factors discount from the end of each year to the present, whereas dividends, cash flows, and earnings are generated throughout the year. This adjustment computes the present value so that dividends, cash flows, and earnings are discounted from the mid-point of each year.</t>
  </si>
  <si>
    <t>The sum of the present value of net dividends through Year +5.</t>
  </si>
  <si>
    <t xml:space="preserve">The present value of continuing value dividends in Year +6 and beyond. Year +6 dividends are treated as a perpetuity with growth using the long-run growth rate assumption, discounted to present value at the equity cost of capital. </t>
  </si>
  <si>
    <t xml:space="preserve">The estimated value per share. </t>
  </si>
  <si>
    <t>Market-to-Book Valuation:</t>
  </si>
  <si>
    <t>Dividends-Based Valuation:</t>
  </si>
  <si>
    <t xml:space="preserve">FSAP automatically estimates the estimated useful life for depreciation purposes by dividing the average amount of gross depreciable PP&amp;E by depreciation expense.  This estimate assume straight line depreciation and zero salvage value. </t>
  </si>
  <si>
    <t xml:space="preserve">FSAP automatically computes a new depreciation schedule for each year's capital expenditures, which are included in PP&amp;E. These computations assume straight line depreciation methods and zero salvage value. The computations use the extimated useful life as computed below. </t>
  </si>
  <si>
    <t xml:space="preserve">This computation shows depreciation expense based on the exisiting depreciable PP&amp;E at the start of the forecast period. The computation assumes straight line depreciation methods, zero salvage value, and the estimated useful life computed below. .  </t>
  </si>
  <si>
    <t xml:space="preserve">The estimated value per share. The first-iteration estimate of share value using this approach frequently differs slightly from the other share value estimates. Several iterations can be required to adjust the weights of debt and equity used to compute WACC to agree with the value of common equity implied by this valuation model. </t>
  </si>
  <si>
    <t>Sensitivity Analyses:</t>
  </si>
  <si>
    <t xml:space="preserve">The FSAP user can enter the relevant range of discount rates in the left-most column and the relevant range of long run growth rates in the top row.  Enter the discount rates and growth rates as percentages.  </t>
  </si>
  <si>
    <t>Residual Income Valuation:</t>
  </si>
  <si>
    <t xml:space="preserve">Chapter 13 describes the residual income valuation approach. </t>
  </si>
  <si>
    <t xml:space="preserve">Chapter 12 describes the free cash flows-based valuation approaches. </t>
  </si>
  <si>
    <t xml:space="preserve">Chapter 14 describes the market-to-book valuation approach. </t>
  </si>
  <si>
    <t xml:space="preserve">Chapter 11 describes the dividends-based valuation approach. </t>
  </si>
  <si>
    <t xml:space="preserve">The present value of continuing free cash flows in Year +6 and beyond. Year +6 free cash flows are treated as a perpetuity with growth using the long-run growth rate assumption, discounted to present value at the equity cost of capital. </t>
  </si>
  <si>
    <t>The sum of the present value of residual income through Year +5.</t>
  </si>
  <si>
    <t>FSAP computes required earnings as the equity cost of capital times the beginning of year book value of common shareholders' equity.</t>
  </si>
  <si>
    <t xml:space="preserve">Residual income is the difference between projected comprehensive income available to common and required earnings. </t>
  </si>
  <si>
    <t xml:space="preserve">FSAP computes the implied ROCE, dividing comprehensive income by beginning of year book value of common equity. </t>
  </si>
  <si>
    <t xml:space="preserve">FSAP computes the residual ROCE as implied ROCE minus the equity cost of capital computed above.  </t>
  </si>
  <si>
    <t>The product of residual ROCE and the cumulative growth factor in common equity.</t>
  </si>
  <si>
    <t>Cumulative growth factor in common equity as of t-1</t>
  </si>
  <si>
    <t>FSAP computes the cumulative growth factor in common equity as beginning of year book value of common equity divided by book value of common equity on the firm's current balance sheet.</t>
  </si>
  <si>
    <t>RETURN ON COMMON EQUITY (excluding the effects of nonrecurring items):</t>
  </si>
  <si>
    <t>Effective income tax rate assumptions.</t>
  </si>
  <si>
    <t>LT Debt / LT Capital</t>
  </si>
  <si>
    <t>This Forecast Development spreadsheet provides work space in which the analyst can:</t>
  </si>
  <si>
    <t>RETURN ON COMMON SHAREHOLDERS' EQUITY ANALYSIS (excluding the effects of non-recurring items)</t>
  </si>
  <si>
    <t>Interest Coverage Ratio (reported amounts)</t>
  </si>
  <si>
    <t>Interest Coverage ratio (recurring amounts)</t>
  </si>
  <si>
    <t>Price-Earnings Ratio (reported amounts)</t>
  </si>
  <si>
    <t>Price-Earnings Ratio (recurring amounts)</t>
  </si>
  <si>
    <t>RETURN ON ASSETS ANALYSIS (excluding the effects of non-recurring items)</t>
  </si>
  <si>
    <t>PPE at Cost</t>
  </si>
  <si>
    <t>Implied Avg. Useful Life in Years</t>
  </si>
  <si>
    <t xml:space="preserve">It is not necessary to use this spreadsheet to build financial statement forecasts in the FSAP Forecasts </t>
  </si>
  <si>
    <t>spreadsheet.  If you use this spreadsheet to build more detailed forecasts, the you will need to link these</t>
  </si>
  <si>
    <t xml:space="preserve">forecast amounts to the appropriate cells in the financial statements in the FSAP Forecasts spreadsheet.  </t>
  </si>
  <si>
    <t>A Comment on Entering Forecast Assumptions:</t>
  </si>
  <si>
    <t xml:space="preserve">A Comment on Balancing the Balance Sheet: </t>
  </si>
  <si>
    <t>A Comment on Forecasts for Year +6 and Beyond:</t>
  </si>
  <si>
    <t>Dividends to Common Equity</t>
  </si>
  <si>
    <t>Long-run growth assumption used in forecasts</t>
  </si>
  <si>
    <t>Long-run growth assumption used in valuation.</t>
  </si>
  <si>
    <t xml:space="preserve">  (Both long-run growth assumptions should be the same.)</t>
  </si>
  <si>
    <t>Add back: Net CFs into Financial Assets</t>
  </si>
  <si>
    <t>COST OF DEBT CAPITAL</t>
  </si>
  <si>
    <t>Cost of debt capital, before tax</t>
  </si>
  <si>
    <t>Number of shares outstanding</t>
  </si>
  <si>
    <t>Current market value</t>
  </si>
  <si>
    <t>Preferred stock capital</t>
  </si>
  <si>
    <t>Preferred dividends</t>
  </si>
  <si>
    <t>Equity risk factor (market beta)</t>
  </si>
  <si>
    <t>Risk free rate</t>
  </si>
  <si>
    <t>Implied yield</t>
  </si>
  <si>
    <t>A Comment on Entering Valuation Parameter Assumptions:</t>
  </si>
  <si>
    <t>Receivables</t>
  </si>
  <si>
    <t>Inventory</t>
  </si>
  <si>
    <t>Fixed Assets</t>
  </si>
  <si>
    <t>SHAREHOLDERS' EQUITY</t>
  </si>
  <si>
    <t>Insert your name in column B.</t>
  </si>
  <si>
    <t>Enter the name of the company in Column B.  This name will appear on the output of all spreadsheets within FSAP.</t>
  </si>
  <si>
    <t>FSAP automatically computes the amount of total current assets.</t>
  </si>
  <si>
    <t>FSAP automatically computes the amount of total assets.</t>
  </si>
  <si>
    <t>FSAP automatically computes the amount of total current liabilities.</t>
  </si>
  <si>
    <t>FSAP automatically computes the amount of total liabilitries.</t>
  </si>
  <si>
    <t>The amount for this item appears either on the Balance Sheet or the Statement of Shareholders' Equity. Be sure to enter as a positive or negative amount as appropriate.</t>
  </si>
  <si>
    <t>FSAP automatically computes the amount of total shareholders' equity.</t>
  </si>
  <si>
    <t>FSAP automatically computes the amount of total liabilities plus shareholders' equity.</t>
  </si>
  <si>
    <t>When entering income statement data, enter amounts that increase income (revenues, gains, income) as positive amounts, and enter amounts that decrease income (expenses, losses) as negative amounts.</t>
  </si>
  <si>
    <t>FSAP automatically computes the amount of gross profit.</t>
  </si>
  <si>
    <t>FSAP automatically computes the amount of operating profit.</t>
  </si>
  <si>
    <t xml:space="preserve">FSAP automatically computes the amount of income before tax. </t>
  </si>
  <si>
    <t>Enter the amount of income tax expense that appears on the income statement in the section for income from continuing operations.  If income tax expense reduces income, enter the amount as a negative number.</t>
  </si>
  <si>
    <t>FSAP automatically computes the amount of net income using the above data for revenues, expenses, gains and losses.</t>
  </si>
  <si>
    <t>FSAP automatically computes the amount of comprehensive income.</t>
  </si>
  <si>
    <t>FSAP automatically computes the amount of cash flow from operations.</t>
  </si>
  <si>
    <t xml:space="preserve">FSAP automatically computes the amount of cash flow from investing activities. </t>
  </si>
  <si>
    <t xml:space="preserve">FSAP automatically computes the amount of cash flow from financing activities. </t>
  </si>
  <si>
    <t>Enter the statutory income tax rate applicable to ordinary income and deductions (such as the deduction for interest expense). The Federal corporate income tax rate is currently 35 percent in the United States. Alternatively, one can  enter a statutory tax rate that captures the combined effects of Federal, state, and foreign income taxes. These rates are commonly disclosed in the tax note.</t>
  </si>
  <si>
    <t>Enter the total amount of preferred stock dividends paid, if any.</t>
  </si>
  <si>
    <t>Enter the amount that appears on the firm's income statement.</t>
  </si>
  <si>
    <t>This cell computes common dividends per share by dividing the dividend payments from the cash flow statement by the number of outstanding shares. This assumes the firm pays immaterial preferred dividends. If that assumption does not hold, enter the amount of common dividends per share directly.</t>
  </si>
  <si>
    <t xml:space="preserve">Asset turnover measures how efficiently the firm uses its assets to generate sales. It measures the number of sales dollars generated per average dollar invested in assets. </t>
  </si>
  <si>
    <t xml:space="preserve">Rate of return on assets is the product of the firm's profitability and its efficiency. </t>
  </si>
  <si>
    <t xml:space="preserve">Return on assets measures the rate of return the firm earns per average dollar invested in assets. </t>
  </si>
  <si>
    <t xml:space="preserve">See the preceding FSAP User Guides on ROA. </t>
  </si>
  <si>
    <t xml:space="preserve">Capital structure leverage measures the average amount invested in assets divided by the average amount financed by common equity shareholders. </t>
  </si>
  <si>
    <t xml:space="preserve">Rate of return on common equity is the product of the firm's profitability, efficiency, and leverage. </t>
  </si>
  <si>
    <t xml:space="preserve">Return on common  equity measures the rate of return the firm earns per average dollar in common shareholders' equity. </t>
  </si>
  <si>
    <t xml:space="preserve">See the preceding FSAP User Guides on ROCE. </t>
  </si>
  <si>
    <t xml:space="preserve">These computations of ROA exclude the after-tax effects of nonrecurring items in income to measure the firm's persistent ROA. </t>
  </si>
  <si>
    <t xml:space="preserve">These computations of ROCE exclude the after-tax effects of nonrecurring items in income to measure the firm's persistent ROCE. </t>
  </si>
  <si>
    <t>The Analysis worksheet in FSAP automatically computes a wide array of financial statement analysis ratios using the amounts entered on the Data worksheet.</t>
  </si>
  <si>
    <t xml:space="preserve">The FSAP User Guides next to each row provide brief descriptions of ratio computations. See the text for more in-depth discussion of how to compute and interpret each ratio. </t>
  </si>
  <si>
    <t>Row Format:</t>
  </si>
  <si>
    <t xml:space="preserve">FSAP checks the Data worksheet for an equality between total assets and total liabilities plus shareholders' equity. A non-zero amount in this row indicates a likely data input error in one or more balance sheet accounts. </t>
  </si>
  <si>
    <t xml:space="preserve">FSAP checks whether the net income amounts determined by revenue and expense amounts entered in the Data worksheet equal the reported amount of net income.  A non-zero amount on this row likely indicates an input error in one or more income statement accounts.  </t>
  </si>
  <si>
    <t xml:space="preserve">FSAP checks that the change in cash on the statement of cash flows equals the change in cash on the balance sheet in the Data worksheet. A non-zero amount indicates either a data input error on one or more rows of the cash flow statement or the use of a different definition of cash on the two financial statements.  The user should identify the reason for and correct any non-zero amount. </t>
  </si>
  <si>
    <t xml:space="preserve">Profit margin for ROA measures how much profitability the firm derives from its revenues. For this ratio, profitability is measured before the effects of financing costs (after tax) and minority interest in earnings. </t>
  </si>
  <si>
    <t xml:space="preserve">Profit margin for ROCE measures the net profit margin per dollar of sales. Profit margin for ROCE is measured after deducting any preferred dividends from net income, in order to compute the amount of net income available to common equity shareholders. </t>
  </si>
  <si>
    <t>Year-on-year growth rate in revenues.</t>
  </si>
  <si>
    <t>Year-on-year growth rate in net income.</t>
  </si>
  <si>
    <t>Year-on-year growth rate in net income, after excluding the effects of non-recurring items in income.</t>
  </si>
  <si>
    <t>OPERATING CONTROL:</t>
  </si>
  <si>
    <t>Profit Margin Decomposition:</t>
  </si>
  <si>
    <t>Gross Profit Margin</t>
  </si>
  <si>
    <t>Operating Profit Index</t>
  </si>
  <si>
    <t>Leverage Index</t>
  </si>
  <si>
    <t>Tax Index</t>
  </si>
  <si>
    <t>Net Profit Margin</t>
  </si>
  <si>
    <t>Comprehensive Income Index</t>
  </si>
  <si>
    <t>Comprehensive Income Margin</t>
  </si>
  <si>
    <t>Operating profit as a percent of gross profit. The complement of this percentage is the percent of gross profit absorbed by overhead and operating expenses.</t>
  </si>
  <si>
    <t xml:space="preserve">Income before tax as a percent of operating profit. The complement of this percentage is the percent of operating profit absorbed by (net) financing costs. If this index is great than 100%, it implies financing income (interest income, income from equity affiliates) exceeds financing costs (interest expense). </t>
  </si>
  <si>
    <t xml:space="preserve">Net income as a percent of income before tax. The complement of this percentage is the average effective tax rate. This index is also affected by items such as extraordinary gains and losses, discontinued operations, and changes in accounting principles. </t>
  </si>
  <si>
    <t xml:space="preserve">Net income as a percent of revenues. The net profit margin will also equal the product of the gross profit margin times the operating profit index, the leverage index and the tax index. </t>
  </si>
  <si>
    <t xml:space="preserve">Comprehensive income as a percent of net income. </t>
  </si>
  <si>
    <t xml:space="preserve">Comprehensive income as a percent of revenues. </t>
  </si>
  <si>
    <t>Current assets divided by current liabilities.</t>
  </si>
  <si>
    <t xml:space="preserve">More liquid current assets (cash and cash equivalents, marketable securities, accounts receivable) divided by current liabilities. </t>
  </si>
  <si>
    <t xml:space="preserve">Operating cash flows divided by the average amount of current liabilities. </t>
  </si>
  <si>
    <t xml:space="preserve">Total revenues divided by the average balance in accounts receivable. </t>
  </si>
  <si>
    <t>Inventory purchases (computed as cost of goods sold plus the change in inventory) divided by the average amount in accounts payable.</t>
  </si>
  <si>
    <t>The number of days in receivables is measured as 365 divided by the accounts receivable turnover rate. This measures the average number of days to collect receivables.</t>
  </si>
  <si>
    <t>The number of days in inventory is measured as 365 divided by the inventory turnover rate. This measures the average number of days to make and sell inventory.</t>
  </si>
  <si>
    <t>The number of days in payables is measured as 365 divided by the accounts payable turnover rate. This measures the average number of days to pay payables.</t>
  </si>
  <si>
    <t xml:space="preserve">Net working capital days measures the number of days to make and sell inventory plus the number of days to collect receivables, minus the number of days to pay payables. </t>
  </si>
  <si>
    <t xml:space="preserve">Total revenues divided by the average balance in net property, plant, and equipment. This measures efficiency is using fixed assets to generate revenues. </t>
  </si>
  <si>
    <t xml:space="preserve">Revenues divided by the average cash balance. </t>
  </si>
  <si>
    <t>Cost of goods sold divided by the average amaount of inventory.</t>
  </si>
  <si>
    <t xml:space="preserve">The number of days sales held in cash is measured as 365 divided by the cash turnover rate. It measures the average number of days of sales held in cash and cash equivalents. </t>
  </si>
  <si>
    <t xml:space="preserve">This ratio measures the percentage of total ssets financed by total liabilities. </t>
  </si>
  <si>
    <t>This debt/equity ratio measures total liabiliteis as a percent of common shareholders' equity.</t>
  </si>
  <si>
    <t>This ratio measures the percent of debt financing relative to total long term capital (long term debt plus commmon shareholders' equity).</t>
  </si>
  <si>
    <t>This ratio measures the percent of long term debt financing relative to commmon shareholders' equity.</t>
  </si>
  <si>
    <t>Operating cash flows divided by the average amount of total liabilities.</t>
  </si>
  <si>
    <t>Net income before interest expense, income taxes, and minority interest in income, divided by interest expense.</t>
  </si>
  <si>
    <t>Net income before interest expense, income taxes, minority interest in income, and non-recurring items divided by interest expense.</t>
  </si>
  <si>
    <t xml:space="preserve">The Altman Z-score is a multivariate predictor of bankruptcy. </t>
  </si>
  <si>
    <t>The probability of bankruptcy over the next two years as indicated by the Altman Z-score.</t>
  </si>
  <si>
    <t xml:space="preserve">The Beneish Earnings Manipulation Score is a multivariate indicator of the likelihood reported earnings numbers have been fraudulently manipulated. </t>
  </si>
  <si>
    <t xml:space="preserve">The probability of earnings manipulation given the Beneish Earnings Manipulation Score. </t>
  </si>
  <si>
    <t xml:space="preserve">Stock returns measure fiscal year-end share price plus dividends divided by beginning of year share price. </t>
  </si>
  <si>
    <t xml:space="preserve">Fiscal year-end share price divided by earnings per share. </t>
  </si>
  <si>
    <t xml:space="preserve">Fiscal year-end share price divided by earnings per share after excluding the per-share effects of non-recurring items in income. </t>
  </si>
  <si>
    <t xml:space="preserve">Market value of common equity divided by book value of common equity. </t>
  </si>
  <si>
    <t xml:space="preserve">All of the common-size income statement ratios measure a particular income amount as a percent of total revenues. </t>
  </si>
  <si>
    <t xml:space="preserve">The year-on-year growth rates indicate the annual rate of growth in a particular income item. </t>
  </si>
  <si>
    <t xml:space="preserve">The compound growth rates indicate the average compounded rate of growth in a particular income item over the five-year data period (six years of data yield five periods of growth). If fewer than six year of data have been entered into the Data Worksheet, these compounded growth rate computations should be revised to measure compounded growth over the period for which data are available.  </t>
  </si>
  <si>
    <t>Assets:</t>
  </si>
  <si>
    <t>Liabilities and Equities:</t>
  </si>
  <si>
    <t xml:space="preserve">All of the common-size balance sheet ratios measure a particular balance sheet amount as a percent of total assets. </t>
  </si>
  <si>
    <t>YEAR TO YEAR GROWTH RATES:</t>
  </si>
  <si>
    <t xml:space="preserve">The year-on-year growth rates indicate the annual rate of growth in a particular balance sheet item. </t>
  </si>
  <si>
    <t xml:space="preserve">The compound growth rates indicate the average compounded rate of growth in a particular balance sheet item over the five-year data period (six years of data yield five periods of growth). If fewer than six year of data have been entered into the Data Worksheet, these compounded growth rate computations should be revised to measure compounded growth over the period for which data are available.  </t>
  </si>
  <si>
    <t>Turnovers:</t>
  </si>
  <si>
    <t>STATEMENT OF CASH FLOWS: SUMMARY</t>
  </si>
  <si>
    <t>Operating Activities:</t>
  </si>
  <si>
    <t>Investing Activities:</t>
  </si>
  <si>
    <t>Investments</t>
  </si>
  <si>
    <t>Financing Activities:</t>
  </si>
  <si>
    <t xml:space="preserve">  Net Change in Cash</t>
  </si>
  <si>
    <t xml:space="preserve">This schematic provides a decomposition of ROA and ROCE into component ratios that determine ROA and ROCE. </t>
  </si>
  <si>
    <t xml:space="preserve">Level 3 component ratios provide more detail about components of income that affect the profit margin for ROA as well as turnover ratios for specific assets. </t>
  </si>
  <si>
    <t>By James Wahlen, Steve Baginski, and Mark Bradshaw</t>
  </si>
  <si>
    <t>Gross profit margin as a percent of revenues.</t>
  </si>
  <si>
    <t xml:space="preserve">Operating income as a percent of revenues. </t>
  </si>
  <si>
    <t>Net income as a percent of revenues.</t>
  </si>
  <si>
    <t>Comprehensive income as a percent of revenues.</t>
  </si>
  <si>
    <t>The rate of change in gross profit relative to the rate of change in revenues.</t>
  </si>
  <si>
    <t>The rate of change in operating income relative to the rate of change in revenues.</t>
  </si>
  <si>
    <t xml:space="preserve">Operating income as a percent of revenues after excluding the effects of non-recurring operating income items (such as non-recurring operating expenses and losses).  </t>
  </si>
  <si>
    <t>Net income as a percent of revenues, after excluding the effects of non-recurring items in income.</t>
  </si>
  <si>
    <t>Enter the amount of reported net income on this line.  It will be used by FSAP to provide a mathematical check on the amounts of all revenues and expenses on preceding lines.</t>
  </si>
  <si>
    <t xml:space="preserve">Enter any amounts of income (or &lt;loss&gt;) from equity or noncontrolled affiliates. </t>
  </si>
  <si>
    <t>Enter any amount reported in the separate section of the income statement labeled Discontinued Operations. The amount is reported net of tax effects.  Enter as a positive or negative number as appropriate.</t>
  </si>
  <si>
    <t>Enter any amount reported in the separate section of the income statement labeled Extraordinary Items.  The amount is reported net of taxes.  Enter as a positive or negative number as appropriate.</t>
  </si>
  <si>
    <t>Enter any amount reported in the separate section of the income statement labeled Changes in Accounting Principles. The amount is reported net of income taxes. Enter as a positive or negative number as appropriate.</t>
  </si>
  <si>
    <t>FSAP automatically enters the Net Income amount computed above.</t>
  </si>
  <si>
    <t>FSAP automatically computes the net change in cash.</t>
  </si>
  <si>
    <t>This rate is computed by FSAP as the ratio of the income tax expense to income before tax.</t>
  </si>
  <si>
    <t>In the Statement of Cash Flows Data, enter amounts reported on the firm's  statement of cash flows. Enter amounts that increase (decrease) cash as positive (negative) numbers. The row headings help indicate whether amounts should be positive or negative.</t>
  </si>
  <si>
    <t>The FSAP user must decide whether particular operating gains or losses are non-recurring - infrequent and unusual given the firm's business and operating environment.  If so, enter the amounts on the appropriate rows. Enter expense and loss amounts as negative numbers.</t>
  </si>
  <si>
    <t>Dividend Based Valuation</t>
  </si>
  <si>
    <t>Free Cash Flow Valuation</t>
  </si>
  <si>
    <t>Residual Income Valuation</t>
  </si>
  <si>
    <t>Residual Income Market-to-Book Valuation</t>
  </si>
  <si>
    <t>DATA CHECKS - Estimated Value per Share</t>
  </si>
  <si>
    <t>Free Cash Flow for All Debt and Equity Valuation</t>
  </si>
  <si>
    <t>FSAP automatically references the estimated value per share.</t>
  </si>
  <si>
    <t xml:space="preserve">The Property, Plant &amp; Equipment and Depreciation schedule automatically computes for the FSAP detailed forecasts of future PP&amp;E based on exisitng PP&amp;E plus projected future capital expenditures. The Depreciation expense schedule automatically computes future depreciation expense based on exisitng depreciable PP&amp;E future capital expenditures.  The expected useful life for depreciation purposes is computed below.  </t>
  </si>
  <si>
    <t xml:space="preserve">FSAP automatically links the projected amounts for gross PP&amp;E, accumulated depreciation, depreciation expense, and capital expenditures into the financial statements in the Forecasts worksheet. </t>
  </si>
  <si>
    <t>This computation shows the amount of gross PP&amp;E still to be depreciated.  Once this amount falls to zero, depreciation is complete.The FSAP user should be sure that these amounts are not negative.</t>
  </si>
  <si>
    <t xml:space="preserve">This row automatically sums the pre-tax amounts of unusual and nonrecurring items and the after-tax amounts of discontinued operatons, extraordinary items and changes in accounting principles from the income statement above. The analyst must then adjust the items that are stated in pre-tax amounts to an after-tax basis either by adjusting for the specific amounts of applicable tax (or tax savings) as disclosed by the firm, or if not disclosed, by adjusting these items for the statutory tax rate.  </t>
  </si>
  <si>
    <t>Enter the number of common shares outstanding at the end of each year.  Be sure to reduce the number of shares issued by the number of any shares held as treasury stock to arrive at the number of common shares outstanding.  The number of common shares outstanding should be expressed in the same numerical units (for example, thousands or millions) as the financial statement amounts entered in the preceding cells.</t>
  </si>
  <si>
    <t xml:space="preserve">This should be the closing market price per share on the last day of the firm's accounting period (usually December 31 of each year).  If stock markets are closed on the last day of the accounting period, use the closing price on the most recent trading day following the end of the period.  </t>
  </si>
  <si>
    <t xml:space="preserve">FSAP checks for an equality between total assets and total liabilities plus shareholders' equity. A non-zero amount in this row indicates a likely data input error in one or more balance sheet accounts. </t>
  </si>
  <si>
    <t xml:space="preserve">FSAP checks that the inputted amounts of revenues and expenses equal the reported amount of net income.  A non-zero amount on this row likely indicates an input error in one or more income statement accounts.  </t>
  </si>
  <si>
    <t xml:space="preserve">FSAP checks that the change in cash on the statement of cash flows equals the change in cash on the balance sheet. A non-zero amount indicates either a data input error on one or more rows of the cash flow statement or the use of a different definition of cash on the two financial statements.  The user should identify the reason for and correct any non-zero amount. </t>
  </si>
  <si>
    <t xml:space="preserve">The FSAP User Guides appear in column J to the right. </t>
  </si>
  <si>
    <t>The Data spreadsheet is designed for up to six years of financial statement data.  The user must input the most recent year of financial statement data in column G, regardless of the number of years of data inputted.</t>
  </si>
  <si>
    <t>The user must conform financial statement data to the FSAP template because the spreadsheets within FSAP use the Data spreadsheet as their base.  The user can, however, rename account titles as necessary to match the account titles of the particular firm. FSAP contains a number of general purpose accounts that can be renamed to fit the accounts of the particular firm (for example, Other Current Assets (1) and (2)).</t>
  </si>
  <si>
    <t xml:space="preserve">Throughout FSAP, enter amounts for account titles listed in brackets &lt;&gt; as negative numbers. Except for per share amounts, be consistent with the units of the amounts entered (for example, thosands or millions). </t>
  </si>
  <si>
    <t>FSAP User Guides:</t>
  </si>
  <si>
    <t>By James Wahlen, Steve Baginski and Mark Bradshaw</t>
  </si>
  <si>
    <t xml:space="preserve">  Current Assets</t>
  </si>
  <si>
    <t xml:space="preserve">   Total Assets</t>
  </si>
  <si>
    <t xml:space="preserve">  Current Liabilities</t>
  </si>
  <si>
    <t xml:space="preserve">  Total Liabilities</t>
  </si>
  <si>
    <t xml:space="preserve">  Total Liabilities and Equities</t>
  </si>
  <si>
    <t>Comprehensive Income</t>
  </si>
  <si>
    <t>Net Income</t>
  </si>
  <si>
    <t xml:space="preserve">  Net CF from Investing Activities</t>
  </si>
  <si>
    <t xml:space="preserve">  Net CF from Financing Activities</t>
  </si>
  <si>
    <t>Analyst Name:</t>
  </si>
  <si>
    <t>Company Name:</t>
  </si>
  <si>
    <t>Inventories</t>
  </si>
  <si>
    <t>FINANCIAL DATA CHECKS</t>
  </si>
  <si>
    <t>INCOME STATEMENT DATA</t>
  </si>
  <si>
    <t xml:space="preserve">  Gross Profit</t>
  </si>
  <si>
    <t xml:space="preserve">  Income before Tax</t>
  </si>
  <si>
    <t xml:space="preserve">The Capital Expenditures schedule permits the FSAP user to build detailed forecasts of future capital expenditures as a percent of future revenues, gross PP&amp;E or any other reasonable basis for these forecast assumptions. </t>
  </si>
  <si>
    <t>STATEMENT OF CASH FLOWS DATA</t>
  </si>
  <si>
    <t>Year (Most recent in far right column.)</t>
  </si>
  <si>
    <t>DATA CHECKS</t>
  </si>
  <si>
    <t>PROFITABILITY FACTORS:</t>
  </si>
  <si>
    <t xml:space="preserve">  Profit Margin for ROA</t>
  </si>
  <si>
    <t>x Asset Turnover</t>
  </si>
  <si>
    <t>= Return on Assets</t>
  </si>
  <si>
    <t xml:space="preserve">  Profit Margin for ROCE</t>
  </si>
  <si>
    <t>x Capital Structure Leverage</t>
  </si>
  <si>
    <t>= Return on Common Equity</t>
  </si>
  <si>
    <t>OPERATING PERFORMANCE:</t>
  </si>
  <si>
    <t>Operating Profit Before Taxes / Revenues</t>
  </si>
  <si>
    <t>Comprehensive Income / Revenues</t>
  </si>
  <si>
    <t>ASSET TURNOVER:</t>
  </si>
  <si>
    <t>COGS / Average Inventory</t>
  </si>
  <si>
    <t>RISK FACTORS:</t>
  </si>
  <si>
    <t>LIQUIDITY:</t>
  </si>
  <si>
    <t>Current Ratio</t>
  </si>
  <si>
    <t>Quick Ratio</t>
  </si>
  <si>
    <t>Operating Cash Flow to Current Liabilities</t>
  </si>
  <si>
    <t>SOLVENCY:</t>
  </si>
  <si>
    <t>Total Liabilities / Total Assets</t>
  </si>
  <si>
    <t>Operating Cash Flow to Total Liabilities</t>
  </si>
  <si>
    <t>Interest Coverage Ratio</t>
  </si>
  <si>
    <t>COMPOUND</t>
  </si>
  <si>
    <t>GROWTH</t>
  </si>
  <si>
    <t>RATE</t>
  </si>
  <si>
    <t>ASSETS:</t>
  </si>
  <si>
    <t>LIABILITIES:</t>
  </si>
  <si>
    <t>RETURN ON ASSETS</t>
  </si>
  <si>
    <t>Level 1</t>
  </si>
  <si>
    <t>Level 2</t>
  </si>
  <si>
    <t>PROFIT MARGIN FOR ROA</t>
  </si>
  <si>
    <t>ASSET TURNOVER</t>
  </si>
  <si>
    <t>Level 3</t>
  </si>
  <si>
    <t>Inventory Turnover</t>
  </si>
  <si>
    <t>RETURN ON COMMON SHAREHOLDERS' EQUITY</t>
  </si>
  <si>
    <t>PROFIT MARGIN FOR ROCE</t>
  </si>
  <si>
    <t>CAPITAL STRUCTURE LEVERAGE</t>
  </si>
  <si>
    <t>FSAP OUTPUT:</t>
  </si>
  <si>
    <t>Actual Amounts</t>
  </si>
  <si>
    <t>Forecast Amounts</t>
  </si>
  <si>
    <t>Common Size Percent</t>
  </si>
  <si>
    <t>Forecast assumption</t>
  </si>
  <si>
    <t>Rate of Change Percent</t>
  </si>
  <si>
    <t>Forecast assumption explanation</t>
  </si>
  <si>
    <t>Long-Run Growth Factor:</t>
  </si>
  <si>
    <t>Actuals</t>
  </si>
  <si>
    <t>Forecasts</t>
  </si>
  <si>
    <t>Year +1</t>
  </si>
  <si>
    <t>Year +2</t>
  </si>
  <si>
    <t>Year +3</t>
  </si>
  <si>
    <t>Year +4</t>
  </si>
  <si>
    <t>Year +5</t>
  </si>
  <si>
    <t>Year +6</t>
  </si>
  <si>
    <t>INCOME STATEMENT</t>
  </si>
  <si>
    <t>common size</t>
  </si>
  <si>
    <t>rate of change</t>
  </si>
  <si>
    <t>BALANCE SHEET</t>
  </si>
  <si>
    <t>Check figures: Balance Sheet A=L+OE?</t>
  </si>
  <si>
    <t>Dividends</t>
  </si>
  <si>
    <t>IMPLIED STATEMENT OF CASH FLOWS</t>
  </si>
  <si>
    <t>Enter Balance Sheet Data:</t>
  </si>
  <si>
    <t>Enter Income Statement Data:</t>
  </si>
  <si>
    <t>Enter Statement of Cash Flows Data:</t>
  </si>
  <si>
    <t>Enter Supplemental Data:</t>
  </si>
  <si>
    <t>Profitability Factors:</t>
  </si>
  <si>
    <t>Risk Factors:</t>
  </si>
  <si>
    <t>Common-Sized Income Statements:</t>
  </si>
  <si>
    <t>Income Statement Growth Rates:</t>
  </si>
  <si>
    <t>Common-Sized Balance Sheets:</t>
  </si>
  <si>
    <t>Balance Sheet Growth Rates:</t>
  </si>
  <si>
    <t>Decomposition of ROA and ROCE:</t>
  </si>
  <si>
    <t>Summary Statement of Cash Flows:</t>
  </si>
  <si>
    <t xml:space="preserve">The Summary Statement of Cash Flows provides an aggregated summation of the major sources of cash inflows and outlfows. </t>
  </si>
  <si>
    <t xml:space="preserve">While the Statement of Cash Flows provides useful detail on specific cash inflows and outflows, this aggegation provide a high-level summary of major categories of cash being generated and used. This aggregation reveals quickly how cash is being generated and how cash is being used. </t>
  </si>
  <si>
    <t>Residual ROCE times cumulative growth</t>
  </si>
  <si>
    <t>The sum of the present value of residual ROCE times cumulative growth through Year +5.</t>
  </si>
  <si>
    <t xml:space="preserve">The present value of residual ROCE times cumulative growth in Year +6 and beyond. Year +6 residual ROCE is treated as a perpetuity with growth using the long-run growth rate assumption, discounted to present value at the equity cost of capital. </t>
  </si>
  <si>
    <t>The sum of the present value of free cash flows for common equity shareholders through Year +5.</t>
  </si>
  <si>
    <t>The sum of the present value of free cash flows for all debt and equity stakeholders through Year +5.</t>
  </si>
  <si>
    <t xml:space="preserve">Total present value of all equity and debt. </t>
  </si>
  <si>
    <t>Less: Value of Outstanding Debt</t>
  </si>
  <si>
    <t>Less: Value of Preferred Stock</t>
  </si>
  <si>
    <t>Plus: Value of Financial Assets</t>
  </si>
  <si>
    <t xml:space="preserve">Subtract the value of outstanding debt. Value should be market value, if known, or fair value if disclosed. If not, use book value. </t>
  </si>
  <si>
    <t xml:space="preserve">Subtract the value of outstanding preferred stock.  Value should be market value, if known, or fair value if disclosed. If not, use book value. </t>
  </si>
  <si>
    <t xml:space="preserve">Add the value of financial assets to be used to retire debt or pay dividends. Value should be market value, if known, or fair value if disclosed. If not, use book value. </t>
  </si>
  <si>
    <t xml:space="preserve">The analyst should program FSAP to subtract interest income after tax if the analyst determines that the firm's financial assets are part of the financial capital structure (such as investment securities intended to retire debt).    </t>
  </si>
  <si>
    <t xml:space="preserve">The present value of continuing free cash flows in Year +6 and beyond. Year +6 free cash flows are treated as a perpetuity with growth using the long-run growth rate assumption, discounted to present value at the weighted average cost of capital. </t>
  </si>
  <si>
    <t>The implied market-to-book value ratio.</t>
  </si>
  <si>
    <t xml:space="preserve">The present value of continuing residual income in Year +6 and beyond. Year +6 residual income is treated as a perpetuity with growth using the long-run growth rate assumption, discounted to present value at the equity cost of capital. </t>
  </si>
  <si>
    <t>Free Cash Flows for Common Equity Valuation:</t>
  </si>
  <si>
    <t>Free Cash Flows for All Debt and Equity Valuation:</t>
  </si>
  <si>
    <t>This row includes amortization expense on amortizable intangible assets.</t>
  </si>
  <si>
    <t xml:space="preserve">  Net Cash Flows from Investing Activities</t>
  </si>
  <si>
    <t xml:space="preserve">  Net Cash Flows from Financing Activities</t>
  </si>
  <si>
    <t xml:space="preserve">The FSAP User Guides appear in column I to the right. </t>
  </si>
  <si>
    <r>
      <t>Profit Margin for ROA</t>
    </r>
    <r>
      <rPr>
        <b/>
        <vertAlign val="superscript"/>
        <sz val="8"/>
        <rFont val="Arial"/>
        <family val="2"/>
      </rPr>
      <t>*</t>
    </r>
  </si>
  <si>
    <r>
      <t>*</t>
    </r>
    <r>
      <rPr>
        <b/>
        <sz val="8"/>
        <rFont val="Arial"/>
        <family val="2"/>
      </rPr>
      <t>Amounts do not sum.</t>
    </r>
  </si>
  <si>
    <t xml:space="preserve">The FSAP User Guides appear in column L to the right. </t>
  </si>
  <si>
    <t xml:space="preserve">The FSAP User Guides appear in column K to the right. </t>
  </si>
  <si>
    <t>FSAP automatically computes the amounts of various sub-totals and totals within the Data spreadsheet.  These items are shaded in gray and serve in checking the mathematical accuracy of inputted amounts.  FSAP checks to ensure that total assets equal total liabilities and shareholders’ equity, that total revenues and gains minus total expenses and losses equal reported net income, and that cash flows from operating, investing, and financing activities equal the change in cash on the balance sheet.  These financial data checks appear at the bottom of the Data spreadsheet.  Any material non-zero amounts (that are not due to rounding) on these rows require the user to re-check amounts inputted to identify and correct the error.</t>
  </si>
  <si>
    <t xml:space="preserve">FSAP uses the above parameters to compute the cost of preferred stock capital. </t>
  </si>
  <si>
    <t>FSAP computes market value of equity using market price per share times number of shares outstanding.</t>
  </si>
  <si>
    <t>Enter the market beta.</t>
  </si>
  <si>
    <t>Enter the expected market risk premium.  This is the amount by which the average expected rate of return on a diversified portfolio of stocks is expected to exceed the expected rate of return on a portfolio of risk free securities. Reasonable estimates commonly range from 3% to 9%.</t>
  </si>
  <si>
    <t>Using the above parameters, FSAP computes the expected rate of return on equity using the market model version of the CAPM.</t>
  </si>
  <si>
    <t xml:space="preserve">FSAP uses the total amount of short term debt and long term debt from the most recent balance sheet data in the Forecasts worksheet. The analyst can override this default by entering the market value of debt capital, if known.  </t>
  </si>
  <si>
    <t>FSAP uses the interest rate assumption entered in the Forecasts spreadsheet.  The analyst can override this default by entering here the expected interest rate on debt capital to be used in computing the weighted average cost of capital.  The interest rate on debt capital used here in valuation should be consistent with the interest rate assumed in the forecasts of future interest expense in the Forecasts Spreadsheet.</t>
  </si>
  <si>
    <t xml:space="preserve">FSAP uses the tax rate assumption entered in the Forecasts spreadsheet.  The analyst can override this default by entering here the effective tax rate for use in computing the effective after-tax cost of debt capital.  </t>
  </si>
  <si>
    <t xml:space="preserve">FSAP uses the most recent share price entered in the Data spreadsheet. The FSAP user can override this and enter the most recent share price directly in this cell. </t>
  </si>
  <si>
    <t xml:space="preserve">FSAP uses the most recent number of shares outstanding entered in the Data spreadsheet. The FSAP user can override this and enter the most recent number of shares outstanding directly in this cell. </t>
  </si>
  <si>
    <t xml:space="preserve">The FSAP user should only enter data in the blue-font cells shaded light green. </t>
  </si>
  <si>
    <t>FSAP uses the above weights and costs of capital to compute a weighted average cost of capital.</t>
  </si>
  <si>
    <t>FSAP uses implied dividends for common shareholders from the Forecasts worksheet.</t>
  </si>
  <si>
    <t>FSAP uses the change in common stock plus paid in capital from the Forecasts worksheet. Stock issues are treated as negative dividends.</t>
  </si>
  <si>
    <t xml:space="preserve">FSAP uses the change in treasury stock from the Forecasts worksheet. Purchases of treasury stock are treated as dividends. </t>
  </si>
  <si>
    <t xml:space="preserve">FSAP uses the preferred stock dividend entered in the Forecasts spreadsheet. The analyst can override this default by entering the required rate of return on preferred stock, if known. </t>
  </si>
  <si>
    <t xml:space="preserve">These present value factors are based on the equity cost of capital, computed above. </t>
  </si>
  <si>
    <t xml:space="preserve">These present value factors are based on the weighted average cost of capital, computed above. </t>
  </si>
  <si>
    <t>FSAP uses net cash flows from operations from the Forecasts worksheet.</t>
  </si>
  <si>
    <t>FSAP uses net cash flows from investing from the Forecasts worksheet.</t>
  </si>
  <si>
    <t>FSAP uses net cash flows from debt financing from the Forecasts worksheet.</t>
  </si>
  <si>
    <t>FSAP uses net cash flows from preferred stock and minority interests from the Forecasts worksheet.</t>
  </si>
  <si>
    <t xml:space="preserve">These figures represent the forecasted total dividends to common equity shareholders. </t>
  </si>
  <si>
    <t xml:space="preserve">These figures represent the forecasted total free cash flows to common equity shareholders. </t>
  </si>
  <si>
    <t xml:space="preserve">These figures represent the forecasted total free cash flows to all debt and equity stakeholders. </t>
  </si>
  <si>
    <t>FSAP uses comprehensive income from the Forecasts worksheet, less any expected dividends to preferred stockholders.</t>
  </si>
  <si>
    <t>FSAP uses beginning of year (lagged) book value of common shareholders' equity from the Forecasts worsksheet.</t>
  </si>
  <si>
    <t>FSAP uses beginning of year (lagged) book value of common shareholders' equity from the Forecasts worksheet.</t>
  </si>
  <si>
    <t>FSAP uses interest expense from the Forecasts worksheet, and adds back the after-tax amount of interest expense.</t>
  </si>
  <si>
    <t>Cash and cash equivalents</t>
  </si>
  <si>
    <t>Prepaid expenses and other current assets</t>
  </si>
  <si>
    <t>Other current assets (2)</t>
  </si>
  <si>
    <t>Property, plant, and equipment - at cost</t>
  </si>
  <si>
    <t>&lt;Accumulated depreciation&gt;</t>
  </si>
  <si>
    <t>Notes payable and short-term debt</t>
  </si>
  <si>
    <t>Current maturities of long-term debt</t>
  </si>
  <si>
    <t>Deferred tax liabilities - current</t>
  </si>
  <si>
    <t>Long-term accrued liabilities</t>
  </si>
  <si>
    <t>Preferred stock</t>
  </si>
  <si>
    <t>Common stock + Additional paid in capital</t>
  </si>
  <si>
    <t>Accum. other comprehensive income &lt;loss&gt;</t>
  </si>
  <si>
    <t>Income &lt;Loss&gt; from equity affiliates</t>
  </si>
  <si>
    <t>Extraordinary gains &lt;losses&gt;</t>
  </si>
  <si>
    <t>Changes in accounting principles</t>
  </si>
  <si>
    <t>&lt;Increase&gt; Decrease in accounts receivable</t>
  </si>
  <si>
    <t>&lt;Increase&gt; Decrease in inventories</t>
  </si>
  <si>
    <t>&lt;Increase&gt; Decrease in prepaid expenses</t>
  </si>
  <si>
    <t>&lt;Increase&gt; Decrease in other current assets (1)</t>
  </si>
  <si>
    <t>&lt;Increase&gt; Decrease in other current assets (2)</t>
  </si>
  <si>
    <t>Increase &lt;Decrease&gt; in accounts payable</t>
  </si>
  <si>
    <t>Increase &lt;Decrease&gt; in other current liabilities (2)</t>
  </si>
  <si>
    <t>Increase &lt;Decrease&gt; in other noncurrent liabilities (1)</t>
  </si>
  <si>
    <t>Increase &lt;Decrease&gt; in other noncurrent liabilities (2)</t>
  </si>
  <si>
    <t>Proceeds from sales of property, plant, and equipment</t>
  </si>
  <si>
    <t>&lt;Property, plant, and equipment acquired&gt;</t>
  </si>
  <si>
    <t>Issue of capital stock</t>
  </si>
  <si>
    <t>&lt;Dividend payments&gt;</t>
  </si>
  <si>
    <t>Cash and cash equivalents, beginning of year</t>
  </si>
  <si>
    <t>Cash and cash equivalents, end of year</t>
  </si>
  <si>
    <t>Statutory tax rate</t>
  </si>
  <si>
    <t xml:space="preserve">Average tax rate implied from income statement data </t>
  </si>
  <si>
    <t>After-tax effects of nonrecurring and unusual items on net income</t>
  </si>
  <si>
    <t>Depreciation expense</t>
  </si>
  <si>
    <t>Preferred stock dividends (total, if any)</t>
  </si>
  <si>
    <t>Earnings per share (basic)</t>
  </si>
  <si>
    <t>Common dividends per share</t>
  </si>
  <si>
    <t xml:space="preserve">Other noncurrent liabilities (1) and (2) can be renamed and used for different types of non-current liabilities for different firms. </t>
  </si>
  <si>
    <t xml:space="preserve">Other operating expenses (1), (2), and (3) can be renamed and used for different types of recurring operating expenses for different firms. </t>
  </si>
  <si>
    <t xml:space="preserve">Other operating income (1) and (2) can be renamed used for different sources of recurring operating income for different firms. </t>
  </si>
  <si>
    <t>Net cash flows for working capital</t>
  </si>
  <si>
    <t>Other net addbacks/subtractions</t>
  </si>
  <si>
    <t>Capital expenditures (net)</t>
  </si>
  <si>
    <t>Other investing transactions</t>
  </si>
  <si>
    <t>Net proceeds from short-term borrowing</t>
  </si>
  <si>
    <t>Net proceeds from long-term borrowing</t>
  </si>
  <si>
    <t>Net proceeds from share issues and repurchases</t>
  </si>
  <si>
    <t>Other financing transactions</t>
  </si>
  <si>
    <t>Common dividends:</t>
  </si>
  <si>
    <t>Preferred dividends:</t>
  </si>
  <si>
    <t>Total dividends:</t>
  </si>
  <si>
    <t>Add back depreciation expense (net)</t>
  </si>
  <si>
    <t>Add back amortization expense (net)</t>
  </si>
  <si>
    <t>&lt;Increase&gt; Decrease in receivables - net</t>
  </si>
  <si>
    <t>Increase &lt;Decrease&gt; in accounts payable - trade</t>
  </si>
  <si>
    <t>Increase &lt;Decrease&gt; in current accrued liabilities</t>
  </si>
  <si>
    <t>Net change in deferred tax assets and liabilities</t>
  </si>
  <si>
    <t>Increase &lt;Decrease&gt; in long-term accrued liabilities</t>
  </si>
  <si>
    <t>&lt;Increase&gt; Decrease in property, plant, &amp; equip. at cost</t>
  </si>
  <si>
    <t>&lt;Increase&gt; Decrease in amortizable intangible assets (net)</t>
  </si>
  <si>
    <t>&lt;Increase&gt; Decrease in goodwill and nonamort. intangibles</t>
  </si>
  <si>
    <t>&lt;Increase&gt; Decrease in other noncurrent assets (2)</t>
  </si>
  <si>
    <t>Increase &lt;Decrease&gt; in short-term debt</t>
  </si>
  <si>
    <t>Increase &lt;Decrease&gt; in long-term debt</t>
  </si>
  <si>
    <t>Increase &lt;Decrease&gt; in common stock + paid in capital</t>
  </si>
  <si>
    <t>Check: All Estimated Value per Share amounts should be the same, with the possible exception of the share value from the</t>
  </si>
  <si>
    <t xml:space="preserve"> Free Cash Flow for All Debt and Equity model.  See additional comments in cell L266.</t>
  </si>
  <si>
    <t>Present Value Net Dividends</t>
  </si>
  <si>
    <t>Sum of Present Value Net Dividends</t>
  </si>
  <si>
    <t>Present Value of Continuing Value</t>
  </si>
  <si>
    <t>Total Present Value Dividends</t>
  </si>
  <si>
    <t>Present Value Free Cash Flows</t>
  </si>
  <si>
    <t>Sum of Present Value Free Cash Flows</t>
  </si>
  <si>
    <t>Total Present Value Free Cash Flows to Equity</t>
  </si>
  <si>
    <t>Present Value Residual Income</t>
  </si>
  <si>
    <t>Sum of Present Value Residual Income</t>
  </si>
  <si>
    <t>Present Value of Equity</t>
  </si>
  <si>
    <t>Total Present Value of Equity</t>
  </si>
  <si>
    <t>Present Value Residual ROCE times growth</t>
  </si>
  <si>
    <t>Sum of Present Value Residual ROCE times growth</t>
  </si>
  <si>
    <t>Total Present Value Residual ROCE</t>
  </si>
  <si>
    <t>Total Present Value Free Cash Flows to Equity and Debt</t>
  </si>
  <si>
    <t>Other noncurrent liabilities (1)</t>
  </si>
  <si>
    <t>Accounts and notes receivable - net</t>
  </si>
  <si>
    <t>Noncontrolling interests</t>
  </si>
  <si>
    <t xml:space="preserve">  Total Equity</t>
  </si>
  <si>
    <t xml:space="preserve"> Total Common Shareholders' Equity</t>
  </si>
  <si>
    <t xml:space="preserve">  Net Income </t>
  </si>
  <si>
    <t xml:space="preserve">  Net Income attributable to common shareholders</t>
  </si>
  <si>
    <t xml:space="preserve">Enter the amount of net income attributable to noncontrolling interests.  Enter amount as a negative number. If the firm reports a net loss attributable to noncontrolling interests, enter the amount as a positive number. </t>
  </si>
  <si>
    <t>This amount usually appears in the Statement of Comprehensive Income.  Enter as a positive or negative number as appropriate.</t>
  </si>
  <si>
    <t>Accounts payable</t>
  </si>
  <si>
    <t xml:space="preserve">  Net CF from Operating Activities</t>
  </si>
  <si>
    <t>LT Debt / Total Equity</t>
  </si>
  <si>
    <t>RETURN ON COMMON SHAREHOLDERS' EQUITY ANALYSIS: Alternative Approach to Disaggregation</t>
  </si>
  <si>
    <t>INPUT VARIABLES</t>
  </si>
  <si>
    <t>Net Operating Profit After Tax (NOPAT)</t>
  </si>
  <si>
    <t>Net Financing Expense After Tax</t>
  </si>
  <si>
    <t>Total Revenues</t>
  </si>
  <si>
    <t>Average Net Operating Assets</t>
  </si>
  <si>
    <t>Average Financing Obligations</t>
  </si>
  <si>
    <t>Average Common Equity</t>
  </si>
  <si>
    <t>ROCE</t>
  </si>
  <si>
    <t>Operating ROA (NOPAT/Average NOA)</t>
  </si>
  <si>
    <t>Net Borrowing Rate</t>
  </si>
  <si>
    <t>Spread</t>
  </si>
  <si>
    <t>Leverage</t>
  </si>
  <si>
    <t>Leverage*Spread</t>
  </si>
  <si>
    <t>Profit margin for operating ROA</t>
  </si>
  <si>
    <t>Net operating asset turnover</t>
  </si>
  <si>
    <t>ROCE = Operating ROA+Leverage*Spread</t>
  </si>
  <si>
    <t>Other income or gains &lt;Other expenses or losses&gt;</t>
  </si>
  <si>
    <t>Enter income or gain amounts (or expense or loss amounts as negative numbers) that are unusual and non-recurring and outside of normal business operations.</t>
  </si>
  <si>
    <t>DIVIDEND and STOCK MARKET-BASED RATIOS:</t>
  </si>
  <si>
    <t>Common Dividends per Share</t>
  </si>
  <si>
    <t>Common Dividend Payout (% of Net Income)</t>
  </si>
  <si>
    <t>Common Dividend Yield (% of Share Price)</t>
  </si>
  <si>
    <t>&lt;Treasury stock&gt; and other equity adjustments</t>
  </si>
  <si>
    <t xml:space="preserve">Include on this line any treasury stock accounts and any items that do not fall within some other shareholders' equity line.  Such items seldom appear in balance sheets of U.S. firms.  Amounts that increase (decrease) total shareholders' equity should be entered as positive (negative) amounts. </t>
  </si>
  <si>
    <t xml:space="preserve">Increase &lt;Decrease&gt; in accum. OCI </t>
  </si>
  <si>
    <t>Increase &lt;Decrease&gt; in treasury stock and other equity adjs.</t>
  </si>
  <si>
    <t>Increase &lt;Decrease&gt; in noncontrolling interests</t>
  </si>
  <si>
    <t>Net CFs - Pref. Stock and Noncontrolling Interests</t>
  </si>
  <si>
    <t>Share price at fiscal year end</t>
  </si>
  <si>
    <t>Increase &lt;Decrease&gt; in preferred stock</t>
  </si>
  <si>
    <t>The Forecasts spreadsheet is programmed to balance the balance sheet by adjusting treasury stock purchases (see forecast box below). The user can alter this assumption by reprogamming the computations to adjust an alternate flexible financial account.</t>
  </si>
  <si>
    <t>The initial adjustment to balance the balance sheet is computed as total assets minus total liabilities and shareholders equity before any adjustments. The initial adjustment amount is then used to adjust treasury stock purchases so that total assets equal total liabilities and equities.</t>
  </si>
  <si>
    <t xml:space="preserve">Negative adjustment amounts indicate the firm has excess capital and can increase treasury stock purchases.  Positive amounts indicate that the firm needs more capital to balance the balance sheet, so treasury stoick purchases have to be reduced, or additional equity capital must be issued.  </t>
  </si>
  <si>
    <t xml:space="preserve">Flexible Financial Account: </t>
  </si>
  <si>
    <t xml:space="preserve">Original Forecast Amounts: </t>
  </si>
  <si>
    <t>Implied adjustments:</t>
  </si>
  <si>
    <t>Total:</t>
  </si>
  <si>
    <t>Adjustment needed to balance the balance sheet, from above.</t>
  </si>
  <si>
    <t>Total Treasury Stock Purchase Amounts</t>
  </si>
  <si>
    <t>Treasury Stock Purchases:</t>
  </si>
  <si>
    <t>Long-term investments</t>
  </si>
  <si>
    <t>&lt;Depreciation and Amortization&gt;</t>
  </si>
  <si>
    <t>Increase &lt;Decrease&gt; in deferred revenues</t>
  </si>
  <si>
    <t>Growth rates</t>
  </si>
  <si>
    <t>Amounts from depreciation schedule, Forecast Development worksheet.</t>
  </si>
  <si>
    <t>Assume random walk, mean zero.</t>
  </si>
  <si>
    <t>Add net income and subtract dividends and share repurchases; see forecast box below.</t>
  </si>
  <si>
    <t>Portion Reported Separately on Income Statement (95% of total)</t>
  </si>
  <si>
    <t>Portion Reported within COGS on Income Statement (5% of total)</t>
  </si>
  <si>
    <t>Dividends Valuation Sensitivity Analysis:</t>
  </si>
  <si>
    <t>COST OF NONCONTROLLING INTERESTS' CAPITAL</t>
  </si>
  <si>
    <t>Noncontrolling interests capital</t>
  </si>
  <si>
    <t>Earnings attributable to noncontrolling interests</t>
  </si>
  <si>
    <t>Cost of Noncontrolling Interests Parameters:</t>
  </si>
  <si>
    <t xml:space="preserve">FSAP uses the amount of equity capital attributable to noncontrolling interests entered in the most recent balance sheet data in the Forecasts worksheet. The analyst can override this default by entering the market value of noncontrolling interests, if known.  </t>
  </si>
  <si>
    <t xml:space="preserve">FSAP uses the earnings attributable to noncontrolling interests entered in the Forecasts spreadsheet. The analyst can override this default by entering the required rate of return on noncontrolling interests, if known. </t>
  </si>
  <si>
    <t xml:space="preserve">FSAP uses the above parameters to compute the cost of capital atttributable to noncontrolling interests. </t>
  </si>
  <si>
    <t>Weight of noncontrolling interests in capital structure</t>
  </si>
  <si>
    <t>FSAP computes the weight of equity in the capital structure by dividing the market value of equity by the market value of total capital (common equity, debt, preferred stock, and noncontrolling interests).</t>
  </si>
  <si>
    <t>FSAP computes the weight of debt in the capital structure by dividing the value of debt by the market value of total capital (common equity, debt, preferred stock, and noncontrolling interests).</t>
  </si>
  <si>
    <t>FSAP computes the weight of preferred stock in the capital structure by dividing the market value of preferred by the market value of total capital (common equity, debt, preferred stock, and noncontrolling interests).</t>
  </si>
  <si>
    <t>FSAP computes the weight of noncontrolling interests in the capital structure by dividing the book value of noncontrolling interests by the market value of total capital (common equity, debt, preferred stock, and noncontrolling interests).</t>
  </si>
  <si>
    <t xml:space="preserve">FSAP uses the amount of preferred stock entered in the most recent balance sheet data in the Forecasts worksheet. The analyst can override this default by entering the market value of preferred stock, if known.  </t>
  </si>
  <si>
    <t xml:space="preserve">Goodwill </t>
  </si>
  <si>
    <t xml:space="preserve">Equity and cost investments </t>
  </si>
  <si>
    <t>Other assets</t>
  </si>
  <si>
    <t>Accrued liabilities</t>
  </si>
  <si>
    <t xml:space="preserve">Long-term debt </t>
  </si>
  <si>
    <t>Other operating expenses (1)</t>
  </si>
  <si>
    <t>Other operating expenses (2)</t>
  </si>
  <si>
    <t>&lt;Share repurchases&gt;</t>
  </si>
  <si>
    <t>CAPEX Index</t>
  </si>
  <si>
    <t>Expected Useful Life of PPE for Depreciation</t>
  </si>
  <si>
    <t>Expected Remaining Useful Life of PPE</t>
  </si>
  <si>
    <t xml:space="preserve">Average gross PPE (at cost) divided by depreciation expense.  Average expected useful life (in years) of PPE, assuming straight-line depreciation. </t>
  </si>
  <si>
    <t xml:space="preserve">Net PPE (gross PPE minus accumulated depreciation) by depreciation expense.  Average expected remaining useful life (in years) of PPE, assuming straight-line depreciation. </t>
  </si>
  <si>
    <t>Capital expenditures to acquire PPE divided by depreciation expense.</t>
  </si>
  <si>
    <t>Revenue Forecast Development</t>
  </si>
  <si>
    <t>Implied revenue growth rates.</t>
  </si>
  <si>
    <t>Face Value Amounts</t>
  </si>
  <si>
    <t>Debt Issues and Maturities:</t>
  </si>
  <si>
    <t>Totals</t>
  </si>
  <si>
    <t>Proportion of Total</t>
  </si>
  <si>
    <t>Weighted Average Interest Rates</t>
  </si>
  <si>
    <t>Long-Term Debt and Weighted-Average Interest Rates</t>
  </si>
  <si>
    <t>Weighted Average Interest Rate Used in Forecasts:</t>
  </si>
  <si>
    <t>Cost of Sales and Occupancy Costs</t>
  </si>
  <si>
    <t>Cost of Sales and Occupancy Cost Projections</t>
  </si>
  <si>
    <t>as a percent of total revenues</t>
  </si>
  <si>
    <t xml:space="preserve">Cost of Sales and Occupancy Costs: </t>
  </si>
  <si>
    <t>Short-term investments</t>
  </si>
  <si>
    <t>Interest rate earned on average balance in cash and investment securities.</t>
  </si>
  <si>
    <t>Financial Statement Analysis Package (FSAP): Version 9.0</t>
  </si>
  <si>
    <t>Financial Reporting, Financial Statement Analysis, and Valuation: A Strategic Perspective, 9th Edition</t>
  </si>
  <si>
    <t>By Jim Wahlen, Steve Baginski and Mark Bradshaw</t>
  </si>
  <si>
    <t>Dividends and share repurchases</t>
  </si>
  <si>
    <t>Increase &lt;Decrease&gt; in insurance reserves</t>
  </si>
  <si>
    <t xml:space="preserve">Increase &lt;Decrease&gt; in stored value card liabilities </t>
  </si>
  <si>
    <t>&lt;Increase&gt; Decrease in short-term investments</t>
  </si>
  <si>
    <t>&lt;Increase&gt; Decrease in long-term investments</t>
  </si>
  <si>
    <t xml:space="preserve">&lt;Increase&gt; Decrease in other  assets </t>
  </si>
  <si>
    <t xml:space="preserve">Enter the beginning balance in cash and cash equivalents for the first year of data. </t>
  </si>
  <si>
    <t>GROWTH RATES:</t>
  </si>
  <si>
    <t>Net Profit Contol Index</t>
  </si>
  <si>
    <t>The rate of change in net income relative to the rate of change in revenues.</t>
  </si>
  <si>
    <t>Weighted average interest rate on average balance in financial liabilities. See Forecast Development.</t>
  </si>
  <si>
    <t>Other current assets (3)</t>
  </si>
  <si>
    <t xml:space="preserve">Other current assets (1), (2) and (3) can be renamed and used for different types of current assets for different firms. </t>
  </si>
  <si>
    <t xml:space="preserve">Other current liabilities (1), (2), and (3) can be renamed and used for different types of current liabilities for different firms. </t>
  </si>
  <si>
    <t>&lt;Cost of goods sold&gt;</t>
  </si>
  <si>
    <t>&lt;Selling, General and Administrative Expenses&gt;</t>
  </si>
  <si>
    <t xml:space="preserve">Other investing transactions </t>
  </si>
  <si>
    <t>Income from equity investees</t>
  </si>
  <si>
    <t xml:space="preserve">  - build detailed revenue forecasts</t>
  </si>
  <si>
    <t>FSAP users who wish to develop detailed revenue forecasts to incorporate a firm's various sources of revenue may do so here.</t>
  </si>
  <si>
    <t xml:space="preserve">For an example of a detailed revenue forecast, see the FSAP Starbucks model and the description in Chaper 10. </t>
  </si>
  <si>
    <t>rates of change</t>
  </si>
  <si>
    <t>Maturity 3</t>
  </si>
  <si>
    <t>Maturity 4</t>
  </si>
  <si>
    <t>Maturity 5</t>
  </si>
  <si>
    <t>Maturity 6</t>
  </si>
  <si>
    <t>Maturity 7</t>
  </si>
  <si>
    <t>Current maturities of long-term debt per long-term debt note.</t>
  </si>
  <si>
    <t>Treasury stock repurchases, if not subtracted from retained earnings.</t>
  </si>
  <si>
    <t>Enter treasury stock purchases, if any.</t>
  </si>
  <si>
    <t>Enter preferred stock dividend payment amounts, if any.</t>
  </si>
  <si>
    <t>Assume dividend payout of net income, if any.</t>
  </si>
  <si>
    <t>Enter a risk-free rate of return, such as the yield on long-term U.S. Treasury bonds.</t>
  </si>
  <si>
    <t>CAI Zonghuan</t>
  </si>
  <si>
    <t>FORTINET</t>
  </si>
  <si>
    <t>BALANCE SHEET DATA (IN MILLIONS EXCEPT PER SHARE AMOUNTS)</t>
  </si>
  <si>
    <t>Accrued payroll and compensation</t>
  </si>
  <si>
    <t>Income taxes payable</t>
  </si>
  <si>
    <t>Deferred revenue - current</t>
  </si>
  <si>
    <t>Deferred revenue - noncurrent</t>
  </si>
  <si>
    <t>Income taxes liabilities</t>
  </si>
  <si>
    <t>&lt;Research and Development&gt;</t>
  </si>
  <si>
    <t>&lt;Sles and Marketing&gt;</t>
  </si>
  <si>
    <t xml:space="preserve">  Operating Income</t>
  </si>
  <si>
    <t>Interest income - NET</t>
  </si>
  <si>
    <t>Other expense - NET</t>
  </si>
  <si>
    <t>Gain on intellectual property matter</t>
  </si>
  <si>
    <t>Other comprehensive income (loss)</t>
  </si>
  <si>
    <t>Amortization of deferred contract costs</t>
  </si>
  <si>
    <t>Amortization of investment premiums (disoucnts)</t>
  </si>
  <si>
    <t>Depreciation and amortization expenses</t>
  </si>
  <si>
    <t>Stock-based compensation expense</t>
  </si>
  <si>
    <t>&lt;Increase&gt; Decrease in other assets</t>
  </si>
  <si>
    <t>&lt;Increase&gt; Decrease in deferred contract costs</t>
  </si>
  <si>
    <t>Increase &lt;Decrease&gt; in liabilities</t>
  </si>
  <si>
    <t>Increase &lt;Decrease&gt; in accrued payroll and compensation</t>
  </si>
  <si>
    <t>Marturities of investments</t>
  </si>
  <si>
    <t>Payments made in connection with business combinations, net of cash acquired</t>
  </si>
  <si>
    <t>Taxes paid related to net share settlement of equity awards</t>
  </si>
  <si>
    <t>Payments of debt assumed in connection with business combinations</t>
  </si>
  <si>
    <t>Deferred Tax assets</t>
  </si>
  <si>
    <t>Other intangible assets - Net</t>
  </si>
  <si>
    <t>Marketable equity securities</t>
  </si>
  <si>
    <t>Accumulated retained earnings &lt;deficit&gt;</t>
  </si>
  <si>
    <t>Provision for (Benefit from) Income Taxes (+Benefit, - Provision)</t>
  </si>
  <si>
    <t>Income &lt;Loss&gt; from discontinued operations (+Income, - Loss)</t>
  </si>
  <si>
    <t>Less: Net loss attributable to non-controlling interestsm net of tax (- and loss = +)</t>
  </si>
  <si>
    <t>&lt;Increase&gt; Decrease in deferred tax assets</t>
  </si>
  <si>
    <t>Other + Loss from equity method investments</t>
  </si>
  <si>
    <t>Sales of investments</t>
  </si>
  <si>
    <t>Purchases of investments = (in public and in privately held companies)</t>
  </si>
  <si>
    <t>Short-term borrowing -- Net</t>
  </si>
  <si>
    <t>Long-term borrowing -- Net</t>
  </si>
  <si>
    <t>Proceeds from long-term borrowings, net of idscount and underwriting fees</t>
  </si>
  <si>
    <t>Americas:</t>
  </si>
  <si>
    <t>Europe, Middle East and Africa</t>
  </si>
  <si>
    <t>Asia Pacific</t>
  </si>
  <si>
    <t>Revenues (in millions):</t>
  </si>
  <si>
    <t xml:space="preserve">   Total Revenues</t>
  </si>
  <si>
    <t>Depreciation and Amortization per expense (raison: Operating expenses. • Research and development. Research and development expense consists primarily of personnel costs. Additional research and development expenses include ASIC and system prototypes and certification-related expenses, depreciation of property and equipment and facility-related expenses. • Sales and marketing. Sales and marketing expense is the largest component of our operating expenses and primarily consists of personnel costs. Additional sales and marketing expenses include product marketing, public relations, field marketing and events and channel marketing programs (e.g., partner cooperative marketing arrangements), as well as travel, depreciation of property and equipment and facility-related expenses.  • General and administrative. General and administrative expense consists of personnel costs, as well as professional fees, depreciation of property and equipment and software and facility-related expenses. General and administrative personnel include our executive, finance, human resources, information technology and legal organizations.</t>
  </si>
  <si>
    <t>"We expect personnel costs to continue to increase in absolute dollars as we expand our workforce"</t>
  </si>
  <si>
    <t>our expectations regarding: continued growth and market share gains</t>
  </si>
  <si>
    <t>We continued to experience large organic revenue growth (i.e., revenue growth excluding attribution from recent acquisitions) with diversification of revenue geographically</t>
  </si>
  <si>
    <t>We expect personnel costs to continue to increase in absolute dollars as we expand our workforce</t>
  </si>
  <si>
    <t>Fortinet currently expect general and administrative expense to increase in absolute dollars in 2024.</t>
  </si>
  <si>
    <t>2026 Senior Notes</t>
  </si>
  <si>
    <t>2031 Senior Notes</t>
  </si>
  <si>
    <t>Date of Maturity</t>
  </si>
  <si>
    <t>We estimate 2024 capital expenditures to be between $370.0 million and $420.0 million.</t>
  </si>
  <si>
    <t>As we purchase new properties, we will work to incorporate these properties into the environmental goals we have established.</t>
  </si>
  <si>
    <t>Payments for debt issuance costs</t>
  </si>
  <si>
    <t xml:space="preserve">Contribution </t>
  </si>
  <si>
    <t>Net Income (enter reported amount as a check)</t>
  </si>
  <si>
    <t>ROIC</t>
  </si>
  <si>
    <t>A</t>
  </si>
  <si>
    <t>Palo Alto</t>
  </si>
  <si>
    <t>Fortinet</t>
  </si>
  <si>
    <t>CrowdStrike</t>
  </si>
  <si>
    <t>=</t>
  </si>
  <si>
    <t>EPS</t>
  </si>
  <si>
    <t>Quarter revenue</t>
  </si>
  <si>
    <t>segment 3</t>
  </si>
  <si>
    <t>segment 2</t>
  </si>
  <si>
    <t>segment 1</t>
  </si>
  <si>
    <t>coming annoucement in october 2024 if reporting year end. If not please use latest quarter</t>
  </si>
  <si>
    <t>3Q2024</t>
  </si>
  <si>
    <t>3Q2023</t>
  </si>
  <si>
    <t>Snap-shot last quarter</t>
  </si>
  <si>
    <t>Source: FedEx's Webcast&amp;Presentation and Quaterly results , unit: $ millions</t>
  </si>
  <si>
    <t>Diluted EPS</t>
  </si>
  <si>
    <t>Operating income</t>
  </si>
  <si>
    <t>Total Revenue</t>
  </si>
  <si>
    <t>1Q2024</t>
  </si>
  <si>
    <t>Quarterly</t>
  </si>
  <si>
    <t>beat</t>
  </si>
  <si>
    <t>miss</t>
  </si>
  <si>
    <t>Beat or Miss</t>
  </si>
  <si>
    <t>Actual diluted EPS</t>
  </si>
  <si>
    <t>Estimate diluted EPS</t>
  </si>
  <si>
    <t>Actual Net Income</t>
  </si>
  <si>
    <t>Estimate Net Income</t>
  </si>
  <si>
    <t>Actual Operating income</t>
  </si>
  <si>
    <t>Estimate Operating income</t>
  </si>
  <si>
    <t>Actual Revenue</t>
  </si>
  <si>
    <t>Check previous PPT with full year guidance and reconsile with actual results for the years</t>
  </si>
  <si>
    <t>Estimate Revenue</t>
  </si>
  <si>
    <t>2023</t>
  </si>
  <si>
    <t>2022</t>
  </si>
  <si>
    <t>2021</t>
  </si>
  <si>
    <t>2020</t>
  </si>
  <si>
    <t>Full Year Guidance 2020-2023</t>
  </si>
  <si>
    <t>Revenue and operating profit guidance</t>
  </si>
  <si>
    <t>Full year results company will discuss guidance for the year. Go back and check if the guidance was correct?</t>
  </si>
  <si>
    <t>table of Full guidance</t>
  </si>
  <si>
    <t>tech low predictability</t>
  </si>
  <si>
    <t>What is my COMPANY doing of products foods pharma ect high predictability</t>
  </si>
  <si>
    <t>Why does my company beat or miss? Predictability?</t>
  </si>
  <si>
    <t>Source: FedEx's Webcast&amp;Presentation and Quaterly results and Annual reports, unit: $ million</t>
  </si>
  <si>
    <t>Guidance from company</t>
  </si>
  <si>
    <t>Find the guidance in the PPT OF the annual results. The company will always guide for the year during that presentation</t>
  </si>
  <si>
    <t xml:space="preserve">   =&gt;</t>
  </si>
  <si>
    <t>Source: Yahoo Finance, unit: million</t>
  </si>
  <si>
    <t>Revenue</t>
  </si>
  <si>
    <t>if different accounting year adjust to the quarters available</t>
  </si>
  <si>
    <t>3Q24</t>
  </si>
  <si>
    <t>2Q24</t>
  </si>
  <si>
    <t>1Q24</t>
  </si>
  <si>
    <t>4Q23</t>
  </si>
  <si>
    <t>3Q23</t>
  </si>
  <si>
    <t xml:space="preserve">Quarterly Guidance </t>
  </si>
  <si>
    <t xml:space="preserve">Fiscal year 31-May </t>
  </si>
  <si>
    <t xml:space="preserve">0.40 </t>
  </si>
  <si>
    <t>0.39</t>
  </si>
  <si>
    <t>0.38</t>
  </si>
  <si>
    <t>0,42-0,44</t>
  </si>
  <si>
    <t>Beat</t>
  </si>
  <si>
    <t>Miss</t>
  </si>
  <si>
    <t>Source: Fortinet's Quaterly results, Annual reports &amp; NASDAQ</t>
  </si>
  <si>
    <t>Change to your company and key competitors</t>
  </si>
  <si>
    <t>Competitors</t>
  </si>
  <si>
    <t>COMP WORLD</t>
  </si>
  <si>
    <t>Change comp 1-4 to your competitors name and stick in the numbers below</t>
  </si>
  <si>
    <t>Trailing P/E</t>
  </si>
  <si>
    <t>TTM = Trailing 12 months IE last 4 quarter EPS, history P/E</t>
  </si>
  <si>
    <t>Forward P/E</t>
  </si>
  <si>
    <t>2024 PE</t>
  </si>
  <si>
    <t>PEG Ratio (5 yr expected)</t>
  </si>
  <si>
    <t>PE ratio divided by EPS growth rate</t>
  </si>
  <si>
    <t>= PE/EPS growth rate</t>
  </si>
  <si>
    <t>Price/Sales (ttm)</t>
  </si>
  <si>
    <t>Price/Book (mrq)</t>
  </si>
  <si>
    <t>Enterprise Value/Revenue</t>
  </si>
  <si>
    <t>Enterprise Value/EBITDA</t>
  </si>
  <si>
    <t>Use by investment banker when doing M&amp;A</t>
  </si>
  <si>
    <t>Beta (5Y Monthly)</t>
  </si>
  <si>
    <r>
      <t>52-Week Change </t>
    </r>
    <r>
      <rPr>
        <b/>
        <vertAlign val="superscript"/>
        <sz val="11"/>
        <rFont val="Calibri"/>
        <family val="2"/>
        <scheme val="minor"/>
      </rPr>
      <t>3</t>
    </r>
  </si>
  <si>
    <r>
      <t>Forward Annual Dividend Yield </t>
    </r>
    <r>
      <rPr>
        <b/>
        <vertAlign val="superscript"/>
        <sz val="11"/>
        <rFont val="Calibri"/>
        <family val="2"/>
        <scheme val="minor"/>
      </rPr>
      <t>4</t>
    </r>
  </si>
  <si>
    <r>
      <t>Trailing Annual Dividend Yield </t>
    </r>
    <r>
      <rPr>
        <b/>
        <vertAlign val="superscript"/>
        <sz val="11"/>
        <rFont val="Calibri"/>
        <family val="2"/>
        <scheme val="minor"/>
      </rPr>
      <t>3</t>
    </r>
  </si>
  <si>
    <r>
      <t>Payout Ratio </t>
    </r>
    <r>
      <rPr>
        <b/>
        <vertAlign val="superscript"/>
        <sz val="11"/>
        <rFont val="Calibri"/>
        <family val="2"/>
        <scheme val="minor"/>
      </rPr>
      <t>4</t>
    </r>
  </si>
  <si>
    <t>Interest coverage ratio</t>
  </si>
  <si>
    <t>Debt to Equity (net debt/total equity%)</t>
  </si>
  <si>
    <t>Source: Yahoo Finance</t>
  </si>
  <si>
    <t>Cisco</t>
  </si>
  <si>
    <t>Check Point</t>
  </si>
  <si>
    <t>Example of how you can present your tables and charts - please make your own choise as it is not the only right way!!</t>
  </si>
  <si>
    <t>Table 1: Revenue Forecast Development</t>
  </si>
  <si>
    <t>2024E</t>
  </si>
  <si>
    <t>2025E</t>
  </si>
  <si>
    <t>2026E</t>
  </si>
  <si>
    <t>2027E</t>
  </si>
  <si>
    <t>2028E</t>
  </si>
  <si>
    <t>Net Revenues (in millions):</t>
  </si>
  <si>
    <t>CAGR</t>
  </si>
  <si>
    <t>Change data to your company data</t>
  </si>
  <si>
    <t>Total Net Revenues</t>
  </si>
  <si>
    <t>Source: FedEx’s 10-K, Own estimates</t>
  </si>
  <si>
    <t>Chart 1: Historical Revenue</t>
  </si>
  <si>
    <t>Chart 2: Forecast Revenue</t>
  </si>
  <si>
    <r>
      <t>Table 2:</t>
    </r>
    <r>
      <rPr>
        <sz val="12"/>
        <color rgb="FF7030A0"/>
        <rFont val="Calibri"/>
        <family val="2"/>
      </rPr>
      <t xml:space="preserve"> Forecast Income Statement</t>
    </r>
  </si>
  <si>
    <r>
      <t>Table 3:</t>
    </r>
    <r>
      <rPr>
        <sz val="12"/>
        <color rgb="FF7030A0"/>
        <rFont val="Calibri"/>
        <family val="2"/>
      </rPr>
      <t xml:space="preserve"> Long term Debt and Weighted-Average Interest Rates</t>
    </r>
  </si>
  <si>
    <r>
      <t xml:space="preserve">Chart 3: </t>
    </r>
    <r>
      <rPr>
        <sz val="12"/>
        <color rgb="FF7030A0"/>
        <rFont val="Calibri"/>
        <family val="2"/>
      </rPr>
      <t>Capital structrure</t>
    </r>
  </si>
  <si>
    <t>CAPITAL STRUCTURE in 2023</t>
  </si>
  <si>
    <t>Percentage</t>
  </si>
  <si>
    <t>Liabilities</t>
  </si>
  <si>
    <t>Equity</t>
  </si>
  <si>
    <t>Asset</t>
  </si>
  <si>
    <t>Chart 4: Debt</t>
  </si>
  <si>
    <t>DEBT in million</t>
  </si>
  <si>
    <t>Total Debt</t>
  </si>
  <si>
    <t>Long-term Debt</t>
  </si>
  <si>
    <t>Table 5: Solvency factors</t>
  </si>
  <si>
    <t>Solvency Factors</t>
  </si>
  <si>
    <t>2023A</t>
  </si>
  <si>
    <t>Total Debt/Total Assets</t>
  </si>
  <si>
    <t>LT Debt/Total Equity</t>
  </si>
  <si>
    <t>TIE RATIO (interest cover ratio)</t>
  </si>
  <si>
    <t>OCF/Total Liabilities</t>
  </si>
  <si>
    <t>FCF/Total Liabilities</t>
  </si>
  <si>
    <t>Source: Own estimates</t>
  </si>
  <si>
    <t>Chart 5: Debt-to-Asset &amp; LT Debt-to-Equity</t>
  </si>
  <si>
    <t>2019</t>
  </si>
  <si>
    <t>Debt-to-Asset</t>
  </si>
  <si>
    <t>Debt-to-Equity</t>
  </si>
  <si>
    <t>Long term Debt</t>
  </si>
  <si>
    <t>Table 5: WACC computation</t>
  </si>
  <si>
    <t xml:space="preserve">WACC computation: </t>
  </si>
  <si>
    <t>WACC</t>
  </si>
  <si>
    <t>Chart 6: Segment Revenue (1Q23 &amp; 1Q24)</t>
  </si>
  <si>
    <t>Market Cap (million)</t>
  </si>
  <si>
    <t>Enterprise Value (million)</t>
  </si>
  <si>
    <t>EBIT</t>
  </si>
  <si>
    <t>Interest Expense</t>
  </si>
  <si>
    <t>1,6 (3,03%)</t>
  </si>
  <si>
    <t>1,58 (3,01%)</t>
  </si>
  <si>
    <t>Year+6</t>
  </si>
  <si>
    <t>Company will spend more money for repurchase stock</t>
  </si>
  <si>
    <t>?</t>
  </si>
  <si>
    <t>Company repurchase more stock in the future, it need more debt for its operation</t>
  </si>
  <si>
    <t xml:space="preserve"> Revenue Forecasts by Segment and Type</t>
  </si>
  <si>
    <t>Americas: The revenue growth rate for 2024 is expected to be around 9-10%, driven by continued demand for cybersecurity services in North and South America. This region remains Fortinet's largest contributor to overall revenue</t>
  </si>
  <si>
    <t>Europe, Middle East, and Africa (EMEA): The growth rate for EMEA is projected at around 12-14%, reflecting the region's increasing investments in cybersecurity across industries​</t>
  </si>
  <si>
    <t>Asia Pacific (APAC): APAC's growth rate is expected to be slightly lower, around 8-10%, due to slower adoption rates compared to the Americas and EMEA, but still showing consistent upward momentum</t>
  </si>
  <si>
    <t>Link the data from your forecast sheet</t>
  </si>
  <si>
    <t>FY 2022</t>
  </si>
  <si>
    <t>FY 2023</t>
  </si>
  <si>
    <t>FY 2024</t>
  </si>
  <si>
    <t>FY 2025E</t>
  </si>
  <si>
    <t>FY 2026E</t>
  </si>
  <si>
    <t>FY 2027E</t>
  </si>
  <si>
    <t>FY 2028E</t>
  </si>
  <si>
    <t>FY 2029E</t>
  </si>
  <si>
    <t>Q1</t>
  </si>
  <si>
    <t>Q2</t>
  </si>
  <si>
    <t>Q3</t>
  </si>
  <si>
    <t>Q4 Est.</t>
  </si>
  <si>
    <t xml:space="preserve"> Revenues per quarter</t>
  </si>
  <si>
    <t xml:space="preserve">Performance drivers </t>
  </si>
  <si>
    <t>Market</t>
  </si>
  <si>
    <t>Sector</t>
  </si>
  <si>
    <t>Macro</t>
  </si>
  <si>
    <t>Style</t>
  </si>
  <si>
    <t>Idiosyncratic</t>
  </si>
  <si>
    <t>% growth of C&amp;CE</t>
  </si>
  <si>
    <t xml:space="preserve">% of revenues </t>
  </si>
  <si>
    <t xml:space="preserve">Share price evolutiony year on year </t>
  </si>
  <si>
    <t>2024-YTD</t>
  </si>
  <si>
    <t>FY 2024E</t>
  </si>
  <si>
    <t>Ownership of Kering</t>
  </si>
  <si>
    <t>Artemis (Family Holding)</t>
  </si>
  <si>
    <t>Baillie Gifford &amp; Co. </t>
  </si>
  <si>
    <t>Invesco Advisers</t>
  </si>
  <si>
    <t>Harris Associates</t>
  </si>
  <si>
    <t>Capital RM (World)</t>
  </si>
  <si>
    <t>The Vanguard Group</t>
  </si>
  <si>
    <t>Norges IM</t>
  </si>
  <si>
    <t>Jennison Associates</t>
  </si>
  <si>
    <t>Capital RM (Global)</t>
  </si>
  <si>
    <t>BlackRock IM</t>
  </si>
  <si>
    <t>Gen Digital</t>
  </si>
  <si>
    <t>Check point</t>
  </si>
  <si>
    <t>Okta</t>
  </si>
  <si>
    <t>FY2021</t>
  </si>
  <si>
    <t>Zscaler</t>
  </si>
  <si>
    <t>Date</t>
  </si>
  <si>
    <t>Cumulative Returns FTNT</t>
  </si>
  <si>
    <t>Cumulative NASDAQ Returns</t>
  </si>
  <si>
    <t>Fortinet Close</t>
  </si>
  <si>
    <t>NASDAQ Close</t>
  </si>
  <si>
    <t>FTNT Returns</t>
  </si>
  <si>
    <t>NASDAQ Returns</t>
  </si>
  <si>
    <t>Product of the deviation of average return</t>
  </si>
  <si>
    <t>deviation from average Fortinet return</t>
  </si>
  <si>
    <t>Squared deviation of the average NASDAQ return</t>
  </si>
  <si>
    <t>deviation from average NASDAQ return</t>
  </si>
  <si>
    <t>Annually</t>
  </si>
  <si>
    <t xml:space="preserve">Product </t>
  </si>
  <si>
    <t xml:space="preserve">    Security subscription</t>
  </si>
  <si>
    <t xml:space="preserve">    Technical support and other</t>
  </si>
  <si>
    <t>Total Service Revenue:</t>
  </si>
  <si>
    <t>Average</t>
  </si>
  <si>
    <t>COGS</t>
  </si>
  <si>
    <t xml:space="preserve">Service </t>
  </si>
  <si>
    <t>Gross Profit</t>
  </si>
  <si>
    <t>N/A</t>
  </si>
  <si>
    <t>Gross Profit Ratio of Product</t>
  </si>
  <si>
    <t>Gross Profit Ratio of Service</t>
  </si>
  <si>
    <t>Service</t>
  </si>
  <si>
    <t>: Unamortized discount and debt issuance costs</t>
  </si>
  <si>
    <t>Effective Interest Rates</t>
  </si>
  <si>
    <t>Stock Price and ticker symbol (Bloomberg or Reuters)</t>
  </si>
  <si>
    <t>Stock Price</t>
  </si>
  <si>
    <t>WHY SHOULD INVESTORS BUY OR SELL THE STOCK?</t>
  </si>
  <si>
    <t xml:space="preserve">EXECUTIVE SUMMARY </t>
  </si>
  <si>
    <t xml:space="preserve"> 1) Discount to intrinsic value of 30% (see valuation sheet conclusion</t>
  </si>
  <si>
    <t>MOST OF YOUR READERS WILL NOT GO BEYOND PAGE TWO IF YOU HAVE NOT PUNCHED THROUGH WHY THIS COMPANY IS WORTH STUDYING: ELABORATE ON BUY/SELL RECOMMENDATION USING INTRINSIC VALUE AND RELATIVE VALUATION ARGUMENTS</t>
  </si>
  <si>
    <t>2) Relative value argument like EV/ebitda of 7x vs comp group of 12x</t>
  </si>
  <si>
    <t>PAGE 3 TO PAGE 15</t>
  </si>
  <si>
    <t>1) HISTORIC PERFORMANCE OF MY COMPANY</t>
  </si>
  <si>
    <t>Free Float (%)</t>
  </si>
  <si>
    <t>CAGR 3 5 10 20 YEARS most important years are 2017-2019 with highligth on 2020 covid impact?</t>
  </si>
  <si>
    <t>Beta (2Y Weekly):</t>
  </si>
  <si>
    <t>TABLE AND ANALYSIS Explain what you have found and how you see the coming 5 years</t>
  </si>
  <si>
    <t>2) M&amp;A activities : has your company made transformational acquisition ie fx new segment ?</t>
  </si>
  <si>
    <t xml:space="preserve">ORGANIC OR EXTERNAL GROWTH IE M&amp;A </t>
  </si>
  <si>
    <t>Stock Market Ratios</t>
  </si>
  <si>
    <t>LIST KEY REASON FOR YOUR RECOMMENDATION</t>
  </si>
  <si>
    <t>Table and analysis focus on recent acquisitions explain why …</t>
  </si>
  <si>
    <t>P/E</t>
  </si>
  <si>
    <t>3) FORECAST DEVELOPMENT TABLE OF SEGMENTS</t>
  </si>
  <si>
    <t>PEG</t>
  </si>
  <si>
    <t>FOCUS YOUR ARGUMENT ON KEY ISSUES THAT CAN IMPACT THE SHARE PRICE IN THE NEAR FUTURE MAX 12 MONTH …..HIGHLIGHT COMING QUARTERLY RESULTS…..</t>
  </si>
  <si>
    <t>TABLE AND ANALYSIS what is driving revenue of your company external factors etc</t>
  </si>
  <si>
    <t>EV/EBITDA</t>
  </si>
  <si>
    <t xml:space="preserve">4) FORECAST OF YEAR 1-5 Income statement in forecast sheet </t>
  </si>
  <si>
    <t>Dividend Yield</t>
  </si>
  <si>
    <t>TABLE AND ANALYSIS explain margins and evolution of cost structure positive or negative</t>
  </si>
  <si>
    <t>5). Debt structure (forecast development- table of debt maturity</t>
  </si>
  <si>
    <t>Profitability factors %</t>
  </si>
  <si>
    <t>ELABORATE ON COMPANY'S CORE COMPETENCES AND IF YOU BELIEVE THEY ARE SUSTAINABLE</t>
  </si>
  <si>
    <t>a) Maturity table from F/C DEV Line 158</t>
  </si>
  <si>
    <t xml:space="preserve">ROA </t>
  </si>
  <si>
    <t>b) Interest cover ratio table from the optimal capital structure model</t>
  </si>
  <si>
    <t xml:space="preserve">ROE </t>
  </si>
  <si>
    <t>c) Table of your company debt/equity and tie ratios</t>
  </si>
  <si>
    <t>d) S&amp;P or Moody rating with outlook comments</t>
  </si>
  <si>
    <t xml:space="preserve"> ROIC&gt;WACC</t>
  </si>
  <si>
    <t>charts from optimal capital structure etc</t>
  </si>
  <si>
    <t>Scenario analysis</t>
  </si>
  <si>
    <t xml:space="preserve">Operating Margin </t>
  </si>
  <si>
    <t>Compare to FCF of your company fx how many years will take to pay back outstanding debt</t>
  </si>
  <si>
    <t>FCF YIELD (FCF/EV)</t>
  </si>
  <si>
    <t xml:space="preserve">6) PORTER ANALYSIS and SWOT </t>
  </si>
  <si>
    <t>COMPETITIVE LANDSCAPE INTRODUCE PORTER'S FIVE FORCES AS A SUPPORT TOOL FOR YOUR ARGUMENTS</t>
  </si>
  <si>
    <t xml:space="preserve">TABLE AND ANALYSIS Use financial numbers to explain where possible this is not marketing </t>
  </si>
  <si>
    <t>5a) Intrinsic valuation and relative valuation</t>
  </si>
  <si>
    <t>TABLE AND ANALYSIS create output tables from valuation sheet and explain ….</t>
  </si>
  <si>
    <t xml:space="preserve">FOCUS ON CORPORATE GROWTH HISTORY INTERNAL OR EXTERNAL solvency of your company did your company take on debt during covid19 period </t>
  </si>
  <si>
    <t>7) COMP TABLE</t>
  </si>
  <si>
    <t>Analyse the competitive landscape with numbers!</t>
  </si>
  <si>
    <t>8) INDUSTRY ANALYSIS: trade organisation check trade fairs feedback</t>
  </si>
  <si>
    <t>general trends for the industry check trade associations and other industry organisations</t>
  </si>
  <si>
    <t>TABLE AND ANALYSIS</t>
  </si>
  <si>
    <t>Asset Turnover</t>
  </si>
  <si>
    <t>9) Guidance for FY2020 and if possible for 2021</t>
  </si>
  <si>
    <t>Acc Receivable turnover</t>
  </si>
  <si>
    <t>BALANCE SHEET ISSUES OR MARGIN ISSUES MAP IT OUT….MEASSURE HOW MANY YEARS IT WILL TAKE THE COMPANY TO REPAY ITS DEBT USING FCF</t>
  </si>
  <si>
    <t>How reliable is the corporate guidance history : yahoofinance : how many times did</t>
  </si>
  <si>
    <t>Days Receivable Held</t>
  </si>
  <si>
    <t>OTHER KEY IMPORTANT ISSUES RELATING TO YOUR COMPANY AND THE INDUSTRY YOUR COMPANY OPERATES IN</t>
  </si>
  <si>
    <t>the company beat and miss Wall Street estimates? Focus on EPS only</t>
  </si>
  <si>
    <t>10) Snap shot of latest quarterly result. Revenue and operating profit increase or decrease</t>
  </si>
  <si>
    <t>Days Inventory held</t>
  </si>
  <si>
    <t>build a table with key financial results from the quarter</t>
  </si>
  <si>
    <t>Acc. Payable Turnover</t>
  </si>
  <si>
    <t>key questions from analysts? And write about it as your key issues</t>
  </si>
  <si>
    <t>Days Payable Held</t>
  </si>
  <si>
    <t>11) RISK PARAGRAPH MACRO AND COMPANY SPECIFIC RISK</t>
  </si>
  <si>
    <t>Networking Capital Days</t>
  </si>
  <si>
    <t>12) APENDIX</t>
  </si>
  <si>
    <t>Cash turnover</t>
  </si>
  <si>
    <t>12a) INCOME STATEMENT</t>
  </si>
  <si>
    <t>DOS Held in Cash</t>
  </si>
  <si>
    <t>12b) BALANCE SHEET STATEMENT</t>
  </si>
  <si>
    <t>12c) CASH FLOW STATEMENT</t>
  </si>
  <si>
    <t>Liquidity Ratio</t>
  </si>
  <si>
    <t>CORPORATE GOVERNANCE ISSUES: 1. MANAGEMENT PAY 2. SHARE BUY BACK PROGRAMS ETC 3. ARE SHAREHOLDERS AND MANAGEMENT INTEREST ALLIGNED and ESG</t>
  </si>
  <si>
    <t>12d) KEY RATIO TABLE (table from the forecast sheet at the bottum)</t>
  </si>
  <si>
    <t>12e) STOCK PERFORMANCE 5 YEARS RELATIVE TO INDEX RELATED TO YOUR COMPANY</t>
  </si>
  <si>
    <t xml:space="preserve">LIST KEY RISK FACTORS TO YOUR RECOMMANDATION BOTH MACRO AND MICRO FACTORS                            </t>
  </si>
  <si>
    <t xml:space="preserve">13) Legal disclamer </t>
  </si>
  <si>
    <t>OCF to Current Liability</t>
  </si>
  <si>
    <t>14) Your CV with request to be hired now!!!!!</t>
  </si>
  <si>
    <t xml:space="preserve">Only picture accepted is a picture of you under point 14 </t>
  </si>
  <si>
    <t>15Y</t>
  </si>
  <si>
    <t>10Y</t>
  </si>
  <si>
    <t>5Y</t>
  </si>
  <si>
    <t xml:space="preserve">Revenues </t>
  </si>
  <si>
    <t>Net Profit</t>
  </si>
  <si>
    <t>INVESTMENT CONCLUSION</t>
  </si>
  <si>
    <t xml:space="preserve">NO PICTURES OF MANAGEMENT TEAM, CORPORATE HQ, PRODUCTS ETC </t>
  </si>
  <si>
    <t>PORTER</t>
  </si>
  <si>
    <t>FORECAST OF REVENUES</t>
  </si>
  <si>
    <t>mobile phones</t>
  </si>
  <si>
    <t>declining sales due …..</t>
  </si>
  <si>
    <t>FCF/EV%</t>
  </si>
  <si>
    <t xml:space="preserve">FREE CASH FLOW YIELD </t>
  </si>
  <si>
    <t>Q3/16</t>
  </si>
  <si>
    <t>OCF</t>
  </si>
  <si>
    <t>change in NWC</t>
  </si>
  <si>
    <t>minus Capex</t>
  </si>
  <si>
    <t xml:space="preserve">FCF </t>
  </si>
  <si>
    <t>EV = MARKET CAP + NET DEBT OR MARKET CAP - NET CASH</t>
  </si>
  <si>
    <t>FCF YIELD</t>
  </si>
  <si>
    <t>NET DEBT OR NET CASH?</t>
  </si>
  <si>
    <t>GEARING RATIO</t>
  </si>
  <si>
    <t>DIVIDEND YIELD</t>
  </si>
  <si>
    <t>COST OF DEBT</t>
  </si>
  <si>
    <t>For large or stable firms</t>
  </si>
  <si>
    <t>If interest coverage ratio is</t>
  </si>
  <si>
    <t>&gt;</t>
  </si>
  <si>
    <t>≤ to</t>
  </si>
  <si>
    <t>Rating is</t>
  </si>
  <si>
    <t>Spread is</t>
  </si>
  <si>
    <t>D</t>
  </si>
  <si>
    <t>C</t>
  </si>
  <si>
    <t>CC</t>
  </si>
  <si>
    <t>CCC</t>
  </si>
  <si>
    <t>B-</t>
  </si>
  <si>
    <t>B</t>
  </si>
  <si>
    <t>B+</t>
  </si>
  <si>
    <t>BB</t>
  </si>
  <si>
    <t>BB+</t>
  </si>
  <si>
    <t>BBB</t>
  </si>
  <si>
    <t>A-</t>
  </si>
  <si>
    <t>A+</t>
  </si>
  <si>
    <t>AA</t>
  </si>
  <si>
    <t>AAA</t>
  </si>
  <si>
    <t>RISK FREE RATE</t>
  </si>
  <si>
    <t>REVENUES BY REGION AND RISK FREE RATE</t>
  </si>
  <si>
    <t>SPREAD</t>
  </si>
  <si>
    <t>BY REGION</t>
  </si>
  <si>
    <t>BANK FEE</t>
  </si>
  <si>
    <t>INSURANCE</t>
  </si>
  <si>
    <t>COMPARE THIS TO THE DEBT SCHEDULE YOU WILL FIND IN THE BALANCE SHEET</t>
  </si>
  <si>
    <t>CASH FLOW STATEMENT</t>
  </si>
  <si>
    <t>Market Cap (million $):</t>
  </si>
  <si>
    <t>EV (million $):</t>
  </si>
  <si>
    <t>Avg. Daily N° shares traded (million):</t>
  </si>
  <si>
    <t>Baa1</t>
  </si>
  <si>
    <t>Rating by Moody</t>
  </si>
  <si>
    <t>Americas</t>
  </si>
  <si>
    <t>22.26%</t>
  </si>
  <si>
    <t>EV</t>
  </si>
  <si>
    <t>52 week Range</t>
  </si>
  <si>
    <t>4,16(3 month)</t>
  </si>
  <si>
    <t>Common shares outstanding (millions)</t>
  </si>
  <si>
    <t>count</t>
  </si>
  <si>
    <t>variance</t>
  </si>
  <si>
    <t>co-variance</t>
  </si>
  <si>
    <t>beta</t>
  </si>
  <si>
    <t>Change Ratio</t>
  </si>
  <si>
    <t xml:space="preserve"> Revenues by Segment</t>
  </si>
  <si>
    <t>Cost of goods sold</t>
  </si>
  <si>
    <t>Research and Development</t>
  </si>
  <si>
    <t>Common size</t>
  </si>
  <si>
    <t>Rate of Change</t>
  </si>
  <si>
    <t>ROA</t>
  </si>
  <si>
    <t>Capital expenditure to revenue ratio</t>
  </si>
  <si>
    <t>Total Assets</t>
  </si>
  <si>
    <t>Assets</t>
  </si>
  <si>
    <t>Year + 1</t>
  </si>
  <si>
    <t>Year + 2</t>
  </si>
  <si>
    <t>Year + 3</t>
  </si>
  <si>
    <t>Year + 4</t>
  </si>
  <si>
    <t>Year + 5</t>
  </si>
  <si>
    <t>Year + 6</t>
  </si>
  <si>
    <t>Rf</t>
  </si>
  <si>
    <t>MRP</t>
  </si>
  <si>
    <t>Re</t>
  </si>
  <si>
    <t>E/EV</t>
  </si>
  <si>
    <t>Rd</t>
  </si>
  <si>
    <t>D/EV</t>
  </si>
  <si>
    <t>3.74%</t>
  </si>
  <si>
    <t>4.60%</t>
  </si>
  <si>
    <t>at 11/10/2024:</t>
  </si>
  <si>
    <t>373.42%</t>
  </si>
  <si>
    <t>5370-5430</t>
  </si>
  <si>
    <t>3025-3075</t>
  </si>
  <si>
    <t>2525-2555</t>
  </si>
  <si>
    <t>4275-4325</t>
  </si>
  <si>
    <t>2Q2024</t>
  </si>
  <si>
    <t>3Q2024 (estimated)</t>
  </si>
  <si>
    <t>447,95-466,55</t>
  </si>
  <si>
    <t xml:space="preserve"> 1445 - 1505</t>
  </si>
  <si>
    <t>0,56-0,58</t>
  </si>
  <si>
    <t>1445 - 1505</t>
  </si>
  <si>
    <t>0,50 - 0,52</t>
  </si>
  <si>
    <t>Performance</t>
  </si>
  <si>
    <t>Performance2</t>
  </si>
  <si>
    <t>TIE RATIO</t>
  </si>
  <si>
    <t>Moody's Rating</t>
  </si>
  <si>
    <t>S&amp;P's Rating</t>
  </si>
  <si>
    <t>BBB+</t>
  </si>
  <si>
    <t>Unamortized discount and debt issuance costs</t>
  </si>
  <si>
    <t>APPENDIX</t>
  </si>
  <si>
    <t xml:space="preserve">  Comprehensive Income</t>
  </si>
  <si>
    <t>Source: FedEx's 10-K, Yahoo Finance, Own estimates; unit: $ million</t>
  </si>
  <si>
    <t xml:space="preserve"> ASSETS:</t>
  </si>
  <si>
    <t>STATEMENT OF CASH FLOWS</t>
  </si>
  <si>
    <t>KEY RATIO TABLE</t>
  </si>
  <si>
    <t>FedEx STOCK 5Y AND NASDAQ 5Y PERFORMANCE</t>
  </si>
  <si>
    <t>Segment 1 (change name)</t>
  </si>
  <si>
    <t>Segment 2 (change name)</t>
  </si>
  <si>
    <t>Segment 3 (change name)</t>
  </si>
  <si>
    <t>Segment 4 (change name)</t>
  </si>
  <si>
    <t>Segment</t>
  </si>
  <si>
    <t>Snaftshot</t>
  </si>
  <si>
    <t>1Q2023</t>
  </si>
  <si>
    <t xml:space="preserve">FedEx Express segment </t>
  </si>
  <si>
    <t xml:space="preserve">FedEx Ground segment </t>
  </si>
  <si>
    <t xml:space="preserve">FedEx Freight segment </t>
  </si>
  <si>
    <t>FedEx Services segment &amp; Others</t>
  </si>
  <si>
    <t>2Q2024 (estimated)</t>
  </si>
  <si>
    <t>&lt;Purchased transportation&gt;</t>
  </si>
  <si>
    <t>Operating Profit</t>
  </si>
  <si>
    <t xml:space="preserve">Net Income </t>
  </si>
  <si>
    <t xml:space="preserve">include all your sources here with link </t>
  </si>
  <si>
    <t>N°</t>
  </si>
  <si>
    <t xml:space="preserve">HEADLINE </t>
  </si>
  <si>
    <t>LINK</t>
  </si>
  <si>
    <t>https://investor.fortinet.com/annual-reports-and-proxies/</t>
  </si>
  <si>
    <t>Fortinet Annual Report 2023</t>
  </si>
  <si>
    <t>Fortinet Annual Report 2022</t>
  </si>
  <si>
    <t>Fortinet Annual Report 2021</t>
  </si>
  <si>
    <t>Fortinet Annual Report 2020</t>
  </si>
  <si>
    <t>Fortinet Annual Report 2019</t>
  </si>
  <si>
    <t>Fortinet Annual Report 2018</t>
  </si>
  <si>
    <t>Fortinet Acquires ZoneFox</t>
  </si>
  <si>
    <t>https://www.fortinet.com/products/fortinet-acquires-zonefox</t>
  </si>
  <si>
    <t>Fortinet Acquires CyberSponse</t>
  </si>
  <si>
    <t>https://www.fortinet.com/products/fortinet-acquires-cybersponse</t>
  </si>
  <si>
    <t>Fortinet Acquires OPAQ</t>
  </si>
  <si>
    <t>Fortinet Acquires Panopta</t>
  </si>
  <si>
    <t>https://www.fortinet.com/products/fortinet-acquires-opaq</t>
  </si>
  <si>
    <t>https://www.fortinet.com/products/fortinet-acquires-panopta</t>
  </si>
  <si>
    <t>enSilo is Now Fortinet FortiEDR</t>
  </si>
  <si>
    <t>https://www.fortinet.com/products/fortinet-acquires-ensilo</t>
  </si>
  <si>
    <t>https://www.fortinet.com/corporate/about-us/newsroom/press-releases/2024/fortinet-to-acquire-lacework</t>
  </si>
  <si>
    <t>Fortinet to Acquire Lacework</t>
  </si>
  <si>
    <t>https://finance.yahoo.com/quote/PANW/</t>
  </si>
  <si>
    <t>https://finance.yahoo.com/quote/CSCO/</t>
  </si>
  <si>
    <t>https://finance.yahoo.com/quote/FTNT/</t>
  </si>
  <si>
    <t>https://finance.yahoo.com/quote/CRWD/</t>
  </si>
  <si>
    <t>https://finance.yahoo.com/quote/CHKP/</t>
  </si>
  <si>
    <t>PANW detail financial information</t>
  </si>
  <si>
    <t>CSCO detail financial information</t>
  </si>
  <si>
    <t>FTNT detail financial information</t>
  </si>
  <si>
    <t>CRWD detail financial information</t>
  </si>
  <si>
    <t>CHKP detail financial information</t>
  </si>
  <si>
    <t>Interest Coverage Ratio for Fortinet Inc</t>
  </si>
  <si>
    <t>https://finbox.com/NASDAQGS:FTNT/explorer/interest_coverage/</t>
  </si>
  <si>
    <t>Fortinet Inc. Assigned 'BBB+' Issuer Credit Rating; Outlook Stable</t>
  </si>
  <si>
    <t>https://disclosure.spglobal.com/ratings/en/regulatory/article/-/view/type/HTML/id/2598719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</si>
</sst>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 #,##0.00_-;_-* &quot;-&quot;??_-;_-@_-"/>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0.0%"/>
    <numFmt numFmtId="169" formatCode="0.0"/>
    <numFmt numFmtId="170" formatCode="_(* #,##0.0_);_(* \(#,##0.0\);_(* &quot;-&quot;??_);_(@_)"/>
    <numFmt numFmtId="171" formatCode="_(&quot;$&quot;* #,##0_);_(&quot;$&quot;* \(#,##0\);_(&quot;$&quot;* &quot;-&quot;??_);_(@_)"/>
    <numFmt numFmtId="172" formatCode="0.000"/>
    <numFmt numFmtId="173" formatCode="#,##0.0"/>
    <numFmt numFmtId="174" formatCode="_(* #,##0_);_(* \(#,##0\);_(* &quot;-&quot;??_);_(@_)"/>
    <numFmt numFmtId="175" formatCode="_(&quot;$&quot;* #,##0.0_);_(&quot;$&quot;* \(#,##0.0\);_(&quot;$&quot;* &quot;-&quot;??_);_(@_)"/>
    <numFmt numFmtId="176" formatCode="0.000_)"/>
    <numFmt numFmtId="177" formatCode="0.0000"/>
    <numFmt numFmtId="178" formatCode="0.00_)"/>
    <numFmt numFmtId="179" formatCode="0.0_)"/>
    <numFmt numFmtId="180" formatCode="0_)"/>
    <numFmt numFmtId="181" formatCode="#,##0.000"/>
    <numFmt numFmtId="182" formatCode="&quot;$&quot;#,##0.0"/>
    <numFmt numFmtId="183" formatCode="_(&quot;$&quot;* #,##0.000_);_(&quot;$&quot;* \(#,##0.000\);_(&quot;$&quot;* &quot;-&quot;??_);_(@_)"/>
    <numFmt numFmtId="184" formatCode="#,##0.0000000000"/>
    <numFmt numFmtId="185" formatCode="_(* #,##0.000_);_(* \(#,##0.000\);_(* &quot;-&quot;??_);_(@_)"/>
    <numFmt numFmtId="186" formatCode="#,##0.00000000000"/>
    <numFmt numFmtId="187" formatCode="_(* #,##0.0_);_(* \(#,##0.0\);_(* &quot;-&quot;?_);_(@_)"/>
    <numFmt numFmtId="188" formatCode="0.000%"/>
    <numFmt numFmtId="189" formatCode="0.0000%"/>
    <numFmt numFmtId="190" formatCode="#,##0.0_);\(#,##0.0\)"/>
    <numFmt numFmtId="191" formatCode="0.000000%"/>
    <numFmt numFmtId="192" formatCode="[$$-45D]#,##0"/>
    <numFmt numFmtId="193" formatCode="[$$-409]#,##0.00"/>
    <numFmt numFmtId="194" formatCode="0.000000"/>
    <numFmt numFmtId="195" formatCode="[$$-45D]#,##0.0"/>
    <numFmt numFmtId="196" formatCode="_-* #,##0.00\ _€_-;\-* #,##0.00\ _€_-;_-* &quot;-&quot;??\ _€_-;_-@_-"/>
    <numFmt numFmtId="197" formatCode="_-[$$-409]* #,##0.00_ ;_-[$$-409]* \-#,##0.00\ ;_-[$$-409]* &quot;-&quot;??_ ;_-@_ "/>
    <numFmt numFmtId="198" formatCode="[$$-409]#,##0"/>
    <numFmt numFmtId="199" formatCode="[$$-45D]#,##0;\-[$$-45D]#,##0"/>
    <numFmt numFmtId="200" formatCode="[$$-45D]#,##0.00;\-[$$-45D]#,##0.00"/>
  </numFmts>
  <fonts count="88">
    <font>
      <sz val="10"/>
      <name val="Arial"/>
    </font>
    <font>
      <sz val="10"/>
      <name val="Arial"/>
      <family val="2"/>
    </font>
    <font>
      <sz val="8"/>
      <color indexed="81"/>
      <name val="Tahoma"/>
      <family val="2"/>
    </font>
    <font>
      <sz val="10"/>
      <name val="Arial"/>
      <family val="2"/>
    </font>
    <font>
      <b/>
      <sz val="10"/>
      <name val="Arial"/>
      <family val="2"/>
    </font>
    <font>
      <sz val="10"/>
      <name val="Arial"/>
      <family val="2"/>
    </font>
    <font>
      <b/>
      <sz val="10"/>
      <color indexed="12"/>
      <name val="Arial"/>
      <family val="2"/>
    </font>
    <font>
      <sz val="10"/>
      <color indexed="12"/>
      <name val="Arial"/>
      <family val="2"/>
    </font>
    <font>
      <sz val="8"/>
      <name val="Arial"/>
      <family val="2"/>
    </font>
    <font>
      <sz val="7"/>
      <name val="Arial"/>
      <family val="2"/>
    </font>
    <font>
      <sz val="10"/>
      <color indexed="48"/>
      <name val="Arial"/>
      <family val="2"/>
    </font>
    <font>
      <b/>
      <sz val="8"/>
      <name val="Arial"/>
      <family val="2"/>
    </font>
    <font>
      <b/>
      <vertAlign val="superscript"/>
      <sz val="8"/>
      <name val="Arial"/>
      <family val="2"/>
    </font>
    <font>
      <b/>
      <sz val="10"/>
      <color indexed="17"/>
      <name val="Arial"/>
      <family val="2"/>
    </font>
    <font>
      <sz val="10"/>
      <color indexed="10"/>
      <name val="Arial"/>
      <family val="2"/>
    </font>
    <font>
      <b/>
      <u/>
      <sz val="10"/>
      <name val="Arial"/>
      <family val="2"/>
    </font>
    <font>
      <b/>
      <i/>
      <sz val="10"/>
      <color indexed="12"/>
      <name val="Arial"/>
      <family val="2"/>
    </font>
    <font>
      <b/>
      <sz val="10"/>
      <color indexed="10"/>
      <name val="Arial"/>
      <family val="2"/>
    </font>
    <font>
      <b/>
      <i/>
      <sz val="10"/>
      <name val="Arial"/>
      <family val="2"/>
    </font>
    <font>
      <b/>
      <i/>
      <u/>
      <sz val="10"/>
      <name val="Arial"/>
      <family val="2"/>
    </font>
    <font>
      <sz val="8"/>
      <color indexed="10"/>
      <name val="Arial"/>
      <family val="2"/>
    </font>
    <font>
      <sz val="10"/>
      <color indexed="10"/>
      <name val="Arial"/>
      <family val="2"/>
    </font>
    <font>
      <sz val="10"/>
      <name val="Arial"/>
      <family val="2"/>
    </font>
    <font>
      <u/>
      <sz val="12"/>
      <color indexed="12"/>
      <name val="Arial MT"/>
    </font>
    <font>
      <sz val="10"/>
      <name val="Arial"/>
      <family val="2"/>
    </font>
    <font>
      <b/>
      <sz val="10"/>
      <color rgb="FF0000FF"/>
      <name val="Arial"/>
      <family val="2"/>
    </font>
    <font>
      <b/>
      <sz val="9"/>
      <color rgb="FF000000"/>
      <name val="Calibri"/>
      <family val="2"/>
    </font>
    <font>
      <b/>
      <sz val="9"/>
      <name val="Calibri"/>
      <family val="2"/>
    </font>
    <font>
      <sz val="9"/>
      <color rgb="FF000000"/>
      <name val="Calibri"/>
      <family val="2"/>
    </font>
    <font>
      <b/>
      <sz val="11"/>
      <color theme="1"/>
      <name val="Calibri"/>
      <family val="2"/>
      <scheme val="minor"/>
    </font>
    <font>
      <sz val="10"/>
      <color rgb="FFFF0000"/>
      <name val="Arial"/>
      <family val="2"/>
    </font>
    <font>
      <b/>
      <sz val="10"/>
      <color theme="0"/>
      <name val="Arial"/>
      <family val="2"/>
    </font>
    <font>
      <b/>
      <sz val="10"/>
      <color rgb="FFFF0000"/>
      <name val="Arial"/>
      <family val="2"/>
    </font>
    <font>
      <b/>
      <sz val="9"/>
      <color indexed="81"/>
      <name val="Tahoma"/>
      <family val="2"/>
    </font>
    <font>
      <sz val="9"/>
      <color indexed="81"/>
      <name val="Tahoma"/>
      <family val="2"/>
    </font>
    <font>
      <sz val="10"/>
      <color theme="1"/>
      <name val="Arial"/>
      <family val="2"/>
    </font>
    <font>
      <sz val="9"/>
      <name val="ArialMT"/>
    </font>
    <font>
      <b/>
      <sz val="10"/>
      <color theme="0"/>
      <name val="Calibri"/>
      <family val="2"/>
      <scheme val="minor"/>
    </font>
    <font>
      <i/>
      <sz val="10"/>
      <name val="Arial"/>
      <family val="2"/>
    </font>
    <font>
      <sz val="10"/>
      <name val="Calibri"/>
      <family val="2"/>
      <scheme val="minor"/>
    </font>
    <font>
      <i/>
      <sz val="10"/>
      <name val="Calibri"/>
      <family val="2"/>
      <scheme val="minor"/>
    </font>
    <font>
      <sz val="10"/>
      <color theme="9" tint="-0.249977111117893"/>
      <name val="Calibri"/>
      <family val="2"/>
      <scheme val="minor"/>
    </font>
    <font>
      <sz val="14"/>
      <name val="Arial"/>
      <family val="2"/>
    </font>
    <font>
      <b/>
      <vertAlign val="superscript"/>
      <sz val="11"/>
      <name val="Calibri"/>
      <family val="2"/>
      <scheme val="minor"/>
    </font>
    <font>
      <b/>
      <i/>
      <sz val="10"/>
      <color rgb="FF7030A0"/>
      <name val="Calibri"/>
      <family val="2"/>
      <scheme val="minor"/>
    </font>
    <font>
      <b/>
      <sz val="14"/>
      <name val="Arial"/>
      <family val="2"/>
    </font>
    <font>
      <b/>
      <sz val="12"/>
      <color rgb="FF7030A0"/>
      <name val="Calibri"/>
      <family val="2"/>
    </font>
    <font>
      <b/>
      <sz val="10"/>
      <name val="Calibri"/>
      <family val="2"/>
      <scheme val="minor"/>
    </font>
    <font>
      <b/>
      <sz val="10"/>
      <color theme="1"/>
      <name val="Arial"/>
      <family val="2"/>
    </font>
    <font>
      <sz val="10"/>
      <color theme="0"/>
      <name val="Arial"/>
      <family val="2"/>
    </font>
    <font>
      <b/>
      <sz val="10"/>
      <color theme="9" tint="-0.249977111117893"/>
      <name val="Arial"/>
      <family val="2"/>
    </font>
    <font>
      <b/>
      <sz val="12"/>
      <name val="Arial"/>
      <family val="2"/>
    </font>
    <font>
      <i/>
      <sz val="10"/>
      <color rgb="FF7030A0"/>
      <name val="Calibri"/>
      <family val="2"/>
    </font>
    <font>
      <b/>
      <sz val="12"/>
      <color rgb="FF7030A0"/>
      <name val="Arial"/>
      <family val="2"/>
    </font>
    <font>
      <b/>
      <sz val="10"/>
      <color rgb="FF7030A0"/>
      <name val="Arial"/>
      <family val="2"/>
    </font>
    <font>
      <sz val="12"/>
      <color rgb="FF7030A0"/>
      <name val="Calibri"/>
      <family val="2"/>
    </font>
    <font>
      <b/>
      <sz val="9"/>
      <name val="Calibri"/>
      <family val="2"/>
      <scheme val="minor"/>
    </font>
    <font>
      <sz val="9"/>
      <name val="Arial"/>
      <family val="2"/>
    </font>
    <font>
      <sz val="9"/>
      <name val="Calibri"/>
      <family val="2"/>
      <scheme val="minor"/>
    </font>
    <font>
      <b/>
      <sz val="10"/>
      <color theme="9" tint="-0.249977111117893"/>
      <name val="Helvetica Neue"/>
      <family val="2"/>
    </font>
    <font>
      <b/>
      <sz val="10"/>
      <name val="Helvetica Neue"/>
      <family val="2"/>
    </font>
    <font>
      <b/>
      <sz val="9"/>
      <color rgb="FF000000"/>
      <name val="Tahoma"/>
      <family val="2"/>
    </font>
    <font>
      <sz val="9"/>
      <color rgb="FF000000"/>
      <name val="Tahoma"/>
      <family val="2"/>
    </font>
    <font>
      <b/>
      <sz val="10"/>
      <color indexed="9"/>
      <name val="Arial"/>
      <family val="2"/>
    </font>
    <font>
      <b/>
      <sz val="10"/>
      <color indexed="8"/>
      <name val="Arial"/>
      <family val="2"/>
    </font>
    <font>
      <sz val="10"/>
      <color indexed="63"/>
      <name val="Arial"/>
      <family val="2"/>
    </font>
    <font>
      <sz val="10"/>
      <color indexed="8"/>
      <name val="Arial"/>
      <family val="2"/>
    </font>
    <font>
      <b/>
      <sz val="10"/>
      <color theme="3"/>
      <name val="Arial"/>
      <family val="2"/>
    </font>
    <font>
      <b/>
      <sz val="10"/>
      <color indexed="63"/>
      <name val="Arial"/>
      <family val="2"/>
    </font>
    <font>
      <b/>
      <sz val="9"/>
      <name val="Helvetica Neue"/>
    </font>
    <font>
      <sz val="9"/>
      <name val="Helvetica Neue"/>
    </font>
    <font>
      <b/>
      <sz val="10"/>
      <name val="Times"/>
      <family val="1"/>
    </font>
    <font>
      <sz val="10"/>
      <name val="Geneva"/>
      <family val="2"/>
    </font>
    <font>
      <i/>
      <sz val="10"/>
      <name val="Times"/>
      <family val="1"/>
    </font>
    <font>
      <sz val="10"/>
      <name val="Times"/>
      <family val="1"/>
    </font>
    <font>
      <sz val="10"/>
      <color rgb="FF000000"/>
      <name val="Arial"/>
      <family val="2"/>
    </font>
    <font>
      <sz val="11"/>
      <color rgb="FF000000"/>
      <name val="Calibri"/>
      <family val="2"/>
    </font>
    <font>
      <b/>
      <sz val="11"/>
      <name val="Calibri"/>
      <family val="2"/>
    </font>
    <font>
      <b/>
      <sz val="11"/>
      <color rgb="FF000000"/>
      <name val="Calibri"/>
      <family val="2"/>
    </font>
    <font>
      <b/>
      <sz val="10"/>
      <color rgb="FF000000"/>
      <name val="Arial"/>
      <family val="2"/>
    </font>
    <font>
      <u/>
      <sz val="10"/>
      <name val="Arial"/>
      <family val="2"/>
    </font>
    <font>
      <b/>
      <sz val="10"/>
      <color theme="1"/>
      <name val="Calibri"/>
      <family val="2"/>
      <scheme val="minor"/>
    </font>
    <font>
      <i/>
      <sz val="10"/>
      <color rgb="FF7030A0"/>
      <name val="Calibri"/>
      <family val="2"/>
      <scheme val="minor"/>
    </font>
    <font>
      <sz val="10"/>
      <color theme="0"/>
      <name val="Calibri"/>
      <family val="2"/>
      <scheme val="minor"/>
    </font>
    <font>
      <sz val="10"/>
      <color theme="1"/>
      <name val="Calibri"/>
      <family val="2"/>
      <scheme val="minor"/>
    </font>
    <font>
      <b/>
      <sz val="9"/>
      <color indexed="12"/>
      <name val="Calibri"/>
      <family val="2"/>
      <scheme val="minor"/>
    </font>
    <font>
      <i/>
      <sz val="9"/>
      <name val="Calibri"/>
      <family val="2"/>
      <scheme val="minor"/>
    </font>
    <font>
      <b/>
      <sz val="9"/>
      <color theme="0"/>
      <name val="Calibri"/>
      <family val="2"/>
      <scheme val="minor"/>
    </font>
  </fonts>
  <fills count="3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43"/>
        <bgColor indexed="9"/>
      </patternFill>
    </fill>
    <fill>
      <patternFill patternType="solid">
        <fgColor indexed="9"/>
        <bgColor indexed="9"/>
      </patternFill>
    </fill>
    <fill>
      <patternFill patternType="solid">
        <fgColor indexed="13"/>
        <bgColor indexed="64"/>
      </patternFill>
    </fill>
    <fill>
      <patternFill patternType="solid">
        <fgColor indexed="47"/>
        <bgColor indexed="64"/>
      </patternFill>
    </fill>
    <fill>
      <patternFill patternType="solid">
        <fgColor rgb="FFFFFF00"/>
        <bgColor indexed="64"/>
      </patternFill>
    </fill>
    <fill>
      <patternFill patternType="solid">
        <fgColor theme="2"/>
        <bgColor indexed="64"/>
      </patternFill>
    </fill>
    <fill>
      <patternFill patternType="solid">
        <fgColor rgb="FFCCFFCC"/>
        <bgColor indexed="64"/>
      </patternFill>
    </fill>
    <fill>
      <patternFill patternType="solid">
        <fgColor theme="0"/>
        <bgColor indexed="64"/>
      </patternFill>
    </fill>
    <fill>
      <patternFill patternType="solid">
        <fgColor theme="0" tint="-0.14999847407452621"/>
        <bgColor indexed="64"/>
      </patternFill>
    </fill>
    <fill>
      <patternFill patternType="solid">
        <fgColor rgb="FFFFFFCC"/>
        <bgColor indexed="64"/>
      </patternFill>
    </fill>
    <fill>
      <patternFill patternType="solid">
        <fgColor theme="3" tint="0.79998168889431442"/>
        <bgColor indexed="64"/>
      </patternFill>
    </fill>
    <fill>
      <patternFill patternType="solid">
        <fgColor theme="1"/>
        <bgColor indexed="64"/>
      </patternFill>
    </fill>
    <fill>
      <patternFill patternType="solid">
        <fgColor rgb="FFFFC000"/>
        <bgColor indexed="64"/>
      </patternFill>
    </fill>
    <fill>
      <patternFill patternType="solid">
        <fgColor theme="7"/>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4F81BD"/>
        <bgColor indexed="64"/>
      </patternFill>
    </fill>
    <fill>
      <patternFill patternType="solid">
        <fgColor theme="8"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rgb="FF7030A0"/>
        <bgColor indexed="64"/>
      </patternFill>
    </fill>
    <fill>
      <patternFill patternType="solid">
        <fgColor rgb="FFC00000"/>
        <bgColor indexed="64"/>
      </patternFill>
    </fill>
  </fills>
  <borders count="8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double">
        <color indexed="64"/>
      </bottom>
      <diagonal/>
    </border>
    <border>
      <left/>
      <right/>
      <top style="thin">
        <color indexed="64"/>
      </top>
      <bottom style="double">
        <color indexed="64"/>
      </bottom>
      <diagonal/>
    </border>
    <border>
      <left/>
      <right/>
      <top style="double">
        <color indexed="64"/>
      </top>
      <bottom style="thin">
        <color indexed="64"/>
      </bottom>
      <diagonal/>
    </border>
    <border>
      <left/>
      <right style="medium">
        <color indexed="64"/>
      </right>
      <top style="thin">
        <color indexed="64"/>
      </top>
      <bottom style="double">
        <color indexed="64"/>
      </bottom>
      <diagonal/>
    </border>
    <border>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diagonal/>
    </border>
    <border>
      <left/>
      <right style="double">
        <color indexed="64"/>
      </right>
      <top style="thin">
        <color indexed="64"/>
      </top>
      <bottom style="double">
        <color indexed="64"/>
      </bottom>
      <diagonal/>
    </border>
    <border>
      <left style="double">
        <color indexed="64"/>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style="double">
        <color indexed="64"/>
      </left>
      <right style="double">
        <color indexed="64"/>
      </right>
      <top/>
      <bottom/>
      <diagonal/>
    </border>
    <border>
      <left style="double">
        <color indexed="64"/>
      </left>
      <right/>
      <top style="thin">
        <color indexed="64"/>
      </top>
      <bottom/>
      <diagonal/>
    </border>
    <border>
      <left/>
      <right style="double">
        <color indexed="64"/>
      </right>
      <top/>
      <bottom style="thin">
        <color indexed="64"/>
      </bottom>
      <diagonal/>
    </border>
    <border>
      <left/>
      <right style="double">
        <color indexed="64"/>
      </right>
      <top style="thin">
        <color indexed="64"/>
      </top>
      <bottom/>
      <diagonal/>
    </border>
    <border>
      <left/>
      <right/>
      <top/>
      <bottom style="thin">
        <color rgb="FF000000"/>
      </bottom>
      <diagonal/>
    </border>
    <border>
      <left/>
      <right style="thin">
        <color theme="0"/>
      </right>
      <top/>
      <bottom/>
      <diagonal/>
    </border>
    <border>
      <left style="thin">
        <color theme="0"/>
      </left>
      <right style="thin">
        <color theme="0"/>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bottom style="thin">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double">
        <color indexed="64"/>
      </right>
      <top/>
      <bottom/>
      <diagonal/>
    </border>
  </borders>
  <cellStyleXfs count="32">
    <xf numFmtId="0" fontId="0" fillId="0" borderId="0"/>
    <xf numFmtId="167" fontId="1"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6" fontId="1" fillId="0" borderId="0" applyFont="0" applyFill="0" applyBorder="0" applyAlignment="0" applyProtection="0"/>
    <xf numFmtId="166" fontId="22" fillId="0" borderId="0" applyFont="0" applyFill="0" applyBorder="0" applyAlignment="0" applyProtection="0"/>
    <xf numFmtId="166" fontId="22"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0" fontId="23" fillId="0" borderId="0" applyNumberFormat="0" applyFill="0" applyBorder="0" applyAlignment="0" applyProtection="0">
      <alignment vertical="top"/>
      <protection locked="0"/>
    </xf>
    <xf numFmtId="0" fontId="3" fillId="0" borderId="0"/>
    <xf numFmtId="0" fontId="3" fillId="0" borderId="0"/>
    <xf numFmtId="9" fontId="1"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4" fillId="0" borderId="0" applyFont="0" applyFill="0" applyBorder="0" applyAlignment="0" applyProtection="0"/>
    <xf numFmtId="0" fontId="1" fillId="0" borderId="0"/>
    <xf numFmtId="0" fontId="63" fillId="25" borderId="40">
      <alignment horizontal="centerContinuous"/>
    </xf>
    <xf numFmtId="0" fontId="64" fillId="27" borderId="41"/>
    <xf numFmtId="173" fontId="64" fillId="27" borderId="41">
      <alignment horizontal="right"/>
    </xf>
    <xf numFmtId="0" fontId="65" fillId="27" borderId="41"/>
    <xf numFmtId="173" fontId="66" fillId="27" borderId="41">
      <alignment horizontal="right"/>
    </xf>
    <xf numFmtId="9" fontId="1" fillId="0" borderId="0" applyFont="0" applyFill="0" applyBorder="0" applyAlignment="0" applyProtection="0"/>
    <xf numFmtId="0" fontId="1" fillId="0" borderId="0"/>
  </cellStyleXfs>
  <cellXfs count="1400">
    <xf numFmtId="0" fontId="0" fillId="0" borderId="0" xfId="0"/>
    <xf numFmtId="3" fontId="4" fillId="2" borderId="1" xfId="0" applyNumberFormat="1" applyFont="1" applyFill="1" applyBorder="1"/>
    <xf numFmtId="3" fontId="4" fillId="2" borderId="2" xfId="0" applyNumberFormat="1" applyFont="1" applyFill="1" applyBorder="1"/>
    <xf numFmtId="3" fontId="4" fillId="2" borderId="3" xfId="0" applyNumberFormat="1" applyFont="1" applyFill="1" applyBorder="1"/>
    <xf numFmtId="3" fontId="5" fillId="0" borderId="4" xfId="0" applyNumberFormat="1" applyFont="1" applyBorder="1"/>
    <xf numFmtId="3" fontId="5" fillId="2" borderId="5" xfId="0" applyNumberFormat="1" applyFont="1" applyFill="1" applyBorder="1"/>
    <xf numFmtId="3" fontId="5" fillId="2" borderId="6" xfId="0" applyNumberFormat="1" applyFont="1" applyFill="1" applyBorder="1"/>
    <xf numFmtId="3" fontId="5" fillId="2" borderId="7" xfId="0" applyNumberFormat="1" applyFont="1" applyFill="1" applyBorder="1"/>
    <xf numFmtId="3" fontId="5" fillId="0" borderId="8" xfId="0" applyNumberFormat="1" applyFont="1" applyBorder="1"/>
    <xf numFmtId="3" fontId="4" fillId="2" borderId="9" xfId="0" applyNumberFormat="1" applyFont="1" applyFill="1" applyBorder="1"/>
    <xf numFmtId="3" fontId="5" fillId="2" borderId="0" xfId="0" applyNumberFormat="1" applyFont="1" applyFill="1"/>
    <xf numFmtId="3" fontId="5" fillId="2" borderId="10" xfId="0" applyNumberFormat="1" applyFont="1" applyFill="1" applyBorder="1"/>
    <xf numFmtId="3" fontId="4" fillId="2" borderId="11" xfId="0" applyNumberFormat="1" applyFont="1" applyFill="1" applyBorder="1"/>
    <xf numFmtId="3" fontId="5" fillId="2" borderId="12" xfId="0" applyNumberFormat="1" applyFont="1" applyFill="1" applyBorder="1"/>
    <xf numFmtId="3" fontId="5" fillId="2" borderId="13" xfId="0" applyNumberFormat="1" applyFont="1" applyFill="1" applyBorder="1"/>
    <xf numFmtId="3" fontId="5" fillId="2" borderId="11" xfId="0" applyNumberFormat="1" applyFont="1" applyFill="1" applyBorder="1"/>
    <xf numFmtId="3" fontId="5" fillId="0" borderId="0" xfId="0" applyNumberFormat="1" applyFont="1"/>
    <xf numFmtId="0" fontId="5" fillId="0" borderId="0" xfId="0" applyFont="1"/>
    <xf numFmtId="3" fontId="4" fillId="0" borderId="0" xfId="0" applyNumberFormat="1" applyFont="1"/>
    <xf numFmtId="3" fontId="5" fillId="0" borderId="14" xfId="0" applyNumberFormat="1" applyFont="1" applyBorder="1"/>
    <xf numFmtId="3" fontId="4" fillId="2" borderId="4" xfId="0" applyNumberFormat="1" applyFont="1" applyFill="1" applyBorder="1"/>
    <xf numFmtId="1" fontId="6" fillId="3" borderId="4" xfId="0" applyNumberFormat="1" applyFont="1" applyFill="1" applyBorder="1" applyProtection="1">
      <protection locked="0"/>
    </xf>
    <xf numFmtId="3" fontId="4" fillId="0" borderId="4" xfId="0" applyNumberFormat="1" applyFont="1" applyBorder="1"/>
    <xf numFmtId="3" fontId="5" fillId="0" borderId="4" xfId="0" applyNumberFormat="1" applyFont="1" applyBorder="1" applyProtection="1">
      <protection locked="0"/>
    </xf>
    <xf numFmtId="3" fontId="6" fillId="3" borderId="4" xfId="1" applyNumberFormat="1" applyFont="1" applyFill="1" applyBorder="1" applyProtection="1">
      <protection locked="0"/>
    </xf>
    <xf numFmtId="3" fontId="4" fillId="4" borderId="4" xfId="0" applyNumberFormat="1" applyFont="1" applyFill="1" applyBorder="1"/>
    <xf numFmtId="168" fontId="5" fillId="0" borderId="4" xfId="16" applyNumberFormat="1" applyFont="1" applyBorder="1"/>
    <xf numFmtId="3" fontId="6" fillId="0" borderId="4" xfId="1" applyNumberFormat="1" applyFont="1" applyFill="1" applyBorder="1" applyProtection="1">
      <protection locked="0"/>
    </xf>
    <xf numFmtId="1" fontId="4" fillId="0" borderId="4" xfId="0" applyNumberFormat="1" applyFont="1" applyBorder="1" applyProtection="1">
      <protection locked="0"/>
    </xf>
    <xf numFmtId="4" fontId="5" fillId="0" borderId="4" xfId="0" applyNumberFormat="1" applyFont="1" applyBorder="1" applyProtection="1">
      <protection locked="0"/>
    </xf>
    <xf numFmtId="10" fontId="5" fillId="0" borderId="4" xfId="16" applyNumberFormat="1" applyFont="1" applyBorder="1"/>
    <xf numFmtId="168" fontId="6" fillId="3" borderId="4" xfId="16" applyNumberFormat="1" applyFont="1" applyFill="1" applyBorder="1" applyProtection="1">
      <protection locked="0"/>
    </xf>
    <xf numFmtId="168" fontId="4" fillId="0" borderId="4" xfId="16" applyNumberFormat="1" applyFont="1" applyFill="1" applyBorder="1" applyProtection="1">
      <protection locked="0"/>
    </xf>
    <xf numFmtId="3" fontId="4" fillId="0" borderId="4" xfId="1" applyNumberFormat="1" applyFont="1" applyFill="1" applyBorder="1" applyProtection="1">
      <protection locked="0"/>
    </xf>
    <xf numFmtId="3" fontId="4" fillId="4" borderId="4" xfId="0" applyNumberFormat="1" applyFont="1" applyFill="1" applyBorder="1" applyProtection="1">
      <protection hidden="1"/>
    </xf>
    <xf numFmtId="3" fontId="5" fillId="4" borderId="4" xfId="0" applyNumberFormat="1" applyFont="1" applyFill="1" applyBorder="1" applyProtection="1">
      <protection hidden="1"/>
    </xf>
    <xf numFmtId="9" fontId="5" fillId="0" borderId="4" xfId="16" applyFont="1" applyBorder="1"/>
    <xf numFmtId="0" fontId="5" fillId="0" borderId="6" xfId="0" applyFont="1" applyBorder="1"/>
    <xf numFmtId="3" fontId="5" fillId="0" borderId="6" xfId="0" applyNumberFormat="1" applyFont="1" applyBorder="1"/>
    <xf numFmtId="0" fontId="4" fillId="2" borderId="17" xfId="0" applyFont="1" applyFill="1" applyBorder="1"/>
    <xf numFmtId="0" fontId="4" fillId="2" borderId="6" xfId="0" applyFont="1" applyFill="1" applyBorder="1"/>
    <xf numFmtId="0" fontId="4" fillId="2" borderId="3" xfId="0" applyFont="1" applyFill="1" applyBorder="1"/>
    <xf numFmtId="0" fontId="4" fillId="2" borderId="18" xfId="0" applyFont="1" applyFill="1" applyBorder="1"/>
    <xf numFmtId="0" fontId="4" fillId="2" borderId="19" xfId="0" applyFont="1" applyFill="1" applyBorder="1"/>
    <xf numFmtId="0" fontId="5" fillId="2" borderId="19" xfId="0" applyFont="1" applyFill="1" applyBorder="1"/>
    <xf numFmtId="0" fontId="5" fillId="2" borderId="20" xfId="0" applyFont="1" applyFill="1" applyBorder="1"/>
    <xf numFmtId="0" fontId="5" fillId="0" borderId="14" xfId="0" applyFont="1" applyBorder="1"/>
    <xf numFmtId="0" fontId="4" fillId="5" borderId="21" xfId="0" applyFont="1" applyFill="1" applyBorder="1"/>
    <xf numFmtId="0" fontId="5" fillId="5" borderId="0" xfId="0" applyFont="1" applyFill="1"/>
    <xf numFmtId="0" fontId="5" fillId="5" borderId="22" xfId="0" applyFont="1" applyFill="1" applyBorder="1"/>
    <xf numFmtId="3" fontId="5" fillId="4" borderId="4" xfId="0" applyNumberFormat="1" applyFont="1" applyFill="1" applyBorder="1"/>
    <xf numFmtId="3" fontId="5" fillId="4" borderId="23" xfId="0" applyNumberFormat="1" applyFont="1" applyFill="1" applyBorder="1"/>
    <xf numFmtId="0" fontId="4" fillId="5" borderId="24" xfId="0" applyFont="1" applyFill="1" applyBorder="1"/>
    <xf numFmtId="0" fontId="5" fillId="5" borderId="25" xfId="0" applyFont="1" applyFill="1" applyBorder="1"/>
    <xf numFmtId="0" fontId="5" fillId="5" borderId="26" xfId="0" applyFont="1" applyFill="1" applyBorder="1"/>
    <xf numFmtId="0" fontId="5" fillId="5" borderId="27" xfId="0" applyFont="1" applyFill="1" applyBorder="1"/>
    <xf numFmtId="0" fontId="4" fillId="5" borderId="0" xfId="0" applyFont="1" applyFill="1"/>
    <xf numFmtId="0" fontId="5" fillId="5" borderId="12" xfId="0" applyFont="1" applyFill="1" applyBorder="1"/>
    <xf numFmtId="0" fontId="4" fillId="2" borderId="5" xfId="0" applyFont="1" applyFill="1" applyBorder="1"/>
    <xf numFmtId="0" fontId="5" fillId="2" borderId="6" xfId="0" applyFont="1" applyFill="1" applyBorder="1"/>
    <xf numFmtId="0" fontId="5" fillId="2" borderId="10" xfId="0" applyFont="1" applyFill="1" applyBorder="1"/>
    <xf numFmtId="0" fontId="4" fillId="0" borderId="0" xfId="0" applyFont="1"/>
    <xf numFmtId="0" fontId="4" fillId="2" borderId="28" xfId="0" applyFont="1" applyFill="1" applyBorder="1"/>
    <xf numFmtId="1" fontId="4" fillId="2" borderId="28" xfId="0" applyNumberFormat="1" applyFont="1" applyFill="1" applyBorder="1"/>
    <xf numFmtId="0" fontId="5" fillId="5" borderId="29" xfId="0" applyFont="1" applyFill="1" applyBorder="1"/>
    <xf numFmtId="0" fontId="5" fillId="0" borderId="4" xfId="0" applyFont="1" applyBorder="1"/>
    <xf numFmtId="168" fontId="4" fillId="0" borderId="4" xfId="0" applyNumberFormat="1" applyFont="1" applyBorder="1"/>
    <xf numFmtId="169" fontId="4" fillId="0" borderId="4" xfId="0" applyNumberFormat="1" applyFont="1" applyBorder="1"/>
    <xf numFmtId="0" fontId="5" fillId="0" borderId="4" xfId="0" quotePrefix="1" applyFont="1" applyBorder="1"/>
    <xf numFmtId="0" fontId="5" fillId="0" borderId="0" xfId="0" quotePrefix="1" applyFont="1"/>
    <xf numFmtId="168" fontId="4" fillId="0" borderId="0" xfId="0" applyNumberFormat="1" applyFont="1"/>
    <xf numFmtId="168" fontId="4" fillId="0" borderId="29" xfId="0" applyNumberFormat="1" applyFont="1" applyBorder="1"/>
    <xf numFmtId="0" fontId="4" fillId="0" borderId="22" xfId="0" applyFont="1" applyBorder="1"/>
    <xf numFmtId="0" fontId="4" fillId="0" borderId="29" xfId="0" applyFont="1" applyBorder="1"/>
    <xf numFmtId="0" fontId="4" fillId="5" borderId="29" xfId="0" applyFont="1" applyFill="1" applyBorder="1"/>
    <xf numFmtId="0" fontId="5" fillId="5" borderId="0" xfId="0" quotePrefix="1" applyFont="1" applyFill="1"/>
    <xf numFmtId="169" fontId="5" fillId="0" borderId="0" xfId="0" applyNumberFormat="1" applyFont="1"/>
    <xf numFmtId="0" fontId="4" fillId="0" borderId="4" xfId="0" applyFont="1" applyBorder="1"/>
    <xf numFmtId="0" fontId="4" fillId="2" borderId="24" xfId="0" applyFont="1" applyFill="1" applyBorder="1"/>
    <xf numFmtId="0" fontId="5" fillId="2" borderId="25" xfId="0" applyFont="1" applyFill="1" applyBorder="1"/>
    <xf numFmtId="0" fontId="5" fillId="2" borderId="26" xfId="0" applyFont="1" applyFill="1" applyBorder="1"/>
    <xf numFmtId="2" fontId="4" fillId="0" borderId="4" xfId="0" applyNumberFormat="1" applyFont="1" applyBorder="1"/>
    <xf numFmtId="1" fontId="4" fillId="0" borderId="4" xfId="0" applyNumberFormat="1" applyFont="1" applyBorder="1"/>
    <xf numFmtId="10" fontId="4" fillId="0" borderId="4" xfId="16" applyNumberFormat="1" applyFont="1" applyBorder="1"/>
    <xf numFmtId="168" fontId="4" fillId="0" borderId="4" xfId="16" applyNumberFormat="1" applyFont="1" applyBorder="1"/>
    <xf numFmtId="10" fontId="4" fillId="0" borderId="0" xfId="16" applyNumberFormat="1" applyFont="1" applyBorder="1"/>
    <xf numFmtId="168" fontId="5" fillId="0" borderId="4" xfId="0" applyNumberFormat="1" applyFont="1" applyBorder="1"/>
    <xf numFmtId="168" fontId="5" fillId="0" borderId="0" xfId="0" applyNumberFormat="1" applyFont="1"/>
    <xf numFmtId="0" fontId="8" fillId="5" borderId="0" xfId="0" applyFont="1" applyFill="1" applyAlignment="1">
      <alignment horizontal="center"/>
    </xf>
    <xf numFmtId="0" fontId="9" fillId="5" borderId="0" xfId="0" applyFont="1" applyFill="1" applyAlignment="1">
      <alignment horizontal="center"/>
    </xf>
    <xf numFmtId="0" fontId="9" fillId="5" borderId="0" xfId="0" applyFont="1" applyFill="1"/>
    <xf numFmtId="0" fontId="8" fillId="5" borderId="0" xfId="0" applyFont="1" applyFill="1" applyAlignment="1">
      <alignment horizontal="left"/>
    </xf>
    <xf numFmtId="0" fontId="8" fillId="5" borderId="0" xfId="0" applyFont="1" applyFill="1"/>
    <xf numFmtId="168" fontId="5" fillId="0" borderId="0" xfId="16" applyNumberFormat="1" applyFont="1" applyBorder="1"/>
    <xf numFmtId="0" fontId="5" fillId="0" borderId="12" xfId="0" applyFont="1" applyBorder="1"/>
    <xf numFmtId="168" fontId="5" fillId="0" borderId="12" xfId="16" applyNumberFormat="1" applyFont="1" applyBorder="1"/>
    <xf numFmtId="0" fontId="4" fillId="2" borderId="11" xfId="0" applyFont="1" applyFill="1" applyBorder="1"/>
    <xf numFmtId="0" fontId="5" fillId="2" borderId="12" xfId="0" applyFont="1" applyFill="1" applyBorder="1"/>
    <xf numFmtId="0" fontId="5" fillId="2" borderId="13" xfId="0" applyFont="1" applyFill="1" applyBorder="1"/>
    <xf numFmtId="168" fontId="5" fillId="0" borderId="4" xfId="0" applyNumberFormat="1" applyFont="1" applyBorder="1" applyAlignment="1">
      <alignment horizontal="right"/>
    </xf>
    <xf numFmtId="2" fontId="5" fillId="0" borderId="0" xfId="0" applyNumberFormat="1" applyFont="1"/>
    <xf numFmtId="168" fontId="4" fillId="0" borderId="4" xfId="0" applyNumberFormat="1" applyFont="1" applyBorder="1" applyAlignment="1">
      <alignment horizontal="right"/>
    </xf>
    <xf numFmtId="168" fontId="5" fillId="0" borderId="0" xfId="0" applyNumberFormat="1" applyFont="1" applyAlignment="1">
      <alignment horizontal="right"/>
    </xf>
    <xf numFmtId="0" fontId="5" fillId="2" borderId="25" xfId="0" applyFont="1" applyFill="1" applyBorder="1" applyAlignment="1">
      <alignment horizontal="right"/>
    </xf>
    <xf numFmtId="0" fontId="5" fillId="2" borderId="26" xfId="0" applyFont="1" applyFill="1" applyBorder="1" applyAlignment="1">
      <alignment horizontal="right"/>
    </xf>
    <xf numFmtId="0" fontId="9" fillId="5" borderId="0" xfId="0" applyFont="1" applyFill="1" applyAlignment="1">
      <alignment horizontal="right"/>
    </xf>
    <xf numFmtId="0" fontId="5" fillId="5" borderId="0" xfId="0" applyFont="1" applyFill="1" applyAlignment="1">
      <alignment horizontal="right"/>
    </xf>
    <xf numFmtId="0" fontId="8" fillId="5" borderId="0" xfId="0" applyFont="1" applyFill="1" applyAlignment="1">
      <alignment horizontal="right"/>
    </xf>
    <xf numFmtId="3" fontId="4" fillId="5" borderId="0" xfId="0" applyNumberFormat="1" applyFont="1" applyFill="1"/>
    <xf numFmtId="0" fontId="5" fillId="0" borderId="15" xfId="0" applyFont="1" applyBorder="1"/>
    <xf numFmtId="168" fontId="5" fillId="5" borderId="0" xfId="0" applyNumberFormat="1" applyFont="1" applyFill="1"/>
    <xf numFmtId="0" fontId="4" fillId="5" borderId="9" xfId="0" applyFont="1" applyFill="1" applyBorder="1"/>
    <xf numFmtId="0" fontId="5" fillId="5" borderId="10" xfId="0" applyFont="1" applyFill="1" applyBorder="1"/>
    <xf numFmtId="0" fontId="10" fillId="5" borderId="9" xfId="0" applyFont="1" applyFill="1" applyBorder="1"/>
    <xf numFmtId="0" fontId="4" fillId="5" borderId="9" xfId="0" applyFont="1" applyFill="1" applyBorder="1" applyAlignment="1">
      <alignment horizontal="right"/>
    </xf>
    <xf numFmtId="0" fontId="4" fillId="5" borderId="14" xfId="0" applyFont="1" applyFill="1" applyBorder="1" applyAlignment="1">
      <alignment horizontal="center"/>
    </xf>
    <xf numFmtId="0" fontId="5" fillId="5" borderId="14" xfId="0" applyFont="1" applyFill="1" applyBorder="1"/>
    <xf numFmtId="0" fontId="5" fillId="0" borderId="9" xfId="0" applyFont="1" applyBorder="1"/>
    <xf numFmtId="1" fontId="4" fillId="5" borderId="0" xfId="0" applyNumberFormat="1" applyFont="1" applyFill="1" applyAlignment="1">
      <alignment horizontal="right"/>
    </xf>
    <xf numFmtId="0" fontId="5" fillId="5" borderId="9" xfId="0" applyFont="1" applyFill="1" applyBorder="1" applyAlignment="1">
      <alignment horizontal="right"/>
    </xf>
    <xf numFmtId="0" fontId="4" fillId="5" borderId="0" xfId="0" applyFont="1" applyFill="1" applyAlignment="1">
      <alignment horizontal="right"/>
    </xf>
    <xf numFmtId="169" fontId="5" fillId="5" borderId="0" xfId="0" applyNumberFormat="1" applyFont="1" applyFill="1" applyAlignment="1">
      <alignment horizontal="right"/>
    </xf>
    <xf numFmtId="0" fontId="11" fillId="5" borderId="10" xfId="0" applyFont="1" applyFill="1" applyBorder="1"/>
    <xf numFmtId="0" fontId="11" fillId="5" borderId="9" xfId="0" applyFont="1" applyFill="1" applyBorder="1" applyAlignment="1">
      <alignment horizontal="right"/>
    </xf>
    <xf numFmtId="168" fontId="5" fillId="5" borderId="0" xfId="0" applyNumberFormat="1" applyFont="1" applyFill="1" applyAlignment="1">
      <alignment horizontal="right"/>
    </xf>
    <xf numFmtId="0" fontId="5" fillId="0" borderId="10" xfId="0" applyFont="1" applyBorder="1"/>
    <xf numFmtId="0" fontId="11" fillId="0" borderId="9" xfId="0" applyFont="1" applyBorder="1" applyAlignment="1">
      <alignment horizontal="right"/>
    </xf>
    <xf numFmtId="0" fontId="12" fillId="5" borderId="9" xfId="0" applyFont="1" applyFill="1" applyBorder="1" applyAlignment="1">
      <alignment horizontal="right"/>
    </xf>
    <xf numFmtId="0" fontId="11" fillId="0" borderId="9" xfId="0" applyFont="1" applyBorder="1"/>
    <xf numFmtId="3" fontId="5" fillId="5" borderId="0" xfId="0" applyNumberFormat="1" applyFont="1" applyFill="1"/>
    <xf numFmtId="168" fontId="5" fillId="5" borderId="0" xfId="16" applyNumberFormat="1" applyFont="1" applyFill="1" applyBorder="1"/>
    <xf numFmtId="0" fontId="5" fillId="5" borderId="9" xfId="0" applyFont="1" applyFill="1" applyBorder="1"/>
    <xf numFmtId="170" fontId="5" fillId="5" borderId="0" xfId="1" applyNumberFormat="1" applyFont="1" applyFill="1" applyBorder="1" applyAlignment="1">
      <alignment horizontal="right"/>
    </xf>
    <xf numFmtId="170" fontId="5" fillId="5" borderId="0" xfId="1" applyNumberFormat="1" applyFont="1" applyFill="1" applyBorder="1"/>
    <xf numFmtId="169" fontId="5" fillId="5" borderId="10" xfId="0" applyNumberFormat="1" applyFont="1" applyFill="1" applyBorder="1"/>
    <xf numFmtId="0" fontId="5" fillId="5" borderId="11" xfId="0" applyFont="1" applyFill="1" applyBorder="1"/>
    <xf numFmtId="0" fontId="5" fillId="5" borderId="13" xfId="0" applyFont="1" applyFill="1" applyBorder="1"/>
    <xf numFmtId="0" fontId="5" fillId="0" borderId="0" xfId="0" applyFont="1" applyAlignment="1">
      <alignment horizontal="right"/>
    </xf>
    <xf numFmtId="1" fontId="4" fillId="0" borderId="0" xfId="0" applyNumberFormat="1" applyFont="1"/>
    <xf numFmtId="0" fontId="8" fillId="0" borderId="0" xfId="0" applyFont="1" applyAlignment="1">
      <alignment horizontal="right"/>
    </xf>
    <xf numFmtId="3" fontId="5" fillId="0" borderId="4" xfId="0" applyNumberFormat="1" applyFont="1" applyBorder="1" applyAlignment="1">
      <alignment horizontal="right"/>
    </xf>
    <xf numFmtId="3" fontId="4" fillId="0" borderId="4" xfId="0" applyNumberFormat="1" applyFont="1" applyBorder="1" applyAlignment="1">
      <alignment horizontal="right"/>
    </xf>
    <xf numFmtId="168" fontId="4" fillId="0" borderId="0" xfId="0" applyNumberFormat="1" applyFont="1" applyAlignment="1">
      <alignment horizontal="right"/>
    </xf>
    <xf numFmtId="3" fontId="4" fillId="2" borderId="30" xfId="0" applyNumberFormat="1" applyFont="1" applyFill="1" applyBorder="1"/>
    <xf numFmtId="0" fontId="5" fillId="2" borderId="2" xfId="0" applyFont="1" applyFill="1" applyBorder="1"/>
    <xf numFmtId="0" fontId="5" fillId="2" borderId="31" xfId="0" applyFont="1" applyFill="1" applyBorder="1"/>
    <xf numFmtId="0" fontId="5" fillId="2" borderId="0" xfId="0" applyFont="1" applyFill="1"/>
    <xf numFmtId="0" fontId="4" fillId="2" borderId="15" xfId="0" applyFont="1" applyFill="1" applyBorder="1" applyAlignment="1">
      <alignment horizontal="left"/>
    </xf>
    <xf numFmtId="0" fontId="4" fillId="2" borderId="16" xfId="0" applyFont="1" applyFill="1" applyBorder="1"/>
    <xf numFmtId="0" fontId="5" fillId="2" borderId="16" xfId="0" applyFont="1" applyFill="1" applyBorder="1"/>
    <xf numFmtId="0" fontId="5" fillId="2" borderId="8" xfId="0" applyFont="1" applyFill="1" applyBorder="1"/>
    <xf numFmtId="0" fontId="4" fillId="6" borderId="4" xfId="0" applyFont="1" applyFill="1" applyBorder="1" applyAlignment="1">
      <alignment horizontal="left"/>
    </xf>
    <xf numFmtId="0" fontId="4" fillId="6" borderId="15" xfId="0" applyFont="1" applyFill="1" applyBorder="1"/>
    <xf numFmtId="0" fontId="5" fillId="6" borderId="16" xfId="0" applyFont="1" applyFill="1" applyBorder="1"/>
    <xf numFmtId="0" fontId="4" fillId="6" borderId="16" xfId="0" applyFont="1" applyFill="1" applyBorder="1"/>
    <xf numFmtId="0" fontId="5" fillId="6" borderId="8" xfId="0" applyFont="1" applyFill="1" applyBorder="1"/>
    <xf numFmtId="0" fontId="5" fillId="7" borderId="0" xfId="0" applyFont="1" applyFill="1"/>
    <xf numFmtId="0" fontId="4" fillId="7" borderId="0" xfId="0" applyFont="1" applyFill="1"/>
    <xf numFmtId="0" fontId="6" fillId="7" borderId="0" xfId="0" applyFont="1" applyFill="1"/>
    <xf numFmtId="0" fontId="4" fillId="7" borderId="0" xfId="0" applyFont="1" applyFill="1" applyAlignment="1">
      <alignment horizontal="right"/>
    </xf>
    <xf numFmtId="0" fontId="7" fillId="7" borderId="0" xfId="0" applyFont="1" applyFill="1"/>
    <xf numFmtId="0" fontId="5" fillId="7" borderId="0" xfId="0" applyFont="1" applyFill="1" applyAlignment="1">
      <alignment horizontal="right"/>
    </xf>
    <xf numFmtId="168" fontId="6" fillId="3" borderId="4" xfId="16" applyNumberFormat="1" applyFont="1" applyFill="1" applyBorder="1"/>
    <xf numFmtId="0" fontId="13" fillId="5" borderId="32" xfId="0" applyFont="1" applyFill="1" applyBorder="1"/>
    <xf numFmtId="0" fontId="5" fillId="5" borderId="32" xfId="0" applyFont="1" applyFill="1" applyBorder="1"/>
    <xf numFmtId="0" fontId="4" fillId="2" borderId="14" xfId="0" applyFont="1" applyFill="1" applyBorder="1"/>
    <xf numFmtId="0" fontId="5" fillId="2" borderId="14" xfId="0" applyFont="1" applyFill="1" applyBorder="1"/>
    <xf numFmtId="0" fontId="4" fillId="3" borderId="14" xfId="0" applyFont="1" applyFill="1" applyBorder="1"/>
    <xf numFmtId="0" fontId="5" fillId="3" borderId="14" xfId="0" applyFont="1" applyFill="1" applyBorder="1"/>
    <xf numFmtId="0" fontId="4" fillId="0" borderId="0" xfId="0" applyFont="1" applyAlignment="1">
      <alignment horizontal="right"/>
    </xf>
    <xf numFmtId="168" fontId="5" fillId="0" borderId="0" xfId="16" applyNumberFormat="1" applyFont="1" applyFill="1" applyBorder="1" applyProtection="1"/>
    <xf numFmtId="168" fontId="5" fillId="0" borderId="0" xfId="16" applyNumberFormat="1" applyFont="1" applyFill="1" applyBorder="1"/>
    <xf numFmtId="3" fontId="4" fillId="5" borderId="0" xfId="0" applyNumberFormat="1" applyFont="1" applyFill="1" applyAlignment="1">
      <alignment horizontal="right"/>
    </xf>
    <xf numFmtId="168" fontId="5" fillId="0" borderId="0" xfId="16" applyNumberFormat="1" applyFont="1"/>
    <xf numFmtId="0" fontId="4" fillId="6" borderId="16" xfId="0" applyFont="1" applyFill="1" applyBorder="1" applyAlignment="1">
      <alignment horizontal="left"/>
    </xf>
    <xf numFmtId="0" fontId="4" fillId="6" borderId="14" xfId="0" applyFont="1" applyFill="1" applyBorder="1" applyAlignment="1">
      <alignment horizontal="left"/>
    </xf>
    <xf numFmtId="0" fontId="5" fillId="2" borderId="22" xfId="0" applyFont="1" applyFill="1" applyBorder="1"/>
    <xf numFmtId="0" fontId="4" fillId="7" borderId="0" xfId="0" applyFont="1" applyFill="1" applyAlignment="1">
      <alignment horizontal="left"/>
    </xf>
    <xf numFmtId="0" fontId="13" fillId="5" borderId="0" xfId="0" applyFont="1" applyFill="1"/>
    <xf numFmtId="0" fontId="4" fillId="2" borderId="34" xfId="0" applyFont="1" applyFill="1" applyBorder="1"/>
    <xf numFmtId="0" fontId="5" fillId="2" borderId="34" xfId="0" applyFont="1" applyFill="1" applyBorder="1"/>
    <xf numFmtId="0" fontId="4" fillId="3" borderId="34" xfId="0" applyFont="1" applyFill="1" applyBorder="1"/>
    <xf numFmtId="0" fontId="5" fillId="3" borderId="34" xfId="0" applyFont="1" applyFill="1" applyBorder="1"/>
    <xf numFmtId="1" fontId="6" fillId="0" borderId="0" xfId="0" applyNumberFormat="1" applyFont="1"/>
    <xf numFmtId="1" fontId="5" fillId="0" borderId="0" xfId="0" applyNumberFormat="1" applyFont="1"/>
    <xf numFmtId="169" fontId="6" fillId="0" borderId="0" xfId="0" applyNumberFormat="1" applyFont="1"/>
    <xf numFmtId="171" fontId="6" fillId="0" borderId="0" xfId="7" applyNumberFormat="1" applyFont="1" applyFill="1" applyBorder="1"/>
    <xf numFmtId="0" fontId="14" fillId="5" borderId="0" xfId="0" applyFont="1" applyFill="1"/>
    <xf numFmtId="0" fontId="14" fillId="0" borderId="0" xfId="0" applyFont="1"/>
    <xf numFmtId="168" fontId="5" fillId="0" borderId="0" xfId="16" applyNumberFormat="1" applyFont="1" applyBorder="1" applyProtection="1"/>
    <xf numFmtId="0" fontId="5" fillId="0" borderId="5" xfId="0" applyFont="1" applyBorder="1"/>
    <xf numFmtId="1" fontId="6" fillId="0" borderId="10" xfId="0" applyNumberFormat="1" applyFont="1" applyBorder="1"/>
    <xf numFmtId="168" fontId="4" fillId="0" borderId="0" xfId="16" applyNumberFormat="1" applyFont="1" applyFill="1" applyBorder="1"/>
    <xf numFmtId="168" fontId="7" fillId="0" borderId="0" xfId="16" applyNumberFormat="1" applyFont="1" applyBorder="1"/>
    <xf numFmtId="1" fontId="4" fillId="0" borderId="10" xfId="0" applyNumberFormat="1" applyFont="1" applyBorder="1"/>
    <xf numFmtId="169" fontId="4" fillId="0" borderId="0" xfId="0" applyNumberFormat="1" applyFont="1"/>
    <xf numFmtId="0" fontId="7" fillId="0" borderId="0" xfId="0" applyFont="1"/>
    <xf numFmtId="169" fontId="7" fillId="0" borderId="0" xfId="16" applyNumberFormat="1" applyFont="1" applyBorder="1"/>
    <xf numFmtId="0" fontId="5" fillId="0" borderId="11" xfId="0" applyFont="1" applyBorder="1"/>
    <xf numFmtId="1" fontId="4" fillId="0" borderId="12" xfId="0" applyNumberFormat="1" applyFont="1" applyBorder="1"/>
    <xf numFmtId="1" fontId="4" fillId="0" borderId="13" xfId="0" applyNumberFormat="1" applyFont="1" applyBorder="1"/>
    <xf numFmtId="0" fontId="4" fillId="6" borderId="15" xfId="0" applyFont="1" applyFill="1" applyBorder="1" applyAlignment="1">
      <alignment horizontal="left"/>
    </xf>
    <xf numFmtId="0" fontId="4" fillId="6" borderId="0" xfId="0" applyFont="1" applyFill="1" applyAlignment="1">
      <alignment horizontal="left"/>
    </xf>
    <xf numFmtId="0" fontId="4" fillId="2" borderId="0" xfId="0" applyFont="1" applyFill="1"/>
    <xf numFmtId="0" fontId="5" fillId="5" borderId="33" xfId="0" applyFont="1" applyFill="1" applyBorder="1"/>
    <xf numFmtId="1" fontId="14" fillId="0" borderId="0" xfId="0" applyNumberFormat="1" applyFont="1"/>
    <xf numFmtId="0" fontId="5" fillId="5" borderId="33" xfId="0" applyFont="1" applyFill="1" applyBorder="1" applyProtection="1">
      <protection locked="0"/>
    </xf>
    <xf numFmtId="1" fontId="4" fillId="5" borderId="0" xfId="0" applyNumberFormat="1" applyFont="1" applyFill="1"/>
    <xf numFmtId="168" fontId="4" fillId="0" borderId="0" xfId="16" applyNumberFormat="1" applyFont="1" applyBorder="1" applyProtection="1"/>
    <xf numFmtId="168" fontId="4" fillId="0" borderId="0" xfId="16" applyNumberFormat="1" applyFont="1" applyBorder="1"/>
    <xf numFmtId="0" fontId="4" fillId="5" borderId="0" xfId="0" applyFont="1" applyFill="1" applyAlignment="1">
      <alignment horizontal="left"/>
    </xf>
    <xf numFmtId="169" fontId="4" fillId="0" borderId="0" xfId="16" applyNumberFormat="1" applyFont="1" applyBorder="1" applyProtection="1"/>
    <xf numFmtId="0" fontId="5" fillId="5" borderId="0" xfId="0" quotePrefix="1" applyFont="1" applyFill="1" applyAlignment="1">
      <alignment horizontal="right"/>
    </xf>
    <xf numFmtId="0" fontId="5" fillId="2" borderId="29" xfId="0" applyFont="1" applyFill="1" applyBorder="1"/>
    <xf numFmtId="0" fontId="5" fillId="2" borderId="36" xfId="0" applyFont="1" applyFill="1" applyBorder="1"/>
    <xf numFmtId="0" fontId="4" fillId="2" borderId="37" xfId="0" applyFont="1" applyFill="1" applyBorder="1"/>
    <xf numFmtId="3" fontId="4" fillId="2" borderId="15" xfId="0" applyNumberFormat="1" applyFont="1" applyFill="1" applyBorder="1" applyProtection="1">
      <protection locked="0"/>
    </xf>
    <xf numFmtId="0" fontId="4" fillId="2" borderId="15" xfId="0" applyFont="1" applyFill="1" applyBorder="1"/>
    <xf numFmtId="0" fontId="5" fillId="2" borderId="27" xfId="0" applyFont="1" applyFill="1" applyBorder="1"/>
    <xf numFmtId="0" fontId="5" fillId="0" borderId="16" xfId="0" applyFont="1" applyBorder="1"/>
    <xf numFmtId="0" fontId="4" fillId="0" borderId="0" xfId="0" applyFont="1" applyAlignment="1">
      <alignment horizontal="left"/>
    </xf>
    <xf numFmtId="3" fontId="6" fillId="0" borderId="0" xfId="0" applyNumberFormat="1" applyFont="1"/>
    <xf numFmtId="165" fontId="4" fillId="2" borderId="16" xfId="0" applyNumberFormat="1" applyFont="1" applyFill="1" applyBorder="1"/>
    <xf numFmtId="165" fontId="4" fillId="3" borderId="15" xfId="0" applyNumberFormat="1" applyFont="1" applyFill="1" applyBorder="1"/>
    <xf numFmtId="165" fontId="4" fillId="3" borderId="16" xfId="0" applyNumberFormat="1" applyFont="1" applyFill="1" applyBorder="1"/>
    <xf numFmtId="0" fontId="4" fillId="3" borderId="16" xfId="0" applyFont="1" applyFill="1" applyBorder="1"/>
    <xf numFmtId="0" fontId="4" fillId="0" borderId="14" xfId="0" applyFont="1" applyBorder="1"/>
    <xf numFmtId="0" fontId="4" fillId="0" borderId="0" xfId="0" applyFont="1" applyAlignment="1">
      <alignment horizontal="center"/>
    </xf>
    <xf numFmtId="175" fontId="4" fillId="0" borderId="0" xfId="7" applyNumberFormat="1" applyFont="1" applyFill="1" applyBorder="1"/>
    <xf numFmtId="182" fontId="4" fillId="0" borderId="0" xfId="7" applyNumberFormat="1" applyFont="1" applyFill="1" applyBorder="1"/>
    <xf numFmtId="3" fontId="4" fillId="0" borderId="0" xfId="0" applyNumberFormat="1" applyFont="1" applyAlignment="1">
      <alignment horizontal="right"/>
    </xf>
    <xf numFmtId="165" fontId="4" fillId="0" borderId="0" xfId="0" applyNumberFormat="1" applyFont="1"/>
    <xf numFmtId="1" fontId="4" fillId="0" borderId="0" xfId="1" applyNumberFormat="1" applyFont="1" applyFill="1" applyBorder="1"/>
    <xf numFmtId="183" fontId="4" fillId="0" borderId="0" xfId="7" applyNumberFormat="1" applyFont="1" applyFill="1" applyBorder="1"/>
    <xf numFmtId="9" fontId="6" fillId="0" borderId="0" xfId="0" applyNumberFormat="1" applyFont="1"/>
    <xf numFmtId="0" fontId="4" fillId="3" borderId="15" xfId="0" applyFont="1" applyFill="1" applyBorder="1"/>
    <xf numFmtId="0" fontId="15" fillId="0" borderId="0" xfId="0" applyFont="1" applyAlignment="1">
      <alignment horizontal="center"/>
    </xf>
    <xf numFmtId="164" fontId="4" fillId="0" borderId="0" xfId="0" applyNumberFormat="1" applyFont="1"/>
    <xf numFmtId="179" fontId="4" fillId="0" borderId="0" xfId="0" applyNumberFormat="1" applyFont="1"/>
    <xf numFmtId="3" fontId="4" fillId="0" borderId="14" xfId="0" applyNumberFormat="1" applyFont="1" applyBorder="1"/>
    <xf numFmtId="179" fontId="5" fillId="0" borderId="0" xfId="0" applyNumberFormat="1" applyFont="1"/>
    <xf numFmtId="180" fontId="6" fillId="0" borderId="0" xfId="0" applyNumberFormat="1" applyFont="1"/>
    <xf numFmtId="179" fontId="6" fillId="0" borderId="0" xfId="0" applyNumberFormat="1" applyFont="1"/>
    <xf numFmtId="0" fontId="16" fillId="0" borderId="0" xfId="0" applyFont="1"/>
    <xf numFmtId="169" fontId="17" fillId="0" borderId="0" xfId="0" applyNumberFormat="1" applyFont="1"/>
    <xf numFmtId="173" fontId="17" fillId="0" borderId="0" xfId="0" applyNumberFormat="1" applyFont="1"/>
    <xf numFmtId="169" fontId="17" fillId="2" borderId="4" xfId="0" applyNumberFormat="1" applyFont="1" applyFill="1" applyBorder="1"/>
    <xf numFmtId="0" fontId="5" fillId="2" borderId="3" xfId="0" applyFont="1" applyFill="1" applyBorder="1"/>
    <xf numFmtId="3" fontId="5" fillId="4" borderId="38" xfId="0" applyNumberFormat="1" applyFont="1" applyFill="1" applyBorder="1"/>
    <xf numFmtId="0" fontId="5" fillId="4" borderId="27" xfId="0" applyFont="1" applyFill="1" applyBorder="1"/>
    <xf numFmtId="166" fontId="5" fillId="4" borderId="39" xfId="0" applyNumberFormat="1" applyFont="1" applyFill="1" applyBorder="1"/>
    <xf numFmtId="166" fontId="5" fillId="4" borderId="40" xfId="0" applyNumberFormat="1" applyFont="1" applyFill="1" applyBorder="1"/>
    <xf numFmtId="3" fontId="5" fillId="4" borderId="41" xfId="0" applyNumberFormat="1" applyFont="1" applyFill="1" applyBorder="1"/>
    <xf numFmtId="0" fontId="5" fillId="4" borderId="0" xfId="0" applyFont="1" applyFill="1"/>
    <xf numFmtId="166" fontId="5" fillId="4" borderId="29" xfId="0" applyNumberFormat="1" applyFont="1" applyFill="1" applyBorder="1"/>
    <xf numFmtId="166" fontId="5" fillId="4" borderId="42" xfId="0" applyNumberFormat="1" applyFont="1" applyFill="1" applyBorder="1"/>
    <xf numFmtId="3" fontId="5" fillId="4" borderId="21" xfId="0" applyNumberFormat="1" applyFont="1" applyFill="1" applyBorder="1"/>
    <xf numFmtId="0" fontId="5" fillId="4" borderId="14" xfId="0" applyFont="1" applyFill="1" applyBorder="1"/>
    <xf numFmtId="166" fontId="5" fillId="4" borderId="22" xfId="0" applyNumberFormat="1" applyFont="1" applyFill="1" applyBorder="1"/>
    <xf numFmtId="166" fontId="5" fillId="4" borderId="43" xfId="0" applyNumberFormat="1" applyFont="1" applyFill="1" applyBorder="1"/>
    <xf numFmtId="166" fontId="5" fillId="5" borderId="0" xfId="0" applyNumberFormat="1" applyFont="1" applyFill="1"/>
    <xf numFmtId="0" fontId="4" fillId="6" borderId="44" xfId="0" applyFont="1" applyFill="1" applyBorder="1" applyAlignment="1">
      <alignment horizontal="left"/>
    </xf>
    <xf numFmtId="0" fontId="4" fillId="6" borderId="34" xfId="0" applyFont="1" applyFill="1" applyBorder="1"/>
    <xf numFmtId="0" fontId="4" fillId="2" borderId="45" xfId="0" applyFont="1" applyFill="1" applyBorder="1"/>
    <xf numFmtId="0" fontId="4" fillId="6" borderId="46" xfId="0" applyFont="1" applyFill="1" applyBorder="1" applyAlignment="1">
      <alignment horizontal="left"/>
    </xf>
    <xf numFmtId="0" fontId="5" fillId="2" borderId="15" xfId="0" applyFont="1" applyFill="1" applyBorder="1"/>
    <xf numFmtId="0" fontId="5" fillId="6" borderId="47" xfId="0" applyFont="1" applyFill="1" applyBorder="1"/>
    <xf numFmtId="0" fontId="5" fillId="2" borderId="4" xfId="0" applyFont="1" applyFill="1" applyBorder="1"/>
    <xf numFmtId="0" fontId="4" fillId="5" borderId="48" xfId="0" applyFont="1" applyFill="1" applyBorder="1"/>
    <xf numFmtId="0" fontId="4" fillId="5" borderId="49" xfId="0" applyFont="1" applyFill="1" applyBorder="1"/>
    <xf numFmtId="0" fontId="4" fillId="3" borderId="50" xfId="0" applyFont="1" applyFill="1" applyBorder="1"/>
    <xf numFmtId="0" fontId="4" fillId="3" borderId="8" xfId="0" applyFont="1" applyFill="1" applyBorder="1"/>
    <xf numFmtId="0" fontId="4" fillId="5" borderId="51" xfId="0" applyFont="1" applyFill="1" applyBorder="1"/>
    <xf numFmtId="0" fontId="4" fillId="5" borderId="52" xfId="0" applyFont="1" applyFill="1" applyBorder="1"/>
    <xf numFmtId="0" fontId="4" fillId="5" borderId="53" xfId="0" applyFont="1" applyFill="1" applyBorder="1"/>
    <xf numFmtId="166" fontId="6" fillId="3" borderId="4" xfId="7" applyFont="1" applyFill="1" applyBorder="1" applyAlignment="1">
      <alignment horizontal="right"/>
    </xf>
    <xf numFmtId="171" fontId="4" fillId="5" borderId="4" xfId="7" applyNumberFormat="1" applyFont="1" applyFill="1" applyBorder="1" applyAlignment="1">
      <alignment horizontal="right"/>
    </xf>
    <xf numFmtId="171" fontId="4" fillId="5" borderId="16" xfId="7" applyNumberFormat="1" applyFont="1" applyFill="1" applyBorder="1" applyAlignment="1">
      <alignment horizontal="right"/>
    </xf>
    <xf numFmtId="168" fontId="4" fillId="5" borderId="4" xfId="16" applyNumberFormat="1" applyFont="1" applyFill="1" applyBorder="1" applyAlignment="1">
      <alignment horizontal="right"/>
    </xf>
    <xf numFmtId="168" fontId="6" fillId="3" borderId="4" xfId="16" applyNumberFormat="1" applyFont="1" applyFill="1" applyBorder="1" applyAlignment="1">
      <alignment horizontal="right"/>
    </xf>
    <xf numFmtId="0" fontId="5" fillId="0" borderId="48" xfId="0" applyFont="1" applyBorder="1"/>
    <xf numFmtId="10" fontId="4" fillId="5" borderId="4" xfId="16" applyNumberFormat="1" applyFont="1" applyFill="1" applyBorder="1"/>
    <xf numFmtId="171" fontId="6" fillId="3" borderId="4" xfId="7" applyNumberFormat="1" applyFont="1" applyFill="1" applyBorder="1"/>
    <xf numFmtId="10" fontId="4" fillId="0" borderId="4" xfId="16" applyNumberFormat="1" applyFont="1" applyFill="1" applyBorder="1"/>
    <xf numFmtId="0" fontId="6" fillId="5" borderId="0" xfId="0" applyFont="1" applyFill="1"/>
    <xf numFmtId="2" fontId="4" fillId="5" borderId="4" xfId="0" applyNumberFormat="1" applyFont="1" applyFill="1" applyBorder="1"/>
    <xf numFmtId="0" fontId="4" fillId="5" borderId="54" xfId="0" applyFont="1" applyFill="1" applyBorder="1"/>
    <xf numFmtId="0" fontId="4" fillId="5" borderId="32" xfId="0" applyFont="1" applyFill="1" applyBorder="1"/>
    <xf numFmtId="0" fontId="4" fillId="5" borderId="55" xfId="0" applyFont="1" applyFill="1" applyBorder="1"/>
    <xf numFmtId="0" fontId="4" fillId="6" borderId="56" xfId="0" applyFont="1" applyFill="1" applyBorder="1" applyAlignment="1">
      <alignment horizontal="left"/>
    </xf>
    <xf numFmtId="0" fontId="5" fillId="2" borderId="51" xfId="0" applyFont="1" applyFill="1" applyBorder="1"/>
    <xf numFmtId="0" fontId="4" fillId="6" borderId="51" xfId="0" applyFont="1" applyFill="1" applyBorder="1"/>
    <xf numFmtId="0" fontId="5" fillId="6" borderId="51" xfId="0" applyFont="1" applyFill="1" applyBorder="1"/>
    <xf numFmtId="0" fontId="5" fillId="6" borderId="45" xfId="0" applyFont="1" applyFill="1" applyBorder="1"/>
    <xf numFmtId="0" fontId="4" fillId="5" borderId="48" xfId="0" applyFont="1" applyFill="1" applyBorder="1" applyAlignment="1">
      <alignment horizontal="left"/>
    </xf>
    <xf numFmtId="0" fontId="4" fillId="5" borderId="53" xfId="0" applyFont="1" applyFill="1" applyBorder="1" applyAlignment="1">
      <alignment horizontal="right"/>
    </xf>
    <xf numFmtId="0" fontId="4" fillId="5" borderId="0" xfId="0" applyFont="1" applyFill="1" applyAlignment="1">
      <alignment horizontal="center"/>
    </xf>
    <xf numFmtId="0" fontId="4" fillId="9" borderId="48" xfId="0" applyFont="1" applyFill="1" applyBorder="1"/>
    <xf numFmtId="0" fontId="4" fillId="9" borderId="0" xfId="0" applyFont="1" applyFill="1"/>
    <xf numFmtId="0" fontId="4" fillId="9" borderId="0" xfId="0" applyFont="1" applyFill="1" applyAlignment="1">
      <alignment horizontal="right"/>
    </xf>
    <xf numFmtId="0" fontId="4" fillId="9" borderId="53" xfId="0" applyFont="1" applyFill="1" applyBorder="1" applyAlignment="1">
      <alignment horizontal="right"/>
    </xf>
    <xf numFmtId="0" fontId="5" fillId="0" borderId="0" xfId="0" applyFont="1" applyAlignment="1">
      <alignment horizontal="left"/>
    </xf>
    <xf numFmtId="0" fontId="4" fillId="5" borderId="57" xfId="0" applyFont="1" applyFill="1" applyBorder="1"/>
    <xf numFmtId="173" fontId="4" fillId="5" borderId="0" xfId="0" applyNumberFormat="1" applyFont="1" applyFill="1" applyAlignment="1">
      <alignment horizontal="right"/>
    </xf>
    <xf numFmtId="173" fontId="4" fillId="5" borderId="53" xfId="0" applyNumberFormat="1" applyFont="1" applyFill="1" applyBorder="1" applyAlignment="1">
      <alignment horizontal="right"/>
    </xf>
    <xf numFmtId="173" fontId="4" fillId="9" borderId="0" xfId="0" applyNumberFormat="1" applyFont="1" applyFill="1" applyAlignment="1">
      <alignment horizontal="right"/>
    </xf>
    <xf numFmtId="176" fontId="4" fillId="5" borderId="0" xfId="0" applyNumberFormat="1" applyFont="1" applyFill="1" applyAlignment="1">
      <alignment horizontal="right"/>
    </xf>
    <xf numFmtId="173" fontId="4" fillId="5" borderId="0" xfId="0" applyNumberFormat="1" applyFont="1" applyFill="1"/>
    <xf numFmtId="173" fontId="4" fillId="5" borderId="53" xfId="0" applyNumberFormat="1" applyFont="1" applyFill="1" applyBorder="1"/>
    <xf numFmtId="166" fontId="4" fillId="8" borderId="0" xfId="7" applyFont="1" applyFill="1" applyBorder="1" applyProtection="1"/>
    <xf numFmtId="166" fontId="4" fillId="5" borderId="0" xfId="0" applyNumberFormat="1" applyFont="1" applyFill="1"/>
    <xf numFmtId="2" fontId="4" fillId="5" borderId="32" xfId="0" applyNumberFormat="1" applyFont="1" applyFill="1" applyBorder="1"/>
    <xf numFmtId="2" fontId="4" fillId="5" borderId="55" xfId="0" applyNumberFormat="1" applyFont="1" applyFill="1" applyBorder="1"/>
    <xf numFmtId="173" fontId="4" fillId="9" borderId="0" xfId="0" applyNumberFormat="1" applyFont="1" applyFill="1"/>
    <xf numFmtId="173" fontId="4" fillId="9" borderId="53" xfId="0" applyNumberFormat="1" applyFont="1" applyFill="1" applyBorder="1"/>
    <xf numFmtId="176" fontId="4" fillId="5" borderId="0" xfId="0" applyNumberFormat="1" applyFont="1" applyFill="1"/>
    <xf numFmtId="172" fontId="4" fillId="5" borderId="0" xfId="0" applyNumberFormat="1" applyFont="1" applyFill="1"/>
    <xf numFmtId="166" fontId="4" fillId="8" borderId="0" xfId="7" applyFont="1" applyFill="1" applyBorder="1" applyAlignment="1" applyProtection="1"/>
    <xf numFmtId="2" fontId="4" fillId="5" borderId="0" xfId="0" applyNumberFormat="1" applyFont="1" applyFill="1"/>
    <xf numFmtId="0" fontId="5" fillId="6" borderId="34" xfId="0" applyFont="1" applyFill="1" applyBorder="1"/>
    <xf numFmtId="0" fontId="4" fillId="9" borderId="58" xfId="0" applyFont="1" applyFill="1" applyBorder="1"/>
    <xf numFmtId="0" fontId="4" fillId="9" borderId="27" xfId="0" applyFont="1" applyFill="1" applyBorder="1"/>
    <xf numFmtId="0" fontId="4" fillId="5" borderId="27" xfId="0" applyFont="1" applyFill="1" applyBorder="1"/>
    <xf numFmtId="0" fontId="18" fillId="5" borderId="0" xfId="0" applyFont="1" applyFill="1" applyAlignment="1">
      <alignment horizontal="left"/>
    </xf>
    <xf numFmtId="178" fontId="4" fillId="8" borderId="4" xfId="0" applyNumberFormat="1" applyFont="1" applyFill="1" applyBorder="1"/>
    <xf numFmtId="0" fontId="18" fillId="5" borderId="48" xfId="0" applyFont="1" applyFill="1" applyBorder="1" applyAlignment="1">
      <alignment horizontal="right"/>
    </xf>
    <xf numFmtId="10" fontId="4" fillId="5" borderId="29" xfId="16" applyNumberFormat="1" applyFont="1" applyFill="1" applyBorder="1"/>
    <xf numFmtId="2" fontId="4" fillId="0" borderId="0" xfId="0" applyNumberFormat="1" applyFont="1"/>
    <xf numFmtId="9" fontId="4" fillId="5" borderId="0" xfId="16" applyFont="1" applyFill="1" applyBorder="1"/>
    <xf numFmtId="9" fontId="4" fillId="5" borderId="32" xfId="16" applyFont="1" applyFill="1" applyBorder="1"/>
    <xf numFmtId="173" fontId="4" fillId="9" borderId="53" xfId="0" applyNumberFormat="1" applyFont="1" applyFill="1" applyBorder="1" applyAlignment="1">
      <alignment horizontal="right"/>
    </xf>
    <xf numFmtId="179" fontId="4" fillId="5" borderId="0" xfId="0" applyNumberFormat="1" applyFont="1" applyFill="1" applyAlignment="1">
      <alignment horizontal="right"/>
    </xf>
    <xf numFmtId="178" fontId="4" fillId="5" borderId="0" xfId="0" applyNumberFormat="1" applyFont="1" applyFill="1" applyAlignment="1">
      <alignment horizontal="right"/>
    </xf>
    <xf numFmtId="178" fontId="4" fillId="5" borderId="53" xfId="0" applyNumberFormat="1" applyFont="1" applyFill="1" applyBorder="1" applyAlignment="1">
      <alignment horizontal="right"/>
    </xf>
    <xf numFmtId="0" fontId="18" fillId="5" borderId="0" xfId="0" applyFont="1" applyFill="1" applyAlignment="1">
      <alignment horizontal="right"/>
    </xf>
    <xf numFmtId="9" fontId="4" fillId="5" borderId="0" xfId="16" applyFont="1" applyFill="1" applyBorder="1" applyAlignment="1">
      <alignment horizontal="right"/>
    </xf>
    <xf numFmtId="2" fontId="4" fillId="5" borderId="0" xfId="0" applyNumberFormat="1" applyFont="1" applyFill="1" applyAlignment="1">
      <alignment horizontal="right"/>
    </xf>
    <xf numFmtId="2" fontId="4" fillId="5" borderId="53" xfId="0" applyNumberFormat="1" applyFont="1" applyFill="1" applyBorder="1" applyAlignment="1">
      <alignment horizontal="right"/>
    </xf>
    <xf numFmtId="172" fontId="4" fillId="5" borderId="0" xfId="0" applyNumberFormat="1" applyFont="1" applyFill="1" applyAlignment="1">
      <alignment horizontal="right"/>
    </xf>
    <xf numFmtId="166" fontId="4" fillId="8" borderId="0" xfId="7" applyFont="1" applyFill="1" applyBorder="1" applyAlignment="1" applyProtection="1">
      <alignment horizontal="right"/>
    </xf>
    <xf numFmtId="166" fontId="4" fillId="5" borderId="0" xfId="0" applyNumberFormat="1" applyFont="1" applyFill="1" applyAlignment="1">
      <alignment horizontal="right"/>
    </xf>
    <xf numFmtId="9" fontId="4" fillId="5" borderId="51" xfId="16" applyFont="1" applyFill="1" applyBorder="1"/>
    <xf numFmtId="2" fontId="4" fillId="5" borderId="51" xfId="0" applyNumberFormat="1" applyFont="1" applyFill="1" applyBorder="1"/>
    <xf numFmtId="2" fontId="4" fillId="5" borderId="53" xfId="0" applyNumberFormat="1" applyFont="1" applyFill="1" applyBorder="1"/>
    <xf numFmtId="0" fontId="4" fillId="5" borderId="60" xfId="0" applyFont="1" applyFill="1" applyBorder="1"/>
    <xf numFmtId="180" fontId="4" fillId="5" borderId="0" xfId="0" applyNumberFormat="1" applyFont="1" applyFill="1" applyAlignment="1">
      <alignment horizontal="right"/>
    </xf>
    <xf numFmtId="180" fontId="4" fillId="5" borderId="53" xfId="0" applyNumberFormat="1" applyFont="1" applyFill="1" applyBorder="1" applyAlignment="1">
      <alignment horizontal="right"/>
    </xf>
    <xf numFmtId="168" fontId="4" fillId="5" borderId="0" xfId="16" applyNumberFormat="1" applyFont="1" applyFill="1" applyBorder="1" applyAlignment="1" applyProtection="1">
      <alignment horizontal="right"/>
    </xf>
    <xf numFmtId="168" fontId="4" fillId="5" borderId="53" xfId="16" applyNumberFormat="1" applyFont="1" applyFill="1" applyBorder="1" applyAlignment="1" applyProtection="1">
      <alignment horizontal="right"/>
    </xf>
    <xf numFmtId="168" fontId="4" fillId="9" borderId="0" xfId="16" applyNumberFormat="1" applyFont="1" applyFill="1" applyBorder="1" applyAlignment="1" applyProtection="1">
      <alignment horizontal="right"/>
    </xf>
    <xf numFmtId="168" fontId="4" fillId="9" borderId="53" xfId="16" applyNumberFormat="1" applyFont="1" applyFill="1" applyBorder="1" applyAlignment="1" applyProtection="1">
      <alignment horizontal="right"/>
    </xf>
    <xf numFmtId="181" fontId="4" fillId="5" borderId="0" xfId="0" applyNumberFormat="1" applyFont="1" applyFill="1" applyAlignment="1">
      <alignment horizontal="right"/>
    </xf>
    <xf numFmtId="4" fontId="4" fillId="5" borderId="0" xfId="0" applyNumberFormat="1" applyFont="1" applyFill="1" applyAlignment="1">
      <alignment horizontal="right"/>
    </xf>
    <xf numFmtId="0" fontId="18" fillId="5" borderId="53" xfId="0" applyFont="1" applyFill="1" applyBorder="1" applyAlignment="1">
      <alignment horizontal="right"/>
    </xf>
    <xf numFmtId="169" fontId="4" fillId="5" borderId="0" xfId="0" applyNumberFormat="1" applyFont="1" applyFill="1" applyAlignment="1">
      <alignment horizontal="right"/>
    </xf>
    <xf numFmtId="0" fontId="16" fillId="5" borderId="0" xfId="0" applyFont="1" applyFill="1"/>
    <xf numFmtId="0" fontId="19" fillId="5" borderId="0" xfId="0" applyFont="1" applyFill="1" applyAlignment="1">
      <alignment horizontal="center"/>
    </xf>
    <xf numFmtId="0" fontId="4" fillId="5" borderId="48" xfId="0" quotePrefix="1" applyFont="1" applyFill="1" applyBorder="1"/>
    <xf numFmtId="173" fontId="4" fillId="5" borderId="0" xfId="7" applyNumberFormat="1" applyFont="1" applyFill="1" applyBorder="1" applyAlignment="1"/>
    <xf numFmtId="173" fontId="4" fillId="5" borderId="53" xfId="7" applyNumberFormat="1" applyFont="1" applyFill="1" applyBorder="1" applyAlignment="1"/>
    <xf numFmtId="172" fontId="4" fillId="5" borderId="53" xfId="0" applyNumberFormat="1" applyFont="1" applyFill="1" applyBorder="1"/>
    <xf numFmtId="177" fontId="4" fillId="5" borderId="0" xfId="0" applyNumberFormat="1" applyFont="1" applyFill="1"/>
    <xf numFmtId="3" fontId="6" fillId="3" borderId="15" xfId="1" applyNumberFormat="1" applyFont="1" applyFill="1" applyBorder="1" applyProtection="1">
      <protection locked="0"/>
    </xf>
    <xf numFmtId="3" fontId="6" fillId="0" borderId="41" xfId="1" applyNumberFormat="1" applyFont="1" applyFill="1" applyBorder="1" applyProtection="1">
      <protection locked="0"/>
    </xf>
    <xf numFmtId="3" fontId="5" fillId="2" borderId="9" xfId="0" applyNumberFormat="1" applyFont="1" applyFill="1" applyBorder="1"/>
    <xf numFmtId="3" fontId="5" fillId="0" borderId="39" xfId="0" applyNumberFormat="1" applyFont="1" applyBorder="1"/>
    <xf numFmtId="3" fontId="5" fillId="0" borderId="40" xfId="0" applyNumberFormat="1" applyFont="1" applyBorder="1"/>
    <xf numFmtId="9" fontId="4" fillId="0" borderId="0" xfId="16" applyFont="1" applyFill="1" applyBorder="1"/>
    <xf numFmtId="9" fontId="4" fillId="0" borderId="0" xfId="16" applyFont="1" applyFill="1" applyBorder="1" applyAlignment="1"/>
    <xf numFmtId="9" fontId="4" fillId="0" borderId="0" xfId="16" applyFont="1" applyFill="1" applyBorder="1" applyAlignment="1">
      <alignment horizontal="right"/>
    </xf>
    <xf numFmtId="184" fontId="4" fillId="5" borderId="0" xfId="0" applyNumberFormat="1" applyFont="1" applyFill="1" applyAlignment="1">
      <alignment horizontal="right"/>
    </xf>
    <xf numFmtId="3" fontId="3" fillId="0" borderId="4" xfId="0" applyNumberFormat="1" applyFont="1" applyBorder="1"/>
    <xf numFmtId="3" fontId="3" fillId="0" borderId="4" xfId="0" applyNumberFormat="1" applyFont="1" applyBorder="1" applyAlignment="1">
      <alignment wrapText="1"/>
    </xf>
    <xf numFmtId="0" fontId="3" fillId="0" borderId="4" xfId="0" applyFont="1" applyBorder="1"/>
    <xf numFmtId="0" fontId="3" fillId="5" borderId="0" xfId="0" applyFont="1" applyFill="1"/>
    <xf numFmtId="0" fontId="4" fillId="0" borderId="14" xfId="0" applyFont="1" applyBorder="1" applyAlignment="1">
      <alignment horizontal="right"/>
    </xf>
    <xf numFmtId="0" fontId="21" fillId="0" borderId="0" xfId="0" applyFont="1"/>
    <xf numFmtId="173" fontId="4" fillId="3" borderId="4" xfId="0" applyNumberFormat="1" applyFont="1" applyFill="1" applyBorder="1" applyAlignment="1">
      <alignment horizontal="right"/>
    </xf>
    <xf numFmtId="168" fontId="4" fillId="3" borderId="4" xfId="16" applyNumberFormat="1" applyFont="1" applyFill="1" applyBorder="1"/>
    <xf numFmtId="175" fontId="5" fillId="0" borderId="4" xfId="7" applyNumberFormat="1" applyFont="1" applyBorder="1"/>
    <xf numFmtId="4" fontId="4" fillId="0" borderId="4" xfId="1" applyNumberFormat="1" applyFont="1" applyFill="1" applyBorder="1" applyProtection="1">
      <protection locked="0"/>
    </xf>
    <xf numFmtId="0" fontId="4" fillId="0" borderId="27" xfId="0" applyFont="1" applyBorder="1"/>
    <xf numFmtId="168" fontId="4" fillId="0" borderId="27" xfId="0" applyNumberFormat="1" applyFont="1" applyBorder="1"/>
    <xf numFmtId="0" fontId="5" fillId="0" borderId="21" xfId="0" applyFont="1" applyBorder="1"/>
    <xf numFmtId="168" fontId="5" fillId="0" borderId="12" xfId="0" applyNumberFormat="1" applyFont="1" applyBorder="1"/>
    <xf numFmtId="168" fontId="3" fillId="0" borderId="4" xfId="0" applyNumberFormat="1" applyFont="1" applyBorder="1"/>
    <xf numFmtId="0" fontId="4" fillId="4" borderId="4" xfId="0" applyFont="1" applyFill="1" applyBorder="1"/>
    <xf numFmtId="168" fontId="4" fillId="4" borderId="4" xfId="0" applyNumberFormat="1" applyFont="1" applyFill="1" applyBorder="1"/>
    <xf numFmtId="168" fontId="3" fillId="0" borderId="4" xfId="16" applyNumberFormat="1" applyFont="1" applyBorder="1"/>
    <xf numFmtId="168" fontId="4" fillId="4" borderId="4" xfId="16" applyNumberFormat="1" applyFont="1" applyFill="1" applyBorder="1"/>
    <xf numFmtId="168" fontId="4" fillId="4" borderId="4" xfId="0" applyNumberFormat="1" applyFont="1" applyFill="1" applyBorder="1" applyAlignment="1">
      <alignment horizontal="right"/>
    </xf>
    <xf numFmtId="168" fontId="3" fillId="0" borderId="4" xfId="0" applyNumberFormat="1" applyFont="1" applyBorder="1" applyAlignment="1">
      <alignment horizontal="right"/>
    </xf>
    <xf numFmtId="0" fontId="4" fillId="4" borderId="15" xfId="0" applyFont="1" applyFill="1" applyBorder="1"/>
    <xf numFmtId="0" fontId="3" fillId="0" borderId="15" xfId="0" applyFont="1" applyBorder="1"/>
    <xf numFmtId="168" fontId="4" fillId="0" borderId="21" xfId="0" applyNumberFormat="1" applyFont="1" applyBorder="1" applyAlignment="1">
      <alignment horizontal="right"/>
    </xf>
    <xf numFmtId="168" fontId="4" fillId="0" borderId="14" xfId="0" applyNumberFormat="1" applyFont="1" applyBorder="1" applyAlignment="1">
      <alignment horizontal="right"/>
    </xf>
    <xf numFmtId="0" fontId="5" fillId="5" borderId="21" xfId="0" applyFont="1" applyFill="1" applyBorder="1"/>
    <xf numFmtId="174" fontId="5" fillId="5" borderId="0" xfId="1" applyNumberFormat="1" applyFont="1" applyFill="1" applyBorder="1" applyAlignment="1">
      <alignment horizontal="right"/>
    </xf>
    <xf numFmtId="172" fontId="5" fillId="5" borderId="0" xfId="0" applyNumberFormat="1" applyFont="1" applyFill="1" applyAlignment="1">
      <alignment horizontal="right"/>
    </xf>
    <xf numFmtId="0" fontId="3" fillId="0" borderId="0" xfId="0" applyFont="1"/>
    <xf numFmtId="185" fontId="5" fillId="5" borderId="0" xfId="1" applyNumberFormat="1" applyFont="1" applyFill="1" applyBorder="1" applyAlignment="1">
      <alignment horizontal="right"/>
    </xf>
    <xf numFmtId="3" fontId="3" fillId="5" borderId="0" xfId="0" applyNumberFormat="1" applyFont="1" applyFill="1" applyAlignment="1">
      <alignment horizontal="right"/>
    </xf>
    <xf numFmtId="185" fontId="5" fillId="5" borderId="0" xfId="0" applyNumberFormat="1" applyFont="1" applyFill="1"/>
    <xf numFmtId="177" fontId="4" fillId="0" borderId="0" xfId="0" applyNumberFormat="1" applyFont="1"/>
    <xf numFmtId="166" fontId="4" fillId="0" borderId="4" xfId="7" applyFont="1" applyBorder="1"/>
    <xf numFmtId="168" fontId="8" fillId="0" borderId="0" xfId="16" applyNumberFormat="1" applyFont="1" applyFill="1" applyBorder="1" applyProtection="1"/>
    <xf numFmtId="0" fontId="8" fillId="0" borderId="0" xfId="0" applyFont="1"/>
    <xf numFmtId="0" fontId="20" fillId="5" borderId="0" xfId="0" applyFont="1" applyFill="1"/>
    <xf numFmtId="0" fontId="20" fillId="0" borderId="0" xfId="0" applyFont="1"/>
    <xf numFmtId="1" fontId="20" fillId="0" borderId="0" xfId="0" applyNumberFormat="1" applyFont="1"/>
    <xf numFmtId="168" fontId="5" fillId="0" borderId="0" xfId="16" applyNumberFormat="1" applyFont="1" applyFill="1"/>
    <xf numFmtId="1" fontId="6" fillId="0" borderId="12" xfId="0" applyNumberFormat="1" applyFont="1" applyBorder="1"/>
    <xf numFmtId="1" fontId="4" fillId="0" borderId="0" xfId="0" applyNumberFormat="1" applyFont="1" applyAlignment="1">
      <alignment horizontal="right"/>
    </xf>
    <xf numFmtId="0" fontId="4" fillId="0" borderId="6" xfId="0" applyFont="1" applyBorder="1" applyAlignment="1">
      <alignment horizontal="right"/>
    </xf>
    <xf numFmtId="1" fontId="4" fillId="0" borderId="2" xfId="0" applyNumberFormat="1" applyFont="1" applyBorder="1"/>
    <xf numFmtId="1" fontId="4" fillId="0" borderId="7" xfId="0" applyNumberFormat="1" applyFont="1" applyBorder="1"/>
    <xf numFmtId="1" fontId="5" fillId="4" borderId="4" xfId="0" applyNumberFormat="1" applyFont="1" applyFill="1" applyBorder="1"/>
    <xf numFmtId="0" fontId="3" fillId="0" borderId="0" xfId="0" applyFont="1" applyAlignment="1">
      <alignment horizontal="right"/>
    </xf>
    <xf numFmtId="3" fontId="3" fillId="0" borderId="0" xfId="0" applyNumberFormat="1" applyFont="1"/>
    <xf numFmtId="168" fontId="3" fillId="0" borderId="0" xfId="16" applyNumberFormat="1" applyFont="1" applyFill="1" applyBorder="1"/>
    <xf numFmtId="168" fontId="7" fillId="0" borderId="0" xfId="16" applyNumberFormat="1" applyFont="1" applyFill="1" applyBorder="1"/>
    <xf numFmtId="0" fontId="4" fillId="9" borderId="0" xfId="14" applyFont="1" applyFill="1"/>
    <xf numFmtId="0" fontId="4" fillId="9" borderId="0" xfId="14" applyFont="1" applyFill="1" applyAlignment="1">
      <alignment horizontal="center"/>
    </xf>
    <xf numFmtId="0" fontId="4" fillId="0" borderId="0" xfId="14" applyFont="1"/>
    <xf numFmtId="168" fontId="6" fillId="0" borderId="0" xfId="21" applyNumberFormat="1" applyFont="1"/>
    <xf numFmtId="171" fontId="4" fillId="5" borderId="0" xfId="0" applyNumberFormat="1" applyFont="1" applyFill="1"/>
    <xf numFmtId="186" fontId="5" fillId="0" borderId="0" xfId="0" applyNumberFormat="1" applyFont="1"/>
    <xf numFmtId="10" fontId="4" fillId="5" borderId="4" xfId="23" applyNumberFormat="1" applyFont="1" applyFill="1" applyBorder="1"/>
    <xf numFmtId="171" fontId="6" fillId="3" borderId="4" xfId="12" applyNumberFormat="1" applyFont="1" applyFill="1" applyBorder="1"/>
    <xf numFmtId="2" fontId="4" fillId="10" borderId="4" xfId="0" applyNumberFormat="1" applyFont="1" applyFill="1" applyBorder="1"/>
    <xf numFmtId="177" fontId="4" fillId="5" borderId="0" xfId="0" applyNumberFormat="1" applyFont="1" applyFill="1" applyAlignment="1">
      <alignment horizontal="right"/>
    </xf>
    <xf numFmtId="187" fontId="5" fillId="0" borderId="0" xfId="0" applyNumberFormat="1" applyFont="1"/>
    <xf numFmtId="168" fontId="21" fillId="0" borderId="0" xfId="0" applyNumberFormat="1" applyFont="1"/>
    <xf numFmtId="175" fontId="4" fillId="0" borderId="0" xfId="7" applyNumberFormat="1" applyFont="1" applyBorder="1"/>
    <xf numFmtId="175" fontId="4" fillId="0" borderId="0" xfId="7" applyNumberFormat="1" applyFont="1"/>
    <xf numFmtId="175" fontId="4" fillId="11" borderId="33" xfId="7" applyNumberFormat="1" applyFont="1" applyFill="1" applyBorder="1"/>
    <xf numFmtId="175" fontId="4" fillId="12" borderId="0" xfId="7" applyNumberFormat="1" applyFont="1" applyFill="1"/>
    <xf numFmtId="175" fontId="4" fillId="12" borderId="33" xfId="7" applyNumberFormat="1" applyFont="1" applyFill="1" applyBorder="1"/>
    <xf numFmtId="175" fontId="4" fillId="12" borderId="16" xfId="7" applyNumberFormat="1" applyFont="1" applyFill="1" applyBorder="1"/>
    <xf numFmtId="0" fontId="4" fillId="12" borderId="16" xfId="0" applyFont="1" applyFill="1" applyBorder="1"/>
    <xf numFmtId="175" fontId="4" fillId="0" borderId="0" xfId="7" applyNumberFormat="1" applyFont="1" applyFill="1" applyBorder="1" applyAlignment="1">
      <alignment horizontal="right"/>
    </xf>
    <xf numFmtId="175" fontId="4" fillId="0" borderId="16" xfId="7" applyNumberFormat="1" applyFont="1" applyFill="1" applyBorder="1" applyAlignment="1">
      <alignment horizontal="right"/>
    </xf>
    <xf numFmtId="175" fontId="4" fillId="0" borderId="16" xfId="7" applyNumberFormat="1" applyFont="1" applyBorder="1" applyProtection="1"/>
    <xf numFmtId="175" fontId="4" fillId="12" borderId="16" xfId="7" applyNumberFormat="1" applyFont="1" applyFill="1" applyBorder="1" applyProtection="1"/>
    <xf numFmtId="175" fontId="4" fillId="12" borderId="0" xfId="7" applyNumberFormat="1" applyFont="1" applyFill="1" applyProtection="1"/>
    <xf numFmtId="168" fontId="4" fillId="3" borderId="0" xfId="0" applyNumberFormat="1" applyFont="1" applyFill="1"/>
    <xf numFmtId="175" fontId="6" fillId="0" borderId="0" xfId="7" applyNumberFormat="1" applyFont="1" applyFill="1" applyBorder="1"/>
    <xf numFmtId="172" fontId="0" fillId="0" borderId="0" xfId="0" applyNumberFormat="1"/>
    <xf numFmtId="0" fontId="1" fillId="0" borderId="0" xfId="0" applyFont="1" applyAlignment="1">
      <alignment horizontal="right"/>
    </xf>
    <xf numFmtId="175" fontId="0" fillId="0" borderId="0" xfId="7" applyNumberFormat="1" applyFont="1"/>
    <xf numFmtId="0" fontId="4" fillId="0" borderId="0" xfId="0" applyFont="1" applyAlignment="1">
      <alignment horizontal="right" wrapText="1"/>
    </xf>
    <xf numFmtId="175" fontId="4" fillId="0" borderId="16" xfId="7" applyNumberFormat="1" applyFont="1" applyBorder="1"/>
    <xf numFmtId="0" fontId="4" fillId="0" borderId="41" xfId="0" applyFont="1" applyBorder="1"/>
    <xf numFmtId="188" fontId="0" fillId="0" borderId="0" xfId="16" applyNumberFormat="1" applyFont="1"/>
    <xf numFmtId="189" fontId="0" fillId="0" borderId="0" xfId="16" applyNumberFormat="1" applyFont="1"/>
    <xf numFmtId="189" fontId="4" fillId="0" borderId="16" xfId="16" applyNumberFormat="1" applyFont="1" applyBorder="1"/>
    <xf numFmtId="189" fontId="6" fillId="3" borderId="4" xfId="16" applyNumberFormat="1" applyFont="1" applyFill="1" applyBorder="1"/>
    <xf numFmtId="0" fontId="1" fillId="0" borderId="0" xfId="0" applyFont="1"/>
    <xf numFmtId="3" fontId="1" fillId="0" borderId="4" xfId="0" applyNumberFormat="1" applyFont="1" applyBorder="1"/>
    <xf numFmtId="175" fontId="4" fillId="0" borderId="16" xfId="7" applyNumberFormat="1" applyFont="1" applyBorder="1" applyAlignment="1">
      <alignment horizontal="right"/>
    </xf>
    <xf numFmtId="175" fontId="25" fillId="12" borderId="16" xfId="7" applyNumberFormat="1" applyFont="1" applyFill="1" applyBorder="1" applyAlignment="1">
      <alignment horizontal="right"/>
    </xf>
    <xf numFmtId="168" fontId="1" fillId="0" borderId="0" xfId="16" applyNumberFormat="1" applyFont="1" applyBorder="1" applyAlignment="1">
      <alignment horizontal="right"/>
    </xf>
    <xf numFmtId="173" fontId="4" fillId="12" borderId="0" xfId="0" applyNumberFormat="1" applyFont="1" applyFill="1"/>
    <xf numFmtId="173" fontId="5" fillId="0" borderId="4" xfId="0" applyNumberFormat="1" applyFont="1" applyBorder="1"/>
    <xf numFmtId="173" fontId="4" fillId="0" borderId="0" xfId="0" applyNumberFormat="1" applyFont="1"/>
    <xf numFmtId="173" fontId="4" fillId="3" borderId="0" xfId="0" applyNumberFormat="1" applyFont="1" applyFill="1"/>
    <xf numFmtId="173" fontId="4" fillId="0" borderId="16" xfId="0" applyNumberFormat="1" applyFont="1" applyBorder="1"/>
    <xf numFmtId="173" fontId="4" fillId="0" borderId="33" xfId="0" applyNumberFormat="1" applyFont="1" applyBorder="1"/>
    <xf numFmtId="173" fontId="5" fillId="0" borderId="0" xfId="0" applyNumberFormat="1" applyFont="1"/>
    <xf numFmtId="173" fontId="6" fillId="0" borderId="0" xfId="0" applyNumberFormat="1" applyFont="1"/>
    <xf numFmtId="170" fontId="4" fillId="0" borderId="16" xfId="1" applyNumberFormat="1" applyFont="1" applyFill="1" applyBorder="1" applyProtection="1"/>
    <xf numFmtId="173" fontId="4" fillId="3" borderId="10" xfId="0" applyNumberFormat="1" applyFont="1" applyFill="1" applyBorder="1"/>
    <xf numFmtId="173" fontId="4" fillId="3" borderId="33" xfId="0" applyNumberFormat="1" applyFont="1" applyFill="1" applyBorder="1"/>
    <xf numFmtId="173" fontId="4" fillId="3" borderId="35" xfId="0" applyNumberFormat="1" applyFont="1" applyFill="1" applyBorder="1"/>
    <xf numFmtId="173" fontId="4" fillId="0" borderId="0" xfId="16" applyNumberFormat="1" applyFont="1" applyFill="1" applyBorder="1" applyProtection="1"/>
    <xf numFmtId="173" fontId="4" fillId="0" borderId="16" xfId="16" applyNumberFormat="1" applyFont="1" applyFill="1" applyBorder="1" applyProtection="1"/>
    <xf numFmtId="2" fontId="5" fillId="0" borderId="4" xfId="16" applyNumberFormat="1" applyFont="1" applyBorder="1"/>
    <xf numFmtId="188" fontId="5" fillId="0" borderId="0" xfId="16" applyNumberFormat="1" applyFont="1" applyFill="1" applyBorder="1" applyProtection="1"/>
    <xf numFmtId="0" fontId="27" fillId="0" borderId="0" xfId="14" applyFont="1" applyAlignment="1">
      <alignment horizontal="left"/>
    </xf>
    <xf numFmtId="170" fontId="27" fillId="0" borderId="0" xfId="1" applyNumberFormat="1" applyFont="1" applyFill="1" applyBorder="1"/>
    <xf numFmtId="0" fontId="27" fillId="0" borderId="0" xfId="0" applyFont="1" applyAlignment="1">
      <alignment wrapText="1"/>
    </xf>
    <xf numFmtId="175" fontId="4" fillId="12" borderId="0" xfId="0" applyNumberFormat="1" applyFont="1" applyFill="1"/>
    <xf numFmtId="175" fontId="27" fillId="0" borderId="0" xfId="7" applyNumberFormat="1" applyFont="1" applyFill="1" applyBorder="1"/>
    <xf numFmtId="0" fontId="26" fillId="0" borderId="0" xfId="0" applyFont="1"/>
    <xf numFmtId="0" fontId="27" fillId="0" borderId="0" xfId="0" applyFont="1"/>
    <xf numFmtId="0" fontId="27" fillId="0" borderId="0" xfId="0" applyFont="1" applyAlignment="1">
      <alignment horizontal="right"/>
    </xf>
    <xf numFmtId="175" fontId="26" fillId="0" borderId="0" xfId="0" applyNumberFormat="1" applyFont="1"/>
    <xf numFmtId="168" fontId="28" fillId="0" borderId="0" xfId="16" applyNumberFormat="1" applyFont="1" applyFill="1" applyBorder="1"/>
    <xf numFmtId="169" fontId="5" fillId="0" borderId="4" xfId="16" applyNumberFormat="1" applyFont="1" applyBorder="1"/>
    <xf numFmtId="170" fontId="4" fillId="8" borderId="0" xfId="1" applyNumberFormat="1" applyFont="1" applyFill="1" applyBorder="1"/>
    <xf numFmtId="170" fontId="4" fillId="8" borderId="10" xfId="1" applyNumberFormat="1" applyFont="1" applyFill="1" applyBorder="1"/>
    <xf numFmtId="170" fontId="3" fillId="0" borderId="0" xfId="1" applyNumberFormat="1" applyFont="1" applyFill="1" applyBorder="1"/>
    <xf numFmtId="170" fontId="4" fillId="0" borderId="0" xfId="1" applyNumberFormat="1" applyFont="1" applyFill="1" applyBorder="1"/>
    <xf numFmtId="170" fontId="4" fillId="0" borderId="10" xfId="1" applyNumberFormat="1" applyFont="1" applyFill="1" applyBorder="1"/>
    <xf numFmtId="170" fontId="4" fillId="0" borderId="33" xfId="1" applyNumberFormat="1" applyFont="1" applyFill="1" applyBorder="1"/>
    <xf numFmtId="170" fontId="4" fillId="0" borderId="35" xfId="1" applyNumberFormat="1" applyFont="1" applyFill="1" applyBorder="1"/>
    <xf numFmtId="0" fontId="1" fillId="5" borderId="0" xfId="0" applyFont="1" applyFill="1"/>
    <xf numFmtId="173" fontId="4" fillId="0" borderId="0" xfId="0" applyNumberFormat="1" applyFont="1" applyAlignment="1">
      <alignment horizontal="right"/>
    </xf>
    <xf numFmtId="167" fontId="5" fillId="0" borderId="0" xfId="0" applyNumberFormat="1" applyFont="1"/>
    <xf numFmtId="181" fontId="5" fillId="0" borderId="4" xfId="0" applyNumberFormat="1" applyFont="1" applyBorder="1"/>
    <xf numFmtId="177" fontId="4" fillId="5" borderId="0" xfId="16" applyNumberFormat="1" applyFont="1" applyFill="1" applyBorder="1" applyAlignment="1">
      <alignment horizontal="right"/>
    </xf>
    <xf numFmtId="10" fontId="4" fillId="5" borderId="39" xfId="16" applyNumberFormat="1" applyFont="1" applyFill="1" applyBorder="1"/>
    <xf numFmtId="168" fontId="4" fillId="5" borderId="21" xfId="0" applyNumberFormat="1" applyFont="1" applyFill="1" applyBorder="1" applyAlignment="1">
      <alignment horizontal="right"/>
    </xf>
    <xf numFmtId="168" fontId="4" fillId="5" borderId="14" xfId="0" applyNumberFormat="1" applyFont="1" applyFill="1" applyBorder="1" applyAlignment="1">
      <alignment horizontal="right"/>
    </xf>
    <xf numFmtId="168" fontId="4" fillId="5" borderId="59" xfId="0" applyNumberFormat="1" applyFont="1" applyFill="1" applyBorder="1" applyAlignment="1">
      <alignment horizontal="right"/>
    </xf>
    <xf numFmtId="10" fontId="5" fillId="0" borderId="0" xfId="16" applyNumberFormat="1" applyFont="1"/>
    <xf numFmtId="177" fontId="4" fillId="5" borderId="4" xfId="0" applyNumberFormat="1" applyFont="1" applyFill="1" applyBorder="1"/>
    <xf numFmtId="0" fontId="1" fillId="0" borderId="4" xfId="0" applyFont="1" applyBorder="1"/>
    <xf numFmtId="190" fontId="4" fillId="12" borderId="0" xfId="0" applyNumberFormat="1" applyFont="1" applyFill="1"/>
    <xf numFmtId="1" fontId="4" fillId="13" borderId="4" xfId="0" applyNumberFormat="1" applyFont="1" applyFill="1" applyBorder="1" applyProtection="1">
      <protection locked="0"/>
    </xf>
    <xf numFmtId="3" fontId="4" fillId="13" borderId="4" xfId="1" applyNumberFormat="1" applyFont="1" applyFill="1" applyBorder="1" applyProtection="1">
      <protection locked="0"/>
    </xf>
    <xf numFmtId="168" fontId="6" fillId="13" borderId="4" xfId="16" applyNumberFormat="1" applyFont="1" applyFill="1" applyBorder="1" applyProtection="1">
      <protection locked="0"/>
    </xf>
    <xf numFmtId="168" fontId="4" fillId="13" borderId="4" xfId="16" applyNumberFormat="1" applyFont="1" applyFill="1" applyBorder="1" applyProtection="1">
      <protection locked="0"/>
    </xf>
    <xf numFmtId="3" fontId="5" fillId="13" borderId="4" xfId="0" applyNumberFormat="1" applyFont="1" applyFill="1" applyBorder="1"/>
    <xf numFmtId="3" fontId="5" fillId="13" borderId="4" xfId="0" applyNumberFormat="1" applyFont="1" applyFill="1" applyBorder="1" applyProtection="1">
      <protection locked="0"/>
    </xf>
    <xf numFmtId="3" fontId="1" fillId="4" borderId="4" xfId="0" applyNumberFormat="1" applyFont="1" applyFill="1" applyBorder="1" applyProtection="1">
      <protection hidden="1"/>
    </xf>
    <xf numFmtId="173" fontId="6" fillId="13" borderId="4" xfId="1" applyNumberFormat="1" applyFont="1" applyFill="1" applyBorder="1" applyAlignment="1" applyProtection="1">
      <alignment horizontal="center"/>
      <protection locked="0"/>
    </xf>
    <xf numFmtId="173" fontId="4" fillId="4" borderId="4" xfId="0" applyNumberFormat="1" applyFont="1" applyFill="1" applyBorder="1" applyAlignment="1" applyProtection="1">
      <alignment horizontal="center"/>
      <protection locked="0"/>
    </xf>
    <xf numFmtId="4" fontId="6" fillId="13" borderId="4" xfId="1" applyNumberFormat="1" applyFont="1" applyFill="1" applyBorder="1" applyAlignment="1" applyProtection="1">
      <alignment horizontal="center"/>
      <protection locked="0"/>
    </xf>
    <xf numFmtId="4" fontId="4" fillId="13" borderId="4" xfId="1" applyNumberFormat="1" applyFont="1" applyFill="1" applyBorder="1" applyAlignment="1" applyProtection="1">
      <alignment horizontal="center"/>
      <protection locked="0"/>
    </xf>
    <xf numFmtId="3" fontId="4" fillId="14" borderId="4" xfId="0" applyNumberFormat="1" applyFont="1" applyFill="1" applyBorder="1"/>
    <xf numFmtId="3" fontId="5" fillId="14" borderId="4" xfId="0" applyNumberFormat="1" applyFont="1" applyFill="1" applyBorder="1"/>
    <xf numFmtId="173" fontId="6" fillId="14" borderId="4" xfId="1" applyNumberFormat="1" applyFont="1" applyFill="1" applyBorder="1" applyAlignment="1" applyProtection="1">
      <alignment horizontal="center"/>
      <protection locked="0"/>
    </xf>
    <xf numFmtId="3" fontId="6" fillId="14" borderId="4" xfId="1" applyNumberFormat="1" applyFont="1" applyFill="1" applyBorder="1" applyProtection="1">
      <protection locked="0"/>
    </xf>
    <xf numFmtId="3" fontId="1" fillId="14" borderId="4" xfId="0" applyNumberFormat="1" applyFont="1" applyFill="1" applyBorder="1"/>
    <xf numFmtId="3" fontId="3" fillId="14" borderId="4" xfId="0" applyNumberFormat="1" applyFont="1" applyFill="1" applyBorder="1"/>
    <xf numFmtId="173" fontId="4" fillId="14" borderId="4" xfId="0" applyNumberFormat="1" applyFont="1" applyFill="1" applyBorder="1" applyAlignment="1" applyProtection="1">
      <alignment horizontal="center"/>
      <protection locked="0"/>
    </xf>
    <xf numFmtId="3" fontId="3" fillId="14" borderId="4" xfId="0" applyNumberFormat="1" applyFont="1" applyFill="1" applyBorder="1" applyProtection="1">
      <protection locked="0"/>
    </xf>
    <xf numFmtId="173" fontId="6" fillId="14" borderId="4" xfId="1" quotePrefix="1" applyNumberFormat="1" applyFont="1" applyFill="1" applyBorder="1" applyAlignment="1" applyProtection="1">
      <alignment horizontal="center"/>
      <protection locked="0"/>
    </xf>
    <xf numFmtId="173" fontId="6" fillId="14" borderId="4" xfId="0" applyNumberFormat="1" applyFont="1" applyFill="1" applyBorder="1" applyAlignment="1" applyProtection="1">
      <alignment horizontal="center"/>
      <protection locked="0"/>
    </xf>
    <xf numFmtId="173" fontId="6" fillId="14" borderId="4" xfId="0" applyNumberFormat="1" applyFont="1" applyFill="1" applyBorder="1" applyAlignment="1">
      <alignment horizontal="center"/>
    </xf>
    <xf numFmtId="3" fontId="5" fillId="14" borderId="4" xfId="0" applyNumberFormat="1" applyFont="1" applyFill="1" applyBorder="1" applyProtection="1">
      <protection locked="0"/>
    </xf>
    <xf numFmtId="3" fontId="6" fillId="14" borderId="4" xfId="1" applyNumberFormat="1" applyFont="1" applyFill="1" applyBorder="1" applyAlignment="1" applyProtection="1">
      <alignment horizontal="center"/>
      <protection locked="0"/>
    </xf>
    <xf numFmtId="3" fontId="6" fillId="3" borderId="4" xfId="1" applyNumberFormat="1" applyFont="1" applyFill="1" applyBorder="1" applyAlignment="1" applyProtection="1">
      <alignment horizontal="center"/>
      <protection locked="0"/>
    </xf>
    <xf numFmtId="169" fontId="4" fillId="14" borderId="4" xfId="0" applyNumberFormat="1" applyFont="1" applyFill="1" applyBorder="1"/>
    <xf numFmtId="169" fontId="4" fillId="14" borderId="4" xfId="0" applyNumberFormat="1" applyFont="1" applyFill="1" applyBorder="1" applyProtection="1">
      <protection locked="0"/>
    </xf>
    <xf numFmtId="169" fontId="5" fillId="14" borderId="4" xfId="0" applyNumberFormat="1" applyFont="1" applyFill="1" applyBorder="1"/>
    <xf numFmtId="169" fontId="6" fillId="14" borderId="4" xfId="1" applyNumberFormat="1" applyFont="1" applyFill="1" applyBorder="1" applyAlignment="1" applyProtection="1">
      <alignment horizontal="center"/>
      <protection locked="0"/>
    </xf>
    <xf numFmtId="169" fontId="1" fillId="14" borderId="4" xfId="0" applyNumberFormat="1" applyFont="1" applyFill="1" applyBorder="1"/>
    <xf numFmtId="169" fontId="4" fillId="14" borderId="4" xfId="0" applyNumberFormat="1" applyFont="1" applyFill="1" applyBorder="1" applyAlignment="1">
      <alignment horizontal="center"/>
    </xf>
    <xf numFmtId="169" fontId="3" fillId="14" borderId="4" xfId="0" applyNumberFormat="1" applyFont="1" applyFill="1" applyBorder="1"/>
    <xf numFmtId="169" fontId="4" fillId="14" borderId="4" xfId="0" applyNumberFormat="1" applyFont="1" applyFill="1" applyBorder="1" applyAlignment="1" applyProtection="1">
      <alignment horizontal="center"/>
      <protection locked="0"/>
    </xf>
    <xf numFmtId="169" fontId="6" fillId="3" borderId="4" xfId="1" applyNumberFormat="1" applyFont="1" applyFill="1" applyBorder="1" applyAlignment="1" applyProtection="1">
      <alignment horizontal="center"/>
      <protection locked="0"/>
    </xf>
    <xf numFmtId="169" fontId="4" fillId="4" borderId="4" xfId="0" applyNumberFormat="1" applyFont="1" applyFill="1" applyBorder="1" applyAlignment="1">
      <alignment horizontal="center"/>
    </xf>
    <xf numFmtId="169" fontId="5" fillId="14" borderId="4" xfId="0" applyNumberFormat="1" applyFont="1" applyFill="1" applyBorder="1" applyAlignment="1">
      <alignment horizontal="center"/>
    </xf>
    <xf numFmtId="169" fontId="4" fillId="4" borderId="4" xfId="1" applyNumberFormat="1" applyFont="1" applyFill="1" applyBorder="1" applyAlignment="1" applyProtection="1">
      <alignment horizontal="center"/>
      <protection locked="0"/>
    </xf>
    <xf numFmtId="169" fontId="4" fillId="4" borderId="4" xfId="0" applyNumberFormat="1" applyFont="1" applyFill="1" applyBorder="1" applyAlignment="1" applyProtection="1">
      <alignment horizontal="center"/>
      <protection locked="0"/>
    </xf>
    <xf numFmtId="4" fontId="6" fillId="3" borderId="4" xfId="1" applyNumberFormat="1" applyFont="1" applyFill="1" applyBorder="1" applyAlignment="1" applyProtection="1">
      <alignment horizontal="center"/>
      <protection locked="0"/>
    </xf>
    <xf numFmtId="173" fontId="6" fillId="3" borderId="4" xfId="1" applyNumberFormat="1" applyFont="1" applyFill="1" applyBorder="1" applyAlignment="1" applyProtection="1">
      <alignment horizontal="center"/>
      <protection locked="0"/>
    </xf>
    <xf numFmtId="173" fontId="3" fillId="13" borderId="4" xfId="1" applyNumberFormat="1" applyFont="1" applyFill="1" applyBorder="1" applyAlignment="1" applyProtection="1">
      <alignment horizontal="center"/>
      <protection locked="0"/>
    </xf>
    <xf numFmtId="173" fontId="3" fillId="0" borderId="4" xfId="1" applyNumberFormat="1" applyFont="1" applyFill="1" applyBorder="1" applyAlignment="1" applyProtection="1">
      <alignment horizontal="center"/>
      <protection locked="0"/>
    </xf>
    <xf numFmtId="3" fontId="6" fillId="14" borderId="4" xfId="0" applyNumberFormat="1" applyFont="1" applyFill="1" applyBorder="1" applyAlignment="1">
      <alignment horizontal="center"/>
    </xf>
    <xf numFmtId="3" fontId="6" fillId="14" borderId="4" xfId="0" applyNumberFormat="1" applyFont="1" applyFill="1" applyBorder="1" applyAlignment="1" applyProtection="1">
      <alignment horizontal="center"/>
      <protection locked="0"/>
    </xf>
    <xf numFmtId="4" fontId="4" fillId="0" borderId="4" xfId="1" applyNumberFormat="1" applyFont="1" applyFill="1" applyBorder="1" applyAlignment="1" applyProtection="1">
      <alignment horizontal="center"/>
      <protection locked="0"/>
    </xf>
    <xf numFmtId="3" fontId="6" fillId="3" borderId="4" xfId="0" applyNumberFormat="1" applyFont="1" applyFill="1" applyBorder="1" applyAlignment="1">
      <alignment horizontal="center"/>
    </xf>
    <xf numFmtId="3" fontId="6" fillId="3" borderId="4" xfId="0" applyNumberFormat="1" applyFont="1" applyFill="1" applyBorder="1" applyAlignment="1" applyProtection="1">
      <alignment horizontal="center"/>
      <protection locked="0"/>
    </xf>
    <xf numFmtId="173" fontId="6" fillId="3" borderId="4" xfId="0" applyNumberFormat="1" applyFont="1" applyFill="1" applyBorder="1" applyAlignment="1">
      <alignment horizontal="center"/>
    </xf>
    <xf numFmtId="173" fontId="6" fillId="3" borderId="4" xfId="0" applyNumberFormat="1" applyFont="1" applyFill="1" applyBorder="1" applyAlignment="1" applyProtection="1">
      <alignment horizontal="center"/>
      <protection locked="0"/>
    </xf>
    <xf numFmtId="0" fontId="4" fillId="9" borderId="0" xfId="14" applyFont="1" applyFill="1" applyAlignment="1">
      <alignment horizontal="left"/>
    </xf>
    <xf numFmtId="168" fontId="4" fillId="0" borderId="0" xfId="16" applyNumberFormat="1" applyFont="1" applyFill="1" applyBorder="1" applyAlignment="1">
      <alignment horizontal="right"/>
    </xf>
    <xf numFmtId="168" fontId="4" fillId="0" borderId="0" xfId="16" applyNumberFormat="1" applyFont="1"/>
    <xf numFmtId="173" fontId="1" fillId="0" borderId="4" xfId="0" applyNumberFormat="1" applyFont="1" applyBorder="1"/>
    <xf numFmtId="173" fontId="5" fillId="14" borderId="4" xfId="0" applyNumberFormat="1" applyFont="1" applyFill="1" applyBorder="1"/>
    <xf numFmtId="14" fontId="0" fillId="0" borderId="0" xfId="0" applyNumberFormat="1"/>
    <xf numFmtId="10" fontId="5" fillId="0" borderId="0" xfId="16" applyNumberFormat="1" applyFont="1" applyFill="1" applyBorder="1" applyProtection="1"/>
    <xf numFmtId="191" fontId="5" fillId="0" borderId="4" xfId="16" applyNumberFormat="1" applyFont="1" applyBorder="1"/>
    <xf numFmtId="168" fontId="5" fillId="12" borderId="0" xfId="16" applyNumberFormat="1" applyFont="1" applyFill="1" applyBorder="1" applyProtection="1"/>
    <xf numFmtId="173" fontId="4" fillId="12" borderId="4" xfId="7" applyNumberFormat="1" applyFont="1" applyFill="1" applyBorder="1"/>
    <xf numFmtId="168" fontId="5" fillId="12" borderId="4" xfId="16" applyNumberFormat="1" applyFont="1" applyFill="1" applyBorder="1" applyProtection="1"/>
    <xf numFmtId="168" fontId="7" fillId="12" borderId="4" xfId="0" applyNumberFormat="1" applyFont="1" applyFill="1" applyBorder="1"/>
    <xf numFmtId="0" fontId="7" fillId="12" borderId="4" xfId="0" applyFont="1" applyFill="1" applyBorder="1"/>
    <xf numFmtId="0" fontId="5" fillId="12" borderId="4" xfId="0" applyFont="1" applyFill="1" applyBorder="1"/>
    <xf numFmtId="168" fontId="7" fillId="12" borderId="4" xfId="16" applyNumberFormat="1" applyFont="1" applyFill="1" applyBorder="1"/>
    <xf numFmtId="168" fontId="6" fillId="12" borderId="4" xfId="0" applyNumberFormat="1" applyFont="1" applyFill="1" applyBorder="1"/>
    <xf numFmtId="173" fontId="4" fillId="12" borderId="4" xfId="0" applyNumberFormat="1" applyFont="1" applyFill="1" applyBorder="1"/>
    <xf numFmtId="10" fontId="7" fillId="12" borderId="4" xfId="0" applyNumberFormat="1" applyFont="1" applyFill="1" applyBorder="1"/>
    <xf numFmtId="169" fontId="7" fillId="12" borderId="4" xfId="0" applyNumberFormat="1" applyFont="1" applyFill="1" applyBorder="1"/>
    <xf numFmtId="173" fontId="6" fillId="12" borderId="4" xfId="7" applyNumberFormat="1" applyFont="1" applyFill="1" applyBorder="1"/>
    <xf numFmtId="9" fontId="7" fillId="12" borderId="4" xfId="16" applyFont="1" applyFill="1" applyBorder="1"/>
    <xf numFmtId="168" fontId="6" fillId="12" borderId="4" xfId="16" applyNumberFormat="1" applyFont="1" applyFill="1" applyBorder="1"/>
    <xf numFmtId="10" fontId="7" fillId="12" borderId="4" xfId="16" applyNumberFormat="1" applyFont="1" applyFill="1" applyBorder="1"/>
    <xf numFmtId="169" fontId="7" fillId="12" borderId="4" xfId="16" applyNumberFormat="1" applyFont="1" applyFill="1" applyBorder="1"/>
    <xf numFmtId="173" fontId="4" fillId="12" borderId="4" xfId="16" applyNumberFormat="1" applyFont="1" applyFill="1" applyBorder="1" applyProtection="1"/>
    <xf numFmtId="173" fontId="6" fillId="12" borderId="4" xfId="0" applyNumberFormat="1" applyFont="1" applyFill="1" applyBorder="1"/>
    <xf numFmtId="1" fontId="6" fillId="12" borderId="4" xfId="0" applyNumberFormat="1" applyFont="1" applyFill="1" applyBorder="1"/>
    <xf numFmtId="1" fontId="7" fillId="12" borderId="4" xfId="0" applyNumberFormat="1" applyFont="1" applyFill="1" applyBorder="1"/>
    <xf numFmtId="169" fontId="6" fillId="12" borderId="4" xfId="0" applyNumberFormat="1" applyFont="1" applyFill="1" applyBorder="1"/>
    <xf numFmtId="168" fontId="5" fillId="12" borderId="4" xfId="16" applyNumberFormat="1" applyFont="1" applyFill="1" applyBorder="1"/>
    <xf numFmtId="1" fontId="6" fillId="12" borderId="4" xfId="16" applyNumberFormat="1" applyFont="1" applyFill="1" applyBorder="1"/>
    <xf numFmtId="171" fontId="6" fillId="12" borderId="4" xfId="7" applyNumberFormat="1" applyFont="1" applyFill="1" applyBorder="1"/>
    <xf numFmtId="9" fontId="6" fillId="12" borderId="4" xfId="16" applyFont="1" applyFill="1" applyBorder="1"/>
    <xf numFmtId="3" fontId="7" fillId="12" borderId="4" xfId="1" applyNumberFormat="1" applyFont="1" applyFill="1" applyBorder="1"/>
    <xf numFmtId="168" fontId="8" fillId="12" borderId="4" xfId="16" applyNumberFormat="1" applyFont="1" applyFill="1" applyBorder="1" applyProtection="1"/>
    <xf numFmtId="173" fontId="7" fillId="12" borderId="4" xfId="1" applyNumberFormat="1" applyFont="1" applyFill="1" applyBorder="1"/>
    <xf numFmtId="170" fontId="4" fillId="12" borderId="4" xfId="1" applyNumberFormat="1" applyFont="1" applyFill="1" applyBorder="1" applyProtection="1"/>
    <xf numFmtId="168" fontId="8" fillId="12" borderId="4" xfId="16" applyNumberFormat="1" applyFont="1" applyFill="1" applyBorder="1"/>
    <xf numFmtId="1" fontId="20" fillId="12" borderId="4" xfId="0" applyNumberFormat="1" applyFont="1" applyFill="1" applyBorder="1"/>
    <xf numFmtId="0" fontId="4" fillId="12" borderId="4" xfId="0" applyFont="1" applyFill="1" applyBorder="1"/>
    <xf numFmtId="3" fontId="5" fillId="0" borderId="38" xfId="0" applyNumberFormat="1" applyFont="1" applyBorder="1"/>
    <xf numFmtId="3" fontId="5" fillId="0" borderId="21" xfId="0" applyNumberFormat="1" applyFont="1" applyBorder="1"/>
    <xf numFmtId="3" fontId="5" fillId="0" borderId="22" xfId="0" applyNumberFormat="1" applyFont="1" applyBorder="1"/>
    <xf numFmtId="4" fontId="5" fillId="0" borderId="27" xfId="0" applyNumberFormat="1" applyFont="1" applyBorder="1"/>
    <xf numFmtId="0" fontId="4" fillId="12" borderId="4" xfId="0" applyFont="1" applyFill="1" applyBorder="1" applyAlignment="1">
      <alignment horizontal="right"/>
    </xf>
    <xf numFmtId="175" fontId="4" fillId="3" borderId="4" xfId="7" applyNumberFormat="1" applyFont="1" applyFill="1" applyBorder="1"/>
    <xf numFmtId="0" fontId="1" fillId="0" borderId="0" xfId="24"/>
    <xf numFmtId="0" fontId="1" fillId="15" borderId="0" xfId="24" applyFill="1"/>
    <xf numFmtId="0" fontId="1" fillId="13" borderId="0" xfId="24" applyFill="1"/>
    <xf numFmtId="0" fontId="1" fillId="0" borderId="0" xfId="24" applyAlignment="1">
      <alignment horizontal="center"/>
    </xf>
    <xf numFmtId="0" fontId="4" fillId="15" borderId="0" xfId="24" applyFont="1" applyFill="1"/>
    <xf numFmtId="168" fontId="5" fillId="5" borderId="0" xfId="16" applyNumberFormat="1" applyFont="1" applyFill="1" applyAlignment="1">
      <alignment horizontal="right"/>
    </xf>
    <xf numFmtId="168" fontId="4" fillId="13" borderId="4" xfId="16" applyNumberFormat="1" applyFont="1" applyFill="1" applyBorder="1"/>
    <xf numFmtId="0" fontId="36" fillId="0" borderId="0" xfId="24" applyFont="1"/>
    <xf numFmtId="0" fontId="1" fillId="0" borderId="4" xfId="24" applyBorder="1"/>
    <xf numFmtId="0" fontId="36" fillId="0" borderId="4" xfId="24" applyFont="1" applyBorder="1"/>
    <xf numFmtId="0" fontId="31" fillId="19" borderId="0" xfId="24" applyFont="1" applyFill="1" applyAlignment="1">
      <alignment horizontal="right"/>
    </xf>
    <xf numFmtId="0" fontId="37" fillId="19" borderId="0" xfId="24" applyFont="1" applyFill="1"/>
    <xf numFmtId="0" fontId="38" fillId="0" borderId="0" xfId="24" applyFont="1"/>
    <xf numFmtId="0" fontId="39" fillId="21" borderId="0" xfId="24" applyFont="1" applyFill="1"/>
    <xf numFmtId="17" fontId="38" fillId="0" borderId="0" xfId="24" applyNumberFormat="1" applyFont="1"/>
    <xf numFmtId="0" fontId="39" fillId="20" borderId="4" xfId="24" applyFont="1" applyFill="1" applyBorder="1" applyAlignment="1">
      <alignment horizontal="center"/>
    </xf>
    <xf numFmtId="0" fontId="40" fillId="21" borderId="0" xfId="24" applyFont="1" applyFill="1"/>
    <xf numFmtId="0" fontId="37" fillId="19" borderId="0" xfId="24" quotePrefix="1" applyFont="1" applyFill="1" applyAlignment="1">
      <alignment horizontal="center"/>
    </xf>
    <xf numFmtId="0" fontId="41" fillId="0" borderId="0" xfId="24" applyFont="1"/>
    <xf numFmtId="0" fontId="30" fillId="0" borderId="0" xfId="24" applyFont="1"/>
    <xf numFmtId="0" fontId="4" fillId="10" borderId="0" xfId="24" applyFont="1" applyFill="1"/>
    <xf numFmtId="17" fontId="38" fillId="10" borderId="0" xfId="24" applyNumberFormat="1" applyFont="1" applyFill="1"/>
    <xf numFmtId="2" fontId="39" fillId="20" borderId="4" xfId="1" applyNumberFormat="1" applyFont="1" applyFill="1" applyBorder="1" applyAlignment="1">
      <alignment horizontal="center"/>
    </xf>
    <xf numFmtId="0" fontId="42" fillId="0" borderId="0" xfId="24" applyFont="1"/>
    <xf numFmtId="0" fontId="29" fillId="22" borderId="0" xfId="24" applyFont="1" applyFill="1" applyAlignment="1">
      <alignment horizontal="center"/>
    </xf>
    <xf numFmtId="0" fontId="29" fillId="18" borderId="0" xfId="24" applyFont="1" applyFill="1" applyAlignment="1">
      <alignment horizontal="left"/>
    </xf>
    <xf numFmtId="0" fontId="1" fillId="18" borderId="0" xfId="24" applyFill="1"/>
    <xf numFmtId="0" fontId="1" fillId="0" borderId="0" xfId="24" quotePrefix="1"/>
    <xf numFmtId="167" fontId="42" fillId="0" borderId="0" xfId="1" applyFont="1"/>
    <xf numFmtId="43" fontId="1" fillId="0" borderId="0" xfId="24" applyNumberFormat="1"/>
    <xf numFmtId="0" fontId="44" fillId="21" borderId="0" xfId="24" applyFont="1" applyFill="1"/>
    <xf numFmtId="0" fontId="4" fillId="21" borderId="0" xfId="24" applyFont="1" applyFill="1"/>
    <xf numFmtId="0" fontId="46" fillId="0" borderId="0" xfId="24" applyFont="1"/>
    <xf numFmtId="0" fontId="47" fillId="2" borderId="0" xfId="24" applyFont="1" applyFill="1"/>
    <xf numFmtId="0" fontId="39" fillId="2" borderId="0" xfId="24" applyFont="1" applyFill="1"/>
    <xf numFmtId="0" fontId="47" fillId="3" borderId="0" xfId="24" applyFont="1" applyFill="1"/>
    <xf numFmtId="0" fontId="39" fillId="3" borderId="0" xfId="24" applyFont="1" applyFill="1"/>
    <xf numFmtId="0" fontId="47" fillId="0" borderId="0" xfId="24" applyFont="1" applyAlignment="1">
      <alignment horizontal="right"/>
    </xf>
    <xf numFmtId="0" fontId="4" fillId="0" borderId="0" xfId="24" applyFont="1"/>
    <xf numFmtId="192" fontId="4" fillId="0" borderId="0" xfId="1" applyNumberFormat="1" applyFont="1" applyBorder="1"/>
    <xf numFmtId="174" fontId="48" fillId="23" borderId="0" xfId="1" quotePrefix="1" applyNumberFormat="1" applyFont="1" applyFill="1" applyBorder="1" applyAlignment="1">
      <alignment horizontal="right"/>
    </xf>
    <xf numFmtId="174" fontId="48" fillId="20" borderId="0" xfId="1" quotePrefix="1" applyNumberFormat="1" applyFont="1" applyFill="1" applyBorder="1" applyAlignment="1">
      <alignment horizontal="right"/>
    </xf>
    <xf numFmtId="192" fontId="0" fillId="0" borderId="0" xfId="1" applyNumberFormat="1" applyFont="1" applyBorder="1"/>
    <xf numFmtId="174" fontId="49" fillId="0" borderId="0" xfId="1" quotePrefix="1" applyNumberFormat="1" applyFont="1" applyFill="1" applyBorder="1" applyAlignment="1">
      <alignment horizontal="right"/>
    </xf>
    <xf numFmtId="0" fontId="32" fillId="0" borderId="0" xfId="24" applyFont="1" applyAlignment="1">
      <alignment horizontal="right"/>
    </xf>
    <xf numFmtId="192" fontId="50" fillId="0" borderId="0" xfId="1" applyNumberFormat="1" applyFont="1" applyBorder="1"/>
    <xf numFmtId="168" fontId="4" fillId="24" borderId="0" xfId="16" applyNumberFormat="1" applyFont="1" applyFill="1" applyBorder="1"/>
    <xf numFmtId="0" fontId="4" fillId="10" borderId="0" xfId="24" applyFont="1" applyFill="1" applyAlignment="1">
      <alignment horizontal="center"/>
    </xf>
    <xf numFmtId="0" fontId="52" fillId="0" borderId="0" xfId="24" applyFont="1"/>
    <xf numFmtId="0" fontId="53" fillId="0" borderId="0" xfId="24" applyFont="1"/>
    <xf numFmtId="0" fontId="54" fillId="0" borderId="0" xfId="24" applyFont="1"/>
    <xf numFmtId="0" fontId="47" fillId="23" borderId="0" xfId="24" applyFont="1" applyFill="1"/>
    <xf numFmtId="0" fontId="39" fillId="23" borderId="0" xfId="24" applyFont="1" applyFill="1"/>
    <xf numFmtId="0" fontId="47" fillId="20" borderId="0" xfId="24" applyFont="1" applyFill="1"/>
    <xf numFmtId="0" fontId="39" fillId="20" borderId="0" xfId="24" applyFont="1" applyFill="1"/>
    <xf numFmtId="174" fontId="1" fillId="0" borderId="0" xfId="1" applyNumberFormat="1" applyFont="1" applyBorder="1"/>
    <xf numFmtId="0" fontId="46" fillId="0" borderId="0" xfId="24" applyFont="1" applyAlignment="1">
      <alignment vertical="center"/>
    </xf>
    <xf numFmtId="0" fontId="56" fillId="2" borderId="0" xfId="24" applyFont="1" applyFill="1"/>
    <xf numFmtId="165" fontId="56" fillId="2" borderId="0" xfId="24" applyNumberFormat="1" applyFont="1" applyFill="1"/>
    <xf numFmtId="0" fontId="56" fillId="0" borderId="0" xfId="24" applyFont="1"/>
    <xf numFmtId="192" fontId="57" fillId="0" borderId="0" xfId="1" applyNumberFormat="1" applyFont="1" applyBorder="1"/>
    <xf numFmtId="0" fontId="58" fillId="0" borderId="0" xfId="24" applyFont="1"/>
    <xf numFmtId="174" fontId="4" fillId="23" borderId="0" xfId="1" applyNumberFormat="1" applyFont="1" applyFill="1" applyBorder="1"/>
    <xf numFmtId="9" fontId="4" fillId="23" borderId="0" xfId="16" applyFont="1" applyFill="1" applyBorder="1"/>
    <xf numFmtId="9" fontId="0" fillId="0" borderId="0" xfId="16" applyFont="1" applyBorder="1"/>
    <xf numFmtId="174" fontId="4" fillId="23" borderId="0" xfId="1" quotePrefix="1" applyNumberFormat="1" applyFont="1" applyFill="1" applyBorder="1"/>
    <xf numFmtId="0" fontId="1" fillId="0" borderId="0" xfId="24" applyAlignment="1">
      <alignment horizontal="right"/>
    </xf>
    <xf numFmtId="0" fontId="59" fillId="0" borderId="0" xfId="24" applyFont="1"/>
    <xf numFmtId="0" fontId="60" fillId="24" borderId="0" xfId="24" applyFont="1" applyFill="1" applyAlignment="1">
      <alignment horizontal="right"/>
    </xf>
    <xf numFmtId="0" fontId="60" fillId="20" borderId="0" xfId="24" applyFont="1" applyFill="1"/>
    <xf numFmtId="168" fontId="4" fillId="20" borderId="0" xfId="16" applyNumberFormat="1" applyFont="1" applyFill="1" applyBorder="1"/>
    <xf numFmtId="0" fontId="60" fillId="23" borderId="0" xfId="24" applyFont="1" applyFill="1" applyAlignment="1">
      <alignment horizontal="left"/>
    </xf>
    <xf numFmtId="168" fontId="4" fillId="23" borderId="0" xfId="16" applyNumberFormat="1" applyFont="1" applyFill="1" applyBorder="1"/>
    <xf numFmtId="167" fontId="4" fillId="20" borderId="0" xfId="1" applyFont="1" applyFill="1" applyBorder="1"/>
    <xf numFmtId="0" fontId="60" fillId="23" borderId="0" xfId="24" applyFont="1" applyFill="1"/>
    <xf numFmtId="174" fontId="4" fillId="12" borderId="0" xfId="1" applyNumberFormat="1" applyFont="1" applyFill="1" applyBorder="1"/>
    <xf numFmtId="174" fontId="0" fillId="12" borderId="0" xfId="1" applyNumberFormat="1" applyFont="1" applyFill="1" applyBorder="1"/>
    <xf numFmtId="10" fontId="4" fillId="23" borderId="0" xfId="16" applyNumberFormat="1" applyFont="1" applyFill="1" applyBorder="1"/>
    <xf numFmtId="193" fontId="1" fillId="20" borderId="0" xfId="24" applyNumberFormat="1" applyFill="1"/>
    <xf numFmtId="192" fontId="4" fillId="0" borderId="24" xfId="1" applyNumberFormat="1" applyFont="1" applyBorder="1"/>
    <xf numFmtId="192" fontId="4" fillId="0" borderId="28" xfId="1" applyNumberFormat="1" applyFont="1" applyBorder="1"/>
    <xf numFmtId="192" fontId="1" fillId="0" borderId="5" xfId="1" applyNumberFormat="1" applyFont="1" applyBorder="1"/>
    <xf numFmtId="192" fontId="1" fillId="0" borderId="9" xfId="1" applyNumberFormat="1" applyFont="1" applyBorder="1"/>
    <xf numFmtId="2" fontId="1" fillId="20" borderId="6" xfId="1" applyNumberFormat="1" applyFont="1" applyFill="1" applyBorder="1"/>
    <xf numFmtId="2" fontId="1" fillId="23" borderId="6" xfId="1" applyNumberFormat="1" applyFont="1" applyFill="1" applyBorder="1"/>
    <xf numFmtId="2" fontId="1" fillId="23" borderId="7" xfId="1" applyNumberFormat="1" applyFont="1" applyFill="1" applyBorder="1"/>
    <xf numFmtId="2" fontId="1" fillId="20" borderId="0" xfId="1" applyNumberFormat="1" applyFont="1" applyFill="1" applyBorder="1"/>
    <xf numFmtId="2" fontId="1" fillId="23" borderId="0" xfId="1" applyNumberFormat="1" applyFont="1" applyFill="1" applyBorder="1"/>
    <xf numFmtId="2" fontId="1" fillId="23" borderId="10" xfId="1" applyNumberFormat="1" applyFont="1" applyFill="1" applyBorder="1"/>
    <xf numFmtId="2" fontId="4" fillId="20" borderId="28" xfId="1" applyNumberFormat="1" applyFont="1" applyFill="1" applyBorder="1"/>
    <xf numFmtId="2" fontId="4" fillId="23" borderId="28" xfId="1" applyNumberFormat="1" applyFont="1" applyFill="1" applyBorder="1"/>
    <xf numFmtId="2" fontId="4" fillId="20" borderId="0" xfId="1" applyNumberFormat="1" applyFont="1" applyFill="1" applyBorder="1"/>
    <xf numFmtId="9" fontId="0" fillId="0" borderId="0" xfId="16" applyFont="1"/>
    <xf numFmtId="173" fontId="1" fillId="0" borderId="0" xfId="0" applyNumberFormat="1" applyFont="1"/>
    <xf numFmtId="0" fontId="4" fillId="26" borderId="0" xfId="25" applyFont="1" applyFill="1" applyBorder="1">
      <alignment horizontal="centerContinuous"/>
    </xf>
    <xf numFmtId="173" fontId="64" fillId="27" borderId="0" xfId="27" applyBorder="1">
      <alignment horizontal="right"/>
    </xf>
    <xf numFmtId="9" fontId="64" fillId="27" borderId="0" xfId="16" applyFont="1" applyFill="1" applyBorder="1" applyAlignment="1" applyProtection="1">
      <alignment horizontal="right"/>
    </xf>
    <xf numFmtId="173" fontId="66" fillId="27" borderId="0" xfId="29" applyBorder="1">
      <alignment horizontal="right"/>
    </xf>
    <xf numFmtId="9" fontId="66" fillId="27" borderId="0" xfId="16" applyFont="1" applyFill="1" applyBorder="1" applyAlignment="1" applyProtection="1">
      <alignment horizontal="right"/>
    </xf>
    <xf numFmtId="173" fontId="1" fillId="0" borderId="0" xfId="24" applyNumberFormat="1"/>
    <xf numFmtId="0" fontId="1" fillId="0" borderId="61" xfId="24" applyBorder="1"/>
    <xf numFmtId="4" fontId="1" fillId="0" borderId="0" xfId="24" applyNumberFormat="1"/>
    <xf numFmtId="3" fontId="1" fillId="0" borderId="0" xfId="24" applyNumberFormat="1"/>
    <xf numFmtId="9" fontId="1" fillId="0" borderId="0" xfId="24" applyNumberFormat="1"/>
    <xf numFmtId="0" fontId="1" fillId="0" borderId="14" xfId="24" applyBorder="1"/>
    <xf numFmtId="0" fontId="1" fillId="5" borderId="62" xfId="24" applyFill="1" applyBorder="1" applyAlignment="1">
      <alignment horizontal="left"/>
    </xf>
    <xf numFmtId="3" fontId="35" fillId="26" borderId="62" xfId="1" applyNumberFormat="1" applyFont="1" applyFill="1" applyBorder="1" applyProtection="1">
      <protection locked="0"/>
    </xf>
    <xf numFmtId="3" fontId="1" fillId="28" borderId="63" xfId="7" applyNumberFormat="1" applyFont="1" applyFill="1" applyBorder="1"/>
    <xf numFmtId="3" fontId="1" fillId="5" borderId="0" xfId="24" applyNumberFormat="1" applyFill="1" applyAlignment="1">
      <alignment horizontal="left"/>
    </xf>
    <xf numFmtId="3" fontId="35" fillId="26" borderId="64" xfId="1" applyNumberFormat="1" applyFont="1" applyFill="1" applyBorder="1" applyProtection="1">
      <protection locked="0"/>
    </xf>
    <xf numFmtId="3" fontId="35" fillId="26" borderId="65" xfId="1" applyNumberFormat="1" applyFont="1" applyFill="1" applyBorder="1" applyProtection="1">
      <protection locked="0"/>
    </xf>
    <xf numFmtId="3" fontId="1" fillId="28" borderId="65" xfId="7" applyNumberFormat="1" applyFont="1" applyFill="1" applyBorder="1"/>
    <xf numFmtId="0" fontId="1" fillId="0" borderId="0" xfId="24" applyAlignment="1">
      <alignment horizontal="right" wrapText="1"/>
    </xf>
    <xf numFmtId="0" fontId="1" fillId="0" borderId="66" xfId="24" applyBorder="1"/>
    <xf numFmtId="0" fontId="4" fillId="26" borderId="0" xfId="25" applyFont="1" applyFill="1" applyBorder="1" applyAlignment="1">
      <alignment horizontal="center" vertical="center"/>
    </xf>
    <xf numFmtId="1" fontId="1" fillId="0" borderId="0" xfId="24" applyNumberFormat="1" applyAlignment="1">
      <alignment horizontal="center" vertical="center"/>
    </xf>
    <xf numFmtId="0" fontId="1" fillId="0" borderId="0" xfId="24" applyAlignment="1">
      <alignment horizontal="center" vertical="center"/>
    </xf>
    <xf numFmtId="0" fontId="1" fillId="20" borderId="0" xfId="24" applyFill="1"/>
    <xf numFmtId="10" fontId="1" fillId="26" borderId="0" xfId="24" applyNumberFormat="1" applyFill="1" applyAlignment="1">
      <alignment horizontal="center"/>
    </xf>
    <xf numFmtId="0" fontId="1" fillId="0" borderId="41" xfId="24" applyBorder="1"/>
    <xf numFmtId="0" fontId="1" fillId="0" borderId="21" xfId="24" applyBorder="1"/>
    <xf numFmtId="0" fontId="1" fillId="0" borderId="29" xfId="24" applyBorder="1"/>
    <xf numFmtId="0" fontId="1" fillId="0" borderId="22" xfId="24" applyBorder="1"/>
    <xf numFmtId="9" fontId="1" fillId="0" borderId="0" xfId="16" applyBorder="1"/>
    <xf numFmtId="9" fontId="1" fillId="0" borderId="14" xfId="16" applyBorder="1"/>
    <xf numFmtId="2" fontId="0" fillId="0" borderId="0" xfId="16" applyNumberFormat="1" applyFont="1" applyBorder="1"/>
    <xf numFmtId="9" fontId="64" fillId="27" borderId="27" xfId="16" applyFont="1" applyFill="1" applyBorder="1" applyAlignment="1" applyProtection="1">
      <alignment horizontal="right"/>
    </xf>
    <xf numFmtId="9" fontId="64" fillId="27" borderId="14" xfId="16" applyFont="1" applyFill="1" applyBorder="1" applyAlignment="1" applyProtection="1">
      <alignment horizontal="right"/>
    </xf>
    <xf numFmtId="173" fontId="64" fillId="27" borderId="27" xfId="27" applyBorder="1">
      <alignment horizontal="right"/>
    </xf>
    <xf numFmtId="9" fontId="64" fillId="13" borderId="29" xfId="16" applyFont="1" applyFill="1" applyBorder="1" applyAlignment="1" applyProtection="1">
      <alignment horizontal="right"/>
    </xf>
    <xf numFmtId="0" fontId="1" fillId="0" borderId="14" xfId="24" applyBorder="1" applyAlignment="1">
      <alignment horizontal="right"/>
    </xf>
    <xf numFmtId="9" fontId="64" fillId="13" borderId="22" xfId="16" applyFont="1" applyFill="1" applyBorder="1" applyAlignment="1" applyProtection="1">
      <alignment horizontal="right"/>
    </xf>
    <xf numFmtId="0" fontId="1" fillId="0" borderId="15" xfId="24" applyBorder="1"/>
    <xf numFmtId="9" fontId="1" fillId="0" borderId="16" xfId="16" applyBorder="1"/>
    <xf numFmtId="173" fontId="64" fillId="27" borderId="16" xfId="27" applyBorder="1">
      <alignment horizontal="right"/>
    </xf>
    <xf numFmtId="9" fontId="64" fillId="27" borderId="16" xfId="16" applyFont="1" applyFill="1" applyBorder="1" applyAlignment="1" applyProtection="1">
      <alignment horizontal="right"/>
    </xf>
    <xf numFmtId="9" fontId="64" fillId="13" borderId="8" xfId="16" applyFont="1" applyFill="1" applyBorder="1" applyAlignment="1" applyProtection="1">
      <alignment horizontal="right"/>
    </xf>
    <xf numFmtId="9" fontId="0" fillId="0" borderId="14" xfId="16" applyFont="1" applyBorder="1"/>
    <xf numFmtId="0" fontId="1" fillId="0" borderId="27" xfId="24" applyBorder="1"/>
    <xf numFmtId="0" fontId="68" fillId="27" borderId="41" xfId="28" applyFont="1" applyAlignment="1">
      <alignment horizontal="center"/>
    </xf>
    <xf numFmtId="0" fontId="4" fillId="0" borderId="41" xfId="24" applyFont="1" applyBorder="1" applyAlignment="1">
      <alignment horizontal="center"/>
    </xf>
    <xf numFmtId="0" fontId="4" fillId="0" borderId="21" xfId="24" applyFont="1" applyBorder="1" applyAlignment="1">
      <alignment horizontal="center"/>
    </xf>
    <xf numFmtId="0" fontId="64" fillId="27" borderId="4" xfId="26" applyBorder="1" applyAlignment="1">
      <alignment horizontal="center"/>
    </xf>
    <xf numFmtId="0" fontId="4" fillId="29" borderId="0" xfId="0" applyFont="1" applyFill="1"/>
    <xf numFmtId="10" fontId="1" fillId="0" borderId="0" xfId="16" applyNumberFormat="1"/>
    <xf numFmtId="0" fontId="4" fillId="29" borderId="0" xfId="0" applyFont="1" applyFill="1" applyAlignment="1">
      <alignment horizontal="center"/>
    </xf>
    <xf numFmtId="194" fontId="1" fillId="0" borderId="0" xfId="16" applyNumberFormat="1"/>
    <xf numFmtId="0" fontId="36" fillId="0" borderId="27" xfId="24" applyFont="1" applyBorder="1"/>
    <xf numFmtId="0" fontId="36" fillId="0" borderId="38" xfId="24" applyFont="1" applyBorder="1"/>
    <xf numFmtId="0" fontId="36" fillId="0" borderId="39" xfId="24" applyFont="1" applyBorder="1"/>
    <xf numFmtId="0" fontId="36" fillId="0" borderId="41" xfId="24" applyFont="1" applyBorder="1"/>
    <xf numFmtId="2" fontId="1" fillId="0" borderId="0" xfId="24" applyNumberFormat="1" applyAlignment="1">
      <alignment horizontal="center"/>
    </xf>
    <xf numFmtId="0" fontId="30" fillId="0" borderId="0" xfId="24" applyFont="1" applyAlignment="1">
      <alignment horizontal="center"/>
    </xf>
    <xf numFmtId="0" fontId="4" fillId="21" borderId="0" xfId="24" applyFont="1" applyFill="1" applyAlignment="1">
      <alignment horizontal="center"/>
    </xf>
    <xf numFmtId="0" fontId="1" fillId="0" borderId="9" xfId="24" applyBorder="1"/>
    <xf numFmtId="0" fontId="36" fillId="0" borderId="9" xfId="24" applyFont="1" applyBorder="1"/>
    <xf numFmtId="0" fontId="37" fillId="19" borderId="5" xfId="24" applyFont="1" applyFill="1" applyBorder="1"/>
    <xf numFmtId="0" fontId="31" fillId="19" borderId="7" xfId="24" applyFont="1" applyFill="1" applyBorder="1" applyAlignment="1">
      <alignment horizontal="right"/>
    </xf>
    <xf numFmtId="49" fontId="31" fillId="19" borderId="6" xfId="24" applyNumberFormat="1" applyFont="1" applyFill="1" applyBorder="1" applyAlignment="1">
      <alignment horizontal="right"/>
    </xf>
    <xf numFmtId="0" fontId="1" fillId="0" borderId="24" xfId="24" applyBorder="1"/>
    <xf numFmtId="0" fontId="1" fillId="0" borderId="25" xfId="24" applyBorder="1"/>
    <xf numFmtId="10" fontId="4" fillId="0" borderId="70" xfId="16" applyNumberFormat="1" applyFont="1" applyBorder="1"/>
    <xf numFmtId="10" fontId="4" fillId="0" borderId="71" xfId="16" applyNumberFormat="1" applyFont="1" applyBorder="1"/>
    <xf numFmtId="9" fontId="4" fillId="0" borderId="16" xfId="16" applyFont="1" applyBorder="1"/>
    <xf numFmtId="168" fontId="0" fillId="0" borderId="0" xfId="16" applyNumberFormat="1" applyFont="1"/>
    <xf numFmtId="195" fontId="0" fillId="0" borderId="0" xfId="1" applyNumberFormat="1" applyFont="1" applyBorder="1"/>
    <xf numFmtId="0" fontId="69" fillId="30" borderId="15" xfId="24" applyFont="1" applyFill="1" applyBorder="1"/>
    <xf numFmtId="0" fontId="69" fillId="30" borderId="16" xfId="24" applyFont="1" applyFill="1" applyBorder="1"/>
    <xf numFmtId="0" fontId="4" fillId="16" borderId="4" xfId="24" applyFont="1" applyFill="1" applyBorder="1"/>
    <xf numFmtId="0" fontId="69" fillId="16" borderId="41" xfId="24" applyFont="1" applyFill="1" applyBorder="1" applyAlignment="1">
      <alignment horizontal="left"/>
    </xf>
    <xf numFmtId="0" fontId="4" fillId="15" borderId="72" xfId="24" applyFont="1" applyFill="1" applyBorder="1"/>
    <xf numFmtId="0" fontId="4" fillId="15" borderId="73" xfId="24" applyFont="1" applyFill="1" applyBorder="1"/>
    <xf numFmtId="0" fontId="1" fillId="15" borderId="73" xfId="24" applyFill="1" applyBorder="1"/>
    <xf numFmtId="0" fontId="1" fillId="15" borderId="74" xfId="24" applyFill="1" applyBorder="1"/>
    <xf numFmtId="0" fontId="4" fillId="29" borderId="41" xfId="24" applyFont="1" applyFill="1" applyBorder="1" applyAlignment="1">
      <alignment vertical="center" wrapText="1"/>
    </xf>
    <xf numFmtId="0" fontId="4" fillId="29" borderId="0" xfId="24" applyFont="1" applyFill="1" applyAlignment="1">
      <alignment vertical="center" wrapText="1"/>
    </xf>
    <xf numFmtId="0" fontId="4" fillId="29" borderId="29" xfId="24" applyFont="1" applyFill="1" applyBorder="1" applyAlignment="1">
      <alignment vertical="center" wrapText="1"/>
    </xf>
    <xf numFmtId="0" fontId="1" fillId="15" borderId="75" xfId="24" applyFill="1" applyBorder="1"/>
    <xf numFmtId="0" fontId="1" fillId="15" borderId="76" xfId="24" applyFill="1" applyBorder="1"/>
    <xf numFmtId="0" fontId="69" fillId="16" borderId="4" xfId="24" applyFont="1" applyFill="1" applyBorder="1" applyAlignment="1">
      <alignment horizontal="left"/>
    </xf>
    <xf numFmtId="0" fontId="4" fillId="29" borderId="21" xfId="24" applyFont="1" applyFill="1" applyBorder="1" applyAlignment="1">
      <alignment vertical="center" wrapText="1"/>
    </xf>
    <xf numFmtId="0" fontId="4" fillId="29" borderId="14" xfId="24" applyFont="1" applyFill="1" applyBorder="1" applyAlignment="1">
      <alignment vertical="center" wrapText="1"/>
    </xf>
    <xf numFmtId="0" fontId="4" fillId="29" borderId="22" xfId="24" applyFont="1" applyFill="1" applyBorder="1" applyAlignment="1">
      <alignment vertical="center" wrapText="1"/>
    </xf>
    <xf numFmtId="0" fontId="4" fillId="0" borderId="0" xfId="24" applyFont="1" applyAlignment="1">
      <alignment vertical="center"/>
    </xf>
    <xf numFmtId="0" fontId="69" fillId="30" borderId="4" xfId="24" applyFont="1" applyFill="1" applyBorder="1"/>
    <xf numFmtId="0" fontId="1" fillId="15" borderId="77" xfId="24" applyFill="1" applyBorder="1"/>
    <xf numFmtId="0" fontId="1" fillId="15" borderId="66" xfId="24" applyFill="1" applyBorder="1"/>
    <xf numFmtId="0" fontId="1" fillId="15" borderId="78" xfId="24" applyFill="1" applyBorder="1"/>
    <xf numFmtId="0" fontId="69" fillId="16" borderId="0" xfId="24" applyFont="1" applyFill="1" applyAlignment="1">
      <alignment horizontal="left"/>
    </xf>
    <xf numFmtId="0" fontId="1" fillId="15" borderId="66" xfId="24" applyFill="1" applyBorder="1" applyAlignment="1">
      <alignment vertical="center"/>
    </xf>
    <xf numFmtId="0" fontId="1" fillId="15" borderId="78" xfId="24" applyFill="1" applyBorder="1" applyAlignment="1">
      <alignment vertical="center"/>
    </xf>
    <xf numFmtId="0" fontId="70" fillId="13" borderId="0" xfId="24" applyFont="1" applyFill="1"/>
    <xf numFmtId="0" fontId="1" fillId="15" borderId="73" xfId="24" applyFill="1" applyBorder="1" applyAlignment="1">
      <alignment vertical="center"/>
    </xf>
    <xf numFmtId="0" fontId="1" fillId="15" borderId="74" xfId="24" applyFill="1" applyBorder="1" applyAlignment="1">
      <alignment vertical="center"/>
    </xf>
    <xf numFmtId="0" fontId="69" fillId="30" borderId="27" xfId="24" applyFont="1" applyFill="1" applyBorder="1"/>
    <xf numFmtId="0" fontId="1" fillId="15" borderId="0" xfId="24" applyFill="1" applyAlignment="1">
      <alignment vertical="center"/>
    </xf>
    <xf numFmtId="0" fontId="1" fillId="15" borderId="76" xfId="24" applyFill="1" applyBorder="1" applyAlignment="1">
      <alignment vertical="center"/>
    </xf>
    <xf numFmtId="10" fontId="69" fillId="16" borderId="4" xfId="24" applyNumberFormat="1" applyFont="1" applyFill="1" applyBorder="1" applyAlignment="1">
      <alignment horizontal="left"/>
    </xf>
    <xf numFmtId="0" fontId="4" fillId="15" borderId="74" xfId="24" applyFont="1" applyFill="1" applyBorder="1"/>
    <xf numFmtId="0" fontId="69" fillId="13" borderId="0" xfId="24" applyFont="1" applyFill="1"/>
    <xf numFmtId="0" fontId="4" fillId="13" borderId="0" xfId="24" applyFont="1" applyFill="1"/>
    <xf numFmtId="0" fontId="1" fillId="15" borderId="72" xfId="24" applyFill="1" applyBorder="1"/>
    <xf numFmtId="0" fontId="4" fillId="15" borderId="76" xfId="24" applyFont="1" applyFill="1" applyBorder="1"/>
    <xf numFmtId="0" fontId="4" fillId="15" borderId="66" xfId="24" applyFont="1" applyFill="1" applyBorder="1"/>
    <xf numFmtId="0" fontId="4" fillId="15" borderId="78" xfId="24" applyFont="1" applyFill="1" applyBorder="1"/>
    <xf numFmtId="0" fontId="1" fillId="15" borderId="79" xfId="24" applyFill="1" applyBorder="1"/>
    <xf numFmtId="0" fontId="4" fillId="15" borderId="80" xfId="24" applyFont="1" applyFill="1" applyBorder="1"/>
    <xf numFmtId="0" fontId="4" fillId="15" borderId="81" xfId="24" applyFont="1" applyFill="1" applyBorder="1"/>
    <xf numFmtId="0" fontId="4" fillId="15" borderId="75" xfId="24" applyFont="1" applyFill="1" applyBorder="1"/>
    <xf numFmtId="3" fontId="70" fillId="13" borderId="0" xfId="24" applyNumberFormat="1" applyFont="1" applyFill="1"/>
    <xf numFmtId="0" fontId="4" fillId="15" borderId="77" xfId="24" applyFont="1" applyFill="1" applyBorder="1"/>
    <xf numFmtId="0" fontId="1" fillId="15" borderId="80" xfId="24" applyFill="1" applyBorder="1"/>
    <xf numFmtId="0" fontId="1" fillId="15" borderId="81" xfId="24" applyFill="1" applyBorder="1"/>
    <xf numFmtId="0" fontId="69" fillId="30" borderId="4" xfId="24" applyFont="1" applyFill="1" applyBorder="1" applyAlignment="1">
      <alignment horizontal="right"/>
    </xf>
    <xf numFmtId="0" fontId="4" fillId="16" borderId="0" xfId="24" applyFont="1" applyFill="1" applyAlignment="1">
      <alignment horizontal="center" vertical="center" wrapText="1"/>
    </xf>
    <xf numFmtId="0" fontId="1" fillId="0" borderId="0" xfId="24" applyAlignment="1">
      <alignment vertical="center"/>
    </xf>
    <xf numFmtId="0" fontId="4" fillId="16" borderId="41" xfId="24" applyFont="1" applyFill="1" applyBorder="1" applyAlignment="1">
      <alignment horizontal="center" vertical="center" wrapText="1"/>
    </xf>
    <xf numFmtId="0" fontId="4" fillId="31" borderId="0" xfId="24" applyFont="1" applyFill="1" applyAlignment="1">
      <alignment horizontal="center" vertical="center" wrapText="1"/>
    </xf>
    <xf numFmtId="0" fontId="4" fillId="18" borderId="0" xfId="24" applyFont="1" applyFill="1"/>
    <xf numFmtId="0" fontId="1" fillId="16" borderId="4" xfId="24" applyFill="1" applyBorder="1"/>
    <xf numFmtId="0" fontId="1" fillId="16" borderId="15" xfId="24" applyFill="1" applyBorder="1"/>
    <xf numFmtId="0" fontId="1" fillId="16" borderId="0" xfId="24" applyFill="1"/>
    <xf numFmtId="168" fontId="1" fillId="16" borderId="4" xfId="30" applyNumberFormat="1" applyFont="1" applyFill="1" applyBorder="1"/>
    <xf numFmtId="0" fontId="1" fillId="10" borderId="0" xfId="24" applyFill="1"/>
    <xf numFmtId="0" fontId="31" fillId="17" borderId="5" xfId="24" applyFont="1" applyFill="1" applyBorder="1"/>
    <xf numFmtId="0" fontId="31" fillId="17" borderId="6" xfId="24" applyFont="1" applyFill="1" applyBorder="1"/>
    <xf numFmtId="0" fontId="31" fillId="17" borderId="7" xfId="24" applyFont="1" applyFill="1" applyBorder="1" applyAlignment="1">
      <alignment horizontal="center" vertical="center"/>
    </xf>
    <xf numFmtId="0" fontId="31" fillId="17" borderId="9" xfId="24" applyFont="1" applyFill="1" applyBorder="1"/>
    <xf numFmtId="0" fontId="31" fillId="17" borderId="0" xfId="24" applyFont="1" applyFill="1"/>
    <xf numFmtId="0" fontId="1" fillId="17" borderId="0" xfId="24" applyFill="1"/>
    <xf numFmtId="0" fontId="1" fillId="17" borderId="10" xfId="24" applyFill="1" applyBorder="1"/>
    <xf numFmtId="0" fontId="31" fillId="17" borderId="24" xfId="24" applyFont="1" applyFill="1" applyBorder="1"/>
    <xf numFmtId="0" fontId="31" fillId="17" borderId="25" xfId="24" applyFont="1" applyFill="1" applyBorder="1"/>
    <xf numFmtId="0" fontId="31" fillId="17" borderId="26" xfId="24" applyFont="1" applyFill="1" applyBorder="1"/>
    <xf numFmtId="0" fontId="31" fillId="17" borderId="10" xfId="24" applyFont="1" applyFill="1" applyBorder="1"/>
    <xf numFmtId="0" fontId="49" fillId="17" borderId="0" xfId="24" applyFont="1" applyFill="1"/>
    <xf numFmtId="0" fontId="49" fillId="17" borderId="10" xfId="24" applyFont="1" applyFill="1" applyBorder="1"/>
    <xf numFmtId="0" fontId="31" fillId="17" borderId="11" xfId="24" applyFont="1" applyFill="1" applyBorder="1"/>
    <xf numFmtId="0" fontId="31" fillId="17" borderId="12" xfId="24" applyFont="1" applyFill="1" applyBorder="1"/>
    <xf numFmtId="0" fontId="49" fillId="17" borderId="12" xfId="24" applyFont="1" applyFill="1" applyBorder="1"/>
    <xf numFmtId="0" fontId="49" fillId="17" borderId="13" xfId="24" applyFont="1" applyFill="1" applyBorder="1"/>
    <xf numFmtId="0" fontId="71" fillId="0" borderId="0" xfId="24" applyFont="1"/>
    <xf numFmtId="0" fontId="72" fillId="0" borderId="0" xfId="24" applyFont="1"/>
    <xf numFmtId="0" fontId="73" fillId="0" borderId="4" xfId="24" applyFont="1" applyBorder="1" applyAlignment="1">
      <alignment horizontal="centerContinuous"/>
    </xf>
    <xf numFmtId="0" fontId="73" fillId="0" borderId="4" xfId="24" applyFont="1" applyBorder="1"/>
    <xf numFmtId="0" fontId="73" fillId="0" borderId="4" xfId="24" applyFont="1" applyBorder="1" applyAlignment="1">
      <alignment horizontal="center"/>
    </xf>
    <xf numFmtId="0" fontId="74" fillId="0" borderId="4" xfId="24" applyFont="1" applyBorder="1" applyAlignment="1">
      <alignment horizontal="center"/>
    </xf>
    <xf numFmtId="10" fontId="74" fillId="32" borderId="4" xfId="24" applyNumberFormat="1" applyFont="1" applyFill="1" applyBorder="1" applyAlignment="1">
      <alignment horizontal="center"/>
    </xf>
    <xf numFmtId="2" fontId="74" fillId="0" borderId="4" xfId="24" applyNumberFormat="1" applyFont="1" applyBorder="1" applyAlignment="1">
      <alignment horizontal="center"/>
    </xf>
    <xf numFmtId="0" fontId="4" fillId="10" borderId="4" xfId="24" applyFont="1" applyFill="1" applyBorder="1"/>
    <xf numFmtId="0" fontId="4" fillId="10" borderId="40" xfId="24" applyFont="1" applyFill="1" applyBorder="1"/>
    <xf numFmtId="0" fontId="4" fillId="10" borderId="24" xfId="24" applyFont="1" applyFill="1" applyBorder="1"/>
    <xf numFmtId="0" fontId="4" fillId="10" borderId="26" xfId="24" applyFont="1" applyFill="1" applyBorder="1"/>
    <xf numFmtId="0" fontId="4" fillId="10" borderId="82" xfId="24" applyFont="1" applyFill="1" applyBorder="1"/>
    <xf numFmtId="0" fontId="4" fillId="10" borderId="71" xfId="24" applyFont="1" applyFill="1" applyBorder="1"/>
    <xf numFmtId="0" fontId="4" fillId="9" borderId="24" xfId="14" applyFont="1" applyFill="1" applyBorder="1" applyAlignment="1">
      <alignment horizontal="right"/>
    </xf>
    <xf numFmtId="0" fontId="4" fillId="9" borderId="5" xfId="14" applyFont="1" applyFill="1" applyBorder="1" applyAlignment="1">
      <alignment horizontal="right"/>
    </xf>
    <xf numFmtId="0" fontId="4" fillId="9" borderId="6" xfId="14" applyFont="1" applyFill="1" applyBorder="1" applyAlignment="1">
      <alignment horizontal="right"/>
    </xf>
    <xf numFmtId="0" fontId="4" fillId="9" borderId="7" xfId="14" applyFont="1" applyFill="1" applyBorder="1" applyAlignment="1">
      <alignment horizontal="right"/>
    </xf>
    <xf numFmtId="0" fontId="1" fillId="0" borderId="9" xfId="0" applyFont="1" applyBorder="1"/>
    <xf numFmtId="0" fontId="4" fillId="9" borderId="24" xfId="14" applyFont="1" applyFill="1" applyBorder="1" applyAlignment="1">
      <alignment horizontal="left"/>
    </xf>
    <xf numFmtId="2" fontId="4" fillId="9" borderId="24" xfId="14" applyNumberFormat="1" applyFont="1" applyFill="1" applyBorder="1" applyAlignment="1">
      <alignment horizontal="left"/>
    </xf>
    <xf numFmtId="2" fontId="4" fillId="9" borderId="28" xfId="14" applyNumberFormat="1" applyFont="1" applyFill="1" applyBorder="1" applyAlignment="1">
      <alignment horizontal="right"/>
    </xf>
    <xf numFmtId="0" fontId="4" fillId="9" borderId="28" xfId="14" applyFont="1" applyFill="1" applyBorder="1" applyAlignment="1">
      <alignment horizontal="right"/>
    </xf>
    <xf numFmtId="168" fontId="5" fillId="0" borderId="10" xfId="16" applyNumberFormat="1" applyFont="1" applyBorder="1"/>
    <xf numFmtId="10" fontId="5" fillId="0" borderId="0" xfId="16" applyNumberFormat="1" applyFont="1" applyBorder="1"/>
    <xf numFmtId="10" fontId="5" fillId="0" borderId="10" xfId="16" applyNumberFormat="1" applyFont="1" applyBorder="1"/>
    <xf numFmtId="168" fontId="5" fillId="0" borderId="13" xfId="16" applyNumberFormat="1" applyFont="1" applyBorder="1"/>
    <xf numFmtId="10" fontId="5" fillId="0" borderId="12" xfId="16" applyNumberFormat="1" applyFont="1" applyBorder="1"/>
    <xf numFmtId="10" fontId="5" fillId="0" borderId="13" xfId="16" applyNumberFormat="1" applyFont="1" applyBorder="1"/>
    <xf numFmtId="0" fontId="4" fillId="12" borderId="5" xfId="14" applyFont="1" applyFill="1" applyBorder="1" applyAlignment="1">
      <alignment horizontal="right"/>
    </xf>
    <xf numFmtId="0" fontId="4" fillId="12" borderId="24" xfId="14" applyFont="1" applyFill="1" applyBorder="1" applyAlignment="1">
      <alignment horizontal="left"/>
    </xf>
    <xf numFmtId="2" fontId="4" fillId="12" borderId="24" xfId="14" applyNumberFormat="1" applyFont="1" applyFill="1" applyBorder="1" applyAlignment="1">
      <alignment horizontal="left"/>
    </xf>
    <xf numFmtId="0" fontId="4" fillId="12" borderId="67" xfId="14" applyFont="1" applyFill="1" applyBorder="1" applyAlignment="1">
      <alignment horizontal="right"/>
    </xf>
    <xf numFmtId="0" fontId="4" fillId="12" borderId="28" xfId="14" applyFont="1" applyFill="1" applyBorder="1" applyAlignment="1">
      <alignment horizontal="left"/>
    </xf>
    <xf numFmtId="169" fontId="4" fillId="12" borderId="28" xfId="14" applyNumberFormat="1" applyFont="1" applyFill="1" applyBorder="1" applyAlignment="1">
      <alignment horizontal="right"/>
    </xf>
    <xf numFmtId="9" fontId="5" fillId="0" borderId="0" xfId="16" applyFont="1"/>
    <xf numFmtId="168" fontId="4" fillId="13" borderId="41" xfId="16" applyNumberFormat="1" applyFont="1" applyFill="1" applyBorder="1"/>
    <xf numFmtId="0" fontId="5" fillId="13" borderId="0" xfId="0" applyFont="1" applyFill="1"/>
    <xf numFmtId="9" fontId="1" fillId="13" borderId="41" xfId="16" applyFont="1" applyFill="1" applyBorder="1" applyProtection="1"/>
    <xf numFmtId="188" fontId="1" fillId="0" borderId="0" xfId="16" applyNumberFormat="1"/>
    <xf numFmtId="9" fontId="69" fillId="16" borderId="4" xfId="16" applyFont="1" applyFill="1" applyBorder="1" applyAlignment="1">
      <alignment horizontal="left"/>
    </xf>
    <xf numFmtId="9" fontId="4" fillId="16" borderId="4" xfId="16" applyFont="1" applyFill="1" applyBorder="1"/>
    <xf numFmtId="168" fontId="4" fillId="16" borderId="4" xfId="16" applyNumberFormat="1" applyFont="1" applyFill="1" applyBorder="1"/>
    <xf numFmtId="168" fontId="69" fillId="16" borderId="4" xfId="16" applyNumberFormat="1" applyFont="1" applyFill="1" applyBorder="1" applyAlignment="1">
      <alignment horizontal="left"/>
    </xf>
    <xf numFmtId="2" fontId="69" fillId="16" borderId="4" xfId="24" applyNumberFormat="1" applyFont="1" applyFill="1" applyBorder="1"/>
    <xf numFmtId="169" fontId="69" fillId="16" borderId="4" xfId="24" applyNumberFormat="1" applyFont="1" applyFill="1" applyBorder="1"/>
    <xf numFmtId="10" fontId="69" fillId="16" borderId="4" xfId="24" applyNumberFormat="1" applyFont="1" applyFill="1" applyBorder="1"/>
    <xf numFmtId="10" fontId="69" fillId="16" borderId="4" xfId="24" applyNumberFormat="1" applyFont="1" applyFill="1" applyBorder="1" applyAlignment="1">
      <alignment horizontal="right"/>
    </xf>
    <xf numFmtId="0" fontId="4" fillId="13" borderId="0" xfId="24" applyFont="1" applyFill="1" applyAlignment="1">
      <alignment vertical="center" wrapText="1"/>
    </xf>
    <xf numFmtId="169" fontId="69" fillId="16" borderId="4" xfId="24" applyNumberFormat="1" applyFont="1" applyFill="1" applyBorder="1" applyAlignment="1">
      <alignment horizontal="left"/>
    </xf>
    <xf numFmtId="168" fontId="1" fillId="12" borderId="41" xfId="16" applyNumberFormat="1" applyFont="1" applyFill="1" applyBorder="1" applyProtection="1"/>
    <xf numFmtId="196" fontId="5" fillId="0" borderId="0" xfId="0" applyNumberFormat="1" applyFont="1"/>
    <xf numFmtId="174" fontId="31" fillId="33" borderId="6" xfId="1" quotePrefix="1" applyNumberFormat="1" applyFont="1" applyFill="1" applyBorder="1" applyAlignment="1">
      <alignment horizontal="right"/>
    </xf>
    <xf numFmtId="174" fontId="31" fillId="33" borderId="7" xfId="1" quotePrefix="1" applyNumberFormat="1" applyFont="1" applyFill="1" applyBorder="1" applyAlignment="1">
      <alignment horizontal="right"/>
    </xf>
    <xf numFmtId="2" fontId="0" fillId="0" borderId="12" xfId="16" applyNumberFormat="1" applyFont="1" applyBorder="1"/>
    <xf numFmtId="2" fontId="0" fillId="0" borderId="13" xfId="16" applyNumberFormat="1" applyFont="1" applyBorder="1"/>
    <xf numFmtId="174" fontId="31" fillId="33" borderId="28" xfId="1" quotePrefix="1" applyNumberFormat="1" applyFont="1" applyFill="1" applyBorder="1" applyAlignment="1">
      <alignment horizontal="right"/>
    </xf>
    <xf numFmtId="2" fontId="0" fillId="0" borderId="25" xfId="16" applyNumberFormat="1" applyFont="1" applyBorder="1"/>
    <xf numFmtId="2" fontId="0" fillId="0" borderId="26" xfId="16" applyNumberFormat="1" applyFont="1" applyBorder="1"/>
    <xf numFmtId="1" fontId="0" fillId="0" borderId="6" xfId="1" applyNumberFormat="1" applyFont="1" applyBorder="1"/>
    <xf numFmtId="1" fontId="0" fillId="0" borderId="7" xfId="1" applyNumberFormat="1" applyFont="1" applyBorder="1"/>
    <xf numFmtId="1" fontId="0" fillId="0" borderId="5" xfId="1" applyNumberFormat="1" applyFont="1" applyBorder="1"/>
    <xf numFmtId="1" fontId="0" fillId="0" borderId="0" xfId="1" applyNumberFormat="1" applyFont="1" applyBorder="1"/>
    <xf numFmtId="1" fontId="0" fillId="0" borderId="10" xfId="1" applyNumberFormat="1" applyFont="1" applyBorder="1"/>
    <xf numFmtId="1" fontId="0" fillId="0" borderId="9" xfId="1" applyNumberFormat="1" applyFont="1" applyBorder="1"/>
    <xf numFmtId="1" fontId="0" fillId="0" borderId="12" xfId="1" applyNumberFormat="1" applyFont="1" applyBorder="1"/>
    <xf numFmtId="1" fontId="0" fillId="0" borderId="13" xfId="1" applyNumberFormat="1" applyFont="1" applyBorder="1"/>
    <xf numFmtId="1" fontId="0" fillId="0" borderId="11" xfId="1" applyNumberFormat="1" applyFont="1" applyBorder="1"/>
    <xf numFmtId="0" fontId="42" fillId="15" borderId="0" xfId="24" applyFont="1" applyFill="1"/>
    <xf numFmtId="2" fontId="42" fillId="15" borderId="0" xfId="24" applyNumberFormat="1" applyFont="1" applyFill="1"/>
    <xf numFmtId="194" fontId="1" fillId="0" borderId="0" xfId="24" applyNumberFormat="1"/>
    <xf numFmtId="0" fontId="1" fillId="0" borderId="83" xfId="24" applyBorder="1"/>
    <xf numFmtId="10" fontId="4" fillId="0" borderId="26" xfId="16" applyNumberFormat="1" applyFont="1" applyBorder="1"/>
    <xf numFmtId="0" fontId="4" fillId="3" borderId="38" xfId="14" applyFont="1" applyFill="1" applyBorder="1"/>
    <xf numFmtId="0" fontId="4" fillId="3" borderId="27" xfId="14" applyFont="1" applyFill="1" applyBorder="1"/>
    <xf numFmtId="0" fontId="37" fillId="19" borderId="25" xfId="24" applyFont="1" applyFill="1" applyBorder="1" applyAlignment="1">
      <alignment horizontal="right"/>
    </xf>
    <xf numFmtId="0" fontId="37" fillId="19" borderId="26" xfId="24" applyFont="1" applyFill="1" applyBorder="1" applyAlignment="1">
      <alignment horizontal="right"/>
    </xf>
    <xf numFmtId="173" fontId="4" fillId="0" borderId="0" xfId="5" applyNumberFormat="1" applyFont="1" applyFill="1" applyBorder="1" applyAlignment="1"/>
    <xf numFmtId="0" fontId="4" fillId="0" borderId="10" xfId="14" applyFont="1" applyBorder="1"/>
    <xf numFmtId="173" fontId="4" fillId="0" borderId="0" xfId="5" applyNumberFormat="1" applyFont="1" applyBorder="1" applyAlignment="1"/>
    <xf numFmtId="173" fontId="4" fillId="0" borderId="10" xfId="5" applyNumberFormat="1" applyFont="1" applyBorder="1" applyAlignment="1"/>
    <xf numFmtId="0" fontId="4" fillId="0" borderId="12" xfId="14" applyFont="1" applyBorder="1"/>
    <xf numFmtId="168" fontId="4" fillId="0" borderId="12" xfId="16" applyNumberFormat="1" applyFont="1" applyFill="1" applyBorder="1" applyAlignment="1"/>
    <xf numFmtId="168" fontId="4" fillId="0" borderId="13" xfId="16" applyNumberFormat="1" applyFont="1" applyFill="1" applyBorder="1" applyAlignment="1"/>
    <xf numFmtId="0" fontId="37" fillId="19" borderId="6" xfId="24" applyFont="1" applyFill="1" applyBorder="1"/>
    <xf numFmtId="0" fontId="37" fillId="19" borderId="7" xfId="24" applyFont="1" applyFill="1" applyBorder="1"/>
    <xf numFmtId="0" fontId="4" fillId="0" borderId="25" xfId="14" applyFont="1" applyBorder="1"/>
    <xf numFmtId="0" fontId="4" fillId="0" borderId="26" xfId="14" applyFont="1" applyBorder="1"/>
    <xf numFmtId="0" fontId="37" fillId="19" borderId="67" xfId="24" applyFont="1" applyFill="1" applyBorder="1"/>
    <xf numFmtId="0" fontId="1" fillId="0" borderId="0" xfId="14" applyFont="1"/>
    <xf numFmtId="168" fontId="1" fillId="0" borderId="0" xfId="18" applyNumberFormat="1" applyFont="1" applyBorder="1" applyAlignment="1"/>
    <xf numFmtId="168" fontId="1" fillId="0" borderId="10" xfId="18" applyNumberFormat="1" applyFont="1" applyBorder="1" applyAlignment="1"/>
    <xf numFmtId="10" fontId="1" fillId="0" borderId="0" xfId="16" applyNumberFormat="1" applyFont="1" applyBorder="1" applyAlignment="1"/>
    <xf numFmtId="10" fontId="1" fillId="0" borderId="10" xfId="16" applyNumberFormat="1" applyFont="1" applyBorder="1" applyAlignment="1"/>
    <xf numFmtId="168" fontId="1" fillId="0" borderId="0" xfId="16" applyNumberFormat="1" applyFont="1" applyBorder="1" applyAlignment="1"/>
    <xf numFmtId="168" fontId="1" fillId="0" borderId="10" xfId="16" applyNumberFormat="1" applyFont="1" applyBorder="1" applyAlignment="1"/>
    <xf numFmtId="168" fontId="1" fillId="0" borderId="0" xfId="21" applyNumberFormat="1" applyFont="1" applyBorder="1" applyAlignment="1"/>
    <xf numFmtId="168" fontId="1" fillId="0" borderId="10" xfId="21" applyNumberFormat="1" applyFont="1" applyBorder="1" applyAlignment="1"/>
    <xf numFmtId="0" fontId="47" fillId="0" borderId="28" xfId="14" applyFont="1" applyBorder="1" applyAlignment="1">
      <alignment horizontal="left"/>
    </xf>
    <xf numFmtId="0" fontId="39" fillId="0" borderId="68" xfId="14" applyFont="1" applyBorder="1" applyAlignment="1">
      <alignment horizontal="left"/>
    </xf>
    <xf numFmtId="0" fontId="47" fillId="0" borderId="68" xfId="14" applyFont="1" applyBorder="1" applyAlignment="1">
      <alignment horizontal="left"/>
    </xf>
    <xf numFmtId="0" fontId="39" fillId="0" borderId="68" xfId="14" applyFont="1" applyBorder="1"/>
    <xf numFmtId="0" fontId="47" fillId="0" borderId="68" xfId="14" applyFont="1" applyBorder="1"/>
    <xf numFmtId="0" fontId="39" fillId="0" borderId="69" xfId="14" applyFont="1" applyBorder="1"/>
    <xf numFmtId="192" fontId="1" fillId="0" borderId="24" xfId="1" applyNumberFormat="1" applyFont="1" applyBorder="1"/>
    <xf numFmtId="0" fontId="47" fillId="0" borderId="25" xfId="24" applyFont="1" applyBorder="1" applyAlignment="1">
      <alignment horizontal="right"/>
    </xf>
    <xf numFmtId="0" fontId="47" fillId="0" borderId="26" xfId="24" applyFont="1" applyBorder="1" applyAlignment="1">
      <alignment horizontal="right"/>
    </xf>
    <xf numFmtId="0" fontId="37" fillId="19" borderId="24" xfId="24" applyFont="1" applyFill="1" applyBorder="1" applyAlignment="1">
      <alignment horizontal="right"/>
    </xf>
    <xf numFmtId="0" fontId="4" fillId="0" borderId="9" xfId="14" applyFont="1" applyBorder="1" applyAlignment="1">
      <alignment horizontal="center"/>
    </xf>
    <xf numFmtId="0" fontId="4" fillId="0" borderId="0" xfId="14" applyFont="1" applyAlignment="1">
      <alignment horizontal="center"/>
    </xf>
    <xf numFmtId="173" fontId="4" fillId="0" borderId="9" xfId="14" applyNumberFormat="1" applyFont="1" applyBorder="1"/>
    <xf numFmtId="173" fontId="4" fillId="0" borderId="0" xfId="14" applyNumberFormat="1" applyFont="1"/>
    <xf numFmtId="168" fontId="4" fillId="0" borderId="11" xfId="16" applyNumberFormat="1" applyFont="1" applyFill="1" applyBorder="1" applyAlignment="1">
      <alignment horizontal="right"/>
    </xf>
    <xf numFmtId="168" fontId="4" fillId="0" borderId="12" xfId="16" applyNumberFormat="1" applyFont="1" applyFill="1" applyBorder="1" applyAlignment="1">
      <alignment horizontal="right"/>
    </xf>
    <xf numFmtId="168" fontId="4" fillId="0" borderId="13" xfId="16" applyNumberFormat="1" applyFont="1" applyFill="1" applyBorder="1" applyAlignment="1">
      <alignment horizontal="right"/>
    </xf>
    <xf numFmtId="175" fontId="4" fillId="13" borderId="24" xfId="7" applyNumberFormat="1" applyFont="1" applyFill="1" applyBorder="1"/>
    <xf numFmtId="175" fontId="4" fillId="13" borderId="25" xfId="7" applyNumberFormat="1" applyFont="1" applyFill="1" applyBorder="1"/>
    <xf numFmtId="175" fontId="4" fillId="13" borderId="26" xfId="7" applyNumberFormat="1" applyFont="1" applyFill="1" applyBorder="1"/>
    <xf numFmtId="169" fontId="4" fillId="0" borderId="25" xfId="0" applyNumberFormat="1" applyFont="1" applyBorder="1"/>
    <xf numFmtId="169" fontId="4" fillId="0" borderId="26" xfId="0" applyNumberFormat="1" applyFont="1" applyBorder="1"/>
    <xf numFmtId="0" fontId="4" fillId="0" borderId="9" xfId="24" applyFont="1" applyBorder="1"/>
    <xf numFmtId="0" fontId="37" fillId="19" borderId="67" xfId="24" applyFont="1" applyFill="1" applyBorder="1" applyAlignment="1">
      <alignment horizontal="right"/>
    </xf>
    <xf numFmtId="0" fontId="37" fillId="19" borderId="6" xfId="24" applyFont="1" applyFill="1" applyBorder="1" applyAlignment="1">
      <alignment horizontal="right"/>
    </xf>
    <xf numFmtId="0" fontId="1" fillId="0" borderId="67" xfId="24" applyBorder="1"/>
    <xf numFmtId="0" fontId="77" fillId="0" borderId="68" xfId="0" applyFont="1" applyBorder="1" applyAlignment="1">
      <alignment vertical="center"/>
    </xf>
    <xf numFmtId="0" fontId="75" fillId="0" borderId="68" xfId="0" applyFont="1" applyBorder="1" applyAlignment="1">
      <alignment vertical="center"/>
    </xf>
    <xf numFmtId="0" fontId="75" fillId="0" borderId="69" xfId="0" applyFont="1" applyBorder="1" applyAlignment="1">
      <alignment vertical="center"/>
    </xf>
    <xf numFmtId="0" fontId="37" fillId="19" borderId="7" xfId="24" applyFont="1" applyFill="1" applyBorder="1" applyAlignment="1">
      <alignment horizontal="right"/>
    </xf>
    <xf numFmtId="169" fontId="77" fillId="0" borderId="0" xfId="0" applyNumberFormat="1" applyFont="1" applyAlignment="1">
      <alignment vertical="center"/>
    </xf>
    <xf numFmtId="169" fontId="77" fillId="0" borderId="10" xfId="0" applyNumberFormat="1" applyFont="1" applyBorder="1" applyAlignment="1">
      <alignment vertical="center"/>
    </xf>
    <xf numFmtId="169" fontId="76" fillId="0" borderId="0" xfId="0" applyNumberFormat="1" applyFont="1" applyAlignment="1">
      <alignment vertical="center"/>
    </xf>
    <xf numFmtId="169" fontId="76" fillId="0" borderId="10" xfId="0" applyNumberFormat="1" applyFont="1" applyBorder="1" applyAlignment="1">
      <alignment vertical="center"/>
    </xf>
    <xf numFmtId="9" fontId="76" fillId="0" borderId="0" xfId="0" applyNumberFormat="1" applyFont="1" applyAlignment="1">
      <alignment vertical="center"/>
    </xf>
    <xf numFmtId="9" fontId="76" fillId="0" borderId="10" xfId="0" applyNumberFormat="1" applyFont="1" applyBorder="1" applyAlignment="1">
      <alignment vertical="center"/>
    </xf>
    <xf numFmtId="9" fontId="76" fillId="0" borderId="12" xfId="0" applyNumberFormat="1" applyFont="1" applyBorder="1" applyAlignment="1">
      <alignment vertical="center"/>
    </xf>
    <xf numFmtId="9" fontId="76" fillId="0" borderId="13" xfId="0" applyNumberFormat="1" applyFont="1" applyBorder="1" applyAlignment="1">
      <alignment vertical="center"/>
    </xf>
    <xf numFmtId="9" fontId="78" fillId="0" borderId="0" xfId="0" applyNumberFormat="1" applyFont="1" applyAlignment="1">
      <alignment vertical="center"/>
    </xf>
    <xf numFmtId="169" fontId="78" fillId="0" borderId="0" xfId="0" applyNumberFormat="1" applyFont="1" applyAlignment="1">
      <alignment vertical="center"/>
    </xf>
    <xf numFmtId="169" fontId="78" fillId="0" borderId="10" xfId="0" applyNumberFormat="1" applyFont="1" applyBorder="1" applyAlignment="1">
      <alignment vertical="center"/>
    </xf>
    <xf numFmtId="9" fontId="78" fillId="0" borderId="10" xfId="0" applyNumberFormat="1" applyFont="1" applyBorder="1" applyAlignment="1">
      <alignment vertical="center"/>
    </xf>
    <xf numFmtId="9" fontId="1" fillId="0" borderId="68" xfId="16" applyFont="1" applyBorder="1"/>
    <xf numFmtId="9" fontId="4" fillId="0" borderId="68" xfId="16" applyFont="1" applyBorder="1"/>
    <xf numFmtId="9" fontId="4" fillId="0" borderId="69" xfId="16" applyFont="1" applyBorder="1"/>
    <xf numFmtId="2" fontId="1" fillId="0" borderId="0" xfId="24" applyNumberFormat="1"/>
    <xf numFmtId="2" fontId="1" fillId="0" borderId="10" xfId="24" applyNumberFormat="1" applyBorder="1"/>
    <xf numFmtId="2" fontId="4" fillId="0" borderId="0" xfId="16" applyNumberFormat="1" applyFont="1" applyBorder="1"/>
    <xf numFmtId="2" fontId="1" fillId="0" borderId="0" xfId="16" applyNumberFormat="1" applyFont="1" applyBorder="1"/>
    <xf numFmtId="2" fontId="1" fillId="0" borderId="10" xfId="16" applyNumberFormat="1" applyFont="1" applyBorder="1"/>
    <xf numFmtId="2" fontId="4" fillId="0" borderId="12" xfId="16" applyNumberFormat="1" applyFont="1" applyBorder="1"/>
    <xf numFmtId="168" fontId="4" fillId="0" borderId="10" xfId="16" applyNumberFormat="1" applyFont="1" applyBorder="1"/>
    <xf numFmtId="168" fontId="4" fillId="0" borderId="12" xfId="16" applyNumberFormat="1" applyFont="1" applyBorder="1"/>
    <xf numFmtId="168" fontId="4" fillId="0" borderId="13" xfId="16" applyNumberFormat="1" applyFont="1" applyBorder="1"/>
    <xf numFmtId="0" fontId="75" fillId="13" borderId="28" xfId="0" applyFont="1" applyFill="1" applyBorder="1" applyAlignment="1">
      <alignment vertical="center"/>
    </xf>
    <xf numFmtId="0" fontId="75" fillId="13" borderId="69" xfId="0" applyFont="1" applyFill="1" applyBorder="1" applyAlignment="1">
      <alignment vertical="center"/>
    </xf>
    <xf numFmtId="175" fontId="1" fillId="0" borderId="12" xfId="7" applyNumberFormat="1" applyFont="1" applyFill="1" applyBorder="1" applyAlignment="1">
      <alignment horizontal="right"/>
    </xf>
    <xf numFmtId="175" fontId="1" fillId="0" borderId="13" xfId="7" applyNumberFormat="1" applyFont="1" applyFill="1" applyBorder="1" applyAlignment="1">
      <alignment horizontal="right"/>
    </xf>
    <xf numFmtId="10" fontId="1" fillId="0" borderId="0" xfId="16" applyNumberFormat="1" applyFont="1" applyBorder="1" applyAlignment="1">
      <alignment horizontal="right"/>
    </xf>
    <xf numFmtId="10" fontId="1" fillId="0" borderId="10" xfId="16" applyNumberFormat="1" applyFont="1" applyBorder="1" applyAlignment="1">
      <alignment horizontal="right"/>
    </xf>
    <xf numFmtId="0" fontId="80" fillId="0" borderId="0" xfId="0" applyFont="1" applyAlignment="1">
      <alignment horizontal="right"/>
    </xf>
    <xf numFmtId="10" fontId="1" fillId="0" borderId="0" xfId="0" applyNumberFormat="1" applyFont="1" applyAlignment="1">
      <alignment horizontal="right"/>
    </xf>
    <xf numFmtId="10" fontId="1" fillId="0" borderId="10" xfId="0" applyNumberFormat="1" applyFont="1" applyBorder="1" applyAlignment="1">
      <alignment horizontal="right"/>
    </xf>
    <xf numFmtId="0" fontId="1" fillId="0" borderId="10" xfId="24" applyBorder="1"/>
    <xf numFmtId="0" fontId="79" fillId="0" borderId="68" xfId="0" applyFont="1" applyBorder="1" applyAlignment="1">
      <alignment vertical="center"/>
    </xf>
    <xf numFmtId="0" fontId="4" fillId="0" borderId="12" xfId="24" applyFont="1" applyBorder="1"/>
    <xf numFmtId="0" fontId="4" fillId="0" borderId="13" xfId="24" applyFont="1" applyBorder="1"/>
    <xf numFmtId="0" fontId="1" fillId="0" borderId="68" xfId="24" applyBorder="1"/>
    <xf numFmtId="0" fontId="4" fillId="0" borderId="69" xfId="24" applyFont="1" applyBorder="1"/>
    <xf numFmtId="2" fontId="1" fillId="0" borderId="12" xfId="24" applyNumberFormat="1" applyBorder="1"/>
    <xf numFmtId="2" fontId="1" fillId="0" borderId="13" xfId="24" applyNumberFormat="1" applyBorder="1"/>
    <xf numFmtId="169" fontId="1" fillId="0" borderId="0" xfId="24" applyNumberFormat="1"/>
    <xf numFmtId="169" fontId="1" fillId="0" borderId="10" xfId="24" applyNumberFormat="1" applyBorder="1"/>
    <xf numFmtId="169" fontId="4" fillId="0" borderId="12" xfId="24" applyNumberFormat="1" applyFont="1" applyBorder="1"/>
    <xf numFmtId="169" fontId="4" fillId="0" borderId="13" xfId="24" applyNumberFormat="1" applyFont="1" applyBorder="1"/>
    <xf numFmtId="10" fontId="37" fillId="19" borderId="67" xfId="16" applyNumberFormat="1" applyFont="1" applyFill="1" applyBorder="1"/>
    <xf numFmtId="0" fontId="4" fillId="5" borderId="11" xfId="0" applyFont="1" applyFill="1" applyBorder="1"/>
    <xf numFmtId="0" fontId="4" fillId="5" borderId="12" xfId="0" applyFont="1" applyFill="1" applyBorder="1"/>
    <xf numFmtId="10" fontId="4" fillId="5" borderId="84" xfId="16" applyNumberFormat="1" applyFont="1" applyFill="1" applyBorder="1"/>
    <xf numFmtId="10" fontId="4" fillId="5" borderId="85" xfId="16" applyNumberFormat="1" applyFont="1" applyFill="1" applyBorder="1"/>
    <xf numFmtId="168" fontId="1" fillId="0" borderId="28" xfId="16" applyNumberFormat="1" applyFont="1" applyBorder="1"/>
    <xf numFmtId="168" fontId="1" fillId="0" borderId="69" xfId="16" applyNumberFormat="1" applyFont="1" applyBorder="1"/>
    <xf numFmtId="192" fontId="1" fillId="0" borderId="67" xfId="1" applyNumberFormat="1" applyFont="1" applyBorder="1"/>
    <xf numFmtId="192" fontId="1" fillId="0" borderId="68" xfId="1" applyNumberFormat="1" applyFont="1" applyBorder="1"/>
    <xf numFmtId="192" fontId="1" fillId="0" borderId="69" xfId="1" applyNumberFormat="1" applyFont="1" applyBorder="1"/>
    <xf numFmtId="2" fontId="0" fillId="0" borderId="24" xfId="16" applyNumberFormat="1" applyFont="1" applyBorder="1"/>
    <xf numFmtId="2" fontId="0" fillId="0" borderId="11" xfId="16" applyNumberFormat="1" applyFont="1" applyBorder="1"/>
    <xf numFmtId="2" fontId="1" fillId="0" borderId="25" xfId="24" applyNumberFormat="1" applyBorder="1"/>
    <xf numFmtId="2" fontId="1" fillId="0" borderId="26" xfId="24" applyNumberFormat="1" applyBorder="1"/>
    <xf numFmtId="2" fontId="37" fillId="19" borderId="67" xfId="24" applyNumberFormat="1" applyFont="1" applyFill="1" applyBorder="1"/>
    <xf numFmtId="2" fontId="37" fillId="19" borderId="28" xfId="24" applyNumberFormat="1" applyFont="1" applyFill="1" applyBorder="1"/>
    <xf numFmtId="0" fontId="4" fillId="5" borderId="10" xfId="0" applyFont="1" applyFill="1" applyBorder="1" applyAlignment="1">
      <alignment horizontal="right"/>
    </xf>
    <xf numFmtId="173" fontId="4" fillId="5" borderId="10" xfId="0" applyNumberFormat="1" applyFont="1" applyFill="1" applyBorder="1"/>
    <xf numFmtId="0" fontId="4" fillId="5" borderId="86" xfId="0" applyFont="1" applyFill="1" applyBorder="1"/>
    <xf numFmtId="0" fontId="4" fillId="5" borderId="10" xfId="0" applyFont="1" applyFill="1" applyBorder="1"/>
    <xf numFmtId="176" fontId="4" fillId="5" borderId="10" xfId="0" applyNumberFormat="1" applyFont="1" applyFill="1" applyBorder="1"/>
    <xf numFmtId="2" fontId="4" fillId="5" borderId="12" xfId="0" applyNumberFormat="1" applyFont="1" applyFill="1" applyBorder="1"/>
    <xf numFmtId="0" fontId="4" fillId="5" borderId="13" xfId="0" applyFont="1" applyFill="1" applyBorder="1"/>
    <xf numFmtId="174" fontId="1" fillId="23" borderId="0" xfId="1" applyNumberFormat="1" applyFont="1" applyFill="1" applyBorder="1"/>
    <xf numFmtId="174" fontId="1" fillId="20" borderId="0" xfId="1" applyNumberFormat="1" applyFont="1" applyFill="1" applyBorder="1"/>
    <xf numFmtId="174" fontId="4" fillId="20" borderId="0" xfId="1" applyNumberFormat="1" applyFont="1" applyFill="1" applyBorder="1"/>
    <xf numFmtId="10" fontId="4" fillId="20" borderId="0" xfId="16" applyNumberFormat="1" applyFont="1" applyFill="1" applyBorder="1"/>
    <xf numFmtId="10" fontId="0" fillId="23" borderId="0" xfId="16" applyNumberFormat="1" applyFont="1" applyFill="1" applyBorder="1"/>
    <xf numFmtId="9" fontId="1" fillId="20" borderId="0" xfId="1" applyNumberFormat="1" applyFont="1" applyFill="1" applyBorder="1"/>
    <xf numFmtId="168" fontId="1" fillId="23" borderId="0" xfId="16" applyNumberFormat="1" applyFont="1" applyFill="1" applyBorder="1" applyAlignment="1">
      <alignment horizontal="right"/>
    </xf>
    <xf numFmtId="167" fontId="0" fillId="20" borderId="0" xfId="1" applyFont="1" applyFill="1" applyBorder="1" applyAlignment="1">
      <alignment horizontal="right"/>
    </xf>
    <xf numFmtId="0" fontId="37" fillId="19" borderId="67" xfId="24" quotePrefix="1" applyFont="1" applyFill="1" applyBorder="1" applyAlignment="1">
      <alignment horizontal="center"/>
    </xf>
    <xf numFmtId="0" fontId="1" fillId="0" borderId="11" xfId="24" applyBorder="1"/>
    <xf numFmtId="0" fontId="1" fillId="0" borderId="69" xfId="24" applyBorder="1"/>
    <xf numFmtId="0" fontId="37" fillId="19" borderId="69" xfId="24" quotePrefix="1" applyFont="1" applyFill="1" applyBorder="1" applyAlignment="1">
      <alignment horizontal="center"/>
    </xf>
    <xf numFmtId="0" fontId="37" fillId="19" borderId="12" xfId="24" quotePrefix="1" applyFont="1" applyFill="1" applyBorder="1" applyAlignment="1">
      <alignment horizontal="center"/>
    </xf>
    <xf numFmtId="0" fontId="37" fillId="19" borderId="13" xfId="24" quotePrefix="1" applyFont="1" applyFill="1" applyBorder="1" applyAlignment="1">
      <alignment horizontal="center"/>
    </xf>
    <xf numFmtId="2" fontId="1" fillId="0" borderId="68" xfId="24" applyNumberFormat="1" applyBorder="1"/>
    <xf numFmtId="10" fontId="1" fillId="0" borderId="12" xfId="24" applyNumberFormat="1" applyBorder="1"/>
    <xf numFmtId="10" fontId="1" fillId="0" borderId="13" xfId="24" applyNumberFormat="1" applyBorder="1"/>
    <xf numFmtId="10" fontId="1" fillId="0" borderId="69" xfId="24" applyNumberFormat="1" applyBorder="1" applyAlignment="1">
      <alignment horizontal="right"/>
    </xf>
    <xf numFmtId="0" fontId="1" fillId="0" borderId="10" xfId="24" applyBorder="1" applyAlignment="1">
      <alignment horizontal="right"/>
    </xf>
    <xf numFmtId="0" fontId="1" fillId="0" borderId="12" xfId="24" applyBorder="1" applyAlignment="1">
      <alignment horizontal="right"/>
    </xf>
    <xf numFmtId="0" fontId="1" fillId="0" borderId="13" xfId="24" applyBorder="1" applyAlignment="1">
      <alignment horizontal="right"/>
    </xf>
    <xf numFmtId="0" fontId="37" fillId="19" borderId="6" xfId="24" quotePrefix="1" applyFont="1" applyFill="1" applyBorder="1" applyAlignment="1">
      <alignment horizontal="right"/>
    </xf>
    <xf numFmtId="0" fontId="37" fillId="19" borderId="7" xfId="24" quotePrefix="1" applyFont="1" applyFill="1" applyBorder="1" applyAlignment="1">
      <alignment horizontal="right"/>
    </xf>
    <xf numFmtId="0" fontId="37" fillId="19" borderId="28" xfId="24" applyFont="1" applyFill="1" applyBorder="1"/>
    <xf numFmtId="0" fontId="31" fillId="19" borderId="25" xfId="24" applyFont="1" applyFill="1" applyBorder="1" applyAlignment="1">
      <alignment horizontal="right"/>
    </xf>
    <xf numFmtId="0" fontId="31" fillId="19" borderId="26" xfId="24" applyFont="1" applyFill="1" applyBorder="1" applyAlignment="1">
      <alignment horizontal="right" wrapText="1"/>
    </xf>
    <xf numFmtId="10" fontId="1" fillId="0" borderId="0" xfId="24" applyNumberFormat="1"/>
    <xf numFmtId="0" fontId="37" fillId="19" borderId="67" xfId="24" applyFont="1" applyFill="1" applyBorder="1" applyAlignment="1">
      <alignment horizontal="left"/>
    </xf>
    <xf numFmtId="0" fontId="4" fillId="0" borderId="68" xfId="0" applyFont="1" applyBorder="1"/>
    <xf numFmtId="0" fontId="1" fillId="0" borderId="9" xfId="0" applyFont="1" applyBorder="1" applyAlignment="1">
      <alignment horizontal="right"/>
    </xf>
    <xf numFmtId="175" fontId="0" fillId="0" borderId="0" xfId="7" applyNumberFormat="1" applyFont="1" applyBorder="1"/>
    <xf numFmtId="168" fontId="0" fillId="0" borderId="0" xfId="16" applyNumberFormat="1" applyFont="1" applyBorder="1"/>
    <xf numFmtId="188" fontId="0" fillId="0" borderId="0" xfId="16" applyNumberFormat="1" applyFont="1" applyBorder="1"/>
    <xf numFmtId="189" fontId="0" fillId="0" borderId="0" xfId="16" applyNumberFormat="1" applyFont="1" applyBorder="1"/>
    <xf numFmtId="14" fontId="0" fillId="0" borderId="10" xfId="0" applyNumberFormat="1" applyBorder="1"/>
    <xf numFmtId="0" fontId="4" fillId="0" borderId="9" xfId="0" applyFont="1" applyBorder="1" applyAlignment="1">
      <alignment horizontal="right"/>
    </xf>
    <xf numFmtId="0" fontId="1" fillId="0" borderId="13" xfId="24" applyBorder="1"/>
    <xf numFmtId="175" fontId="4" fillId="0" borderId="27" xfId="7" applyNumberFormat="1" applyFont="1" applyBorder="1"/>
    <xf numFmtId="9" fontId="4" fillId="0" borderId="27" xfId="16" applyFont="1" applyBorder="1"/>
    <xf numFmtId="189" fontId="4" fillId="0" borderId="27" xfId="16" applyNumberFormat="1" applyFont="1" applyBorder="1"/>
    <xf numFmtId="0" fontId="5" fillId="0" borderId="24" xfId="0" applyFont="1" applyBorder="1"/>
    <xf numFmtId="0" fontId="5" fillId="0" borderId="25" xfId="0" applyFont="1" applyBorder="1"/>
    <xf numFmtId="0" fontId="1" fillId="0" borderId="25" xfId="0" applyFont="1" applyBorder="1" applyAlignment="1">
      <alignment horizontal="right"/>
    </xf>
    <xf numFmtId="0" fontId="37" fillId="19" borderId="5" xfId="24" applyFont="1" applyFill="1" applyBorder="1" applyAlignment="1">
      <alignment horizontal="center" vertical="center" wrapText="1"/>
    </xf>
    <xf numFmtId="189" fontId="37" fillId="19" borderId="5" xfId="16" applyNumberFormat="1" applyFont="1" applyFill="1" applyBorder="1"/>
    <xf numFmtId="192" fontId="37" fillId="17" borderId="0" xfId="1" applyNumberFormat="1" applyFont="1" applyFill="1" applyBorder="1"/>
    <xf numFmtId="0" fontId="49" fillId="0" borderId="0" xfId="0" applyFont="1"/>
    <xf numFmtId="192" fontId="47" fillId="15" borderId="0" xfId="1" applyNumberFormat="1" applyFont="1" applyFill="1" applyBorder="1" applyAlignment="1">
      <alignment horizontal="left"/>
    </xf>
    <xf numFmtId="174" fontId="47" fillId="15" borderId="0" xfId="1" quotePrefix="1" applyNumberFormat="1" applyFont="1" applyFill="1" applyBorder="1" applyAlignment="1">
      <alignment horizontal="right"/>
    </xf>
    <xf numFmtId="0" fontId="47" fillId="15" borderId="0" xfId="0" applyFont="1" applyFill="1" applyAlignment="1">
      <alignment horizontal="right"/>
    </xf>
    <xf numFmtId="3" fontId="39" fillId="0" borderId="0" xfId="1" applyNumberFormat="1" applyFont="1" applyFill="1" applyBorder="1"/>
    <xf numFmtId="192" fontId="82" fillId="0" borderId="0" xfId="1" applyNumberFormat="1" applyFont="1" applyBorder="1"/>
    <xf numFmtId="174" fontId="39" fillId="0" borderId="0" xfId="1" applyNumberFormat="1" applyFont="1" applyBorder="1"/>
    <xf numFmtId="0" fontId="39" fillId="0" borderId="0" xfId="0" applyFont="1"/>
    <xf numFmtId="192" fontId="37" fillId="17" borderId="0" xfId="1" applyNumberFormat="1" applyFont="1" applyFill="1" applyBorder="1" applyAlignment="1"/>
    <xf numFmtId="192" fontId="83" fillId="17" borderId="0" xfId="1" applyNumberFormat="1" applyFont="1" applyFill="1" applyBorder="1"/>
    <xf numFmtId="174" fontId="0" fillId="0" borderId="0" xfId="1" applyNumberFormat="1" applyFont="1" applyBorder="1"/>
    <xf numFmtId="192" fontId="1" fillId="0" borderId="0" xfId="1" applyNumberFormat="1" applyFont="1" applyBorder="1"/>
    <xf numFmtId="192" fontId="31" fillId="17" borderId="0" xfId="1" applyNumberFormat="1" applyFont="1" applyFill="1" applyBorder="1"/>
    <xf numFmtId="174" fontId="49" fillId="17" borderId="0" xfId="1" applyNumberFormat="1" applyFont="1" applyFill="1" applyBorder="1"/>
    <xf numFmtId="0" fontId="49" fillId="17" borderId="0" xfId="0" applyFont="1" applyFill="1"/>
    <xf numFmtId="192" fontId="4" fillId="17" borderId="0" xfId="1" applyNumberFormat="1" applyFont="1" applyFill="1" applyBorder="1"/>
    <xf numFmtId="174" fontId="0" fillId="17" borderId="0" xfId="1" applyNumberFormat="1" applyFont="1" applyFill="1" applyBorder="1"/>
    <xf numFmtId="0" fontId="0" fillId="17" borderId="0" xfId="0" applyFill="1"/>
    <xf numFmtId="192" fontId="0" fillId="15" borderId="0" xfId="1" applyNumberFormat="1" applyFont="1" applyFill="1" applyBorder="1"/>
    <xf numFmtId="174" fontId="37" fillId="15" borderId="0" xfId="1" quotePrefix="1" applyNumberFormat="1" applyFont="1" applyFill="1" applyBorder="1" applyAlignment="1">
      <alignment horizontal="right"/>
    </xf>
    <xf numFmtId="0" fontId="37" fillId="15" borderId="0" xfId="0" applyFont="1" applyFill="1" applyAlignment="1">
      <alignment horizontal="right"/>
    </xf>
    <xf numFmtId="168" fontId="0" fillId="15" borderId="0" xfId="16" applyNumberFormat="1" applyFont="1" applyFill="1" applyBorder="1"/>
    <xf numFmtId="0" fontId="0" fillId="15" borderId="0" xfId="0" applyFill="1"/>
    <xf numFmtId="167" fontId="0" fillId="0" borderId="0" xfId="1" applyFont="1" applyBorder="1"/>
    <xf numFmtId="167" fontId="0" fillId="15" borderId="0" xfId="1" applyFont="1" applyFill="1" applyBorder="1"/>
    <xf numFmtId="174" fontId="0" fillId="15" borderId="0" xfId="1" applyNumberFormat="1" applyFont="1" applyFill="1" applyBorder="1"/>
    <xf numFmtId="174" fontId="30" fillId="0" borderId="0" xfId="1" applyNumberFormat="1" applyFont="1" applyBorder="1"/>
    <xf numFmtId="174" fontId="49" fillId="17" borderId="0" xfId="1" quotePrefix="1" applyNumberFormat="1" applyFont="1" applyFill="1" applyBorder="1" applyAlignment="1">
      <alignment horizontal="right"/>
    </xf>
    <xf numFmtId="0" fontId="32" fillId="0" borderId="0" xfId="0" applyFont="1" applyAlignment="1">
      <alignment horizontal="right"/>
    </xf>
    <xf numFmtId="198" fontId="1" fillId="0" borderId="0" xfId="0" applyNumberFormat="1" applyFont="1"/>
    <xf numFmtId="198" fontId="4" fillId="11" borderId="0" xfId="7" applyNumberFormat="1" applyFont="1" applyFill="1" applyBorder="1"/>
    <xf numFmtId="198" fontId="4" fillId="12" borderId="0" xfId="7" applyNumberFormat="1" applyFont="1" applyFill="1" applyBorder="1"/>
    <xf numFmtId="171" fontId="4" fillId="12" borderId="0" xfId="7" applyNumberFormat="1" applyFont="1" applyFill="1" applyBorder="1"/>
    <xf numFmtId="0" fontId="39" fillId="2" borderId="0" xfId="0" applyFont="1" applyFill="1"/>
    <xf numFmtId="0" fontId="47" fillId="2" borderId="0" xfId="0" applyFont="1" applyFill="1"/>
    <xf numFmtId="0" fontId="47" fillId="3" borderId="0" xfId="0" applyFont="1" applyFill="1"/>
    <xf numFmtId="0" fontId="39" fillId="3" borderId="0" xfId="0" applyFont="1" applyFill="1"/>
    <xf numFmtId="0" fontId="47" fillId="0" borderId="0" xfId="0" applyFont="1" applyAlignment="1">
      <alignment horizontal="right"/>
    </xf>
    <xf numFmtId="199" fontId="47" fillId="0" borderId="0" xfId="7" applyNumberFormat="1" applyFont="1" applyBorder="1"/>
    <xf numFmtId="199" fontId="47" fillId="12" borderId="0" xfId="7" applyNumberFormat="1" applyFont="1" applyFill="1" applyBorder="1"/>
    <xf numFmtId="200" fontId="47" fillId="12" borderId="0" xfId="7" applyNumberFormat="1" applyFont="1" applyFill="1" applyBorder="1"/>
    <xf numFmtId="199" fontId="47" fillId="11" borderId="0" xfId="7" applyNumberFormat="1" applyFont="1" applyFill="1" applyBorder="1"/>
    <xf numFmtId="168" fontId="4" fillId="28" borderId="0" xfId="16" applyNumberFormat="1" applyFont="1" applyFill="1" applyBorder="1"/>
    <xf numFmtId="192" fontId="0" fillId="0" borderId="0" xfId="1" applyNumberFormat="1" applyFont="1" applyFill="1" applyBorder="1"/>
    <xf numFmtId="3" fontId="8" fillId="0" borderId="0" xfId="1" applyNumberFormat="1" applyFont="1" applyFill="1" applyBorder="1"/>
    <xf numFmtId="3" fontId="11" fillId="0" borderId="0" xfId="1" applyNumberFormat="1" applyFont="1" applyFill="1" applyBorder="1"/>
    <xf numFmtId="192" fontId="57" fillId="0" borderId="0" xfId="1" applyNumberFormat="1" applyFont="1" applyFill="1" applyBorder="1"/>
    <xf numFmtId="0" fontId="58" fillId="0" borderId="0" xfId="0" applyFont="1"/>
    <xf numFmtId="0" fontId="58" fillId="0" borderId="0" xfId="0" applyFont="1" applyAlignment="1">
      <alignment horizontal="right"/>
    </xf>
    <xf numFmtId="189" fontId="85" fillId="0" borderId="0" xfId="16" applyNumberFormat="1" applyFont="1" applyFill="1" applyBorder="1"/>
    <xf numFmtId="9" fontId="1" fillId="0" borderId="0" xfId="16" applyFont="1" applyBorder="1"/>
    <xf numFmtId="168" fontId="1" fillId="0" borderId="0" xfId="16" applyNumberFormat="1" applyFont="1" applyBorder="1"/>
    <xf numFmtId="0" fontId="36" fillId="0" borderId="0" xfId="0" applyFont="1"/>
    <xf numFmtId="17" fontId="86" fillId="0" borderId="0" xfId="24" applyNumberFormat="1" applyFont="1"/>
    <xf numFmtId="0" fontId="87" fillId="19" borderId="0" xfId="24" applyFont="1" applyFill="1"/>
    <xf numFmtId="0" fontId="87" fillId="19" borderId="0" xfId="24" applyFont="1" applyFill="1" applyAlignment="1">
      <alignment horizontal="right"/>
    </xf>
    <xf numFmtId="0" fontId="87" fillId="19" borderId="0" xfId="24" applyFont="1" applyFill="1" applyAlignment="1">
      <alignment horizontal="right" wrapText="1"/>
    </xf>
    <xf numFmtId="0" fontId="58" fillId="21" borderId="0" xfId="24" applyFont="1" applyFill="1"/>
    <xf numFmtId="174" fontId="58" fillId="20" borderId="0" xfId="1" applyNumberFormat="1" applyFont="1" applyFill="1" applyBorder="1"/>
    <xf numFmtId="0" fontId="58" fillId="20" borderId="0" xfId="24" applyFont="1" applyFill="1"/>
    <xf numFmtId="167" fontId="58" fillId="20" borderId="0" xfId="1" applyFont="1" applyFill="1" applyBorder="1"/>
    <xf numFmtId="0" fontId="86" fillId="0" borderId="0" xfId="24" applyFont="1"/>
    <xf numFmtId="3" fontId="39" fillId="0" borderId="10" xfId="1" applyNumberFormat="1" applyFont="1" applyFill="1" applyBorder="1"/>
    <xf numFmtId="173" fontId="4" fillId="0" borderId="25" xfId="0" applyNumberFormat="1" applyFont="1" applyBorder="1"/>
    <xf numFmtId="173" fontId="4" fillId="0" borderId="26" xfId="0" applyNumberFormat="1" applyFont="1" applyBorder="1"/>
    <xf numFmtId="169" fontId="39" fillId="0" borderId="6" xfId="1" applyNumberFormat="1" applyFont="1" applyFill="1" applyBorder="1"/>
    <xf numFmtId="169" fontId="39" fillId="0" borderId="7" xfId="1" applyNumberFormat="1" applyFont="1" applyFill="1" applyBorder="1"/>
    <xf numFmtId="169" fontId="39" fillId="0" borderId="0" xfId="1" applyNumberFormat="1" applyFont="1" applyFill="1" applyBorder="1"/>
    <xf numFmtId="169" fontId="39" fillId="0" borderId="10" xfId="1" applyNumberFormat="1" applyFont="1" applyFill="1" applyBorder="1"/>
    <xf numFmtId="169" fontId="39" fillId="0" borderId="12" xfId="1" applyNumberFormat="1" applyFont="1" applyFill="1" applyBorder="1"/>
    <xf numFmtId="169" fontId="39" fillId="0" borderId="13" xfId="1" applyNumberFormat="1" applyFont="1" applyFill="1" applyBorder="1"/>
    <xf numFmtId="3" fontId="47" fillId="0" borderId="25" xfId="1" applyNumberFormat="1" applyFont="1" applyFill="1" applyBorder="1"/>
    <xf numFmtId="3" fontId="47" fillId="0" borderId="26" xfId="1" applyNumberFormat="1" applyFont="1" applyFill="1" applyBorder="1"/>
    <xf numFmtId="192" fontId="39" fillId="0" borderId="68" xfId="1" applyNumberFormat="1" applyFont="1" applyBorder="1" applyAlignment="1">
      <alignment horizontal="left" vertical="center"/>
    </xf>
    <xf numFmtId="173" fontId="39" fillId="0" borderId="0" xfId="1" applyNumberFormat="1" applyFont="1" applyFill="1" applyBorder="1"/>
    <xf numFmtId="173" fontId="39" fillId="0" borderId="5" xfId="1" applyNumberFormat="1" applyFont="1" applyFill="1" applyBorder="1"/>
    <xf numFmtId="173" fontId="39" fillId="0" borderId="6" xfId="1" applyNumberFormat="1" applyFont="1" applyFill="1" applyBorder="1"/>
    <xf numFmtId="173" fontId="39" fillId="0" borderId="7" xfId="1" applyNumberFormat="1" applyFont="1" applyFill="1" applyBorder="1"/>
    <xf numFmtId="173" fontId="39" fillId="0" borderId="9" xfId="1" applyNumberFormat="1" applyFont="1" applyFill="1" applyBorder="1"/>
    <xf numFmtId="173" fontId="39" fillId="0" borderId="10" xfId="1" applyNumberFormat="1" applyFont="1" applyFill="1" applyBorder="1"/>
    <xf numFmtId="173" fontId="39" fillId="0" borderId="11" xfId="1" applyNumberFormat="1" applyFont="1" applyFill="1" applyBorder="1"/>
    <xf numFmtId="173" fontId="39" fillId="0" borderId="12" xfId="1" applyNumberFormat="1" applyFont="1" applyFill="1" applyBorder="1"/>
    <xf numFmtId="173" fontId="39" fillId="0" borderId="13" xfId="1" applyNumberFormat="1" applyFont="1" applyFill="1" applyBorder="1"/>
    <xf numFmtId="173" fontId="4" fillId="0" borderId="24" xfId="0" applyNumberFormat="1" applyFont="1" applyBorder="1"/>
    <xf numFmtId="3" fontId="47" fillId="0" borderId="24" xfId="1" applyNumberFormat="1" applyFont="1" applyFill="1" applyBorder="1"/>
    <xf numFmtId="173" fontId="4" fillId="0" borderId="28" xfId="0" applyNumberFormat="1" applyFont="1" applyBorder="1" applyAlignment="1">
      <alignment vertical="center"/>
    </xf>
    <xf numFmtId="192" fontId="39" fillId="0" borderId="68" xfId="1" applyNumberFormat="1" applyFont="1" applyBorder="1" applyAlignment="1">
      <alignment vertical="center"/>
    </xf>
    <xf numFmtId="169" fontId="39" fillId="0" borderId="67" xfId="1" applyNumberFormat="1" applyFont="1" applyBorder="1" applyAlignment="1">
      <alignment vertical="center"/>
    </xf>
    <xf numFmtId="169" fontId="39" fillId="0" borderId="68" xfId="1" applyNumberFormat="1" applyFont="1" applyBorder="1" applyAlignment="1">
      <alignment vertical="center"/>
    </xf>
    <xf numFmtId="169" fontId="39" fillId="0" borderId="69" xfId="1" applyNumberFormat="1" applyFont="1" applyBorder="1" applyAlignment="1">
      <alignment vertical="center"/>
    </xf>
    <xf numFmtId="0" fontId="37" fillId="19" borderId="67" xfId="24" applyFont="1" applyFill="1" applyBorder="1" applyAlignment="1">
      <alignment horizontal="center" vertical="center" wrapText="1"/>
    </xf>
    <xf numFmtId="0" fontId="37" fillId="19" borderId="6" xfId="24" applyFont="1" applyFill="1" applyBorder="1" applyAlignment="1">
      <alignment horizontal="center" vertical="center" wrapText="1"/>
    </xf>
    <xf numFmtId="192" fontId="47" fillId="0" borderId="28" xfId="1" applyNumberFormat="1" applyFont="1" applyBorder="1" applyAlignment="1">
      <alignment horizontal="left" vertical="center"/>
    </xf>
    <xf numFmtId="3" fontId="47" fillId="0" borderId="28" xfId="1" applyNumberFormat="1" applyFont="1" applyFill="1" applyBorder="1"/>
    <xf numFmtId="192" fontId="47" fillId="13" borderId="28" xfId="1" applyNumberFormat="1" applyFont="1" applyFill="1" applyBorder="1" applyAlignment="1">
      <alignment horizontal="left" vertical="center"/>
    </xf>
    <xf numFmtId="192" fontId="81" fillId="13" borderId="28" xfId="1" applyNumberFormat="1" applyFont="1" applyFill="1" applyBorder="1" applyAlignment="1">
      <alignment horizontal="left" vertical="center"/>
    </xf>
    <xf numFmtId="169" fontId="84" fillId="0" borderId="25" xfId="1" quotePrefix="1" applyNumberFormat="1" applyFont="1" applyFill="1" applyBorder="1" applyAlignment="1">
      <alignment horizontal="right" vertical="center"/>
    </xf>
    <xf numFmtId="169" fontId="84" fillId="0" borderId="26" xfId="1" quotePrefix="1" applyNumberFormat="1" applyFont="1" applyFill="1" applyBorder="1" applyAlignment="1">
      <alignment horizontal="right" vertical="center"/>
    </xf>
    <xf numFmtId="169" fontId="84" fillId="0" borderId="0" xfId="1" applyNumberFormat="1" applyFont="1" applyFill="1" applyBorder="1" applyAlignment="1">
      <alignment horizontal="right" vertical="center"/>
    </xf>
    <xf numFmtId="169" fontId="84" fillId="0" borderId="10" xfId="1" applyNumberFormat="1" applyFont="1" applyFill="1" applyBorder="1" applyAlignment="1">
      <alignment horizontal="right" vertical="center"/>
    </xf>
    <xf numFmtId="169" fontId="47" fillId="0" borderId="25" xfId="1" applyNumberFormat="1" applyFont="1" applyFill="1" applyBorder="1" applyAlignment="1">
      <alignment horizontal="right"/>
    </xf>
    <xf numFmtId="169" fontId="81" fillId="0" borderId="25" xfId="1" applyNumberFormat="1" applyFont="1" applyFill="1" applyBorder="1" applyAlignment="1">
      <alignment horizontal="right" vertical="center"/>
    </xf>
    <xf numFmtId="169" fontId="81" fillId="0" borderId="26" xfId="1" applyNumberFormat="1" applyFont="1" applyFill="1" applyBorder="1" applyAlignment="1">
      <alignment horizontal="right" vertical="center"/>
    </xf>
    <xf numFmtId="169" fontId="81" fillId="13" borderId="25" xfId="1" applyNumberFormat="1" applyFont="1" applyFill="1" applyBorder="1" applyAlignment="1">
      <alignment horizontal="right" vertical="center"/>
    </xf>
    <xf numFmtId="169" fontId="81" fillId="13" borderId="26" xfId="1" applyNumberFormat="1" applyFont="1" applyFill="1" applyBorder="1" applyAlignment="1">
      <alignment horizontal="right" vertical="center"/>
    </xf>
    <xf numFmtId="169" fontId="84" fillId="0" borderId="25" xfId="1" applyNumberFormat="1" applyFont="1" applyFill="1" applyBorder="1" applyAlignment="1">
      <alignment horizontal="right" vertical="center"/>
    </xf>
    <xf numFmtId="169" fontId="84" fillId="0" borderId="26" xfId="1" applyNumberFormat="1" applyFont="1" applyFill="1" applyBorder="1" applyAlignment="1">
      <alignment horizontal="right" vertical="center"/>
    </xf>
    <xf numFmtId="169" fontId="84" fillId="0" borderId="5" xfId="1" applyNumberFormat="1" applyFont="1" applyFill="1" applyBorder="1" applyAlignment="1">
      <alignment horizontal="right" vertical="center"/>
    </xf>
    <xf numFmtId="169" fontId="84" fillId="0" borderId="6" xfId="1" applyNumberFormat="1" applyFont="1" applyFill="1" applyBorder="1" applyAlignment="1">
      <alignment horizontal="right" vertical="center"/>
    </xf>
    <xf numFmtId="169" fontId="84" fillId="0" borderId="7" xfId="1" applyNumberFormat="1" applyFont="1" applyFill="1" applyBorder="1" applyAlignment="1">
      <alignment horizontal="right" vertical="center"/>
    </xf>
    <xf numFmtId="169" fontId="84" fillId="0" borderId="9" xfId="1" applyNumberFormat="1" applyFont="1" applyFill="1" applyBorder="1" applyAlignment="1">
      <alignment horizontal="right" vertical="center"/>
    </xf>
    <xf numFmtId="169" fontId="47" fillId="0" borderId="24" xfId="1" applyNumberFormat="1" applyFont="1" applyFill="1" applyBorder="1" applyAlignment="1">
      <alignment horizontal="right"/>
    </xf>
    <xf numFmtId="169" fontId="47" fillId="0" borderId="26" xfId="1" applyNumberFormat="1" applyFont="1" applyFill="1" applyBorder="1" applyAlignment="1">
      <alignment horizontal="right"/>
    </xf>
    <xf numFmtId="169" fontId="81" fillId="0" borderId="24" xfId="1" applyNumberFormat="1" applyFont="1" applyFill="1" applyBorder="1" applyAlignment="1">
      <alignment horizontal="right" vertical="center"/>
    </xf>
    <xf numFmtId="192" fontId="39" fillId="0" borderId="67" xfId="1" applyNumberFormat="1" applyFont="1" applyBorder="1" applyAlignment="1">
      <alignment horizontal="left" vertical="center"/>
    </xf>
    <xf numFmtId="192" fontId="39" fillId="0" borderId="69" xfId="1" applyNumberFormat="1" applyFont="1" applyBorder="1" applyAlignment="1">
      <alignment horizontal="left" vertical="center"/>
    </xf>
    <xf numFmtId="169" fontId="84" fillId="0" borderId="12" xfId="1" applyNumberFormat="1" applyFont="1" applyFill="1" applyBorder="1" applyAlignment="1">
      <alignment horizontal="right" vertical="center"/>
    </xf>
    <xf numFmtId="169" fontId="84" fillId="0" borderId="13" xfId="1" applyNumberFormat="1" applyFont="1" applyFill="1" applyBorder="1" applyAlignment="1">
      <alignment horizontal="right" vertical="center"/>
    </xf>
    <xf numFmtId="169" fontId="84" fillId="0" borderId="11" xfId="1" applyNumberFormat="1" applyFont="1" applyFill="1" applyBorder="1" applyAlignment="1">
      <alignment horizontal="right" vertical="center"/>
    </xf>
    <xf numFmtId="169" fontId="84" fillId="0" borderId="24" xfId="1" applyNumberFormat="1" applyFont="1" applyFill="1" applyBorder="1" applyAlignment="1">
      <alignment horizontal="right" vertical="center"/>
    </xf>
    <xf numFmtId="169" fontId="81" fillId="13" borderId="24" xfId="1" applyNumberFormat="1" applyFont="1" applyFill="1" applyBorder="1" applyAlignment="1">
      <alignment horizontal="right" vertical="center"/>
    </xf>
    <xf numFmtId="169" fontId="47" fillId="0" borderId="25" xfId="1" applyNumberFormat="1" applyFont="1" applyFill="1" applyBorder="1" applyAlignment="1">
      <alignment horizontal="left"/>
    </xf>
    <xf numFmtId="192" fontId="1" fillId="0" borderId="0" xfId="1" applyNumberFormat="1" applyFont="1" applyBorder="1" applyAlignment="1">
      <alignment horizontal="left"/>
    </xf>
    <xf numFmtId="0" fontId="1" fillId="0" borderId="0" xfId="1" applyNumberFormat="1" applyFont="1" applyBorder="1" applyAlignment="1">
      <alignment horizontal="right"/>
    </xf>
    <xf numFmtId="2" fontId="1" fillId="0" borderId="0" xfId="1" applyNumberFormat="1" applyFont="1" applyBorder="1" applyAlignment="1">
      <alignment horizontal="right"/>
    </xf>
    <xf numFmtId="2" fontId="1" fillId="0" borderId="10" xfId="1" applyNumberFormat="1" applyFont="1" applyBorder="1" applyAlignment="1">
      <alignment horizontal="right"/>
    </xf>
    <xf numFmtId="2" fontId="4" fillId="0" borderId="0" xfId="1" applyNumberFormat="1" applyFont="1" applyBorder="1" applyAlignment="1">
      <alignment horizontal="right"/>
    </xf>
    <xf numFmtId="2" fontId="4" fillId="0" borderId="10" xfId="1" applyNumberFormat="1" applyFont="1" applyBorder="1" applyAlignment="1">
      <alignment horizontal="right"/>
    </xf>
    <xf numFmtId="2" fontId="4" fillId="0" borderId="25" xfId="1" applyNumberFormat="1" applyFont="1" applyBorder="1" applyAlignment="1">
      <alignment horizontal="right"/>
    </xf>
    <xf numFmtId="2" fontId="4" fillId="0" borderId="26" xfId="1" applyNumberFormat="1" applyFont="1" applyBorder="1" applyAlignment="1">
      <alignment horizontal="right"/>
    </xf>
    <xf numFmtId="2" fontId="4" fillId="0" borderId="6" xfId="1" applyNumberFormat="1" applyFont="1" applyBorder="1" applyAlignment="1">
      <alignment horizontal="right"/>
    </xf>
    <xf numFmtId="2" fontId="4" fillId="0" borderId="7" xfId="1" applyNumberFormat="1" applyFont="1" applyBorder="1" applyAlignment="1">
      <alignment horizontal="right"/>
    </xf>
    <xf numFmtId="2" fontId="4" fillId="0" borderId="12" xfId="1" applyNumberFormat="1" applyFont="1" applyBorder="1" applyAlignment="1">
      <alignment horizontal="right"/>
    </xf>
    <xf numFmtId="2" fontId="4" fillId="0" borderId="13" xfId="1" applyNumberFormat="1" applyFont="1" applyBorder="1" applyAlignment="1">
      <alignment horizontal="right"/>
    </xf>
    <xf numFmtId="192" fontId="1" fillId="0" borderId="68" xfId="1" applyNumberFormat="1" applyFont="1" applyBorder="1" applyAlignment="1">
      <alignment horizontal="left"/>
    </xf>
    <xf numFmtId="192" fontId="4" fillId="0" borderId="28" xfId="1" applyNumberFormat="1" applyFont="1" applyBorder="1" applyAlignment="1">
      <alignment horizontal="left"/>
    </xf>
    <xf numFmtId="192" fontId="4" fillId="0" borderId="67" xfId="1" applyNumberFormat="1" applyFont="1" applyBorder="1" applyAlignment="1">
      <alignment horizontal="left"/>
    </xf>
    <xf numFmtId="192" fontId="4" fillId="0" borderId="68" xfId="1" applyNumberFormat="1" applyFont="1" applyBorder="1" applyAlignment="1">
      <alignment horizontal="left"/>
    </xf>
    <xf numFmtId="192" fontId="4" fillId="0" borderId="69" xfId="1" applyNumberFormat="1" applyFont="1" applyBorder="1" applyAlignment="1">
      <alignment horizontal="left"/>
    </xf>
    <xf numFmtId="0" fontId="37" fillId="17" borderId="0" xfId="0" applyFont="1" applyFill="1" applyAlignment="1">
      <alignment vertical="center"/>
    </xf>
    <xf numFmtId="0" fontId="1" fillId="0" borderId="0" xfId="31"/>
    <xf numFmtId="0" fontId="49" fillId="34" borderId="0" xfId="31" applyFont="1" applyFill="1"/>
    <xf numFmtId="0" fontId="49" fillId="14" borderId="0" xfId="31" applyFont="1" applyFill="1"/>
    <xf numFmtId="0" fontId="1" fillId="14" borderId="0" xfId="31" applyFill="1"/>
    <xf numFmtId="0" fontId="1" fillId="14" borderId="10" xfId="31" applyFill="1" applyBorder="1"/>
    <xf numFmtId="0" fontId="37" fillId="19" borderId="28" xfId="24" applyFont="1" applyFill="1" applyBorder="1" applyAlignment="1">
      <alignment horizontal="center" vertical="center" wrapText="1"/>
    </xf>
    <xf numFmtId="0" fontId="1" fillId="14" borderId="12" xfId="31" applyFill="1" applyBorder="1"/>
    <xf numFmtId="0" fontId="1" fillId="14" borderId="13" xfId="31" applyFill="1" applyBorder="1"/>
    <xf numFmtId="3" fontId="5" fillId="0" borderId="38" xfId="0" applyNumberFormat="1" applyFont="1" applyBorder="1" applyAlignment="1">
      <alignment horizontal="center"/>
    </xf>
    <xf numFmtId="3" fontId="5" fillId="0" borderId="27" xfId="0" applyNumberFormat="1" applyFont="1" applyBorder="1" applyAlignment="1">
      <alignment horizontal="center"/>
    </xf>
    <xf numFmtId="3" fontId="5" fillId="0" borderId="39" xfId="0" applyNumberFormat="1" applyFont="1" applyBorder="1" applyAlignment="1">
      <alignment horizontal="center"/>
    </xf>
    <xf numFmtId="3" fontId="5" fillId="0" borderId="21" xfId="0" applyNumberFormat="1" applyFont="1" applyBorder="1" applyAlignment="1">
      <alignment horizontal="center"/>
    </xf>
    <xf numFmtId="3" fontId="5" fillId="0" borderId="14" xfId="0" applyNumberFormat="1" applyFont="1" applyBorder="1" applyAlignment="1">
      <alignment horizontal="center"/>
    </xf>
    <xf numFmtId="3" fontId="5" fillId="0" borderId="22" xfId="0" applyNumberFormat="1" applyFont="1" applyBorder="1" applyAlignment="1">
      <alignment horizontal="center"/>
    </xf>
    <xf numFmtId="3" fontId="5" fillId="0" borderId="41" xfId="0" applyNumberFormat="1" applyFont="1" applyBorder="1" applyAlignment="1">
      <alignment horizontal="center"/>
    </xf>
    <xf numFmtId="3" fontId="5" fillId="0" borderId="0" xfId="0" applyNumberFormat="1" applyFont="1" applyAlignment="1">
      <alignment horizontal="center"/>
    </xf>
    <xf numFmtId="3" fontId="5" fillId="0" borderId="29" xfId="0" applyNumberFormat="1" applyFont="1" applyBorder="1" applyAlignment="1">
      <alignment horizontal="center"/>
    </xf>
    <xf numFmtId="3" fontId="3" fillId="14" borderId="15" xfId="0" applyNumberFormat="1" applyFont="1" applyFill="1" applyBorder="1" applyAlignment="1">
      <alignment horizontal="center"/>
    </xf>
    <xf numFmtId="3" fontId="3" fillId="14" borderId="16" xfId="0" applyNumberFormat="1" applyFont="1" applyFill="1" applyBorder="1" applyAlignment="1">
      <alignment horizontal="center"/>
    </xf>
    <xf numFmtId="3" fontId="3" fillId="14" borderId="8" xfId="0" applyNumberFormat="1" applyFont="1" applyFill="1" applyBorder="1" applyAlignment="1">
      <alignment horizontal="center"/>
    </xf>
    <xf numFmtId="3" fontId="4" fillId="14" borderId="15" xfId="0" applyNumberFormat="1" applyFont="1" applyFill="1" applyBorder="1" applyAlignment="1">
      <alignment horizontal="center"/>
    </xf>
    <xf numFmtId="3" fontId="4" fillId="14" borderId="16" xfId="0" applyNumberFormat="1" applyFont="1" applyFill="1" applyBorder="1" applyAlignment="1">
      <alignment horizontal="center"/>
    </xf>
    <xf numFmtId="3" fontId="4" fillId="14" borderId="8" xfId="0" applyNumberFormat="1" applyFont="1" applyFill="1" applyBorder="1" applyAlignment="1">
      <alignment horizontal="center"/>
    </xf>
    <xf numFmtId="3" fontId="6" fillId="3" borderId="15" xfId="0" applyNumberFormat="1" applyFont="1" applyFill="1" applyBorder="1" applyAlignment="1" applyProtection="1">
      <alignment horizontal="center"/>
      <protection locked="0"/>
    </xf>
    <xf numFmtId="3" fontId="6" fillId="3" borderId="16" xfId="0" applyNumberFormat="1" applyFont="1" applyFill="1" applyBorder="1" applyAlignment="1" applyProtection="1">
      <alignment horizontal="center"/>
      <protection locked="0"/>
    </xf>
    <xf numFmtId="3" fontId="6" fillId="3" borderId="8" xfId="0" applyNumberFormat="1" applyFont="1" applyFill="1" applyBorder="1" applyAlignment="1" applyProtection="1">
      <alignment horizontal="center"/>
      <protection locked="0"/>
    </xf>
    <xf numFmtId="169" fontId="4" fillId="14" borderId="15" xfId="0" applyNumberFormat="1" applyFont="1" applyFill="1" applyBorder="1" applyAlignment="1">
      <alignment horizontal="center"/>
    </xf>
    <xf numFmtId="169" fontId="4" fillId="14" borderId="16" xfId="0" applyNumberFormat="1" applyFont="1" applyFill="1" applyBorder="1" applyAlignment="1">
      <alignment horizontal="center"/>
    </xf>
    <xf numFmtId="169" fontId="4" fillId="14" borderId="8" xfId="0" applyNumberFormat="1" applyFont="1" applyFill="1" applyBorder="1" applyAlignment="1">
      <alignment horizontal="center"/>
    </xf>
    <xf numFmtId="0" fontId="5" fillId="0" borderId="0" xfId="0" applyFont="1" applyAlignment="1">
      <alignment horizontal="center"/>
    </xf>
    <xf numFmtId="0" fontId="1" fillId="0" borderId="0" xfId="0" applyFont="1" applyAlignment="1">
      <alignment horizontal="left" wrapText="1"/>
    </xf>
    <xf numFmtId="0" fontId="1" fillId="0" borderId="0" xfId="0" applyFont="1" applyAlignment="1">
      <alignment horizontal="left" vertical="center" wrapText="1"/>
    </xf>
    <xf numFmtId="0" fontId="5" fillId="0" borderId="0" xfId="0" applyFont="1" applyAlignment="1">
      <alignment horizontal="left" vertical="center" wrapText="1"/>
    </xf>
    <xf numFmtId="0" fontId="37" fillId="17" borderId="0" xfId="0" applyFont="1" applyFill="1" applyAlignment="1">
      <alignment horizontal="center" vertical="center"/>
    </xf>
    <xf numFmtId="0" fontId="37" fillId="17" borderId="12" xfId="0" applyFont="1" applyFill="1" applyBorder="1" applyAlignment="1">
      <alignment horizontal="center" vertical="center"/>
    </xf>
    <xf numFmtId="192" fontId="37" fillId="17" borderId="0" xfId="1" applyNumberFormat="1" applyFont="1" applyFill="1" applyBorder="1" applyAlignment="1">
      <alignment horizontal="center" vertical="center"/>
    </xf>
    <xf numFmtId="192" fontId="37" fillId="17" borderId="12" xfId="1" applyNumberFormat="1" applyFont="1" applyFill="1" applyBorder="1" applyAlignment="1">
      <alignment horizontal="center" vertical="center"/>
    </xf>
    <xf numFmtId="0" fontId="45" fillId="10" borderId="5" xfId="0" applyFont="1" applyFill="1" applyBorder="1" applyAlignment="1">
      <alignment horizontal="center" wrapText="1"/>
    </xf>
    <xf numFmtId="0" fontId="45" fillId="10" borderId="6" xfId="0" applyFont="1" applyFill="1" applyBorder="1" applyAlignment="1">
      <alignment horizontal="center" wrapText="1"/>
    </xf>
    <xf numFmtId="0" fontId="45" fillId="10" borderId="7" xfId="0" applyFont="1" applyFill="1" applyBorder="1" applyAlignment="1">
      <alignment horizontal="center" wrapText="1"/>
    </xf>
    <xf numFmtId="0" fontId="45" fillId="10" borderId="9" xfId="0" applyFont="1" applyFill="1" applyBorder="1" applyAlignment="1">
      <alignment horizontal="center" wrapText="1"/>
    </xf>
    <xf numFmtId="0" fontId="45" fillId="10" borderId="0" xfId="0" applyFont="1" applyFill="1" applyAlignment="1">
      <alignment horizontal="center" wrapText="1"/>
    </xf>
    <xf numFmtId="0" fontId="45" fillId="10" borderId="10" xfId="0" applyFont="1" applyFill="1" applyBorder="1" applyAlignment="1">
      <alignment horizontal="center" wrapText="1"/>
    </xf>
    <xf numFmtId="0" fontId="45" fillId="10" borderId="11" xfId="0" applyFont="1" applyFill="1" applyBorder="1" applyAlignment="1">
      <alignment horizontal="center" wrapText="1"/>
    </xf>
    <xf numFmtId="0" fontId="45" fillId="10" borderId="12" xfId="0" applyFont="1" applyFill="1" applyBorder="1" applyAlignment="1">
      <alignment horizontal="center" wrapText="1"/>
    </xf>
    <xf numFmtId="0" fontId="45" fillId="10" borderId="13" xfId="0" applyFont="1" applyFill="1" applyBorder="1" applyAlignment="1">
      <alignment horizontal="center" wrapText="1"/>
    </xf>
    <xf numFmtId="0" fontId="45" fillId="10" borderId="5" xfId="0" applyFont="1" applyFill="1" applyBorder="1" applyAlignment="1">
      <alignment horizontal="center" vertical="center" wrapText="1"/>
    </xf>
    <xf numFmtId="0" fontId="45" fillId="10" borderId="6" xfId="0" applyFont="1" applyFill="1" applyBorder="1" applyAlignment="1">
      <alignment horizontal="center" vertical="center" wrapText="1"/>
    </xf>
    <xf numFmtId="0" fontId="45" fillId="10" borderId="7" xfId="0" applyFont="1" applyFill="1" applyBorder="1" applyAlignment="1">
      <alignment horizontal="center" vertical="center" wrapText="1"/>
    </xf>
    <xf numFmtId="0" fontId="45" fillId="10" borderId="9" xfId="0" applyFont="1" applyFill="1" applyBorder="1" applyAlignment="1">
      <alignment horizontal="center" vertical="center" wrapText="1"/>
    </xf>
    <xf numFmtId="0" fontId="45" fillId="10" borderId="0" xfId="0" applyFont="1" applyFill="1" applyAlignment="1">
      <alignment horizontal="center" vertical="center" wrapText="1"/>
    </xf>
    <xf numFmtId="0" fontId="45" fillId="10" borderId="10" xfId="0" applyFont="1" applyFill="1" applyBorder="1" applyAlignment="1">
      <alignment horizontal="center" vertical="center" wrapText="1"/>
    </xf>
    <xf numFmtId="0" fontId="45" fillId="10" borderId="11" xfId="0" applyFont="1" applyFill="1" applyBorder="1" applyAlignment="1">
      <alignment horizontal="center" vertical="center" wrapText="1"/>
    </xf>
    <xf numFmtId="0" fontId="45" fillId="10" borderId="12" xfId="0" applyFont="1" applyFill="1" applyBorder="1" applyAlignment="1">
      <alignment horizontal="center" vertical="center" wrapText="1"/>
    </xf>
    <xf numFmtId="0" fontId="45" fillId="10" borderId="13" xfId="0" applyFont="1" applyFill="1" applyBorder="1" applyAlignment="1">
      <alignment horizontal="center" vertical="center" wrapText="1"/>
    </xf>
    <xf numFmtId="0" fontId="4" fillId="15" borderId="0" xfId="0" applyFont="1" applyFill="1" applyAlignment="1">
      <alignment horizontal="center" vertical="center"/>
    </xf>
    <xf numFmtId="0" fontId="4" fillId="5" borderId="5" xfId="0" applyFont="1" applyFill="1" applyBorder="1" applyAlignment="1">
      <alignment horizontal="left"/>
    </xf>
    <xf numFmtId="0" fontId="4" fillId="5" borderId="6" xfId="0" applyFont="1" applyFill="1" applyBorder="1" applyAlignment="1">
      <alignment horizontal="left"/>
    </xf>
    <xf numFmtId="0" fontId="4" fillId="5" borderId="7" xfId="0" applyFont="1" applyFill="1" applyBorder="1" applyAlignment="1">
      <alignment horizontal="left"/>
    </xf>
    <xf numFmtId="0" fontId="4" fillId="5" borderId="9" xfId="0" applyFont="1" applyFill="1" applyBorder="1" applyAlignment="1">
      <alignment horizontal="left"/>
    </xf>
    <xf numFmtId="0" fontId="4" fillId="5" borderId="0" xfId="0" applyFont="1" applyFill="1" applyAlignment="1">
      <alignment horizontal="left"/>
    </xf>
    <xf numFmtId="0" fontId="4" fillId="5" borderId="10" xfId="0" applyFont="1" applyFill="1" applyBorder="1" applyAlignment="1">
      <alignment horizontal="left"/>
    </xf>
    <xf numFmtId="0" fontId="4" fillId="5" borderId="11" xfId="0" applyFont="1" applyFill="1" applyBorder="1" applyAlignment="1">
      <alignment horizontal="left"/>
    </xf>
    <xf numFmtId="0" fontId="4" fillId="5" borderId="12" xfId="0" applyFont="1" applyFill="1" applyBorder="1" applyAlignment="1">
      <alignment horizontal="left"/>
    </xf>
    <xf numFmtId="0" fontId="4" fillId="5" borderId="36" xfId="0" applyFont="1" applyFill="1" applyBorder="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4" fillId="0" borderId="14" xfId="24" applyFont="1" applyBorder="1" applyAlignment="1">
      <alignment horizontal="center" wrapText="1"/>
    </xf>
    <xf numFmtId="0" fontId="4" fillId="29" borderId="38" xfId="24" applyFont="1" applyFill="1" applyBorder="1" applyAlignment="1">
      <alignment horizontal="center" vertical="center" wrapText="1"/>
    </xf>
    <xf numFmtId="0" fontId="4" fillId="29" borderId="27" xfId="24" applyFont="1" applyFill="1" applyBorder="1" applyAlignment="1">
      <alignment horizontal="center" vertical="center" wrapText="1"/>
    </xf>
    <xf numFmtId="0" fontId="4" fillId="29" borderId="39" xfId="24" applyFont="1" applyFill="1" applyBorder="1" applyAlignment="1">
      <alignment horizontal="center" vertical="center" wrapText="1"/>
    </xf>
    <xf numFmtId="0" fontId="4" fillId="0" borderId="0" xfId="24" applyFont="1" applyAlignment="1">
      <alignment horizontal="center"/>
    </xf>
    <xf numFmtId="0" fontId="4" fillId="29" borderId="41" xfId="24" applyFont="1" applyFill="1" applyBorder="1" applyAlignment="1">
      <alignment horizontal="left" vertical="center" wrapText="1"/>
    </xf>
    <xf numFmtId="0" fontId="4" fillId="29" borderId="0" xfId="24" applyFont="1" applyFill="1" applyAlignment="1">
      <alignment horizontal="left" vertical="center" wrapText="1"/>
    </xf>
    <xf numFmtId="0" fontId="4" fillId="29" borderId="29" xfId="24" applyFont="1" applyFill="1" applyBorder="1" applyAlignment="1">
      <alignment horizontal="left" vertical="center" wrapText="1"/>
    </xf>
    <xf numFmtId="166" fontId="4" fillId="16" borderId="15" xfId="7" applyFont="1" applyFill="1" applyBorder="1" applyAlignment="1">
      <alignment horizontal="center"/>
    </xf>
    <xf numFmtId="166" fontId="4" fillId="16" borderId="8" xfId="7" applyFont="1" applyFill="1" applyBorder="1" applyAlignment="1">
      <alignment horizontal="center"/>
    </xf>
    <xf numFmtId="0" fontId="4" fillId="0" borderId="4" xfId="24" applyFont="1" applyBorder="1" applyAlignment="1">
      <alignment horizontal="center" vertical="center" wrapText="1"/>
    </xf>
    <xf numFmtId="0" fontId="4" fillId="29" borderId="41" xfId="24" applyFont="1" applyFill="1" applyBorder="1" applyAlignment="1">
      <alignment horizontal="center" vertical="center" wrapText="1"/>
    </xf>
    <xf numFmtId="0" fontId="4" fillId="29" borderId="0" xfId="24" applyFont="1" applyFill="1" applyAlignment="1">
      <alignment horizontal="center" vertical="center" wrapText="1"/>
    </xf>
    <xf numFmtId="0" fontId="4" fillId="29" borderId="29" xfId="24" applyFont="1" applyFill="1" applyBorder="1" applyAlignment="1">
      <alignment horizontal="center" vertical="center" wrapText="1"/>
    </xf>
    <xf numFmtId="0" fontId="69" fillId="16" borderId="4" xfId="24" applyFont="1" applyFill="1" applyBorder="1" applyAlignment="1">
      <alignment horizontal="left"/>
    </xf>
    <xf numFmtId="0" fontId="4" fillId="0" borderId="38" xfId="24" applyFont="1" applyBorder="1" applyAlignment="1">
      <alignment horizontal="center" vertical="center" wrapText="1"/>
    </xf>
    <xf numFmtId="0" fontId="4" fillId="0" borderId="27" xfId="24" applyFont="1" applyBorder="1" applyAlignment="1">
      <alignment horizontal="center" vertical="center" wrapText="1"/>
    </xf>
    <xf numFmtId="0" fontId="4" fillId="0" borderId="39" xfId="24" applyFont="1" applyBorder="1" applyAlignment="1">
      <alignment horizontal="center" vertical="center" wrapText="1"/>
    </xf>
    <xf numFmtId="0" fontId="4" fillId="0" borderId="41" xfId="24" applyFont="1" applyBorder="1" applyAlignment="1">
      <alignment horizontal="center" vertical="center" wrapText="1"/>
    </xf>
    <xf numFmtId="0" fontId="4" fillId="0" borderId="0" xfId="24" applyFont="1" applyAlignment="1">
      <alignment horizontal="center" vertical="center" wrapText="1"/>
    </xf>
    <xf numFmtId="0" fontId="4" fillId="0" borderId="29" xfId="24" applyFont="1" applyBorder="1" applyAlignment="1">
      <alignment horizontal="center" vertical="center" wrapText="1"/>
    </xf>
    <xf numFmtId="0" fontId="4" fillId="0" borderId="21" xfId="24" applyFont="1" applyBorder="1" applyAlignment="1">
      <alignment horizontal="center" vertical="center" wrapText="1"/>
    </xf>
    <xf numFmtId="0" fontId="4" fillId="0" borderId="14" xfId="24" applyFont="1" applyBorder="1" applyAlignment="1">
      <alignment horizontal="center" vertical="center" wrapText="1"/>
    </xf>
    <xf numFmtId="0" fontId="4" fillId="0" borderId="22" xfId="24" applyFont="1" applyBorder="1" applyAlignment="1">
      <alignment horizontal="center" vertical="center" wrapText="1"/>
    </xf>
    <xf numFmtId="0" fontId="69" fillId="16" borderId="38" xfId="24" applyFont="1" applyFill="1" applyBorder="1" applyAlignment="1">
      <alignment horizontal="center"/>
    </xf>
    <xf numFmtId="0" fontId="69" fillId="16" borderId="27" xfId="24" applyFont="1" applyFill="1" applyBorder="1" applyAlignment="1">
      <alignment horizontal="center"/>
    </xf>
    <xf numFmtId="0" fontId="69" fillId="16" borderId="39" xfId="24" applyFont="1" applyFill="1" applyBorder="1" applyAlignment="1">
      <alignment horizontal="center"/>
    </xf>
    <xf numFmtId="0" fontId="69" fillId="16" borderId="41" xfId="24" applyFont="1" applyFill="1" applyBorder="1" applyAlignment="1">
      <alignment horizontal="center"/>
    </xf>
    <xf numFmtId="0" fontId="69" fillId="16" borderId="0" xfId="24" applyFont="1" applyFill="1" applyAlignment="1">
      <alignment horizontal="center"/>
    </xf>
    <xf numFmtId="0" fontId="69" fillId="16" borderId="29" xfId="24" applyFont="1" applyFill="1" applyBorder="1" applyAlignment="1">
      <alignment horizontal="center"/>
    </xf>
    <xf numFmtId="0" fontId="69" fillId="16" borderId="21" xfId="24" applyFont="1" applyFill="1" applyBorder="1" applyAlignment="1">
      <alignment horizontal="center"/>
    </xf>
    <xf numFmtId="0" fontId="69" fillId="16" borderId="14" xfId="24" applyFont="1" applyFill="1" applyBorder="1" applyAlignment="1">
      <alignment horizontal="center"/>
    </xf>
    <xf numFmtId="0" fontId="69" fillId="16" borderId="22" xfId="24" applyFont="1" applyFill="1" applyBorder="1" applyAlignment="1">
      <alignment horizontal="center"/>
    </xf>
    <xf numFmtId="0" fontId="69" fillId="16" borderId="41" xfId="24" applyFont="1" applyFill="1" applyBorder="1" applyAlignment="1">
      <alignment horizontal="left"/>
    </xf>
    <xf numFmtId="0" fontId="69" fillId="16" borderId="0" xfId="24" applyFont="1" applyFill="1" applyAlignment="1">
      <alignment horizontal="left"/>
    </xf>
    <xf numFmtId="0" fontId="69" fillId="16" borderId="29" xfId="24" applyFont="1" applyFill="1" applyBorder="1" applyAlignment="1">
      <alignment horizontal="left"/>
    </xf>
    <xf numFmtId="0" fontId="4" fillId="10" borderId="38" xfId="24" applyFont="1" applyFill="1" applyBorder="1" applyAlignment="1">
      <alignment horizontal="center" vertical="center" wrapText="1"/>
    </xf>
    <xf numFmtId="0" fontId="4" fillId="10" borderId="27" xfId="24" applyFont="1" applyFill="1" applyBorder="1" applyAlignment="1">
      <alignment horizontal="center" vertical="center" wrapText="1"/>
    </xf>
    <xf numFmtId="0" fontId="4" fillId="10" borderId="39" xfId="24" applyFont="1" applyFill="1" applyBorder="1" applyAlignment="1">
      <alignment horizontal="center" vertical="center" wrapText="1"/>
    </xf>
    <xf numFmtId="0" fontId="4" fillId="10" borderId="41" xfId="24" applyFont="1" applyFill="1" applyBorder="1" applyAlignment="1">
      <alignment horizontal="center" vertical="center" wrapText="1"/>
    </xf>
    <xf numFmtId="0" fontId="4" fillId="10" borderId="0" xfId="24" applyFont="1" applyFill="1" applyAlignment="1">
      <alignment horizontal="center" vertical="center" wrapText="1"/>
    </xf>
    <xf numFmtId="0" fontId="4" fillId="10" borderId="29" xfId="24" applyFont="1" applyFill="1" applyBorder="1" applyAlignment="1">
      <alignment horizontal="center" vertical="center" wrapText="1"/>
    </xf>
    <xf numFmtId="0" fontId="4" fillId="10" borderId="21" xfId="24" applyFont="1" applyFill="1" applyBorder="1" applyAlignment="1">
      <alignment horizontal="center" vertical="center" wrapText="1"/>
    </xf>
    <xf numFmtId="0" fontId="4" fillId="10" borderId="14" xfId="24" applyFont="1" applyFill="1" applyBorder="1" applyAlignment="1">
      <alignment horizontal="center" vertical="center" wrapText="1"/>
    </xf>
    <xf numFmtId="0" fontId="4" fillId="10" borderId="22" xfId="24" applyFont="1" applyFill="1" applyBorder="1" applyAlignment="1">
      <alignment horizontal="center" vertical="center" wrapText="1"/>
    </xf>
    <xf numFmtId="0" fontId="4" fillId="10" borderId="5" xfId="24" applyFont="1" applyFill="1" applyBorder="1" applyAlignment="1">
      <alignment horizontal="center" wrapText="1"/>
    </xf>
    <xf numFmtId="0" fontId="4" fillId="10" borderId="6" xfId="24" applyFont="1" applyFill="1" applyBorder="1" applyAlignment="1">
      <alignment horizontal="center" wrapText="1"/>
    </xf>
    <xf numFmtId="0" fontId="4" fillId="10" borderId="7" xfId="24" applyFont="1" applyFill="1" applyBorder="1" applyAlignment="1">
      <alignment horizontal="center" wrapText="1"/>
    </xf>
    <xf numFmtId="169" fontId="4" fillId="16" borderId="15" xfId="24" applyNumberFormat="1" applyFont="1" applyFill="1" applyBorder="1" applyAlignment="1">
      <alignment horizontal="center"/>
    </xf>
    <xf numFmtId="169" fontId="4" fillId="16" borderId="8" xfId="24" applyNumberFormat="1" applyFont="1" applyFill="1" applyBorder="1" applyAlignment="1">
      <alignment horizontal="center"/>
    </xf>
    <xf numFmtId="0" fontId="4" fillId="16" borderId="15" xfId="24" applyFont="1" applyFill="1" applyBorder="1" applyAlignment="1">
      <alignment horizontal="center"/>
    </xf>
    <xf numFmtId="0" fontId="4" fillId="16" borderId="8" xfId="24" applyFont="1" applyFill="1" applyBorder="1" applyAlignment="1">
      <alignment horizontal="center"/>
    </xf>
    <xf numFmtId="0" fontId="4" fillId="16" borderId="5" xfId="24" applyFont="1" applyFill="1" applyBorder="1" applyAlignment="1">
      <alignment horizontal="center" vertical="center" wrapText="1"/>
    </xf>
    <xf numFmtId="0" fontId="4" fillId="16" borderId="6" xfId="24" applyFont="1" applyFill="1" applyBorder="1" applyAlignment="1">
      <alignment horizontal="center" vertical="center" wrapText="1"/>
    </xf>
    <xf numFmtId="0" fontId="4" fillId="16" borderId="7" xfId="24" applyFont="1" applyFill="1" applyBorder="1" applyAlignment="1">
      <alignment horizontal="center" vertical="center" wrapText="1"/>
    </xf>
    <xf numFmtId="0" fontId="4" fillId="16" borderId="9" xfId="24" applyFont="1" applyFill="1" applyBorder="1" applyAlignment="1">
      <alignment horizontal="center" vertical="center" wrapText="1"/>
    </xf>
    <xf numFmtId="0" fontId="4" fillId="16" borderId="0" xfId="24" applyFont="1" applyFill="1" applyAlignment="1">
      <alignment horizontal="center" vertical="center" wrapText="1"/>
    </xf>
    <xf numFmtId="0" fontId="4" fillId="16" borderId="10" xfId="24" applyFont="1" applyFill="1" applyBorder="1" applyAlignment="1">
      <alignment horizontal="center" vertical="center" wrapText="1"/>
    </xf>
    <xf numFmtId="0" fontId="4" fillId="16" borderId="11" xfId="24" applyFont="1" applyFill="1" applyBorder="1" applyAlignment="1">
      <alignment horizontal="center" vertical="center" wrapText="1"/>
    </xf>
    <xf numFmtId="0" fontId="4" fillId="16" borderId="12" xfId="24" applyFont="1" applyFill="1" applyBorder="1" applyAlignment="1">
      <alignment horizontal="center" vertical="center" wrapText="1"/>
    </xf>
    <xf numFmtId="0" fontId="4" fillId="16" borderId="13" xfId="24" applyFont="1" applyFill="1" applyBorder="1" applyAlignment="1">
      <alignment horizontal="center" vertical="center" wrapText="1"/>
    </xf>
    <xf numFmtId="0" fontId="69" fillId="30" borderId="16" xfId="24" applyFont="1" applyFill="1" applyBorder="1" applyAlignment="1">
      <alignment horizontal="center"/>
    </xf>
    <xf numFmtId="0" fontId="69" fillId="30" borderId="15" xfId="24" applyFont="1" applyFill="1" applyBorder="1" applyAlignment="1">
      <alignment horizontal="center"/>
    </xf>
    <xf numFmtId="197" fontId="69" fillId="30" borderId="16" xfId="7" applyNumberFormat="1" applyFont="1" applyFill="1" applyBorder="1" applyAlignment="1">
      <alignment horizontal="center"/>
    </xf>
    <xf numFmtId="197" fontId="69" fillId="30" borderId="8" xfId="7" applyNumberFormat="1" applyFont="1" applyFill="1" applyBorder="1" applyAlignment="1">
      <alignment horizontal="center"/>
    </xf>
    <xf numFmtId="10" fontId="4" fillId="16" borderId="15" xfId="16" applyNumberFormat="1" applyFont="1" applyFill="1" applyBorder="1" applyAlignment="1">
      <alignment horizontal="center"/>
    </xf>
    <xf numFmtId="10" fontId="4" fillId="16" borderId="8" xfId="16" applyNumberFormat="1" applyFont="1" applyFill="1" applyBorder="1" applyAlignment="1">
      <alignment horizontal="center"/>
    </xf>
    <xf numFmtId="0" fontId="69" fillId="18" borderId="41" xfId="24" applyFont="1" applyFill="1" applyBorder="1" applyAlignment="1">
      <alignment horizontal="center"/>
    </xf>
    <xf numFmtId="0" fontId="69" fillId="18" borderId="0" xfId="24" applyFont="1" applyFill="1" applyAlignment="1">
      <alignment horizontal="center"/>
    </xf>
    <xf numFmtId="0" fontId="69" fillId="18" borderId="29" xfId="24" applyFont="1" applyFill="1" applyBorder="1" applyAlignment="1">
      <alignment horizontal="center"/>
    </xf>
    <xf numFmtId="0" fontId="1" fillId="10" borderId="0" xfId="24" applyFill="1" applyAlignment="1">
      <alignment horizontal="center" wrapText="1"/>
    </xf>
    <xf numFmtId="0" fontId="1" fillId="10" borderId="0" xfId="24" applyFill="1" applyAlignment="1">
      <alignment horizontal="center"/>
    </xf>
    <xf numFmtId="0" fontId="1" fillId="0" borderId="0" xfId="24" applyAlignment="1">
      <alignment horizontal="center"/>
    </xf>
    <xf numFmtId="0" fontId="37" fillId="19" borderId="6" xfId="24" quotePrefix="1" applyFont="1" applyFill="1" applyBorder="1" applyAlignment="1">
      <alignment horizontal="center"/>
    </xf>
    <xf numFmtId="0" fontId="37" fillId="19" borderId="7" xfId="24" quotePrefix="1" applyFont="1" applyFill="1" applyBorder="1" applyAlignment="1">
      <alignment horizontal="center"/>
    </xf>
    <xf numFmtId="0" fontId="37" fillId="19" borderId="5" xfId="24" quotePrefix="1" applyFont="1" applyFill="1" applyBorder="1" applyAlignment="1">
      <alignment horizontal="center" vertical="center"/>
    </xf>
    <xf numFmtId="0" fontId="37" fillId="19" borderId="11" xfId="24" quotePrefix="1" applyFont="1" applyFill="1" applyBorder="1" applyAlignment="1">
      <alignment horizontal="center" vertical="center"/>
    </xf>
    <xf numFmtId="0" fontId="45" fillId="10" borderId="5" xfId="24" applyFont="1" applyFill="1" applyBorder="1" applyAlignment="1">
      <alignment horizontal="center" wrapText="1"/>
    </xf>
    <xf numFmtId="0" fontId="45" fillId="10" borderId="6" xfId="24" applyFont="1" applyFill="1" applyBorder="1" applyAlignment="1">
      <alignment horizontal="center" wrapText="1"/>
    </xf>
    <xf numFmtId="0" fontId="45" fillId="10" borderId="7" xfId="24" applyFont="1" applyFill="1" applyBorder="1" applyAlignment="1">
      <alignment horizontal="center" wrapText="1"/>
    </xf>
    <xf numFmtId="0" fontId="45" fillId="10" borderId="9" xfId="24" applyFont="1" applyFill="1" applyBorder="1" applyAlignment="1">
      <alignment horizontal="center" wrapText="1"/>
    </xf>
    <xf numFmtId="0" fontId="45" fillId="10" borderId="0" xfId="24" applyFont="1" applyFill="1" applyAlignment="1">
      <alignment horizontal="center" wrapText="1"/>
    </xf>
    <xf numFmtId="0" fontId="45" fillId="10" borderId="10" xfId="24" applyFont="1" applyFill="1" applyBorder="1" applyAlignment="1">
      <alignment horizontal="center" wrapText="1"/>
    </xf>
    <xf numFmtId="0" fontId="45" fillId="10" borderId="11" xfId="24" applyFont="1" applyFill="1" applyBorder="1" applyAlignment="1">
      <alignment horizontal="center" wrapText="1"/>
    </xf>
    <xf numFmtId="0" fontId="45" fillId="10" borderId="12" xfId="24" applyFont="1" applyFill="1" applyBorder="1" applyAlignment="1">
      <alignment horizontal="center" wrapText="1"/>
    </xf>
    <xf numFmtId="0" fontId="45" fillId="10" borderId="13" xfId="24" applyFont="1" applyFill="1" applyBorder="1" applyAlignment="1">
      <alignment horizontal="center" wrapText="1"/>
    </xf>
    <xf numFmtId="0" fontId="51" fillId="10" borderId="5" xfId="24" applyFont="1" applyFill="1" applyBorder="1" applyAlignment="1">
      <alignment horizontal="center" wrapText="1"/>
    </xf>
    <xf numFmtId="0" fontId="51" fillId="10" borderId="6" xfId="24" applyFont="1" applyFill="1" applyBorder="1" applyAlignment="1">
      <alignment horizontal="center" wrapText="1"/>
    </xf>
    <xf numFmtId="0" fontId="51" fillId="10" borderId="7" xfId="24" applyFont="1" applyFill="1" applyBorder="1" applyAlignment="1">
      <alignment horizontal="center" wrapText="1"/>
    </xf>
    <xf numFmtId="0" fontId="51" fillId="10" borderId="11" xfId="24" applyFont="1" applyFill="1" applyBorder="1" applyAlignment="1">
      <alignment horizontal="center" wrapText="1"/>
    </xf>
    <xf numFmtId="0" fontId="51" fillId="10" borderId="12" xfId="24" applyFont="1" applyFill="1" applyBorder="1" applyAlignment="1">
      <alignment horizontal="center" wrapText="1"/>
    </xf>
    <xf numFmtId="0" fontId="51" fillId="10" borderId="13" xfId="24" applyFont="1" applyFill="1" applyBorder="1" applyAlignment="1">
      <alignment horizontal="center" wrapText="1"/>
    </xf>
    <xf numFmtId="0" fontId="45" fillId="10" borderId="5" xfId="24" applyFont="1" applyFill="1" applyBorder="1" applyAlignment="1">
      <alignment horizontal="center" vertical="center" wrapText="1"/>
    </xf>
    <xf numFmtId="0" fontId="45" fillId="10" borderId="6" xfId="24" applyFont="1" applyFill="1" applyBorder="1" applyAlignment="1">
      <alignment horizontal="center" vertical="center" wrapText="1"/>
    </xf>
    <xf numFmtId="0" fontId="45" fillId="10" borderId="7" xfId="24" applyFont="1" applyFill="1" applyBorder="1" applyAlignment="1">
      <alignment horizontal="center" vertical="center" wrapText="1"/>
    </xf>
    <xf numFmtId="0" fontId="45" fillId="10" borderId="9" xfId="24" applyFont="1" applyFill="1" applyBorder="1" applyAlignment="1">
      <alignment horizontal="center" vertical="center" wrapText="1"/>
    </xf>
    <xf numFmtId="0" fontId="45" fillId="10" borderId="0" xfId="24" applyFont="1" applyFill="1" applyAlignment="1">
      <alignment horizontal="center" vertical="center" wrapText="1"/>
    </xf>
    <xf numFmtId="0" fontId="45" fillId="10" borderId="10" xfId="24" applyFont="1" applyFill="1" applyBorder="1" applyAlignment="1">
      <alignment horizontal="center" vertical="center" wrapText="1"/>
    </xf>
    <xf numFmtId="0" fontId="45" fillId="10" borderId="11" xfId="24" applyFont="1" applyFill="1" applyBorder="1" applyAlignment="1">
      <alignment horizontal="center" vertical="center" wrapText="1"/>
    </xf>
    <xf numFmtId="0" fontId="45" fillId="10" borderId="12" xfId="24" applyFont="1" applyFill="1" applyBorder="1" applyAlignment="1">
      <alignment horizontal="center" vertical="center" wrapText="1"/>
    </xf>
    <xf numFmtId="0" fontId="45" fillId="10" borderId="13" xfId="24" applyFont="1" applyFill="1" applyBorder="1" applyAlignment="1">
      <alignment horizontal="center" vertical="center" wrapText="1"/>
    </xf>
    <xf numFmtId="0" fontId="67" fillId="0" borderId="66" xfId="24" applyFont="1" applyBorder="1" applyAlignment="1">
      <alignment horizontal="center"/>
    </xf>
    <xf numFmtId="0" fontId="4" fillId="26" borderId="0" xfId="25" applyFont="1" applyFill="1" applyBorder="1" applyAlignment="1">
      <alignment horizontal="center"/>
    </xf>
  </cellXfs>
  <cellStyles count="32">
    <cellStyle name="Comma" xfId="1" builtinId="3"/>
    <cellStyle name="Comma 2" xfId="2" xr:uid="{00000000-0005-0000-0000-000001000000}"/>
    <cellStyle name="Comma 20" xfId="3" xr:uid="{00000000-0005-0000-0000-000002000000}"/>
    <cellStyle name="Comma 20 2" xfId="4" xr:uid="{00000000-0005-0000-0000-000003000000}"/>
    <cellStyle name="Comma 21" xfId="5" xr:uid="{00000000-0005-0000-0000-000004000000}"/>
    <cellStyle name="Comma 3" xfId="6" xr:uid="{00000000-0005-0000-0000-000005000000}"/>
    <cellStyle name="Currency" xfId="7" builtinId="4"/>
    <cellStyle name="Currency 2" xfId="8" xr:uid="{00000000-0005-0000-0000-000007000000}"/>
    <cellStyle name="Currency 20" xfId="9" xr:uid="{00000000-0005-0000-0000-000008000000}"/>
    <cellStyle name="Currency 20 2" xfId="10" xr:uid="{00000000-0005-0000-0000-000009000000}"/>
    <cellStyle name="Currency 21" xfId="11" xr:uid="{00000000-0005-0000-0000-00000A000000}"/>
    <cellStyle name="Currency 3" xfId="12" xr:uid="{00000000-0005-0000-0000-00000B000000}"/>
    <cellStyle name="fa_column_header_top_centered" xfId="25" xr:uid="{17D5F263-A599-46B3-96FC-FD8A1D2DC9C5}"/>
    <cellStyle name="fa_data_bold_1_grouped_single_border" xfId="27" xr:uid="{C5ECF697-AEBA-4866-85CF-18D81C0180C7}"/>
    <cellStyle name="fa_data_standard_1_grouped_single_border" xfId="29" xr:uid="{FDD5C1D2-639F-4A7C-9B44-74FDAFC8741B}"/>
    <cellStyle name="fa_row_header_bold" xfId="26" xr:uid="{AC7B9FCD-BA65-45B8-A60C-2675468D6102}"/>
    <cellStyle name="fa_row_header_standard" xfId="28" xr:uid="{E9DDDCB8-5A14-4B23-8443-F23A298C2D8B}"/>
    <cellStyle name="Hyperlink 20" xfId="13" xr:uid="{00000000-0005-0000-0000-00000C000000}"/>
    <cellStyle name="Normal" xfId="0" builtinId="0"/>
    <cellStyle name="Normal 16" xfId="14" xr:uid="{00000000-0005-0000-0000-00000E000000}"/>
    <cellStyle name="Normal 17" xfId="15" xr:uid="{00000000-0005-0000-0000-00000F000000}"/>
    <cellStyle name="Normal 2" xfId="24" xr:uid="{05F8A054-75E0-4E74-A64D-5D8C7FA5EA97}"/>
    <cellStyle name="Normal 2 2 2" xfId="31" xr:uid="{F4E8116C-308A-4146-8AD3-7C5EF68669AA}"/>
    <cellStyle name="Percent" xfId="16" builtinId="5"/>
    <cellStyle name="Percent 2" xfId="17" xr:uid="{00000000-0005-0000-0000-000011000000}"/>
    <cellStyle name="Percent 2 2" xfId="18" xr:uid="{00000000-0005-0000-0000-000012000000}"/>
    <cellStyle name="Percent 2 3" xfId="30" xr:uid="{6C8BD1A6-684B-400C-81B0-FF5A94B6AF80}"/>
    <cellStyle name="Percent 20" xfId="19" xr:uid="{00000000-0005-0000-0000-000013000000}"/>
    <cellStyle name="Percent 20 2" xfId="20" xr:uid="{00000000-0005-0000-0000-000014000000}"/>
    <cellStyle name="Percent 21" xfId="21" xr:uid="{00000000-0005-0000-0000-000015000000}"/>
    <cellStyle name="Percent 3" xfId="22" xr:uid="{00000000-0005-0000-0000-000016000000}"/>
    <cellStyle name="Percent 4" xfId="23" xr:uid="{00000000-0005-0000-0000-000017000000}"/>
  </cellStyles>
  <dxfs count="0"/>
  <tableStyles count="0" defaultTableStyle="TableStyleMedium9" defaultPivotStyle="PivotStyleLight16"/>
  <colors>
    <mruColors>
      <color rgb="FFCCFFCC"/>
      <color rgb="FF66FF66"/>
      <color rgb="FF00FF00"/>
      <color rgb="FF99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Historial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fr-FR"/>
        </a:p>
      </c:txPr>
    </c:title>
    <c:autoTitleDeleted val="0"/>
    <c:plotArea>
      <c:layout/>
      <c:barChart>
        <c:barDir val="col"/>
        <c:grouping val="clustered"/>
        <c:varyColors val="0"/>
        <c:ser>
          <c:idx val="1"/>
          <c:order val="0"/>
          <c:tx>
            <c:strRef>
              <c:f>'Table &amp; Charts 1'!$B$9</c:f>
              <c:strCache>
                <c:ptCount val="1"/>
                <c:pt idx="0">
                  <c:v>Americas:</c:v>
                </c:pt>
              </c:strCache>
            </c:strRef>
          </c:tx>
          <c:spPr>
            <a:solidFill>
              <a:srgbClr val="7030A0"/>
            </a:solidFill>
            <a:ln>
              <a:noFill/>
            </a:ln>
            <a:effectLst/>
          </c:spPr>
          <c:invertIfNegative val="0"/>
          <c:cat>
            <c:strRef>
              <c:f>'Table &amp; Charts 1'!$C$7:$E$7</c:f>
              <c:strCache>
                <c:ptCount val="3"/>
                <c:pt idx="0">
                  <c:v> 2021 </c:v>
                </c:pt>
                <c:pt idx="1">
                  <c:v> 2022 </c:v>
                </c:pt>
                <c:pt idx="2">
                  <c:v> 2023 </c:v>
                </c:pt>
              </c:strCache>
            </c:strRef>
          </c:cat>
          <c:val>
            <c:numRef>
              <c:f>'Table &amp; Charts 1'!$C$9:$E$9</c:f>
              <c:numCache>
                <c:formatCode>[$$-409]#\ ##0.00</c:formatCode>
                <c:ptCount val="3"/>
                <c:pt idx="0">
                  <c:v>1358.8</c:v>
                </c:pt>
                <c:pt idx="1">
                  <c:v>1785</c:v>
                </c:pt>
                <c:pt idx="2">
                  <c:v>2175.1999999999998</c:v>
                </c:pt>
              </c:numCache>
            </c:numRef>
          </c:val>
          <c:extLst>
            <c:ext xmlns:c16="http://schemas.microsoft.com/office/drawing/2014/chart" uri="{C3380CC4-5D6E-409C-BE32-E72D297353CC}">
              <c16:uniqueId val="{00000000-D22D-46A0-9DFB-FFB8084F44B9}"/>
            </c:ext>
          </c:extLst>
        </c:ser>
        <c:ser>
          <c:idx val="2"/>
          <c:order val="1"/>
          <c:tx>
            <c:strRef>
              <c:f>'Table &amp; Charts 1'!$B$10</c:f>
              <c:strCache>
                <c:ptCount val="1"/>
                <c:pt idx="0">
                  <c:v>Europe, Middle East and Africa</c:v>
                </c:pt>
              </c:strCache>
            </c:strRef>
          </c:tx>
          <c:spPr>
            <a:solidFill>
              <a:srgbClr val="A6E9E4"/>
            </a:solidFill>
            <a:ln>
              <a:noFill/>
            </a:ln>
            <a:effectLst/>
          </c:spPr>
          <c:invertIfNegative val="0"/>
          <c:cat>
            <c:strRef>
              <c:f>'Table &amp; Charts 1'!$C$7:$E$7</c:f>
              <c:strCache>
                <c:ptCount val="3"/>
                <c:pt idx="0">
                  <c:v> 2021 </c:v>
                </c:pt>
                <c:pt idx="1">
                  <c:v> 2022 </c:v>
                </c:pt>
                <c:pt idx="2">
                  <c:v> 2023 </c:v>
                </c:pt>
              </c:strCache>
            </c:strRef>
          </c:cat>
          <c:val>
            <c:numRef>
              <c:f>'Table &amp; Charts 1'!$C$10:$E$10</c:f>
              <c:numCache>
                <c:formatCode>[$$-409]#\ ##0.00</c:formatCode>
                <c:ptCount val="3"/>
                <c:pt idx="0">
                  <c:v>1275.9000000000001</c:v>
                </c:pt>
                <c:pt idx="1">
                  <c:v>1691</c:v>
                </c:pt>
                <c:pt idx="2">
                  <c:v>2072.9</c:v>
                </c:pt>
              </c:numCache>
            </c:numRef>
          </c:val>
          <c:extLst>
            <c:ext xmlns:c16="http://schemas.microsoft.com/office/drawing/2014/chart" uri="{C3380CC4-5D6E-409C-BE32-E72D297353CC}">
              <c16:uniqueId val="{00000001-D22D-46A0-9DFB-FFB8084F44B9}"/>
            </c:ext>
          </c:extLst>
        </c:ser>
        <c:ser>
          <c:idx val="3"/>
          <c:order val="2"/>
          <c:tx>
            <c:strRef>
              <c:f>'Table &amp; Charts 1'!$B$11</c:f>
              <c:strCache>
                <c:ptCount val="1"/>
                <c:pt idx="0">
                  <c:v>Asia Pacific</c:v>
                </c:pt>
              </c:strCache>
            </c:strRef>
          </c:tx>
          <c:spPr>
            <a:solidFill>
              <a:schemeClr val="accent6">
                <a:lumMod val="75000"/>
              </a:schemeClr>
            </a:solidFill>
            <a:ln>
              <a:noFill/>
            </a:ln>
            <a:effectLst/>
          </c:spPr>
          <c:invertIfNegative val="0"/>
          <c:cat>
            <c:strRef>
              <c:f>'Table &amp; Charts 1'!$C$7:$E$7</c:f>
              <c:strCache>
                <c:ptCount val="3"/>
                <c:pt idx="0">
                  <c:v> 2021 </c:v>
                </c:pt>
                <c:pt idx="1">
                  <c:v> 2022 </c:v>
                </c:pt>
                <c:pt idx="2">
                  <c:v> 2023 </c:v>
                </c:pt>
              </c:strCache>
            </c:strRef>
          </c:cat>
          <c:val>
            <c:numRef>
              <c:f>'Table &amp; Charts 1'!$C$11:$E$11</c:f>
              <c:numCache>
                <c:formatCode>[$$-409]#\ ##0.00</c:formatCode>
                <c:ptCount val="3"/>
                <c:pt idx="0">
                  <c:v>707.5</c:v>
                </c:pt>
                <c:pt idx="1">
                  <c:v>940.6</c:v>
                </c:pt>
                <c:pt idx="2">
                  <c:v>1056.7</c:v>
                </c:pt>
              </c:numCache>
            </c:numRef>
          </c:val>
          <c:extLst>
            <c:ext xmlns:c16="http://schemas.microsoft.com/office/drawing/2014/chart" uri="{C3380CC4-5D6E-409C-BE32-E72D297353CC}">
              <c16:uniqueId val="{00000002-D22D-46A0-9DFB-FFB8084F44B9}"/>
            </c:ext>
          </c:extLst>
        </c:ser>
        <c:dLbls>
          <c:showLegendKey val="0"/>
          <c:showVal val="0"/>
          <c:showCatName val="0"/>
          <c:showSerName val="0"/>
          <c:showPercent val="0"/>
          <c:showBubbleSize val="0"/>
        </c:dLbls>
        <c:gapWidth val="219"/>
        <c:overlap val="-27"/>
        <c:axId val="57047263"/>
        <c:axId val="922366400"/>
        <c:extLst>
          <c:ext xmlns:c15="http://schemas.microsoft.com/office/drawing/2012/chart" uri="{02D57815-91ED-43cb-92C2-25804820EDAC}">
            <c15:filteredBarSeries>
              <c15:ser>
                <c:idx val="4"/>
                <c:order val="3"/>
                <c:tx>
                  <c:strRef>
                    <c:extLst>
                      <c:ext uri="{02D57815-91ED-43cb-92C2-25804820EDAC}">
                        <c15:formulaRef>
                          <c15:sqref>'Table &amp; Charts 1'!#REF!</c15:sqref>
                        </c15:formulaRef>
                      </c:ext>
                    </c:extLst>
                    <c:strCache>
                      <c:ptCount val="1"/>
                      <c:pt idx="0">
                        <c:v>#REF!</c:v>
                      </c:pt>
                    </c:strCache>
                  </c:strRef>
                </c:tx>
                <c:spPr>
                  <a:solidFill>
                    <a:schemeClr val="accent3"/>
                  </a:solidFill>
                  <a:ln>
                    <a:noFill/>
                  </a:ln>
                  <a:effectLst/>
                </c:spPr>
                <c:invertIfNegative val="0"/>
                <c:cat>
                  <c:strRef>
                    <c:extLst>
                      <c:ext uri="{02D57815-91ED-43cb-92C2-25804820EDAC}">
                        <c15:formulaRef>
                          <c15:sqref>'Table &amp; Charts 1'!$C$7:$E$7</c15:sqref>
                        </c15:formulaRef>
                      </c:ext>
                    </c:extLst>
                    <c:strCache>
                      <c:ptCount val="3"/>
                      <c:pt idx="0">
                        <c:v> 2021 </c:v>
                      </c:pt>
                      <c:pt idx="1">
                        <c:v> 2022 </c:v>
                      </c:pt>
                      <c:pt idx="2">
                        <c:v> 2023 </c:v>
                      </c:pt>
                    </c:strCache>
                  </c:strRef>
                </c:cat>
                <c:val>
                  <c:numRef>
                    <c:extLst>
                      <c:ext uri="{02D57815-91ED-43cb-92C2-25804820EDAC}">
                        <c15:formulaRef>
                          <c15:sqref>'Table &amp; Charts 1'!#REF!</c15:sqref>
                        </c15:formulaRef>
                      </c:ext>
                    </c:extLst>
                    <c:numCache>
                      <c:formatCode>General</c:formatCode>
                      <c:ptCount val="1"/>
                      <c:pt idx="0">
                        <c:v>1</c:v>
                      </c:pt>
                    </c:numCache>
                  </c:numRef>
                </c:val>
                <c:extLst>
                  <c:ext xmlns:c16="http://schemas.microsoft.com/office/drawing/2014/chart" uri="{C3380CC4-5D6E-409C-BE32-E72D297353CC}">
                    <c16:uniqueId val="{00000003-D22D-46A0-9DFB-FFB8084F44B9}"/>
                  </c:ext>
                </c:extLst>
              </c15:ser>
            </c15:filteredBarSeries>
          </c:ext>
        </c:extLst>
      </c:barChart>
      <c:catAx>
        <c:axId val="5704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22366400"/>
        <c:crosses val="autoZero"/>
        <c:auto val="1"/>
        <c:lblAlgn val="ctr"/>
        <c:lblOffset val="100"/>
        <c:noMultiLvlLbl val="0"/>
      </c:catAx>
      <c:valAx>
        <c:axId val="922366400"/>
        <c:scaling>
          <c:orientation val="minMax"/>
        </c:scaling>
        <c:delete val="0"/>
        <c:axPos val="l"/>
        <c:majorGridlines>
          <c:spPr>
            <a:ln w="9525" cap="flat" cmpd="sng" algn="ctr">
              <a:solidFill>
                <a:schemeClr val="tx1">
                  <a:lumMod val="15000"/>
                  <a:lumOff val="85000"/>
                </a:schemeClr>
              </a:solidFill>
              <a:round/>
            </a:ln>
            <a:effectLst/>
          </c:spPr>
        </c:majorGridlines>
        <c:numFmt formatCode="[$$-4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047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a:t>
            </a:r>
            <a:r>
              <a:rPr lang="en-US" baseline="0"/>
              <a:t> Coverage Ratio compared to long term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[3]Forecasts!$A$198</c:f>
              <c:strCache>
                <c:ptCount val="1"/>
                <c:pt idx="0">
                  <c:v>Long-term debt </c:v>
                </c:pt>
              </c:strCache>
            </c:strRef>
          </c:tx>
          <c:spPr>
            <a:solidFill>
              <a:schemeClr val="accent5">
                <a:shade val="65000"/>
              </a:schemeClr>
            </a:solidFill>
            <a:ln>
              <a:noFill/>
            </a:ln>
            <a:effectLst/>
          </c:spPr>
          <c:invertIfNegative val="0"/>
          <c:cat>
            <c:strRef>
              <c:f>[3]Forecasts!$B$277:$J$277</c:f>
              <c:strCache>
                <c:ptCount val="9"/>
                <c:pt idx="1">
                  <c:v>2019</c:v>
                </c:pt>
                <c:pt idx="2">
                  <c:v>2020</c:v>
                </c:pt>
                <c:pt idx="3">
                  <c:v>2021E</c:v>
                </c:pt>
                <c:pt idx="4">
                  <c:v>2022E</c:v>
                </c:pt>
                <c:pt idx="5">
                  <c:v>2023E</c:v>
                </c:pt>
                <c:pt idx="6">
                  <c:v>2024E</c:v>
                </c:pt>
                <c:pt idx="7">
                  <c:v>2025E</c:v>
                </c:pt>
                <c:pt idx="8">
                  <c:v>2026E</c:v>
                </c:pt>
              </c:strCache>
            </c:strRef>
          </c:cat>
          <c:val>
            <c:numRef>
              <c:f>[3]Forecasts!$B$198:$I$198</c:f>
              <c:numCache>
                <c:formatCode>General</c:formatCode>
                <c:ptCount val="8"/>
                <c:pt idx="0">
                  <c:v>3171.6</c:v>
                </c:pt>
                <c:pt idx="1">
                  <c:v>6720.8</c:v>
                </c:pt>
                <c:pt idx="2">
                  <c:v>7361.1</c:v>
                </c:pt>
                <c:pt idx="3">
                  <c:v>6624.9900000000007</c:v>
                </c:pt>
                <c:pt idx="4">
                  <c:v>6028.7409000000007</c:v>
                </c:pt>
                <c:pt idx="5">
                  <c:v>5486.1542190000009</c:v>
                </c:pt>
                <c:pt idx="6">
                  <c:v>4992.4003392900013</c:v>
                </c:pt>
                <c:pt idx="7">
                  <c:v>4543.0843087539015</c:v>
                </c:pt>
              </c:numCache>
            </c:numRef>
          </c:val>
          <c:extLst>
            <c:ext xmlns:c16="http://schemas.microsoft.com/office/drawing/2014/chart" uri="{C3380CC4-5D6E-409C-BE32-E72D297353CC}">
              <c16:uniqueId val="{00000000-2CC4-4B84-B487-22951F2F2977}"/>
            </c:ext>
          </c:extLst>
        </c:ser>
        <c:dLbls>
          <c:showLegendKey val="0"/>
          <c:showVal val="0"/>
          <c:showCatName val="0"/>
          <c:showSerName val="0"/>
          <c:showPercent val="0"/>
          <c:showBubbleSize val="0"/>
        </c:dLbls>
        <c:gapWidth val="150"/>
        <c:axId val="674696896"/>
        <c:axId val="674697288"/>
      </c:barChart>
      <c:lineChart>
        <c:grouping val="standard"/>
        <c:varyColors val="0"/>
        <c:ser>
          <c:idx val="2"/>
          <c:order val="1"/>
          <c:tx>
            <c:strRef>
              <c:f>[3]Forecasts!$A$369</c:f>
              <c:strCache>
                <c:ptCount val="1"/>
                <c:pt idx="0">
                  <c:v>Interest Coverage Ratio</c:v>
                </c:pt>
              </c:strCache>
            </c:strRef>
          </c:tx>
          <c:spPr>
            <a:ln w="28575" cap="rnd">
              <a:solidFill>
                <a:schemeClr val="accent5">
                  <a:tint val="6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[3]Forecasts!$B$369:$I$369</c:f>
              <c:numCache>
                <c:formatCode>General</c:formatCode>
                <c:ptCount val="8"/>
                <c:pt idx="0">
                  <c:v>17.95176073323686</c:v>
                </c:pt>
                <c:pt idx="1">
                  <c:v>14.894345718901457</c:v>
                </c:pt>
                <c:pt idx="2">
                  <c:v>9.6523266022827059</c:v>
                </c:pt>
                <c:pt idx="3">
                  <c:v>60.672448738550123</c:v>
                </c:pt>
                <c:pt idx="4">
                  <c:v>79.994041736547061</c:v>
                </c:pt>
                <c:pt idx="5">
                  <c:v>97.219886609306798</c:v>
                </c:pt>
                <c:pt idx="6">
                  <c:v>118.08349109743331</c:v>
                </c:pt>
                <c:pt idx="7">
                  <c:v>143.32856016894388</c:v>
                </c:pt>
              </c:numCache>
            </c:numRef>
          </c:val>
          <c:smooth val="0"/>
          <c:extLst>
            <c:ext xmlns:c16="http://schemas.microsoft.com/office/drawing/2014/chart" uri="{C3380CC4-5D6E-409C-BE32-E72D297353CC}">
              <c16:uniqueId val="{00000001-2CC4-4B84-B487-22951F2F2977}"/>
            </c:ext>
          </c:extLst>
        </c:ser>
        <c:dLbls>
          <c:showLegendKey val="0"/>
          <c:showVal val="0"/>
          <c:showCatName val="0"/>
          <c:showSerName val="0"/>
          <c:showPercent val="0"/>
          <c:showBubbleSize val="0"/>
        </c:dLbls>
        <c:marker val="1"/>
        <c:smooth val="0"/>
        <c:axId val="674698072"/>
        <c:axId val="674697680"/>
      </c:lineChart>
      <c:catAx>
        <c:axId val="67469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4697288"/>
        <c:crosses val="autoZero"/>
        <c:auto val="1"/>
        <c:lblAlgn val="ctr"/>
        <c:lblOffset val="100"/>
        <c:noMultiLvlLbl val="0"/>
      </c:catAx>
      <c:valAx>
        <c:axId val="67469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4696896"/>
        <c:crosses val="autoZero"/>
        <c:crossBetween val="between"/>
      </c:valAx>
      <c:valAx>
        <c:axId val="6746976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4698072"/>
        <c:crosses val="max"/>
        <c:crossBetween val="between"/>
      </c:valAx>
      <c:catAx>
        <c:axId val="674698072"/>
        <c:scaling>
          <c:orientation val="minMax"/>
        </c:scaling>
        <c:delete val="1"/>
        <c:axPos val="b"/>
        <c:majorTickMark val="out"/>
        <c:minorTickMark val="none"/>
        <c:tickLblPos val="nextTo"/>
        <c:crossAx val="6746976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Charts!$A$149</c:f>
              <c:strCache>
                <c:ptCount val="1"/>
                <c:pt idx="0">
                  <c:v>Net CAPEX</c:v>
                </c:pt>
              </c:strCache>
            </c:strRef>
          </c:tx>
          <c:spPr>
            <a:solidFill>
              <a:schemeClr val="accent5">
                <a:shade val="58000"/>
              </a:schemeClr>
            </a:solidFill>
            <a:ln>
              <a:noFill/>
            </a:ln>
            <a:effectLst/>
          </c:spPr>
          <c:invertIfNegative val="0"/>
          <c:cat>
            <c:strRef>
              <c:f>Charts!$C$147:$I$147</c:f>
              <c:strCache>
                <c:ptCount val="5"/>
                <c:pt idx="0">
                  <c:v>FY 2025E</c:v>
                </c:pt>
                <c:pt idx="1">
                  <c:v>FY 2026E</c:v>
                </c:pt>
                <c:pt idx="2">
                  <c:v>FY 2027E</c:v>
                </c:pt>
                <c:pt idx="3">
                  <c:v>FY 2028E</c:v>
                </c:pt>
                <c:pt idx="4">
                  <c:v>FY 2029E</c:v>
                </c:pt>
              </c:strCache>
            </c:strRef>
          </c:cat>
          <c:val>
            <c:numRef>
              <c:f>Charts!$B$149:$I$149</c:f>
              <c:numCache>
                <c:formatCode>0</c:formatCode>
                <c:ptCount val="5"/>
                <c:pt idx="0">
                  <c:v>1063</c:v>
                </c:pt>
                <c:pt idx="1">
                  <c:v>1216</c:v>
                </c:pt>
                <c:pt idx="2">
                  <c:v>1270</c:v>
                </c:pt>
                <c:pt idx="3">
                  <c:v>1390</c:v>
                </c:pt>
                <c:pt idx="4">
                  <c:v>1525</c:v>
                </c:pt>
              </c:numCache>
            </c:numRef>
          </c:val>
          <c:extLst>
            <c:ext xmlns:c16="http://schemas.microsoft.com/office/drawing/2014/chart" uri="{C3380CC4-5D6E-409C-BE32-E72D297353CC}">
              <c16:uniqueId val="{00000000-17AF-4D7F-88A0-C2306DC7FF13}"/>
            </c:ext>
          </c:extLst>
        </c:ser>
        <c:ser>
          <c:idx val="1"/>
          <c:order val="1"/>
          <c:tx>
            <c:strRef>
              <c:f>Charts!$A$150</c:f>
              <c:strCache>
                <c:ptCount val="1"/>
                <c:pt idx="0">
                  <c:v>PP&amp;E - net</c:v>
                </c:pt>
              </c:strCache>
            </c:strRef>
          </c:tx>
          <c:spPr>
            <a:solidFill>
              <a:schemeClr val="accent5">
                <a:shade val="86000"/>
              </a:schemeClr>
            </a:solidFill>
            <a:ln>
              <a:noFill/>
            </a:ln>
            <a:effectLst/>
          </c:spPr>
          <c:invertIfNegative val="0"/>
          <c:cat>
            <c:strRef>
              <c:f>Charts!$C$147:$I$147</c:f>
              <c:strCache>
                <c:ptCount val="5"/>
                <c:pt idx="0">
                  <c:v>FY 2025E</c:v>
                </c:pt>
                <c:pt idx="1">
                  <c:v>FY 2026E</c:v>
                </c:pt>
                <c:pt idx="2">
                  <c:v>FY 2027E</c:v>
                </c:pt>
                <c:pt idx="3">
                  <c:v>FY 2028E</c:v>
                </c:pt>
                <c:pt idx="4">
                  <c:v>FY 2029E</c:v>
                </c:pt>
              </c:strCache>
            </c:strRef>
          </c:cat>
          <c:val>
            <c:numRef>
              <c:f>Charts!$B$150:$I$150</c:f>
              <c:numCache>
                <c:formatCode>0</c:formatCode>
                <c:ptCount val="5"/>
                <c:pt idx="0">
                  <c:v>2670.2</c:v>
                </c:pt>
                <c:pt idx="1">
                  <c:v>3733.2</c:v>
                </c:pt>
                <c:pt idx="2">
                  <c:v>4949.2</c:v>
                </c:pt>
                <c:pt idx="3">
                  <c:v>6219.2</c:v>
                </c:pt>
                <c:pt idx="4">
                  <c:v>7609.2000000000007</c:v>
                </c:pt>
              </c:numCache>
            </c:numRef>
          </c:val>
          <c:extLst>
            <c:ext xmlns:c16="http://schemas.microsoft.com/office/drawing/2014/chart" uri="{C3380CC4-5D6E-409C-BE32-E72D297353CC}">
              <c16:uniqueId val="{00000001-17AF-4D7F-88A0-C2306DC7FF13}"/>
            </c:ext>
          </c:extLst>
        </c:ser>
        <c:dLbls>
          <c:showLegendKey val="0"/>
          <c:showVal val="0"/>
          <c:showCatName val="0"/>
          <c:showSerName val="0"/>
          <c:showPercent val="0"/>
          <c:showBubbleSize val="0"/>
        </c:dLbls>
        <c:gapWidth val="150"/>
        <c:axId val="670741576"/>
        <c:axId val="674698856"/>
      </c:barChart>
      <c:lineChart>
        <c:grouping val="standard"/>
        <c:varyColors val="0"/>
        <c:ser>
          <c:idx val="2"/>
          <c:order val="2"/>
          <c:tx>
            <c:strRef>
              <c:f>Charts!$A$151</c:f>
              <c:strCache>
                <c:ptCount val="1"/>
                <c:pt idx="0">
                  <c:v>Cost of Sales and Occupancy Costs: </c:v>
                </c:pt>
              </c:strCache>
            </c:strRef>
          </c:tx>
          <c:spPr>
            <a:ln w="28575" cap="rnd">
              <a:solidFill>
                <a:schemeClr val="accent5">
                  <a:tint val="86000"/>
                </a:schemeClr>
              </a:solidFill>
              <a:round/>
            </a:ln>
            <a:effectLst/>
          </c:spPr>
          <c:marker>
            <c:symbol val="none"/>
          </c:marker>
          <c:cat>
            <c:strRef>
              <c:f>Charts!$C$147:$I$147</c:f>
              <c:strCache>
                <c:ptCount val="5"/>
                <c:pt idx="0">
                  <c:v>FY 2025E</c:v>
                </c:pt>
                <c:pt idx="1">
                  <c:v>FY 2026E</c:v>
                </c:pt>
                <c:pt idx="2">
                  <c:v>FY 2027E</c:v>
                </c:pt>
                <c:pt idx="3">
                  <c:v>FY 2028E</c:v>
                </c:pt>
                <c:pt idx="4">
                  <c:v>FY 2029E</c:v>
                </c:pt>
              </c:strCache>
            </c:strRef>
          </c:cat>
          <c:val>
            <c:numRef>
              <c:f>Charts!$B$151:$I$151</c:f>
              <c:numCache>
                <c:formatCode>0</c:formatCode>
                <c:ptCount val="5"/>
                <c:pt idx="0">
                  <c:v>4186.2215200000001</c:v>
                </c:pt>
                <c:pt idx="1">
                  <c:v>4880.3923068000004</c:v>
                </c:pt>
                <c:pt idx="2">
                  <c:v>5258.7203739999995</c:v>
                </c:pt>
                <c:pt idx="3">
                  <c:v>5664.1930116520007</c:v>
                </c:pt>
                <c:pt idx="4">
                  <c:v>6098.4765621311999</c:v>
                </c:pt>
              </c:numCache>
            </c:numRef>
          </c:val>
          <c:smooth val="0"/>
          <c:extLst>
            <c:ext xmlns:c16="http://schemas.microsoft.com/office/drawing/2014/chart" uri="{C3380CC4-5D6E-409C-BE32-E72D297353CC}">
              <c16:uniqueId val="{00000002-17AF-4D7F-88A0-C2306DC7FF13}"/>
            </c:ext>
          </c:extLst>
        </c:ser>
        <c:ser>
          <c:idx val="3"/>
          <c:order val="3"/>
          <c:tx>
            <c:strRef>
              <c:f>Charts!$A$148</c:f>
              <c:strCache>
                <c:ptCount val="1"/>
                <c:pt idx="0">
                  <c:v>Total Net Revenues</c:v>
                </c:pt>
              </c:strCache>
            </c:strRef>
          </c:tx>
          <c:spPr>
            <a:ln w="28575" cap="rnd">
              <a:solidFill>
                <a:schemeClr val="accent5">
                  <a:tint val="58000"/>
                </a:schemeClr>
              </a:solidFill>
              <a:round/>
            </a:ln>
            <a:effectLst/>
          </c:spPr>
          <c:marker>
            <c:symbol val="none"/>
          </c:marker>
          <c:val>
            <c:numRef>
              <c:f>Charts!$B$148:$I$148</c:f>
              <c:numCache>
                <c:formatCode>0</c:formatCode>
                <c:ptCount val="5"/>
                <c:pt idx="0">
                  <c:v>16100.851999999999</c:v>
                </c:pt>
                <c:pt idx="1">
                  <c:v>19138.79336</c:v>
                </c:pt>
                <c:pt idx="2">
                  <c:v>21034.881495999998</c:v>
                </c:pt>
                <c:pt idx="3">
                  <c:v>23119.155149600003</c:v>
                </c:pt>
                <c:pt idx="4">
                  <c:v>25410.31900888</c:v>
                </c:pt>
              </c:numCache>
            </c:numRef>
          </c:val>
          <c:smooth val="0"/>
          <c:extLst>
            <c:ext xmlns:c16="http://schemas.microsoft.com/office/drawing/2014/chart" uri="{C3380CC4-5D6E-409C-BE32-E72D297353CC}">
              <c16:uniqueId val="{00000003-17AF-4D7F-88A0-C2306DC7FF13}"/>
            </c:ext>
          </c:extLst>
        </c:ser>
        <c:dLbls>
          <c:showLegendKey val="0"/>
          <c:showVal val="0"/>
          <c:showCatName val="0"/>
          <c:showSerName val="0"/>
          <c:showPercent val="0"/>
          <c:showBubbleSize val="0"/>
        </c:dLbls>
        <c:marker val="1"/>
        <c:smooth val="0"/>
        <c:axId val="670741576"/>
        <c:axId val="674698856"/>
      </c:lineChart>
      <c:catAx>
        <c:axId val="67074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4698856"/>
        <c:crosses val="autoZero"/>
        <c:auto val="1"/>
        <c:lblAlgn val="ctr"/>
        <c:lblOffset val="100"/>
        <c:noMultiLvlLbl val="0"/>
      </c:catAx>
      <c:valAx>
        <c:axId val="674698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0741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Charts!$E$10:$E$16</c:f>
              <c:numCache>
                <c:formatCode>General</c:formatCode>
                <c:ptCount val="7"/>
                <c:pt idx="0">
                  <c:v>4256</c:v>
                </c:pt>
                <c:pt idx="1">
                  <c:v>3342</c:v>
                </c:pt>
                <c:pt idx="2">
                  <c:v>2550</c:v>
                </c:pt>
                <c:pt idx="3">
                  <c:v>2065</c:v>
                </c:pt>
                <c:pt idx="4">
                  <c:v>874.44</c:v>
                </c:pt>
                <c:pt idx="5">
                  <c:v>835</c:v>
                </c:pt>
                <c:pt idx="6">
                  <c:v>673.1</c:v>
                </c:pt>
              </c:numCache>
            </c:numRef>
          </c:val>
          <c:extLst>
            <c:ext xmlns:c16="http://schemas.microsoft.com/office/drawing/2014/chart" uri="{C3380CC4-5D6E-409C-BE32-E72D297353CC}">
              <c16:uniqueId val="{00000000-0648-465D-8673-B63BF55CA424}"/>
            </c:ext>
          </c:extLst>
        </c:ser>
        <c:ser>
          <c:idx val="1"/>
          <c:order val="1"/>
          <c:spPr>
            <a:solidFill>
              <a:schemeClr val="accent2"/>
            </a:solidFill>
            <a:ln>
              <a:noFill/>
            </a:ln>
            <a:effectLst/>
          </c:spPr>
          <c:invertIfNegative val="0"/>
          <c:val>
            <c:numRef>
              <c:f>Charts!$G$10:$G$16</c:f>
              <c:numCache>
                <c:formatCode>General</c:formatCode>
                <c:ptCount val="7"/>
                <c:pt idx="0" formatCode="#\ ##0.0">
                  <c:v>5502</c:v>
                </c:pt>
                <c:pt idx="1">
                  <c:v>4417.3999999999996</c:v>
                </c:pt>
                <c:pt idx="2">
                  <c:v>2796</c:v>
                </c:pt>
                <c:pt idx="3">
                  <c:v>2167</c:v>
                </c:pt>
                <c:pt idx="4">
                  <c:v>1452</c:v>
                </c:pt>
                <c:pt idx="5">
                  <c:v>1300</c:v>
                </c:pt>
                <c:pt idx="6">
                  <c:v>1091</c:v>
                </c:pt>
              </c:numCache>
            </c:numRef>
          </c:val>
          <c:extLst>
            <c:ext xmlns:c16="http://schemas.microsoft.com/office/drawing/2014/chart" uri="{C3380CC4-5D6E-409C-BE32-E72D297353CC}">
              <c16:uniqueId val="{00000001-0648-465D-8673-B63BF55CA424}"/>
            </c:ext>
          </c:extLst>
        </c:ser>
        <c:ser>
          <c:idx val="2"/>
          <c:order val="2"/>
          <c:spPr>
            <a:solidFill>
              <a:schemeClr val="accent3"/>
            </a:solidFill>
            <a:ln>
              <a:noFill/>
            </a:ln>
            <a:effectLst/>
          </c:spPr>
          <c:invertIfNegative val="0"/>
          <c:val>
            <c:numRef>
              <c:f>Charts!$I$10:$I$16</c:f>
              <c:numCache>
                <c:formatCode>0.00</c:formatCode>
                <c:ptCount val="7"/>
                <c:pt idx="0" formatCode="#\ ##0.0">
                  <c:v>6893</c:v>
                </c:pt>
                <c:pt idx="1">
                  <c:v>5304.8</c:v>
                </c:pt>
                <c:pt idx="2" formatCode="General">
                  <c:v>3338</c:v>
                </c:pt>
                <c:pt idx="3" formatCode="General">
                  <c:v>2330</c:v>
                </c:pt>
                <c:pt idx="4" formatCode="General">
                  <c:v>2241</c:v>
                </c:pt>
                <c:pt idx="5" formatCode="General">
                  <c:v>1858</c:v>
                </c:pt>
                <c:pt idx="6" formatCode="General">
                  <c:v>1617</c:v>
                </c:pt>
              </c:numCache>
            </c:numRef>
          </c:val>
          <c:extLst>
            <c:ext xmlns:c16="http://schemas.microsoft.com/office/drawing/2014/chart" uri="{C3380CC4-5D6E-409C-BE32-E72D297353CC}">
              <c16:uniqueId val="{00000002-0648-465D-8673-B63BF55CA424}"/>
            </c:ext>
          </c:extLst>
        </c:ser>
        <c:dLbls>
          <c:showLegendKey val="0"/>
          <c:showVal val="0"/>
          <c:showCatName val="0"/>
          <c:showSerName val="0"/>
          <c:showPercent val="0"/>
          <c:showBubbleSize val="0"/>
        </c:dLbls>
        <c:gapWidth val="219"/>
        <c:overlap val="-27"/>
        <c:axId val="332113920"/>
        <c:axId val="332117280"/>
      </c:barChart>
      <c:catAx>
        <c:axId val="332113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2117280"/>
        <c:crosses val="autoZero"/>
        <c:auto val="1"/>
        <c:lblAlgn val="ctr"/>
        <c:lblOffset val="100"/>
        <c:noMultiLvlLbl val="0"/>
      </c:catAx>
      <c:valAx>
        <c:axId val="33211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211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Cumulative Returns of FTNT and of NASDAQ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lineChart>
        <c:grouping val="standard"/>
        <c:varyColors val="0"/>
        <c:ser>
          <c:idx val="0"/>
          <c:order val="0"/>
          <c:tx>
            <c:strRef>
              <c:f>'6Y STOCK PERFORMANCE'!$B$1</c:f>
              <c:strCache>
                <c:ptCount val="1"/>
                <c:pt idx="0">
                  <c:v>Cumulative Returns FTNT</c:v>
                </c:pt>
              </c:strCache>
            </c:strRef>
          </c:tx>
          <c:spPr>
            <a:ln w="22225" cap="rnd">
              <a:solidFill>
                <a:schemeClr val="accent1"/>
              </a:solidFill>
              <a:round/>
            </a:ln>
            <a:effectLst/>
          </c:spPr>
          <c:marker>
            <c:symbol val="none"/>
          </c:marker>
          <c:cat>
            <c:numRef>
              <c:f>'6Y STOCK PERFORMANCE'!$A$2:$A$1510</c:f>
              <c:numCache>
                <c:formatCode>m/d/yyyy</c:formatCode>
                <c:ptCount val="1509"/>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pt idx="1278">
                  <c:v>44957</c:v>
                </c:pt>
                <c:pt idx="1279">
                  <c:v>44958</c:v>
                </c:pt>
                <c:pt idx="1280">
                  <c:v>44959</c:v>
                </c:pt>
                <c:pt idx="1281">
                  <c:v>44960</c:v>
                </c:pt>
                <c:pt idx="1282">
                  <c:v>44963</c:v>
                </c:pt>
                <c:pt idx="1283">
                  <c:v>44964</c:v>
                </c:pt>
                <c:pt idx="1284">
                  <c:v>44965</c:v>
                </c:pt>
                <c:pt idx="1285">
                  <c:v>44966</c:v>
                </c:pt>
                <c:pt idx="1286">
                  <c:v>44967</c:v>
                </c:pt>
                <c:pt idx="1287">
                  <c:v>44970</c:v>
                </c:pt>
                <c:pt idx="1288">
                  <c:v>44971</c:v>
                </c:pt>
                <c:pt idx="1289">
                  <c:v>44972</c:v>
                </c:pt>
                <c:pt idx="1290">
                  <c:v>44973</c:v>
                </c:pt>
                <c:pt idx="1291">
                  <c:v>44974</c:v>
                </c:pt>
                <c:pt idx="1292">
                  <c:v>44978</c:v>
                </c:pt>
                <c:pt idx="1293">
                  <c:v>44979</c:v>
                </c:pt>
                <c:pt idx="1294">
                  <c:v>44980</c:v>
                </c:pt>
                <c:pt idx="1295">
                  <c:v>44981</c:v>
                </c:pt>
                <c:pt idx="1296">
                  <c:v>44984</c:v>
                </c:pt>
                <c:pt idx="1297">
                  <c:v>44985</c:v>
                </c:pt>
                <c:pt idx="1298">
                  <c:v>44986</c:v>
                </c:pt>
                <c:pt idx="1299">
                  <c:v>44987</c:v>
                </c:pt>
                <c:pt idx="1300">
                  <c:v>44988</c:v>
                </c:pt>
                <c:pt idx="1301">
                  <c:v>44991</c:v>
                </c:pt>
                <c:pt idx="1302">
                  <c:v>44992</c:v>
                </c:pt>
                <c:pt idx="1303">
                  <c:v>44993</c:v>
                </c:pt>
                <c:pt idx="1304">
                  <c:v>44994</c:v>
                </c:pt>
                <c:pt idx="1305">
                  <c:v>44995</c:v>
                </c:pt>
                <c:pt idx="1306">
                  <c:v>44998</c:v>
                </c:pt>
                <c:pt idx="1307">
                  <c:v>44999</c:v>
                </c:pt>
                <c:pt idx="1308">
                  <c:v>45000</c:v>
                </c:pt>
                <c:pt idx="1309">
                  <c:v>45001</c:v>
                </c:pt>
                <c:pt idx="1310">
                  <c:v>45002</c:v>
                </c:pt>
                <c:pt idx="1311">
                  <c:v>45005</c:v>
                </c:pt>
                <c:pt idx="1312">
                  <c:v>45006</c:v>
                </c:pt>
                <c:pt idx="1313">
                  <c:v>45007</c:v>
                </c:pt>
                <c:pt idx="1314">
                  <c:v>45008</c:v>
                </c:pt>
                <c:pt idx="1315">
                  <c:v>45009</c:v>
                </c:pt>
                <c:pt idx="1316">
                  <c:v>45012</c:v>
                </c:pt>
                <c:pt idx="1317">
                  <c:v>45013</c:v>
                </c:pt>
                <c:pt idx="1318">
                  <c:v>45014</c:v>
                </c:pt>
                <c:pt idx="1319">
                  <c:v>45015</c:v>
                </c:pt>
                <c:pt idx="1320">
                  <c:v>45016</c:v>
                </c:pt>
                <c:pt idx="1321">
                  <c:v>45019</c:v>
                </c:pt>
                <c:pt idx="1322">
                  <c:v>45020</c:v>
                </c:pt>
                <c:pt idx="1323">
                  <c:v>45021</c:v>
                </c:pt>
                <c:pt idx="1324">
                  <c:v>45022</c:v>
                </c:pt>
                <c:pt idx="1325">
                  <c:v>45026</c:v>
                </c:pt>
                <c:pt idx="1326">
                  <c:v>45027</c:v>
                </c:pt>
                <c:pt idx="1327">
                  <c:v>45028</c:v>
                </c:pt>
                <c:pt idx="1328">
                  <c:v>45029</c:v>
                </c:pt>
                <c:pt idx="1329">
                  <c:v>45030</c:v>
                </c:pt>
                <c:pt idx="1330">
                  <c:v>45033</c:v>
                </c:pt>
                <c:pt idx="1331">
                  <c:v>45034</c:v>
                </c:pt>
                <c:pt idx="1332">
                  <c:v>45035</c:v>
                </c:pt>
                <c:pt idx="1333">
                  <c:v>45036</c:v>
                </c:pt>
                <c:pt idx="1334">
                  <c:v>45037</c:v>
                </c:pt>
                <c:pt idx="1335">
                  <c:v>45040</c:v>
                </c:pt>
                <c:pt idx="1336">
                  <c:v>45041</c:v>
                </c:pt>
                <c:pt idx="1337">
                  <c:v>45042</c:v>
                </c:pt>
                <c:pt idx="1338">
                  <c:v>45043</c:v>
                </c:pt>
                <c:pt idx="1339">
                  <c:v>45044</c:v>
                </c:pt>
                <c:pt idx="1340">
                  <c:v>45047</c:v>
                </c:pt>
                <c:pt idx="1341">
                  <c:v>45048</c:v>
                </c:pt>
                <c:pt idx="1342">
                  <c:v>45049</c:v>
                </c:pt>
                <c:pt idx="1343">
                  <c:v>45050</c:v>
                </c:pt>
                <c:pt idx="1344">
                  <c:v>45051</c:v>
                </c:pt>
                <c:pt idx="1345">
                  <c:v>45054</c:v>
                </c:pt>
                <c:pt idx="1346">
                  <c:v>45055</c:v>
                </c:pt>
                <c:pt idx="1347">
                  <c:v>45056</c:v>
                </c:pt>
                <c:pt idx="1348">
                  <c:v>45057</c:v>
                </c:pt>
                <c:pt idx="1349">
                  <c:v>45058</c:v>
                </c:pt>
                <c:pt idx="1350">
                  <c:v>45061</c:v>
                </c:pt>
                <c:pt idx="1351">
                  <c:v>45062</c:v>
                </c:pt>
                <c:pt idx="1352">
                  <c:v>45063</c:v>
                </c:pt>
                <c:pt idx="1353">
                  <c:v>45064</c:v>
                </c:pt>
                <c:pt idx="1354">
                  <c:v>45065</c:v>
                </c:pt>
                <c:pt idx="1355">
                  <c:v>45068</c:v>
                </c:pt>
                <c:pt idx="1356">
                  <c:v>45069</c:v>
                </c:pt>
                <c:pt idx="1357">
                  <c:v>45070</c:v>
                </c:pt>
                <c:pt idx="1358">
                  <c:v>45071</c:v>
                </c:pt>
                <c:pt idx="1359">
                  <c:v>45072</c:v>
                </c:pt>
                <c:pt idx="1360">
                  <c:v>45076</c:v>
                </c:pt>
                <c:pt idx="1361">
                  <c:v>45077</c:v>
                </c:pt>
                <c:pt idx="1362">
                  <c:v>45078</c:v>
                </c:pt>
                <c:pt idx="1363">
                  <c:v>45079</c:v>
                </c:pt>
                <c:pt idx="1364">
                  <c:v>45082</c:v>
                </c:pt>
                <c:pt idx="1365">
                  <c:v>45083</c:v>
                </c:pt>
                <c:pt idx="1366">
                  <c:v>45084</c:v>
                </c:pt>
                <c:pt idx="1367">
                  <c:v>45085</c:v>
                </c:pt>
                <c:pt idx="1368">
                  <c:v>45086</c:v>
                </c:pt>
                <c:pt idx="1369">
                  <c:v>45089</c:v>
                </c:pt>
                <c:pt idx="1370">
                  <c:v>45090</c:v>
                </c:pt>
                <c:pt idx="1371">
                  <c:v>45091</c:v>
                </c:pt>
                <c:pt idx="1372">
                  <c:v>45092</c:v>
                </c:pt>
                <c:pt idx="1373">
                  <c:v>45093</c:v>
                </c:pt>
                <c:pt idx="1374">
                  <c:v>45097</c:v>
                </c:pt>
                <c:pt idx="1375">
                  <c:v>45098</c:v>
                </c:pt>
                <c:pt idx="1376">
                  <c:v>45099</c:v>
                </c:pt>
                <c:pt idx="1377">
                  <c:v>45100</c:v>
                </c:pt>
                <c:pt idx="1378">
                  <c:v>45103</c:v>
                </c:pt>
                <c:pt idx="1379">
                  <c:v>45104</c:v>
                </c:pt>
                <c:pt idx="1380">
                  <c:v>45105</c:v>
                </c:pt>
                <c:pt idx="1381">
                  <c:v>45106</c:v>
                </c:pt>
                <c:pt idx="1382">
                  <c:v>45107</c:v>
                </c:pt>
                <c:pt idx="1383">
                  <c:v>45110</c:v>
                </c:pt>
                <c:pt idx="1384">
                  <c:v>45112</c:v>
                </c:pt>
                <c:pt idx="1385">
                  <c:v>45113</c:v>
                </c:pt>
                <c:pt idx="1386">
                  <c:v>45114</c:v>
                </c:pt>
                <c:pt idx="1387">
                  <c:v>45117</c:v>
                </c:pt>
                <c:pt idx="1388">
                  <c:v>45118</c:v>
                </c:pt>
                <c:pt idx="1389">
                  <c:v>45119</c:v>
                </c:pt>
                <c:pt idx="1390">
                  <c:v>45120</c:v>
                </c:pt>
                <c:pt idx="1391">
                  <c:v>45121</c:v>
                </c:pt>
                <c:pt idx="1392">
                  <c:v>45124</c:v>
                </c:pt>
                <c:pt idx="1393">
                  <c:v>45125</c:v>
                </c:pt>
                <c:pt idx="1394">
                  <c:v>45126</c:v>
                </c:pt>
                <c:pt idx="1395">
                  <c:v>45127</c:v>
                </c:pt>
                <c:pt idx="1396">
                  <c:v>45128</c:v>
                </c:pt>
                <c:pt idx="1397">
                  <c:v>45131</c:v>
                </c:pt>
                <c:pt idx="1398">
                  <c:v>45132</c:v>
                </c:pt>
                <c:pt idx="1399">
                  <c:v>45133</c:v>
                </c:pt>
                <c:pt idx="1400">
                  <c:v>45134</c:v>
                </c:pt>
                <c:pt idx="1401">
                  <c:v>45135</c:v>
                </c:pt>
                <c:pt idx="1402">
                  <c:v>45138</c:v>
                </c:pt>
                <c:pt idx="1403">
                  <c:v>45139</c:v>
                </c:pt>
                <c:pt idx="1404">
                  <c:v>45140</c:v>
                </c:pt>
                <c:pt idx="1405">
                  <c:v>45141</c:v>
                </c:pt>
                <c:pt idx="1406">
                  <c:v>45142</c:v>
                </c:pt>
                <c:pt idx="1407">
                  <c:v>45145</c:v>
                </c:pt>
                <c:pt idx="1408">
                  <c:v>45146</c:v>
                </c:pt>
                <c:pt idx="1409">
                  <c:v>45147</c:v>
                </c:pt>
                <c:pt idx="1410">
                  <c:v>45148</c:v>
                </c:pt>
                <c:pt idx="1411">
                  <c:v>45149</c:v>
                </c:pt>
                <c:pt idx="1412">
                  <c:v>45152</c:v>
                </c:pt>
                <c:pt idx="1413">
                  <c:v>45153</c:v>
                </c:pt>
                <c:pt idx="1414">
                  <c:v>45154</c:v>
                </c:pt>
                <c:pt idx="1415">
                  <c:v>45155</c:v>
                </c:pt>
                <c:pt idx="1416">
                  <c:v>45156</c:v>
                </c:pt>
                <c:pt idx="1417">
                  <c:v>45159</c:v>
                </c:pt>
                <c:pt idx="1418">
                  <c:v>45160</c:v>
                </c:pt>
                <c:pt idx="1419">
                  <c:v>45161</c:v>
                </c:pt>
                <c:pt idx="1420">
                  <c:v>45162</c:v>
                </c:pt>
                <c:pt idx="1421">
                  <c:v>45163</c:v>
                </c:pt>
                <c:pt idx="1422">
                  <c:v>45166</c:v>
                </c:pt>
                <c:pt idx="1423">
                  <c:v>45167</c:v>
                </c:pt>
                <c:pt idx="1424">
                  <c:v>45168</c:v>
                </c:pt>
                <c:pt idx="1425">
                  <c:v>45169</c:v>
                </c:pt>
                <c:pt idx="1426">
                  <c:v>45170</c:v>
                </c:pt>
                <c:pt idx="1427">
                  <c:v>45174</c:v>
                </c:pt>
                <c:pt idx="1428">
                  <c:v>45175</c:v>
                </c:pt>
                <c:pt idx="1429">
                  <c:v>45176</c:v>
                </c:pt>
                <c:pt idx="1430">
                  <c:v>45177</c:v>
                </c:pt>
                <c:pt idx="1431">
                  <c:v>45180</c:v>
                </c:pt>
                <c:pt idx="1432">
                  <c:v>45181</c:v>
                </c:pt>
                <c:pt idx="1433">
                  <c:v>45182</c:v>
                </c:pt>
                <c:pt idx="1434">
                  <c:v>45183</c:v>
                </c:pt>
                <c:pt idx="1435">
                  <c:v>45184</c:v>
                </c:pt>
                <c:pt idx="1436">
                  <c:v>45187</c:v>
                </c:pt>
                <c:pt idx="1437">
                  <c:v>45188</c:v>
                </c:pt>
                <c:pt idx="1438">
                  <c:v>45189</c:v>
                </c:pt>
                <c:pt idx="1439">
                  <c:v>45190</c:v>
                </c:pt>
                <c:pt idx="1440">
                  <c:v>45191</c:v>
                </c:pt>
                <c:pt idx="1441">
                  <c:v>45194</c:v>
                </c:pt>
                <c:pt idx="1442">
                  <c:v>45195</c:v>
                </c:pt>
                <c:pt idx="1443">
                  <c:v>45196</c:v>
                </c:pt>
                <c:pt idx="1444">
                  <c:v>45197</c:v>
                </c:pt>
                <c:pt idx="1445">
                  <c:v>45198</c:v>
                </c:pt>
                <c:pt idx="1446">
                  <c:v>45201</c:v>
                </c:pt>
                <c:pt idx="1447">
                  <c:v>45202</c:v>
                </c:pt>
                <c:pt idx="1448">
                  <c:v>45203</c:v>
                </c:pt>
                <c:pt idx="1449">
                  <c:v>45204</c:v>
                </c:pt>
                <c:pt idx="1450">
                  <c:v>45205</c:v>
                </c:pt>
                <c:pt idx="1451">
                  <c:v>45208</c:v>
                </c:pt>
                <c:pt idx="1452">
                  <c:v>45209</c:v>
                </c:pt>
                <c:pt idx="1453">
                  <c:v>45210</c:v>
                </c:pt>
                <c:pt idx="1454">
                  <c:v>45211</c:v>
                </c:pt>
                <c:pt idx="1455">
                  <c:v>45212</c:v>
                </c:pt>
                <c:pt idx="1456">
                  <c:v>45215</c:v>
                </c:pt>
                <c:pt idx="1457">
                  <c:v>45216</c:v>
                </c:pt>
                <c:pt idx="1458">
                  <c:v>45217</c:v>
                </c:pt>
                <c:pt idx="1459">
                  <c:v>45218</c:v>
                </c:pt>
                <c:pt idx="1460">
                  <c:v>45219</c:v>
                </c:pt>
                <c:pt idx="1461">
                  <c:v>45222</c:v>
                </c:pt>
                <c:pt idx="1462">
                  <c:v>45223</c:v>
                </c:pt>
                <c:pt idx="1463">
                  <c:v>45224</c:v>
                </c:pt>
                <c:pt idx="1464">
                  <c:v>45225</c:v>
                </c:pt>
                <c:pt idx="1465">
                  <c:v>45226</c:v>
                </c:pt>
                <c:pt idx="1466">
                  <c:v>45229</c:v>
                </c:pt>
                <c:pt idx="1467">
                  <c:v>45230</c:v>
                </c:pt>
                <c:pt idx="1468">
                  <c:v>45231</c:v>
                </c:pt>
                <c:pt idx="1469">
                  <c:v>45232</c:v>
                </c:pt>
                <c:pt idx="1470">
                  <c:v>45233</c:v>
                </c:pt>
                <c:pt idx="1471">
                  <c:v>45236</c:v>
                </c:pt>
                <c:pt idx="1472">
                  <c:v>45237</c:v>
                </c:pt>
                <c:pt idx="1473">
                  <c:v>45238</c:v>
                </c:pt>
                <c:pt idx="1474">
                  <c:v>45239</c:v>
                </c:pt>
                <c:pt idx="1475">
                  <c:v>45240</c:v>
                </c:pt>
                <c:pt idx="1476">
                  <c:v>45243</c:v>
                </c:pt>
                <c:pt idx="1477">
                  <c:v>45244</c:v>
                </c:pt>
                <c:pt idx="1478">
                  <c:v>45245</c:v>
                </c:pt>
                <c:pt idx="1479">
                  <c:v>45246</c:v>
                </c:pt>
                <c:pt idx="1480">
                  <c:v>45247</c:v>
                </c:pt>
                <c:pt idx="1481">
                  <c:v>45250</c:v>
                </c:pt>
                <c:pt idx="1482">
                  <c:v>45251</c:v>
                </c:pt>
                <c:pt idx="1483">
                  <c:v>45252</c:v>
                </c:pt>
                <c:pt idx="1484">
                  <c:v>45254</c:v>
                </c:pt>
                <c:pt idx="1485">
                  <c:v>45257</c:v>
                </c:pt>
                <c:pt idx="1486">
                  <c:v>45258</c:v>
                </c:pt>
                <c:pt idx="1487">
                  <c:v>45259</c:v>
                </c:pt>
                <c:pt idx="1488">
                  <c:v>45260</c:v>
                </c:pt>
                <c:pt idx="1489">
                  <c:v>45261</c:v>
                </c:pt>
                <c:pt idx="1490">
                  <c:v>45264</c:v>
                </c:pt>
                <c:pt idx="1491">
                  <c:v>45265</c:v>
                </c:pt>
                <c:pt idx="1492">
                  <c:v>45266</c:v>
                </c:pt>
                <c:pt idx="1493">
                  <c:v>45267</c:v>
                </c:pt>
                <c:pt idx="1494">
                  <c:v>45268</c:v>
                </c:pt>
                <c:pt idx="1495">
                  <c:v>45271</c:v>
                </c:pt>
                <c:pt idx="1496">
                  <c:v>45272</c:v>
                </c:pt>
                <c:pt idx="1497">
                  <c:v>45273</c:v>
                </c:pt>
                <c:pt idx="1498">
                  <c:v>45274</c:v>
                </c:pt>
                <c:pt idx="1499">
                  <c:v>45275</c:v>
                </c:pt>
                <c:pt idx="1500">
                  <c:v>45278</c:v>
                </c:pt>
                <c:pt idx="1501">
                  <c:v>45279</c:v>
                </c:pt>
                <c:pt idx="1502">
                  <c:v>45280</c:v>
                </c:pt>
                <c:pt idx="1503">
                  <c:v>45281</c:v>
                </c:pt>
                <c:pt idx="1504">
                  <c:v>45282</c:v>
                </c:pt>
                <c:pt idx="1505">
                  <c:v>45286</c:v>
                </c:pt>
                <c:pt idx="1506">
                  <c:v>45287</c:v>
                </c:pt>
                <c:pt idx="1507">
                  <c:v>45288</c:v>
                </c:pt>
                <c:pt idx="1508">
                  <c:v>45289</c:v>
                </c:pt>
              </c:numCache>
            </c:numRef>
          </c:cat>
          <c:val>
            <c:numRef>
              <c:f>'6Y STOCK PERFORMANCE'!$B$2:$B$1510</c:f>
              <c:numCache>
                <c:formatCode>General</c:formatCode>
                <c:ptCount val="1509"/>
                <c:pt idx="0">
                  <c:v>100</c:v>
                </c:pt>
                <c:pt idx="1">
                  <c:v>101.5332545808354</c:v>
                </c:pt>
                <c:pt idx="2">
                  <c:v>99.210826429229357</c:v>
                </c:pt>
                <c:pt idx="3">
                  <c:v>99.436299984442314</c:v>
                </c:pt>
                <c:pt idx="4">
                  <c:v>101.46561573977657</c:v>
                </c:pt>
                <c:pt idx="5">
                  <c:v>99.932361158941163</c:v>
                </c:pt>
                <c:pt idx="6">
                  <c:v>99.436299984442314</c:v>
                </c:pt>
                <c:pt idx="7">
                  <c:v>99.797072725139998</c:v>
                </c:pt>
                <c:pt idx="8">
                  <c:v>101.33032730597539</c:v>
                </c:pt>
                <c:pt idx="9">
                  <c:v>99.977453719647059</c:v>
                </c:pt>
                <c:pt idx="10">
                  <c:v>101.6685430146366</c:v>
                </c:pt>
                <c:pt idx="11">
                  <c:v>103.06651991335434</c:v>
                </c:pt>
                <c:pt idx="12">
                  <c:v>103.74295133067673</c:v>
                </c:pt>
                <c:pt idx="13">
                  <c:v>103.3821893416626</c:v>
                </c:pt>
                <c:pt idx="14">
                  <c:v>103.15670503476611</c:v>
                </c:pt>
                <c:pt idx="15">
                  <c:v>102.02931575533425</c:v>
                </c:pt>
                <c:pt idx="16">
                  <c:v>102.3900777443484</c:v>
                </c:pt>
                <c:pt idx="17">
                  <c:v>103.40473562201554</c:v>
                </c:pt>
                <c:pt idx="18">
                  <c:v>103.63021992891201</c:v>
                </c:pt>
                <c:pt idx="19">
                  <c:v>103.13415875441316</c:v>
                </c:pt>
                <c:pt idx="20">
                  <c:v>103.81060092341909</c:v>
                </c:pt>
                <c:pt idx="21">
                  <c:v>103.42728190236848</c:v>
                </c:pt>
                <c:pt idx="22">
                  <c:v>101.33032730597539</c:v>
                </c:pt>
                <c:pt idx="23">
                  <c:v>98.827507408178747</c:v>
                </c:pt>
                <c:pt idx="24">
                  <c:v>104.93799020285094</c:v>
                </c:pt>
                <c:pt idx="25">
                  <c:v>102.61556205124489</c:v>
                </c:pt>
                <c:pt idx="26">
                  <c:v>100.33821570866121</c:v>
                </c:pt>
                <c:pt idx="27">
                  <c:v>104.93799020285094</c:v>
                </c:pt>
                <c:pt idx="28">
                  <c:v>104.80270176904976</c:v>
                </c:pt>
                <c:pt idx="29">
                  <c:v>108.50056053902061</c:v>
                </c:pt>
                <c:pt idx="30">
                  <c:v>109.08680683493124</c:v>
                </c:pt>
                <c:pt idx="31">
                  <c:v>111.1161225902655</c:v>
                </c:pt>
                <c:pt idx="32">
                  <c:v>110.37204158020074</c:v>
                </c:pt>
                <c:pt idx="33">
                  <c:v>110.62007216745018</c:v>
                </c:pt>
                <c:pt idx="34">
                  <c:v>110.73280356921488</c:v>
                </c:pt>
                <c:pt idx="35">
                  <c:v>110.93574159575842</c:v>
                </c:pt>
                <c:pt idx="36">
                  <c:v>112.44644989624088</c:v>
                </c:pt>
                <c:pt idx="37">
                  <c:v>113.46110777390804</c:v>
                </c:pt>
                <c:pt idx="38">
                  <c:v>112.62683089074795</c:v>
                </c:pt>
                <c:pt idx="39">
                  <c:v>113.79932348256924</c:v>
                </c:pt>
                <c:pt idx="40">
                  <c:v>111.63473004511729</c:v>
                </c:pt>
                <c:pt idx="41">
                  <c:v>113.77677720221621</c:v>
                </c:pt>
                <c:pt idx="42">
                  <c:v>114.2051887839728</c:v>
                </c:pt>
                <c:pt idx="43">
                  <c:v>116.91093595662943</c:v>
                </c:pt>
                <c:pt idx="44">
                  <c:v>118.3089128553472</c:v>
                </c:pt>
                <c:pt idx="45">
                  <c:v>121.96166831292855</c:v>
                </c:pt>
                <c:pt idx="46">
                  <c:v>122.75084188369921</c:v>
                </c:pt>
                <c:pt idx="47">
                  <c:v>123.29199561890397</c:v>
                </c:pt>
                <c:pt idx="48">
                  <c:v>122.32244105362633</c:v>
                </c:pt>
                <c:pt idx="49">
                  <c:v>122.97632619059583</c:v>
                </c:pt>
                <c:pt idx="50">
                  <c:v>122.16460633947213</c:v>
                </c:pt>
                <c:pt idx="51">
                  <c:v>121.75874103806856</c:v>
                </c:pt>
                <c:pt idx="52">
                  <c:v>120.2931252982921</c:v>
                </c:pt>
                <c:pt idx="53">
                  <c:v>121.26267986356973</c:v>
                </c:pt>
                <c:pt idx="54">
                  <c:v>123.04396503165461</c:v>
                </c:pt>
                <c:pt idx="55">
                  <c:v>120.87937159420264</c:v>
                </c:pt>
                <c:pt idx="56">
                  <c:v>119.39120957407314</c:v>
                </c:pt>
                <c:pt idx="57">
                  <c:v>123.06652206369107</c:v>
                </c:pt>
                <c:pt idx="58">
                  <c:v>120.24803273758616</c:v>
                </c:pt>
                <c:pt idx="59">
                  <c:v>117.88050127359061</c:v>
                </c:pt>
                <c:pt idx="60">
                  <c:v>120.81172200146025</c:v>
                </c:pt>
                <c:pt idx="61">
                  <c:v>118.21871698225192</c:v>
                </c:pt>
                <c:pt idx="62">
                  <c:v>120.47350629279906</c:v>
                </c:pt>
                <c:pt idx="63">
                  <c:v>122.45772948742751</c:v>
                </c:pt>
                <c:pt idx="64">
                  <c:v>123.08906834404395</c:v>
                </c:pt>
                <c:pt idx="65">
                  <c:v>122.5028220481333</c:v>
                </c:pt>
                <c:pt idx="66">
                  <c:v>122.81849147644157</c:v>
                </c:pt>
                <c:pt idx="67">
                  <c:v>126.7869271140148</c:v>
                </c:pt>
                <c:pt idx="68">
                  <c:v>123.63021132756515</c:v>
                </c:pt>
                <c:pt idx="69">
                  <c:v>126.4712576857065</c:v>
                </c:pt>
                <c:pt idx="70">
                  <c:v>125.90755767014885</c:v>
                </c:pt>
                <c:pt idx="71">
                  <c:v>127.98196598618902</c:v>
                </c:pt>
                <c:pt idx="72">
                  <c:v>130.03382802187627</c:v>
                </c:pt>
                <c:pt idx="73">
                  <c:v>129.62796272047271</c:v>
                </c:pt>
                <c:pt idx="74">
                  <c:v>129.44758172596562</c:v>
                </c:pt>
                <c:pt idx="75">
                  <c:v>128.86133543005496</c:v>
                </c:pt>
                <c:pt idx="76">
                  <c:v>127.93686267379968</c:v>
                </c:pt>
                <c:pt idx="77">
                  <c:v>126.42615437331717</c:v>
                </c:pt>
                <c:pt idx="78">
                  <c:v>123.56257248650635</c:v>
                </c:pt>
                <c:pt idx="79">
                  <c:v>124.96053863354057</c:v>
                </c:pt>
                <c:pt idx="80">
                  <c:v>123.85569563446172</c:v>
                </c:pt>
                <c:pt idx="81">
                  <c:v>124.82525019973937</c:v>
                </c:pt>
                <c:pt idx="82">
                  <c:v>125.68207336325239</c:v>
                </c:pt>
                <c:pt idx="83">
                  <c:v>126.13303122536188</c:v>
                </c:pt>
                <c:pt idx="84">
                  <c:v>126.51635024641243</c:v>
                </c:pt>
                <c:pt idx="85">
                  <c:v>123.42728405270513</c:v>
                </c:pt>
                <c:pt idx="86">
                  <c:v>125.5693312098041</c:v>
                </c:pt>
                <c:pt idx="87">
                  <c:v>128.38782053590901</c:v>
                </c:pt>
                <c:pt idx="88">
                  <c:v>133.07779090319409</c:v>
                </c:pt>
                <c:pt idx="89">
                  <c:v>135.64824964204965</c:v>
                </c:pt>
                <c:pt idx="90">
                  <c:v>136.14431081654848</c:v>
                </c:pt>
                <c:pt idx="91">
                  <c:v>134.27282977536831</c:v>
                </c:pt>
                <c:pt idx="92">
                  <c:v>133.68658347945765</c:v>
                </c:pt>
                <c:pt idx="93">
                  <c:v>132.15332889862225</c:v>
                </c:pt>
                <c:pt idx="94">
                  <c:v>131.43179416891053</c:v>
                </c:pt>
                <c:pt idx="95">
                  <c:v>131.95040162376225</c:v>
                </c:pt>
                <c:pt idx="96">
                  <c:v>133.75423307220004</c:v>
                </c:pt>
                <c:pt idx="97">
                  <c:v>132.51409088763643</c:v>
                </c:pt>
                <c:pt idx="98">
                  <c:v>133.41600661185529</c:v>
                </c:pt>
                <c:pt idx="99">
                  <c:v>136.73055711245902</c:v>
                </c:pt>
                <c:pt idx="100">
                  <c:v>136.12176453619546</c:v>
                </c:pt>
                <c:pt idx="101">
                  <c:v>135.12965293888135</c:v>
                </c:pt>
                <c:pt idx="102">
                  <c:v>137.94814226498625</c:v>
                </c:pt>
                <c:pt idx="103">
                  <c:v>137.94814226498625</c:v>
                </c:pt>
                <c:pt idx="104">
                  <c:v>139.79706627412983</c:v>
                </c:pt>
                <c:pt idx="105">
                  <c:v>140.85682746418644</c:v>
                </c:pt>
                <c:pt idx="106">
                  <c:v>142.50282419847002</c:v>
                </c:pt>
                <c:pt idx="107">
                  <c:v>142.70575147333014</c:v>
                </c:pt>
                <c:pt idx="108">
                  <c:v>138.66967699469799</c:v>
                </c:pt>
                <c:pt idx="109">
                  <c:v>140.99210514630406</c:v>
                </c:pt>
                <c:pt idx="110">
                  <c:v>142.61555560023476</c:v>
                </c:pt>
                <c:pt idx="111">
                  <c:v>144.55467548247375</c:v>
                </c:pt>
                <c:pt idx="112">
                  <c:v>145.86245650809627</c:v>
                </c:pt>
                <c:pt idx="113">
                  <c:v>148.22998797209169</c:v>
                </c:pt>
                <c:pt idx="114">
                  <c:v>147.19278381407167</c:v>
                </c:pt>
                <c:pt idx="115">
                  <c:v>149.19955328905291</c:v>
                </c:pt>
                <c:pt idx="116">
                  <c:v>145.0281903766197</c:v>
                </c:pt>
                <c:pt idx="117">
                  <c:v>146.7418259519622</c:v>
                </c:pt>
                <c:pt idx="118">
                  <c:v>145.97519866154443</c:v>
                </c:pt>
                <c:pt idx="119">
                  <c:v>144.14882093275375</c:v>
                </c:pt>
                <c:pt idx="120">
                  <c:v>140.06764314173225</c:v>
                </c:pt>
                <c:pt idx="121">
                  <c:v>141.7587431884053</c:v>
                </c:pt>
                <c:pt idx="122">
                  <c:v>139.34610841202053</c:v>
                </c:pt>
                <c:pt idx="123">
                  <c:v>140.81172415179699</c:v>
                </c:pt>
                <c:pt idx="124">
                  <c:v>140.7666315910912</c:v>
                </c:pt>
                <c:pt idx="125">
                  <c:v>144.14882093275375</c:v>
                </c:pt>
                <c:pt idx="126">
                  <c:v>143.38219364233598</c:v>
                </c:pt>
                <c:pt idx="127">
                  <c:v>145.05073665697259</c:v>
                </c:pt>
                <c:pt idx="128">
                  <c:v>146.49380611639629</c:v>
                </c:pt>
                <c:pt idx="129">
                  <c:v>146.04284825428681</c:v>
                </c:pt>
                <c:pt idx="130">
                  <c:v>147.48590696202695</c:v>
                </c:pt>
                <c:pt idx="131">
                  <c:v>148.04960697758457</c:v>
                </c:pt>
                <c:pt idx="132">
                  <c:v>151.58963103340133</c:v>
                </c:pt>
                <c:pt idx="133">
                  <c:v>150.07892273291881</c:v>
                </c:pt>
                <c:pt idx="134">
                  <c:v>149.33484172285409</c:v>
                </c:pt>
                <c:pt idx="135">
                  <c:v>150.93573514474832</c:v>
                </c:pt>
                <c:pt idx="136">
                  <c:v>150.64262274847661</c:v>
                </c:pt>
                <c:pt idx="137">
                  <c:v>152.08568145621663</c:v>
                </c:pt>
                <c:pt idx="138">
                  <c:v>153.28072032839088</c:v>
                </c:pt>
                <c:pt idx="139">
                  <c:v>153.82187406359563</c:v>
                </c:pt>
                <c:pt idx="140">
                  <c:v>150.50733431467543</c:v>
                </c:pt>
                <c:pt idx="141">
                  <c:v>154.29537820605799</c:v>
                </c:pt>
                <c:pt idx="142">
                  <c:v>154.61104763436629</c:v>
                </c:pt>
                <c:pt idx="143">
                  <c:v>148.38782268624581</c:v>
                </c:pt>
                <c:pt idx="144">
                  <c:v>141.55580516186191</c:v>
                </c:pt>
                <c:pt idx="145">
                  <c:v>141.84892830981718</c:v>
                </c:pt>
                <c:pt idx="146">
                  <c:v>145.65952923323633</c:v>
                </c:pt>
                <c:pt idx="147">
                  <c:v>166.3134165205424</c:v>
                </c:pt>
                <c:pt idx="148">
                  <c:v>166.02029337258713</c:v>
                </c:pt>
                <c:pt idx="149">
                  <c:v>166.02029337258713</c:v>
                </c:pt>
                <c:pt idx="150">
                  <c:v>164.7350693790012</c:v>
                </c:pt>
                <c:pt idx="151">
                  <c:v>164.71251234696473</c:v>
                </c:pt>
                <c:pt idx="152">
                  <c:v>168.09470168862728</c:v>
                </c:pt>
                <c:pt idx="153">
                  <c:v>169.76324470326389</c:v>
                </c:pt>
                <c:pt idx="154">
                  <c:v>168.61330914347903</c:v>
                </c:pt>
                <c:pt idx="155">
                  <c:v>172.15333319929582</c:v>
                </c:pt>
                <c:pt idx="156">
                  <c:v>171.86021005134054</c:v>
                </c:pt>
                <c:pt idx="157">
                  <c:v>172.69447618281703</c:v>
                </c:pt>
                <c:pt idx="158">
                  <c:v>172.49154890795702</c:v>
                </c:pt>
                <c:pt idx="159">
                  <c:v>172.89741420936056</c:v>
                </c:pt>
                <c:pt idx="160">
                  <c:v>172.73956874352294</c:v>
                </c:pt>
                <c:pt idx="161">
                  <c:v>175.24238864131968</c:v>
                </c:pt>
                <c:pt idx="162">
                  <c:v>177.56482754460919</c:v>
                </c:pt>
                <c:pt idx="163">
                  <c:v>181.26267556289648</c:v>
                </c:pt>
                <c:pt idx="164">
                  <c:v>181.08230532007292</c:v>
                </c:pt>
                <c:pt idx="165">
                  <c:v>182.45772518675423</c:v>
                </c:pt>
                <c:pt idx="166">
                  <c:v>186.04285255496038</c:v>
                </c:pt>
                <c:pt idx="167">
                  <c:v>187.26043770748748</c:v>
                </c:pt>
                <c:pt idx="168">
                  <c:v>188.86134188106527</c:v>
                </c:pt>
                <c:pt idx="169">
                  <c:v>194.09244448018794</c:v>
                </c:pt>
                <c:pt idx="170">
                  <c:v>188.3201881458605</c:v>
                </c:pt>
                <c:pt idx="171">
                  <c:v>191.65727417513369</c:v>
                </c:pt>
                <c:pt idx="172">
                  <c:v>192.82976676695492</c:v>
                </c:pt>
                <c:pt idx="173">
                  <c:v>198.08342639811417</c:v>
                </c:pt>
                <c:pt idx="174">
                  <c:v>196.68544949939638</c:v>
                </c:pt>
                <c:pt idx="175">
                  <c:v>200.0676495927425</c:v>
                </c:pt>
                <c:pt idx="176">
                  <c:v>202.77339676539924</c:v>
                </c:pt>
                <c:pt idx="177">
                  <c:v>203.72040505032396</c:v>
                </c:pt>
                <c:pt idx="178">
                  <c:v>198.80497187950945</c:v>
                </c:pt>
                <c:pt idx="179">
                  <c:v>199.39121817542011</c:v>
                </c:pt>
                <c:pt idx="180">
                  <c:v>193.52875521631384</c:v>
                </c:pt>
                <c:pt idx="181">
                  <c:v>193.25817834871145</c:v>
                </c:pt>
                <c:pt idx="182">
                  <c:v>192.73958164554315</c:v>
                </c:pt>
                <c:pt idx="183">
                  <c:v>196.73056356346925</c:v>
                </c:pt>
                <c:pt idx="184">
                  <c:v>201.82638848047432</c:v>
                </c:pt>
                <c:pt idx="185">
                  <c:v>201.91657360188611</c:v>
                </c:pt>
                <c:pt idx="186">
                  <c:v>206.89965636544289</c:v>
                </c:pt>
                <c:pt idx="187">
                  <c:v>208.0496134285948</c:v>
                </c:pt>
                <c:pt idx="188">
                  <c:v>208.09470598930068</c:v>
                </c:pt>
                <c:pt idx="189">
                  <c:v>205.59188609150408</c:v>
                </c:pt>
                <c:pt idx="190">
                  <c:v>206.31341006953235</c:v>
                </c:pt>
                <c:pt idx="191">
                  <c:v>201.33032730597543</c:v>
                </c:pt>
                <c:pt idx="192">
                  <c:v>194.13753704089376</c:v>
                </c:pt>
                <c:pt idx="193">
                  <c:v>188.72604269558042</c:v>
                </c:pt>
                <c:pt idx="194">
                  <c:v>186.15557320504141</c:v>
                </c:pt>
                <c:pt idx="195">
                  <c:v>179.41375155375277</c:v>
                </c:pt>
                <c:pt idx="196">
                  <c:v>173.88951505499114</c:v>
                </c:pt>
                <c:pt idx="197">
                  <c:v>180.2705747172657</c:v>
                </c:pt>
                <c:pt idx="198">
                  <c:v>180.72154333105874</c:v>
                </c:pt>
                <c:pt idx="199">
                  <c:v>186.49379966538618</c:v>
                </c:pt>
                <c:pt idx="200">
                  <c:v>184.12627895307429</c:v>
                </c:pt>
                <c:pt idx="201">
                  <c:v>184.23899960315549</c:v>
                </c:pt>
                <c:pt idx="202">
                  <c:v>183.08906404337063</c:v>
                </c:pt>
                <c:pt idx="203">
                  <c:v>187.0123963685545</c:v>
                </c:pt>
                <c:pt idx="204">
                  <c:v>188.04961127825808</c:v>
                </c:pt>
                <c:pt idx="205">
                  <c:v>178.35400111537976</c:v>
                </c:pt>
                <c:pt idx="206">
                  <c:v>182.86357973647415</c:v>
                </c:pt>
                <c:pt idx="207">
                  <c:v>176.30213907969249</c:v>
                </c:pt>
                <c:pt idx="208">
                  <c:v>174.83653409159948</c:v>
                </c:pt>
                <c:pt idx="209">
                  <c:v>178.01578540671858</c:v>
                </c:pt>
                <c:pt idx="210">
                  <c:v>185.29877154489554</c:v>
                </c:pt>
                <c:pt idx="211">
                  <c:v>188.70350716691109</c:v>
                </c:pt>
                <c:pt idx="212">
                  <c:v>163.60766934788575</c:v>
                </c:pt>
                <c:pt idx="213">
                  <c:v>168.81623641833909</c:v>
                </c:pt>
                <c:pt idx="214">
                  <c:v>168.5456595507367</c:v>
                </c:pt>
                <c:pt idx="215">
                  <c:v>175.55805806962772</c:v>
                </c:pt>
                <c:pt idx="216">
                  <c:v>175.67080022307599</c:v>
                </c:pt>
                <c:pt idx="217">
                  <c:v>168.50056699003076</c:v>
                </c:pt>
                <c:pt idx="218">
                  <c:v>166.26832395983649</c:v>
                </c:pt>
                <c:pt idx="219">
                  <c:v>165.68207766392584</c:v>
                </c:pt>
                <c:pt idx="220">
                  <c:v>165.36640823561754</c:v>
                </c:pt>
                <c:pt idx="221">
                  <c:v>164.03608092964214</c:v>
                </c:pt>
                <c:pt idx="222">
                  <c:v>165.61442807118345</c:v>
                </c:pt>
                <c:pt idx="223">
                  <c:v>152.82976246628144</c:v>
                </c:pt>
                <c:pt idx="224">
                  <c:v>151.16121945164485</c:v>
                </c:pt>
                <c:pt idx="225">
                  <c:v>154.54340879330741</c:v>
                </c:pt>
                <c:pt idx="226">
                  <c:v>153.23562776768489</c:v>
                </c:pt>
                <c:pt idx="227">
                  <c:v>159.72942958340772</c:v>
                </c:pt>
                <c:pt idx="228">
                  <c:v>159.41376015509942</c:v>
                </c:pt>
                <c:pt idx="229">
                  <c:v>165.77227353702105</c:v>
                </c:pt>
                <c:pt idx="230">
                  <c:v>166.62908594885053</c:v>
                </c:pt>
                <c:pt idx="231">
                  <c:v>166.49379751504935</c:v>
                </c:pt>
                <c:pt idx="232">
                  <c:v>169.35739015354372</c:v>
                </c:pt>
                <c:pt idx="233">
                  <c:v>165.45659335702933</c:v>
                </c:pt>
                <c:pt idx="234">
                  <c:v>170.10147116360847</c:v>
                </c:pt>
                <c:pt idx="235">
                  <c:v>161.4656114391031</c:v>
                </c:pt>
                <c:pt idx="236">
                  <c:v>168.43291739728829</c:v>
                </c:pt>
                <c:pt idx="237">
                  <c:v>167.84667110137764</c:v>
                </c:pt>
                <c:pt idx="238">
                  <c:v>169.53777114805067</c:v>
                </c:pt>
                <c:pt idx="239">
                  <c:v>168.00451656721526</c:v>
                </c:pt>
                <c:pt idx="240">
                  <c:v>164.39684291865623</c:v>
                </c:pt>
                <c:pt idx="241">
                  <c:v>153.86696662430137</c:v>
                </c:pt>
                <c:pt idx="242">
                  <c:v>157.99323697602867</c:v>
                </c:pt>
                <c:pt idx="243">
                  <c:v>157.88049482258049</c:v>
                </c:pt>
                <c:pt idx="244">
                  <c:v>157.54227911391931</c:v>
                </c:pt>
                <c:pt idx="245">
                  <c:v>148.45547227898803</c:v>
                </c:pt>
                <c:pt idx="246">
                  <c:v>147.71139126892328</c:v>
                </c:pt>
                <c:pt idx="247">
                  <c:v>154.61104763436612</c:v>
                </c:pt>
                <c:pt idx="248">
                  <c:v>158.7147717057405</c:v>
                </c:pt>
                <c:pt idx="249">
                  <c:v>158.60202955229221</c:v>
                </c:pt>
                <c:pt idx="250">
                  <c:v>158.80496757883577</c:v>
                </c:pt>
                <c:pt idx="251">
                  <c:v>157.11386753216271</c:v>
                </c:pt>
                <c:pt idx="252">
                  <c:v>152.35625832381885</c:v>
                </c:pt>
                <c:pt idx="253">
                  <c:v>150.86809630368936</c:v>
                </c:pt>
                <c:pt idx="254">
                  <c:v>158.03832953673458</c:v>
                </c:pt>
                <c:pt idx="255">
                  <c:v>161.3303337569854</c:v>
                </c:pt>
                <c:pt idx="256">
                  <c:v>164.78016193970677</c:v>
                </c:pt>
                <c:pt idx="257">
                  <c:v>165.07328508766216</c:v>
                </c:pt>
                <c:pt idx="258">
                  <c:v>165.20857352146334</c:v>
                </c:pt>
                <c:pt idx="259">
                  <c:v>162.93122717887962</c:v>
                </c:pt>
                <c:pt idx="260">
                  <c:v>168.27508268313417</c:v>
                </c:pt>
                <c:pt idx="261">
                  <c:v>163.11161892507016</c:v>
                </c:pt>
                <c:pt idx="262">
                  <c:v>163.81059662274555</c:v>
                </c:pt>
                <c:pt idx="263">
                  <c:v>158.96280229298998</c:v>
                </c:pt>
                <c:pt idx="264">
                  <c:v>157.49718655321337</c:v>
                </c:pt>
                <c:pt idx="265">
                  <c:v>161.17248829114777</c:v>
                </c:pt>
                <c:pt idx="266">
                  <c:v>163.51747347479028</c:v>
                </c:pt>
                <c:pt idx="267">
                  <c:v>165.93010825117508</c:v>
                </c:pt>
                <c:pt idx="268">
                  <c:v>166.2232313991305</c:v>
                </c:pt>
                <c:pt idx="269">
                  <c:v>165.07328508766219</c:v>
                </c:pt>
                <c:pt idx="270">
                  <c:v>169.47012155530842</c:v>
                </c:pt>
                <c:pt idx="271">
                  <c:v>172.64938362211097</c:v>
                </c:pt>
                <c:pt idx="272">
                  <c:v>177.90304325327011</c:v>
                </c:pt>
                <c:pt idx="273">
                  <c:v>180.69898629902212</c:v>
                </c:pt>
                <c:pt idx="274">
                  <c:v>184.82524589906595</c:v>
                </c:pt>
                <c:pt idx="275">
                  <c:v>183.13415660407634</c:v>
                </c:pt>
                <c:pt idx="276">
                  <c:v>178.94024741129024</c:v>
                </c:pt>
                <c:pt idx="277">
                  <c:v>182.68320949365048</c:v>
                </c:pt>
                <c:pt idx="278">
                  <c:v>184.19390704244944</c:v>
                </c:pt>
                <c:pt idx="279">
                  <c:v>187.44080795031081</c:v>
                </c:pt>
                <c:pt idx="280">
                  <c:v>185.83990377673314</c:v>
                </c:pt>
                <c:pt idx="281">
                  <c:v>187.57610713579558</c:v>
                </c:pt>
                <c:pt idx="282">
                  <c:v>187.39571538960502</c:v>
                </c:pt>
                <c:pt idx="283">
                  <c:v>189.2446393987486</c:v>
                </c:pt>
                <c:pt idx="284">
                  <c:v>189.10936171663099</c:v>
                </c:pt>
                <c:pt idx="285">
                  <c:v>190.50733861534877</c:v>
                </c:pt>
                <c:pt idx="286">
                  <c:v>195.69334865376555</c:v>
                </c:pt>
                <c:pt idx="287">
                  <c:v>196.30215198171268</c:v>
                </c:pt>
                <c:pt idx="288">
                  <c:v>196.12176023552212</c:v>
                </c:pt>
                <c:pt idx="289">
                  <c:v>198.19616855156218</c:v>
                </c:pt>
                <c:pt idx="290">
                  <c:v>195.69334865376553</c:v>
                </c:pt>
                <c:pt idx="291">
                  <c:v>196.00901808207382</c:v>
                </c:pt>
                <c:pt idx="292">
                  <c:v>188.99661956318269</c:v>
                </c:pt>
                <c:pt idx="293">
                  <c:v>188.54567245275678</c:v>
                </c:pt>
                <c:pt idx="294">
                  <c:v>186.92221124714254</c:v>
                </c:pt>
                <c:pt idx="295">
                  <c:v>185.97520296221776</c:v>
                </c:pt>
                <c:pt idx="296">
                  <c:v>181.89403592287982</c:v>
                </c:pt>
                <c:pt idx="297">
                  <c:v>186.15557320504129</c:v>
                </c:pt>
                <c:pt idx="298">
                  <c:v>185.79481121602723</c:v>
                </c:pt>
                <c:pt idx="299">
                  <c:v>188.63585757416857</c:v>
                </c:pt>
                <c:pt idx="300">
                  <c:v>190.25929727641571</c:v>
                </c:pt>
                <c:pt idx="301">
                  <c:v>187.73394184994964</c:v>
                </c:pt>
                <c:pt idx="302">
                  <c:v>190.55243117605454</c:v>
                </c:pt>
                <c:pt idx="303">
                  <c:v>192.37879815316177</c:v>
                </c:pt>
                <c:pt idx="304">
                  <c:v>193.01015851314534</c:v>
                </c:pt>
                <c:pt idx="305">
                  <c:v>199.09808427578108</c:v>
                </c:pt>
                <c:pt idx="306">
                  <c:v>192.08568575688994</c:v>
                </c:pt>
                <c:pt idx="307">
                  <c:v>191.70236673583943</c:v>
                </c:pt>
                <c:pt idx="308">
                  <c:v>191.29651218611932</c:v>
                </c:pt>
                <c:pt idx="309">
                  <c:v>184.50957647075774</c:v>
                </c:pt>
                <c:pt idx="310">
                  <c:v>185.68206906257893</c:v>
                </c:pt>
                <c:pt idx="311">
                  <c:v>189.33484602352746</c:v>
                </c:pt>
                <c:pt idx="312">
                  <c:v>192.15333534963236</c:v>
                </c:pt>
                <c:pt idx="313">
                  <c:v>193.07778660252063</c:v>
                </c:pt>
                <c:pt idx="314">
                  <c:v>197.27169579530684</c:v>
                </c:pt>
                <c:pt idx="315">
                  <c:v>188.27509558515439</c:v>
                </c:pt>
                <c:pt idx="316">
                  <c:v>189.65051545183567</c:v>
                </c:pt>
                <c:pt idx="317">
                  <c:v>194.09244448018771</c:v>
                </c:pt>
                <c:pt idx="318">
                  <c:v>196.86584124558678</c:v>
                </c:pt>
                <c:pt idx="319">
                  <c:v>202.07440831604001</c:v>
                </c:pt>
                <c:pt idx="320">
                  <c:v>202.20970750152475</c:v>
                </c:pt>
                <c:pt idx="321">
                  <c:v>209.04171427422523</c:v>
                </c:pt>
                <c:pt idx="322">
                  <c:v>214.70124995847149</c:v>
                </c:pt>
                <c:pt idx="323">
                  <c:v>212.0631308751901</c:v>
                </c:pt>
                <c:pt idx="324">
                  <c:v>208.27509773549102</c:v>
                </c:pt>
                <c:pt idx="325">
                  <c:v>205.36640178460729</c:v>
                </c:pt>
                <c:pt idx="326">
                  <c:v>206.47124478368622</c:v>
                </c:pt>
                <c:pt idx="327">
                  <c:v>207.41827457197806</c:v>
                </c:pt>
                <c:pt idx="328">
                  <c:v>208.02705639655809</c:v>
                </c:pt>
                <c:pt idx="329">
                  <c:v>209.47012585598168</c:v>
                </c:pt>
                <c:pt idx="330">
                  <c:v>209.74070272358406</c:v>
                </c:pt>
                <c:pt idx="331">
                  <c:v>209.76325975562054</c:v>
                </c:pt>
                <c:pt idx="332">
                  <c:v>210.64261844780302</c:v>
                </c:pt>
                <c:pt idx="333">
                  <c:v>207.19279026508156</c:v>
                </c:pt>
                <c:pt idx="334">
                  <c:v>206.33596710156863</c:v>
                </c:pt>
                <c:pt idx="335">
                  <c:v>193.82186761258532</c:v>
                </c:pt>
                <c:pt idx="336">
                  <c:v>191.67983120716991</c:v>
                </c:pt>
                <c:pt idx="337">
                  <c:v>184.39685582067642</c:v>
                </c:pt>
                <c:pt idx="338">
                  <c:v>184.10372192103759</c:v>
                </c:pt>
                <c:pt idx="339">
                  <c:v>184.46448391005177</c:v>
                </c:pt>
                <c:pt idx="340">
                  <c:v>186.92221124714251</c:v>
                </c:pt>
                <c:pt idx="341">
                  <c:v>179.23337055924554</c:v>
                </c:pt>
                <c:pt idx="342">
                  <c:v>183.08906404337048</c:v>
                </c:pt>
                <c:pt idx="343">
                  <c:v>182.75083758302583</c:v>
                </c:pt>
                <c:pt idx="344">
                  <c:v>187.68884928924379</c:v>
                </c:pt>
                <c:pt idx="345">
                  <c:v>186.290872390526</c:v>
                </c:pt>
                <c:pt idx="346">
                  <c:v>183.42729050371517</c:v>
                </c:pt>
                <c:pt idx="347">
                  <c:v>186.15557320504126</c:v>
                </c:pt>
                <c:pt idx="348">
                  <c:v>184.80271037039654</c:v>
                </c:pt>
                <c:pt idx="349">
                  <c:v>174.72379193815112</c:v>
                </c:pt>
                <c:pt idx="350">
                  <c:v>175.28749195370875</c:v>
                </c:pt>
                <c:pt idx="351">
                  <c:v>174.16009192259335</c:v>
                </c:pt>
                <c:pt idx="352">
                  <c:v>170.95828357543792</c:v>
                </c:pt>
                <c:pt idx="353">
                  <c:v>171.47689103028966</c:v>
                </c:pt>
                <c:pt idx="354">
                  <c:v>163.42728835337851</c:v>
                </c:pt>
                <c:pt idx="355">
                  <c:v>157.04622869110395</c:v>
                </c:pt>
                <c:pt idx="356">
                  <c:v>163.4047420730256</c:v>
                </c:pt>
                <c:pt idx="357">
                  <c:v>164.93799665386101</c:v>
                </c:pt>
                <c:pt idx="358">
                  <c:v>165.93010825117511</c:v>
                </c:pt>
                <c:pt idx="359">
                  <c:v>166.44870495434341</c:v>
                </c:pt>
                <c:pt idx="360">
                  <c:v>168.38782483658238</c:v>
                </c:pt>
                <c:pt idx="361">
                  <c:v>171.3190563161356</c:v>
                </c:pt>
                <c:pt idx="362">
                  <c:v>173.59639190703572</c:v>
                </c:pt>
                <c:pt idx="363">
                  <c:v>172.73956874352271</c:v>
                </c:pt>
                <c:pt idx="364">
                  <c:v>170.71026373987203</c:v>
                </c:pt>
                <c:pt idx="365">
                  <c:v>168.04960912792123</c:v>
                </c:pt>
                <c:pt idx="366">
                  <c:v>168.99661741284598</c:v>
                </c:pt>
                <c:pt idx="367">
                  <c:v>173.52875306597696</c:v>
                </c:pt>
                <c:pt idx="368">
                  <c:v>173.48364975358749</c:v>
                </c:pt>
                <c:pt idx="369">
                  <c:v>171.65727202479681</c:v>
                </c:pt>
                <c:pt idx="370">
                  <c:v>171.00338688782733</c:v>
                </c:pt>
                <c:pt idx="371">
                  <c:v>168.816236418339</c:v>
                </c:pt>
                <c:pt idx="372">
                  <c:v>169.67305958185193</c:v>
                </c:pt>
                <c:pt idx="373">
                  <c:v>173.0552489235146</c:v>
                </c:pt>
                <c:pt idx="374">
                  <c:v>173.2356299180216</c:v>
                </c:pt>
                <c:pt idx="375">
                  <c:v>174.04734976914528</c:v>
                </c:pt>
                <c:pt idx="376">
                  <c:v>176.12175808518543</c:v>
                </c:pt>
                <c:pt idx="377">
                  <c:v>177.76775481946902</c:v>
                </c:pt>
                <c:pt idx="378">
                  <c:v>177.88049697291731</c:v>
                </c:pt>
                <c:pt idx="379">
                  <c:v>177.11386968249957</c:v>
                </c:pt>
                <c:pt idx="380">
                  <c:v>181.62345905527749</c:v>
                </c:pt>
                <c:pt idx="381">
                  <c:v>182.75083758302591</c:v>
                </c:pt>
                <c:pt idx="382">
                  <c:v>189.53777329838749</c:v>
                </c:pt>
                <c:pt idx="383">
                  <c:v>191.00337828648054</c:v>
                </c:pt>
                <c:pt idx="384">
                  <c:v>191.70236673583949</c:v>
                </c:pt>
                <c:pt idx="385">
                  <c:v>191.13867747196528</c:v>
                </c:pt>
                <c:pt idx="386">
                  <c:v>195.15219491856084</c:v>
                </c:pt>
                <c:pt idx="387">
                  <c:v>194.9267321150314</c:v>
                </c:pt>
                <c:pt idx="388">
                  <c:v>196.97858339903507</c:v>
                </c:pt>
                <c:pt idx="389">
                  <c:v>197.40699498079164</c:v>
                </c:pt>
                <c:pt idx="390">
                  <c:v>197.54227266290926</c:v>
                </c:pt>
                <c:pt idx="391">
                  <c:v>195.21984451130319</c:v>
                </c:pt>
                <c:pt idx="392">
                  <c:v>192.42391221723474</c:v>
                </c:pt>
                <c:pt idx="393">
                  <c:v>192.46900477794063</c:v>
                </c:pt>
                <c:pt idx="394">
                  <c:v>187.05748892926027</c:v>
                </c:pt>
                <c:pt idx="395">
                  <c:v>185.88501784080606</c:v>
                </c:pt>
                <c:pt idx="396">
                  <c:v>181.08230532007269</c:v>
                </c:pt>
                <c:pt idx="397">
                  <c:v>178.17362012087253</c:v>
                </c:pt>
                <c:pt idx="398">
                  <c:v>194.02479488744549</c:v>
                </c:pt>
                <c:pt idx="399">
                  <c:v>182.32244750463641</c:v>
                </c:pt>
                <c:pt idx="400">
                  <c:v>185.02819467729304</c:v>
                </c:pt>
                <c:pt idx="401">
                  <c:v>183.67531033928117</c:v>
                </c:pt>
                <c:pt idx="402">
                  <c:v>190.23676174774639</c:v>
                </c:pt>
                <c:pt idx="403">
                  <c:v>188.34272367452974</c:v>
                </c:pt>
                <c:pt idx="404">
                  <c:v>185.32130707356484</c:v>
                </c:pt>
                <c:pt idx="405">
                  <c:v>189.19954683804278</c:v>
                </c:pt>
                <c:pt idx="406">
                  <c:v>181.9842210442917</c:v>
                </c:pt>
                <c:pt idx="407">
                  <c:v>180.60880117761033</c:v>
                </c:pt>
                <c:pt idx="408">
                  <c:v>181.87147889084335</c:v>
                </c:pt>
                <c:pt idx="409">
                  <c:v>182.99887892195875</c:v>
                </c:pt>
                <c:pt idx="410">
                  <c:v>179.63923586064914</c:v>
                </c:pt>
                <c:pt idx="411">
                  <c:v>184.82524589906598</c:v>
                </c:pt>
                <c:pt idx="412">
                  <c:v>184.32920622793418</c:v>
                </c:pt>
                <c:pt idx="413">
                  <c:v>181.17249044148451</c:v>
                </c:pt>
                <c:pt idx="414">
                  <c:v>182.93122932921642</c:v>
                </c:pt>
                <c:pt idx="415">
                  <c:v>182.32244750463641</c:v>
                </c:pt>
                <c:pt idx="416">
                  <c:v>175.53551178927475</c:v>
                </c:pt>
                <c:pt idx="417">
                  <c:v>175.80608865687711</c:v>
                </c:pt>
                <c:pt idx="418">
                  <c:v>178.53439286157021</c:v>
                </c:pt>
                <c:pt idx="419">
                  <c:v>175.94137709067832</c:v>
                </c:pt>
                <c:pt idx="420">
                  <c:v>176.36978867243477</c:v>
                </c:pt>
                <c:pt idx="421">
                  <c:v>181.26267556289625</c:v>
                </c:pt>
                <c:pt idx="422">
                  <c:v>180.60880117761033</c:v>
                </c:pt>
                <c:pt idx="423">
                  <c:v>178.15107384051964</c:v>
                </c:pt>
                <c:pt idx="424">
                  <c:v>178.60203170262898</c:v>
                </c:pt>
                <c:pt idx="425">
                  <c:v>180.0451011620527</c:v>
                </c:pt>
                <c:pt idx="426">
                  <c:v>176.70800438109595</c:v>
                </c:pt>
                <c:pt idx="427">
                  <c:v>176.12175808518541</c:v>
                </c:pt>
                <c:pt idx="428">
                  <c:v>179.63923586064917</c:v>
                </c:pt>
                <c:pt idx="429">
                  <c:v>179.14318543783378</c:v>
                </c:pt>
                <c:pt idx="430">
                  <c:v>177.83540441221137</c:v>
                </c:pt>
                <c:pt idx="431">
                  <c:v>176.82074653454427</c:v>
                </c:pt>
                <c:pt idx="432">
                  <c:v>176.39233495278779</c:v>
                </c:pt>
                <c:pt idx="433">
                  <c:v>178.71477385607733</c:v>
                </c:pt>
                <c:pt idx="434">
                  <c:v>178.75986641678324</c:v>
                </c:pt>
                <c:pt idx="435">
                  <c:v>178.78241269713615</c:v>
                </c:pt>
                <c:pt idx="436">
                  <c:v>177.81285813185849</c:v>
                </c:pt>
                <c:pt idx="437">
                  <c:v>171.8602100513404</c:v>
                </c:pt>
                <c:pt idx="438">
                  <c:v>173.07779520386751</c:v>
                </c:pt>
                <c:pt idx="439">
                  <c:v>173.73168034083696</c:v>
                </c:pt>
                <c:pt idx="440">
                  <c:v>170.57497530607088</c:v>
                </c:pt>
                <c:pt idx="441">
                  <c:v>174.45321507054885</c:v>
                </c:pt>
                <c:pt idx="442">
                  <c:v>174.72379193815124</c:v>
                </c:pt>
                <c:pt idx="443">
                  <c:v>175.44532666786299</c:v>
                </c:pt>
                <c:pt idx="444">
                  <c:v>172.10822988690634</c:v>
                </c:pt>
                <c:pt idx="445">
                  <c:v>175.6257076623701</c:v>
                </c:pt>
                <c:pt idx="446">
                  <c:v>174.97182252540063</c:v>
                </c:pt>
                <c:pt idx="447">
                  <c:v>178.48928954918094</c:v>
                </c:pt>
                <c:pt idx="448">
                  <c:v>178.82751600952571</c:v>
                </c:pt>
                <c:pt idx="449">
                  <c:v>177.40699283045501</c:v>
                </c:pt>
                <c:pt idx="450">
                  <c:v>175.35513079476775</c:v>
                </c:pt>
                <c:pt idx="451">
                  <c:v>177.92558953362331</c:v>
                </c:pt>
                <c:pt idx="452">
                  <c:v>172.62683734175812</c:v>
                </c:pt>
                <c:pt idx="453">
                  <c:v>171.99548773345808</c:v>
                </c:pt>
                <c:pt idx="454">
                  <c:v>173.70913406048416</c:v>
                </c:pt>
                <c:pt idx="455">
                  <c:v>176.00902668342079</c:v>
                </c:pt>
                <c:pt idx="456">
                  <c:v>182.54791030816588</c:v>
                </c:pt>
                <c:pt idx="457">
                  <c:v>181.46562434112349</c:v>
                </c:pt>
                <c:pt idx="458">
                  <c:v>181.08230532007283</c:v>
                </c:pt>
                <c:pt idx="459">
                  <c:v>182.07440616570349</c:v>
                </c:pt>
                <c:pt idx="460">
                  <c:v>186.2908723905262</c:v>
                </c:pt>
                <c:pt idx="461">
                  <c:v>183.90079464617776</c:v>
                </c:pt>
                <c:pt idx="462">
                  <c:v>203.22434387582513</c:v>
                </c:pt>
                <c:pt idx="463">
                  <c:v>207.19279026508181</c:v>
                </c:pt>
                <c:pt idx="464">
                  <c:v>206.62907949784059</c:v>
                </c:pt>
                <c:pt idx="465">
                  <c:v>209.94362999844444</c:v>
                </c:pt>
                <c:pt idx="466">
                  <c:v>212.33370774279277</c:v>
                </c:pt>
                <c:pt idx="467">
                  <c:v>216.97858554937193</c:v>
                </c:pt>
                <c:pt idx="468">
                  <c:v>216.34724669275548</c:v>
                </c:pt>
                <c:pt idx="469">
                  <c:v>225.45658905635611</c:v>
                </c:pt>
                <c:pt idx="470">
                  <c:v>224.73506507832781</c:v>
                </c:pt>
                <c:pt idx="471">
                  <c:v>225.74972295599497</c:v>
                </c:pt>
                <c:pt idx="472">
                  <c:v>228.95153130315052</c:v>
                </c:pt>
                <c:pt idx="473">
                  <c:v>234.13754134156736</c:v>
                </c:pt>
                <c:pt idx="474">
                  <c:v>236.91093810696631</c:v>
                </c:pt>
                <c:pt idx="475">
                  <c:v>231.00338258715414</c:v>
                </c:pt>
                <c:pt idx="476">
                  <c:v>232.28861733242366</c:v>
                </c:pt>
                <c:pt idx="477">
                  <c:v>234.06989174882497</c:v>
                </c:pt>
                <c:pt idx="478">
                  <c:v>237.06877282112055</c:v>
                </c:pt>
                <c:pt idx="479">
                  <c:v>235.33259096542514</c:v>
                </c:pt>
                <c:pt idx="480">
                  <c:v>237.27170009598052</c:v>
                </c:pt>
                <c:pt idx="481">
                  <c:v>237.00112322837816</c:v>
                </c:pt>
                <c:pt idx="482">
                  <c:v>234.31793308775801</c:v>
                </c:pt>
                <c:pt idx="483">
                  <c:v>234.04735622015565</c:v>
                </c:pt>
                <c:pt idx="484">
                  <c:v>233.52875951698738</c:v>
                </c:pt>
                <c:pt idx="485">
                  <c:v>236.55017611795225</c:v>
                </c:pt>
                <c:pt idx="486">
                  <c:v>233.57385207769315</c:v>
                </c:pt>
                <c:pt idx="487">
                  <c:v>234.1600983736038</c:v>
                </c:pt>
                <c:pt idx="488">
                  <c:v>233.48364545291443</c:v>
                </c:pt>
                <c:pt idx="489">
                  <c:v>234.81397275888972</c:v>
                </c:pt>
                <c:pt idx="490">
                  <c:v>235.4002190548004</c:v>
                </c:pt>
                <c:pt idx="491">
                  <c:v>238.19617285223586</c:v>
                </c:pt>
                <c:pt idx="492">
                  <c:v>241.80383574911141</c:v>
                </c:pt>
                <c:pt idx="493">
                  <c:v>239.79707702581362</c:v>
                </c:pt>
                <c:pt idx="494">
                  <c:v>243.5174820761375</c:v>
                </c:pt>
                <c:pt idx="495">
                  <c:v>246.96731025885887</c:v>
                </c:pt>
                <c:pt idx="496">
                  <c:v>241.08231177108311</c:v>
                </c:pt>
                <c:pt idx="497">
                  <c:v>243.11160602305034</c:v>
                </c:pt>
                <c:pt idx="498">
                  <c:v>243.02142090163861</c:v>
                </c:pt>
                <c:pt idx="499">
                  <c:v>244.05863581134221</c:v>
                </c:pt>
                <c:pt idx="500">
                  <c:v>242.27733989157377</c:v>
                </c:pt>
                <c:pt idx="501">
                  <c:v>241.14993986045849</c:v>
                </c:pt>
                <c:pt idx="502">
                  <c:v>240.72152827870192</c:v>
                </c:pt>
                <c:pt idx="503">
                  <c:v>247.30553671920362</c:v>
                </c:pt>
                <c:pt idx="504">
                  <c:v>250.75536490192499</c:v>
                </c:pt>
                <c:pt idx="505">
                  <c:v>252.53663931832634</c:v>
                </c:pt>
                <c:pt idx="506">
                  <c:v>252.28861948276042</c:v>
                </c:pt>
                <c:pt idx="507">
                  <c:v>256.3021369293561</c:v>
                </c:pt>
                <c:pt idx="508">
                  <c:v>258.12852540983033</c:v>
                </c:pt>
                <c:pt idx="509">
                  <c:v>257.76776342081615</c:v>
                </c:pt>
                <c:pt idx="510">
                  <c:v>263.11160817338714</c:v>
                </c:pt>
                <c:pt idx="511">
                  <c:v>263.17925776612947</c:v>
                </c:pt>
                <c:pt idx="512">
                  <c:v>263.92333877619421</c:v>
                </c:pt>
                <c:pt idx="513">
                  <c:v>268.52312402206746</c:v>
                </c:pt>
                <c:pt idx="514">
                  <c:v>264.91543962182487</c:v>
                </c:pt>
                <c:pt idx="515">
                  <c:v>265.25366608216967</c:v>
                </c:pt>
                <c:pt idx="516">
                  <c:v>265.59189254251442</c:v>
                </c:pt>
                <c:pt idx="517">
                  <c:v>268.47800995799457</c:v>
                </c:pt>
                <c:pt idx="518">
                  <c:v>266.04283965294036</c:v>
                </c:pt>
                <c:pt idx="519">
                  <c:v>258.01578325638212</c:v>
                </c:pt>
                <c:pt idx="520">
                  <c:v>265.02818177527325</c:v>
                </c:pt>
                <c:pt idx="521">
                  <c:v>264.41939995069316</c:v>
                </c:pt>
                <c:pt idx="522">
                  <c:v>266.80947769504161</c:v>
                </c:pt>
                <c:pt idx="523">
                  <c:v>260.11274860445872</c:v>
                </c:pt>
                <c:pt idx="524">
                  <c:v>262.66066106296125</c:v>
                </c:pt>
                <c:pt idx="525">
                  <c:v>270.75536705226182</c:v>
                </c:pt>
                <c:pt idx="526">
                  <c:v>270.07891413157239</c:v>
                </c:pt>
                <c:pt idx="527">
                  <c:v>273.57385637836671</c:v>
                </c:pt>
                <c:pt idx="528">
                  <c:v>264.05863796167904</c:v>
                </c:pt>
                <c:pt idx="529">
                  <c:v>267.71139341926039</c:v>
                </c:pt>
                <c:pt idx="530">
                  <c:v>264.53214210414143</c:v>
                </c:pt>
                <c:pt idx="531">
                  <c:v>264.71251234696496</c:v>
                </c:pt>
                <c:pt idx="532">
                  <c:v>268.54565955073696</c:v>
                </c:pt>
                <c:pt idx="533">
                  <c:v>268.74858682559699</c:v>
                </c:pt>
                <c:pt idx="534">
                  <c:v>269.33483312150764</c:v>
                </c:pt>
                <c:pt idx="535">
                  <c:v>268.77114385763343</c:v>
                </c:pt>
                <c:pt idx="536">
                  <c:v>266.0653966849768</c:v>
                </c:pt>
                <c:pt idx="537">
                  <c:v>258.12852540983033</c:v>
                </c:pt>
                <c:pt idx="538">
                  <c:v>245.09582921767873</c:v>
                </c:pt>
                <c:pt idx="539">
                  <c:v>236.86584554626057</c:v>
                </c:pt>
                <c:pt idx="540">
                  <c:v>239.59414975095368</c:v>
                </c:pt>
                <c:pt idx="541">
                  <c:v>231.43179416891078</c:v>
                </c:pt>
                <c:pt idx="542">
                  <c:v>230.12402389497183</c:v>
                </c:pt>
                <c:pt idx="543">
                  <c:v>248.25254500412842</c:v>
                </c:pt>
                <c:pt idx="544">
                  <c:v>233.43855289220858</c:v>
                </c:pt>
                <c:pt idx="545">
                  <c:v>241.37542416735505</c:v>
                </c:pt>
                <c:pt idx="546">
                  <c:v>234.49830333058165</c:v>
                </c:pt>
                <c:pt idx="547">
                  <c:v>224.35174605727732</c:v>
                </c:pt>
                <c:pt idx="548">
                  <c:v>196.48252222453652</c:v>
                </c:pt>
                <c:pt idx="549">
                  <c:v>204.55467118180067</c:v>
                </c:pt>
                <c:pt idx="550">
                  <c:v>198.30891070501076</c:v>
                </c:pt>
                <c:pt idx="551">
                  <c:v>170.93573729508523</c:v>
                </c:pt>
                <c:pt idx="552">
                  <c:v>186.33596495123228</c:v>
                </c:pt>
                <c:pt idx="553">
                  <c:v>170.68771745951932</c:v>
                </c:pt>
                <c:pt idx="554">
                  <c:v>175.9188308103256</c:v>
                </c:pt>
                <c:pt idx="555">
                  <c:v>172.53664146866302</c:v>
                </c:pt>
                <c:pt idx="556">
                  <c:v>194.2728362263787</c:v>
                </c:pt>
                <c:pt idx="557">
                  <c:v>191.4543469002738</c:v>
                </c:pt>
                <c:pt idx="558">
                  <c:v>193.6865899304681</c:v>
                </c:pt>
                <c:pt idx="559">
                  <c:v>224.98308491389392</c:v>
                </c:pt>
                <c:pt idx="560">
                  <c:v>218.57948972294992</c:v>
                </c:pt>
                <c:pt idx="561">
                  <c:v>224.21646837515974</c:v>
                </c:pt>
                <c:pt idx="562">
                  <c:v>219.3461062616841</c:v>
                </c:pt>
                <c:pt idx="563">
                  <c:v>227.62120399717534</c:v>
                </c:pt>
                <c:pt idx="564">
                  <c:v>228.11724366830717</c:v>
                </c:pt>
                <c:pt idx="565">
                  <c:v>226.53889652676583</c:v>
                </c:pt>
                <c:pt idx="566">
                  <c:v>227.55355440443296</c:v>
                </c:pt>
                <c:pt idx="567">
                  <c:v>228.72604699625421</c:v>
                </c:pt>
                <c:pt idx="568">
                  <c:v>243.24690520853534</c:v>
                </c:pt>
                <c:pt idx="569">
                  <c:v>240.56369356454803</c:v>
                </c:pt>
                <c:pt idx="570">
                  <c:v>246.17813668808839</c:v>
                </c:pt>
                <c:pt idx="571">
                  <c:v>229.83088999533311</c:v>
                </c:pt>
                <c:pt idx="572">
                  <c:v>235.94137279000532</c:v>
                </c:pt>
                <c:pt idx="573">
                  <c:v>246.56145570913901</c:v>
                </c:pt>
                <c:pt idx="574">
                  <c:v>247.68883423688729</c:v>
                </c:pt>
                <c:pt idx="575">
                  <c:v>248.59074996110624</c:v>
                </c:pt>
                <c:pt idx="576">
                  <c:v>254.70123275577845</c:v>
                </c:pt>
                <c:pt idx="577">
                  <c:v>253.32581288909711</c:v>
                </c:pt>
                <c:pt idx="578">
                  <c:v>228.13980070034359</c:v>
                </c:pt>
                <c:pt idx="579">
                  <c:v>235.19729177994051</c:v>
                </c:pt>
                <c:pt idx="580">
                  <c:v>226.80947339436815</c:v>
                </c:pt>
                <c:pt idx="581">
                  <c:v>232.85230659629795</c:v>
                </c:pt>
                <c:pt idx="582">
                  <c:v>238.19617285223592</c:v>
                </c:pt>
                <c:pt idx="583">
                  <c:v>237.74520423844299</c:v>
                </c:pt>
                <c:pt idx="584">
                  <c:v>244.68997466795875</c:v>
                </c:pt>
                <c:pt idx="585">
                  <c:v>242.93123578022684</c:v>
                </c:pt>
                <c:pt idx="586">
                  <c:v>235.26494137268281</c:v>
                </c:pt>
                <c:pt idx="587">
                  <c:v>238.33145053435362</c:v>
                </c:pt>
                <c:pt idx="588">
                  <c:v>244.78015978937054</c:v>
                </c:pt>
                <c:pt idx="589">
                  <c:v>251.31905416579923</c:v>
                </c:pt>
                <c:pt idx="590">
                  <c:v>304.6674240869325</c:v>
                </c:pt>
                <c:pt idx="591">
                  <c:v>308.54566385141044</c:v>
                </c:pt>
                <c:pt idx="592">
                  <c:v>316.70799793008632</c:v>
                </c:pt>
                <c:pt idx="593">
                  <c:v>312.0405845948377</c:v>
                </c:pt>
                <c:pt idx="594">
                  <c:v>309.26718782943868</c:v>
                </c:pt>
                <c:pt idx="595">
                  <c:v>311.29650358477289</c:v>
                </c:pt>
                <c:pt idx="596">
                  <c:v>323.40474852403611</c:v>
                </c:pt>
                <c:pt idx="597">
                  <c:v>326.2006808181045</c:v>
                </c:pt>
                <c:pt idx="598">
                  <c:v>326.53890727844924</c:v>
                </c:pt>
                <c:pt idx="599">
                  <c:v>328.34273872688703</c:v>
                </c:pt>
                <c:pt idx="600">
                  <c:v>323.29200637058779</c:v>
                </c:pt>
                <c:pt idx="601">
                  <c:v>321.62345260426775</c:v>
                </c:pt>
                <c:pt idx="602">
                  <c:v>310.1014754642822</c:v>
                </c:pt>
                <c:pt idx="603">
                  <c:v>295.71589493411881</c:v>
                </c:pt>
                <c:pt idx="604">
                  <c:v>303.65276620926522</c:v>
                </c:pt>
                <c:pt idx="605">
                  <c:v>313.86697307531182</c:v>
                </c:pt>
                <c:pt idx="606">
                  <c:v>326.38107256429498</c:v>
                </c:pt>
                <c:pt idx="607">
                  <c:v>324.55468408382075</c:v>
                </c:pt>
                <c:pt idx="608">
                  <c:v>322.18714186814174</c:v>
                </c:pt>
                <c:pt idx="609">
                  <c:v>314.72379623882483</c:v>
                </c:pt>
                <c:pt idx="610">
                  <c:v>316.75311199415904</c:v>
                </c:pt>
                <c:pt idx="611">
                  <c:v>310.05638290357621</c:v>
                </c:pt>
                <c:pt idx="612">
                  <c:v>306.47125553537006</c:v>
                </c:pt>
                <c:pt idx="613">
                  <c:v>310.349495299848</c:v>
                </c:pt>
                <c:pt idx="614">
                  <c:v>297.02368671142466</c:v>
                </c:pt>
                <c:pt idx="615">
                  <c:v>293.88952795701152</c:v>
                </c:pt>
                <c:pt idx="616">
                  <c:v>306.44869850333362</c:v>
                </c:pt>
                <c:pt idx="617">
                  <c:v>308.2976440158443</c:v>
                </c:pt>
                <c:pt idx="618">
                  <c:v>305.4791546897394</c:v>
                </c:pt>
                <c:pt idx="619">
                  <c:v>305.83991667875347</c:v>
                </c:pt>
                <c:pt idx="620">
                  <c:v>308.25252995177135</c:v>
                </c:pt>
                <c:pt idx="621">
                  <c:v>322.14204930743591</c:v>
                </c:pt>
                <c:pt idx="622">
                  <c:v>309.06426055457854</c:v>
                </c:pt>
                <c:pt idx="623">
                  <c:v>302.88612816716397</c:v>
                </c:pt>
                <c:pt idx="624">
                  <c:v>306.26832826051009</c:v>
                </c:pt>
                <c:pt idx="625">
                  <c:v>303.38218934166275</c:v>
                </c:pt>
                <c:pt idx="626">
                  <c:v>300.94701903660842</c:v>
                </c:pt>
                <c:pt idx="627">
                  <c:v>309.51522916837143</c:v>
                </c:pt>
                <c:pt idx="628">
                  <c:v>313.91206563601764</c:v>
                </c:pt>
                <c:pt idx="629">
                  <c:v>312.15332674828579</c:v>
                </c:pt>
                <c:pt idx="630">
                  <c:v>314.99437310642713</c:v>
                </c:pt>
                <c:pt idx="631">
                  <c:v>311.07101927787625</c:v>
                </c:pt>
                <c:pt idx="632">
                  <c:v>329.98873546117045</c:v>
                </c:pt>
                <c:pt idx="633">
                  <c:v>337.31680340836988</c:v>
                </c:pt>
                <c:pt idx="634">
                  <c:v>328.74859327660687</c:v>
                </c:pt>
                <c:pt idx="635">
                  <c:v>295.64826684474332</c:v>
                </c:pt>
                <c:pt idx="636">
                  <c:v>303.22435462750866</c:v>
                </c:pt>
                <c:pt idx="637">
                  <c:v>291.58963533407484</c:v>
                </c:pt>
                <c:pt idx="638">
                  <c:v>287.14768480235568</c:v>
                </c:pt>
                <c:pt idx="639">
                  <c:v>291.13866672028195</c:v>
                </c:pt>
                <c:pt idx="640">
                  <c:v>303.92334307686747</c:v>
                </c:pt>
                <c:pt idx="641">
                  <c:v>301.37543061836493</c:v>
                </c:pt>
                <c:pt idx="642">
                  <c:v>302.79594304575204</c:v>
                </c:pt>
                <c:pt idx="643">
                  <c:v>304.75760920834398</c:v>
                </c:pt>
                <c:pt idx="644">
                  <c:v>299.97745371964709</c:v>
                </c:pt>
                <c:pt idx="645">
                  <c:v>308.11725226965353</c:v>
                </c:pt>
                <c:pt idx="646">
                  <c:v>300.8342768831601</c:v>
                </c:pt>
                <c:pt idx="647">
                  <c:v>308.5456638514101</c:v>
                </c:pt>
                <c:pt idx="648">
                  <c:v>308.34273657655007</c:v>
                </c:pt>
                <c:pt idx="649">
                  <c:v>311.83765731997732</c:v>
                </c:pt>
                <c:pt idx="650">
                  <c:v>311.65726557378679</c:v>
                </c:pt>
                <c:pt idx="651">
                  <c:v>313.03270694383502</c:v>
                </c:pt>
                <c:pt idx="652">
                  <c:v>315.94138139135174</c:v>
                </c:pt>
                <c:pt idx="653">
                  <c:v>314.5659615246704</c:v>
                </c:pt>
                <c:pt idx="654">
                  <c:v>295.37768997714085</c:v>
                </c:pt>
                <c:pt idx="655">
                  <c:v>286.08793436398258</c:v>
                </c:pt>
                <c:pt idx="656">
                  <c:v>285.43405997869667</c:v>
                </c:pt>
                <c:pt idx="657">
                  <c:v>285.68207981426252</c:v>
                </c:pt>
                <c:pt idx="658">
                  <c:v>287.35063358058267</c:v>
                </c:pt>
                <c:pt idx="659">
                  <c:v>287.71139556959668</c:v>
                </c:pt>
                <c:pt idx="660">
                  <c:v>291.22887334506049</c:v>
                </c:pt>
                <c:pt idx="661">
                  <c:v>292.94249816871945</c:v>
                </c:pt>
                <c:pt idx="662">
                  <c:v>292.01804691583106</c:v>
                </c:pt>
                <c:pt idx="663">
                  <c:v>301.21759590421055</c:v>
                </c:pt>
                <c:pt idx="664">
                  <c:v>296.97857264735154</c:v>
                </c:pt>
                <c:pt idx="665">
                  <c:v>300.02254628035286</c:v>
                </c:pt>
                <c:pt idx="666">
                  <c:v>300.51860745485169</c:v>
                </c:pt>
                <c:pt idx="667">
                  <c:v>309.40248701492283</c:v>
                </c:pt>
                <c:pt idx="668">
                  <c:v>297.79030325015856</c:v>
                </c:pt>
                <c:pt idx="669">
                  <c:v>294.79144368123008</c:v>
                </c:pt>
                <c:pt idx="670">
                  <c:v>297.6550255680408</c:v>
                </c:pt>
                <c:pt idx="671">
                  <c:v>294.29538250673113</c:v>
                </c:pt>
                <c:pt idx="672">
                  <c:v>298.9853528740162</c:v>
                </c:pt>
                <c:pt idx="673">
                  <c:v>272.15332244761203</c:v>
                </c:pt>
                <c:pt idx="674">
                  <c:v>265.25366608216922</c:v>
                </c:pt>
                <c:pt idx="675">
                  <c:v>260.24802628657585</c:v>
                </c:pt>
                <c:pt idx="676">
                  <c:v>264.05863796167853</c:v>
                </c:pt>
                <c:pt idx="677">
                  <c:v>263.26944288754072</c:v>
                </c:pt>
                <c:pt idx="678">
                  <c:v>259.6843370227017</c:v>
                </c:pt>
                <c:pt idx="679">
                  <c:v>266.08793221364562</c:v>
                </c:pt>
                <c:pt idx="680">
                  <c:v>266.51634379540218</c:v>
                </c:pt>
                <c:pt idx="681">
                  <c:v>263.65276190859134</c:v>
                </c:pt>
                <c:pt idx="682">
                  <c:v>260.0901915724217</c:v>
                </c:pt>
                <c:pt idx="683">
                  <c:v>264.44193547936197</c:v>
                </c:pt>
                <c:pt idx="684">
                  <c:v>265.70463469596206</c:v>
                </c:pt>
                <c:pt idx="685">
                  <c:v>267.59865126581161</c:v>
                </c:pt>
                <c:pt idx="686">
                  <c:v>259.90982132959812</c:v>
                </c:pt>
                <c:pt idx="687">
                  <c:v>260.42841803276639</c:v>
                </c:pt>
                <c:pt idx="688">
                  <c:v>263.38218504098887</c:v>
                </c:pt>
                <c:pt idx="689">
                  <c:v>264.5095850721043</c:v>
                </c:pt>
                <c:pt idx="690">
                  <c:v>264.03608092964191</c:v>
                </c:pt>
                <c:pt idx="691">
                  <c:v>265.63698510321956</c:v>
                </c:pt>
                <c:pt idx="692">
                  <c:v>271.13866456994475</c:v>
                </c:pt>
                <c:pt idx="693">
                  <c:v>262.41261972402771</c:v>
                </c:pt>
                <c:pt idx="694">
                  <c:v>268.5231240220669</c:v>
                </c:pt>
                <c:pt idx="695">
                  <c:v>266.74182810229854</c:v>
                </c:pt>
                <c:pt idx="696">
                  <c:v>272.13078691894248</c:v>
                </c:pt>
                <c:pt idx="697">
                  <c:v>274.27282332435789</c:v>
                </c:pt>
                <c:pt idx="698">
                  <c:v>284.50958722244098</c:v>
                </c:pt>
                <c:pt idx="699">
                  <c:v>290.59751298507672</c:v>
                </c:pt>
                <c:pt idx="700">
                  <c:v>294.4983097815911</c:v>
                </c:pt>
                <c:pt idx="701">
                  <c:v>293.43855934321806</c:v>
                </c:pt>
                <c:pt idx="702">
                  <c:v>297.06877927213003</c:v>
                </c:pt>
                <c:pt idx="703">
                  <c:v>296.59527512966764</c:v>
                </c:pt>
                <c:pt idx="704">
                  <c:v>290.4622353029589</c:v>
                </c:pt>
                <c:pt idx="705">
                  <c:v>298.80496112782549</c:v>
                </c:pt>
                <c:pt idx="706">
                  <c:v>293.07779735420382</c:v>
                </c:pt>
                <c:pt idx="707">
                  <c:v>288.97407328282941</c:v>
                </c:pt>
                <c:pt idx="708">
                  <c:v>293.97971307842278</c:v>
                </c:pt>
                <c:pt idx="709">
                  <c:v>277.74520853911571</c:v>
                </c:pt>
                <c:pt idx="710">
                  <c:v>280.11275075479472</c:v>
                </c:pt>
                <c:pt idx="711">
                  <c:v>268.20745459375854</c:v>
                </c:pt>
                <c:pt idx="712">
                  <c:v>266.06539668497612</c:v>
                </c:pt>
                <c:pt idx="713">
                  <c:v>248.86132682870789</c:v>
                </c:pt>
                <c:pt idx="714">
                  <c:v>249.35738800320675</c:v>
                </c:pt>
                <c:pt idx="715">
                  <c:v>253.46111207458111</c:v>
                </c:pt>
                <c:pt idx="716">
                  <c:v>262.09695029571935</c:v>
                </c:pt>
                <c:pt idx="717">
                  <c:v>269.47013230699156</c:v>
                </c:pt>
                <c:pt idx="718">
                  <c:v>264.28410076520765</c:v>
                </c:pt>
                <c:pt idx="719">
                  <c:v>264.0586379616783</c:v>
                </c:pt>
                <c:pt idx="720">
                  <c:v>250.95829217678445</c:v>
                </c:pt>
                <c:pt idx="721">
                  <c:v>258.3765452453955</c:v>
                </c:pt>
                <c:pt idx="722">
                  <c:v>256.14430221520121</c:v>
                </c:pt>
                <c:pt idx="723">
                  <c:v>261.37542631769105</c:v>
                </c:pt>
                <c:pt idx="724">
                  <c:v>263.17925776612884</c:v>
                </c:pt>
                <c:pt idx="725">
                  <c:v>267.0124049699009</c:v>
                </c:pt>
                <c:pt idx="726">
                  <c:v>263.08907264471708</c:v>
                </c:pt>
                <c:pt idx="727">
                  <c:v>263.87824621548776</c:v>
                </c:pt>
                <c:pt idx="728">
                  <c:v>266.33597355257854</c:v>
                </c:pt>
                <c:pt idx="729">
                  <c:v>263.99098836893603</c:v>
                </c:pt>
                <c:pt idx="730">
                  <c:v>267.39572399095152</c:v>
                </c:pt>
                <c:pt idx="731">
                  <c:v>270.2593058777623</c:v>
                </c:pt>
                <c:pt idx="732">
                  <c:v>279.12062840579711</c:v>
                </c:pt>
                <c:pt idx="733">
                  <c:v>277.85795069256409</c:v>
                </c:pt>
                <c:pt idx="734">
                  <c:v>276.52762338658869</c:v>
                </c:pt>
                <c:pt idx="735">
                  <c:v>277.06877712179346</c:v>
                </c:pt>
                <c:pt idx="736">
                  <c:v>284.3066599475809</c:v>
                </c:pt>
                <c:pt idx="737">
                  <c:v>288.16234268002233</c:v>
                </c:pt>
                <c:pt idx="738">
                  <c:v>288.79368153663893</c:v>
                </c:pt>
                <c:pt idx="739">
                  <c:v>296.86585199727011</c:v>
                </c:pt>
                <c:pt idx="740">
                  <c:v>282.61557065259143</c:v>
                </c:pt>
                <c:pt idx="741">
                  <c:v>287.62118894481762</c:v>
                </c:pt>
                <c:pt idx="742">
                  <c:v>289.42504189662253</c:v>
                </c:pt>
                <c:pt idx="743">
                  <c:v>294.67870152778164</c:v>
                </c:pt>
                <c:pt idx="744">
                  <c:v>297.22661398628418</c:v>
                </c:pt>
                <c:pt idx="745">
                  <c:v>300.63134960829973</c:v>
                </c:pt>
                <c:pt idx="746">
                  <c:v>307.59865556648492</c:v>
                </c:pt>
                <c:pt idx="747">
                  <c:v>328.86133543005462</c:v>
                </c:pt>
                <c:pt idx="748">
                  <c:v>329.10935526562048</c:v>
                </c:pt>
                <c:pt idx="749">
                  <c:v>343.06652421402737</c:v>
                </c:pt>
                <c:pt idx="750">
                  <c:v>338.75987286779292</c:v>
                </c:pt>
                <c:pt idx="751">
                  <c:v>337.74521499012576</c:v>
                </c:pt>
                <c:pt idx="752">
                  <c:v>336.61781495901033</c:v>
                </c:pt>
                <c:pt idx="753">
                  <c:v>332.64939007312074</c:v>
                </c:pt>
                <c:pt idx="754">
                  <c:v>333.75423307219961</c:v>
                </c:pt>
                <c:pt idx="755">
                  <c:v>334.90416863198448</c:v>
                </c:pt>
                <c:pt idx="756">
                  <c:v>328.2074395414017</c:v>
                </c:pt>
                <c:pt idx="757">
                  <c:v>319.59413684893292</c:v>
                </c:pt>
                <c:pt idx="758">
                  <c:v>311.40924573822059</c:v>
                </c:pt>
                <c:pt idx="759">
                  <c:v>322.99887247094841</c:v>
                </c:pt>
                <c:pt idx="760">
                  <c:v>334.02480993980214</c:v>
                </c:pt>
                <c:pt idx="761">
                  <c:v>334.09245953254447</c:v>
                </c:pt>
                <c:pt idx="762">
                  <c:v>344.78017054105356</c:v>
                </c:pt>
                <c:pt idx="763">
                  <c:v>333.48365620459742</c:v>
                </c:pt>
                <c:pt idx="764">
                  <c:v>332.64939007312097</c:v>
                </c:pt>
                <c:pt idx="765">
                  <c:v>330.39459001089023</c:v>
                </c:pt>
                <c:pt idx="766">
                  <c:v>334.18264465395634</c:v>
                </c:pt>
                <c:pt idx="767">
                  <c:v>338.87261502124142</c:v>
                </c:pt>
                <c:pt idx="768">
                  <c:v>337.6775653973836</c:v>
                </c:pt>
                <c:pt idx="769">
                  <c:v>340.99211589798733</c:v>
                </c:pt>
                <c:pt idx="770">
                  <c:v>342.32244320396279</c:v>
                </c:pt>
                <c:pt idx="771">
                  <c:v>337.42954556181775</c:v>
                </c:pt>
                <c:pt idx="772">
                  <c:v>328.79368583731247</c:v>
                </c:pt>
                <c:pt idx="773">
                  <c:v>334.90416863198459</c:v>
                </c:pt>
                <c:pt idx="774">
                  <c:v>326.38107256429453</c:v>
                </c:pt>
                <c:pt idx="775">
                  <c:v>334.58849920367629</c:v>
                </c:pt>
                <c:pt idx="776">
                  <c:v>346.80946479302065</c:v>
                </c:pt>
                <c:pt idx="777">
                  <c:v>340.29312744862847</c:v>
                </c:pt>
                <c:pt idx="778">
                  <c:v>353.979719529433</c:v>
                </c:pt>
                <c:pt idx="779">
                  <c:v>350.57498390741745</c:v>
                </c:pt>
                <c:pt idx="780">
                  <c:v>359.48139899615808</c:v>
                </c:pt>
                <c:pt idx="781">
                  <c:v>360.67644862001578</c:v>
                </c:pt>
                <c:pt idx="782">
                  <c:v>363.74295778168658</c:v>
                </c:pt>
                <c:pt idx="783">
                  <c:v>367.55356945678926</c:v>
                </c:pt>
                <c:pt idx="784">
                  <c:v>371.43178771790014</c:v>
                </c:pt>
                <c:pt idx="785">
                  <c:v>371.79257121028132</c:v>
                </c:pt>
                <c:pt idx="786">
                  <c:v>374.81396630787918</c:v>
                </c:pt>
                <c:pt idx="787">
                  <c:v>378.10595977644653</c:v>
                </c:pt>
                <c:pt idx="788">
                  <c:v>387.66631376057427</c:v>
                </c:pt>
                <c:pt idx="789">
                  <c:v>384.10372192103756</c:v>
                </c:pt>
                <c:pt idx="790">
                  <c:v>380.54117308823493</c:v>
                </c:pt>
                <c:pt idx="791">
                  <c:v>382.97634339328914</c:v>
                </c:pt>
                <c:pt idx="792">
                  <c:v>378.80494822580533</c:v>
                </c:pt>
                <c:pt idx="793">
                  <c:v>380.72154333105851</c:v>
                </c:pt>
                <c:pt idx="794">
                  <c:v>390.66517332950269</c:v>
                </c:pt>
                <c:pt idx="795">
                  <c:v>390.86807910099571</c:v>
                </c:pt>
                <c:pt idx="796">
                  <c:v>383.04399298603164</c:v>
                </c:pt>
                <c:pt idx="797">
                  <c:v>369.62795626946246</c:v>
                </c:pt>
                <c:pt idx="798">
                  <c:v>377.83540441221118</c:v>
                </c:pt>
                <c:pt idx="799">
                  <c:v>374.76889525054037</c:v>
                </c:pt>
                <c:pt idx="800">
                  <c:v>396.32468751038198</c:v>
                </c:pt>
                <c:pt idx="801">
                  <c:v>406.8996563654427</c:v>
                </c:pt>
                <c:pt idx="802">
                  <c:v>422.84104850847797</c:v>
                </c:pt>
                <c:pt idx="803">
                  <c:v>424.68995101425458</c:v>
                </c:pt>
                <c:pt idx="804">
                  <c:v>432.98758427841517</c:v>
                </c:pt>
                <c:pt idx="805">
                  <c:v>427.32807009753594</c:v>
                </c:pt>
                <c:pt idx="806">
                  <c:v>411.86022510369719</c:v>
                </c:pt>
                <c:pt idx="807">
                  <c:v>390.2142047157098</c:v>
                </c:pt>
                <c:pt idx="808">
                  <c:v>393.43854859153475</c:v>
                </c:pt>
                <c:pt idx="809">
                  <c:v>403.87826126784483</c:v>
                </c:pt>
                <c:pt idx="810">
                  <c:v>397.00114043107141</c:v>
                </c:pt>
                <c:pt idx="811">
                  <c:v>386.24575832645303</c:v>
                </c:pt>
                <c:pt idx="812">
                  <c:v>386.08792361229894</c:v>
                </c:pt>
                <c:pt idx="813">
                  <c:v>412.1082449392631</c:v>
                </c:pt>
                <c:pt idx="814">
                  <c:v>414.13756069459731</c:v>
                </c:pt>
                <c:pt idx="815">
                  <c:v>408.86132252803458</c:v>
                </c:pt>
                <c:pt idx="816">
                  <c:v>415.82862848621971</c:v>
                </c:pt>
                <c:pt idx="817">
                  <c:v>420.27057901793887</c:v>
                </c:pt>
                <c:pt idx="818">
                  <c:v>431.27398095812322</c:v>
                </c:pt>
                <c:pt idx="819">
                  <c:v>438.96281089433671</c:v>
                </c:pt>
                <c:pt idx="820">
                  <c:v>434.79145873358692</c:v>
                </c:pt>
                <c:pt idx="821">
                  <c:v>443.24692671190161</c:v>
                </c:pt>
                <c:pt idx="822">
                  <c:v>445.59186888881015</c:v>
                </c:pt>
                <c:pt idx="823">
                  <c:v>444.39684076831941</c:v>
                </c:pt>
                <c:pt idx="824">
                  <c:v>451.04847729819653</c:v>
                </c:pt>
                <c:pt idx="825">
                  <c:v>449.42501609258221</c:v>
                </c:pt>
                <c:pt idx="826">
                  <c:v>463.44985613709855</c:v>
                </c:pt>
                <c:pt idx="827">
                  <c:v>464.50958507210447</c:v>
                </c:pt>
                <c:pt idx="828">
                  <c:v>464.80271897174333</c:v>
                </c:pt>
                <c:pt idx="829">
                  <c:v>457.2717237496841</c:v>
                </c:pt>
                <c:pt idx="830">
                  <c:v>455.28747905168859</c:v>
                </c:pt>
                <c:pt idx="831">
                  <c:v>453.57383272466262</c:v>
                </c:pt>
                <c:pt idx="832">
                  <c:v>454.92673856604142</c:v>
                </c:pt>
                <c:pt idx="833">
                  <c:v>459.75196511207713</c:v>
                </c:pt>
                <c:pt idx="834">
                  <c:v>453.77678150288955</c:v>
                </c:pt>
                <c:pt idx="835">
                  <c:v>446.47127058772668</c:v>
                </c:pt>
                <c:pt idx="836">
                  <c:v>440.74410681410507</c:v>
                </c:pt>
                <c:pt idx="837">
                  <c:v>460.49606762550877</c:v>
                </c:pt>
                <c:pt idx="838">
                  <c:v>458.12854691319683</c:v>
                </c:pt>
                <c:pt idx="839">
                  <c:v>466.24576692779976</c:v>
                </c:pt>
                <c:pt idx="840">
                  <c:v>472.10822988690597</c:v>
                </c:pt>
                <c:pt idx="841">
                  <c:v>465.63696359985255</c:v>
                </c:pt>
                <c:pt idx="842">
                  <c:v>477.49718870354985</c:v>
                </c:pt>
                <c:pt idx="843">
                  <c:v>460.63136681099354</c:v>
                </c:pt>
                <c:pt idx="844">
                  <c:v>465.63696359985261</c:v>
                </c:pt>
                <c:pt idx="845">
                  <c:v>444.2615415828347</c:v>
                </c:pt>
                <c:pt idx="846">
                  <c:v>447.32809375123952</c:v>
                </c:pt>
                <c:pt idx="847">
                  <c:v>464.17138011512674</c:v>
                </c:pt>
                <c:pt idx="848">
                  <c:v>460.74408746107468</c:v>
                </c:pt>
                <c:pt idx="849">
                  <c:v>460.54113868284753</c:v>
                </c:pt>
                <c:pt idx="850">
                  <c:v>468.0947124403105</c:v>
                </c:pt>
                <c:pt idx="851">
                  <c:v>478.73733088811355</c:v>
                </c:pt>
                <c:pt idx="852">
                  <c:v>475.37768782680388</c:v>
                </c:pt>
                <c:pt idx="853">
                  <c:v>480.42839867973601</c:v>
                </c:pt>
                <c:pt idx="854">
                  <c:v>483.81062027644919</c:v>
                </c:pt>
                <c:pt idx="855">
                  <c:v>486.38104676025398</c:v>
                </c:pt>
                <c:pt idx="856">
                  <c:v>487.80160219437528</c:v>
                </c:pt>
                <c:pt idx="857">
                  <c:v>492.7621279258957</c:v>
                </c:pt>
                <c:pt idx="858">
                  <c:v>484.75762856137396</c:v>
                </c:pt>
                <c:pt idx="859">
                  <c:v>487.86920878038359</c:v>
                </c:pt>
                <c:pt idx="860">
                  <c:v>485.63698725355636</c:v>
                </c:pt>
                <c:pt idx="861">
                  <c:v>500.02256778371975</c:v>
                </c:pt>
                <c:pt idx="862">
                  <c:v>504.03608523031528</c:v>
                </c:pt>
                <c:pt idx="863">
                  <c:v>512.64938792278417</c:v>
                </c:pt>
                <c:pt idx="864">
                  <c:v>508.50057129070382</c:v>
                </c:pt>
                <c:pt idx="865">
                  <c:v>516.2345152909902</c:v>
                </c:pt>
                <c:pt idx="866">
                  <c:v>516.21193675558675</c:v>
                </c:pt>
                <c:pt idx="867">
                  <c:v>521.89402947186954</c:v>
                </c:pt>
                <c:pt idx="868">
                  <c:v>518.73733518878703</c:v>
                </c:pt>
                <c:pt idx="869">
                  <c:v>519.2108393312493</c:v>
                </c:pt>
                <c:pt idx="870">
                  <c:v>534.34047936811044</c:v>
                </c:pt>
                <c:pt idx="871">
                  <c:v>526.85455520338985</c:v>
                </c:pt>
                <c:pt idx="872">
                  <c:v>536.45998024485641</c:v>
                </c:pt>
                <c:pt idx="873">
                  <c:v>545.43406642970638</c:v>
                </c:pt>
                <c:pt idx="874">
                  <c:v>541.28524979762631</c:v>
                </c:pt>
                <c:pt idx="875">
                  <c:v>541.1274150834721</c:v>
                </c:pt>
                <c:pt idx="876">
                  <c:v>545.72715732261122</c:v>
                </c:pt>
                <c:pt idx="877">
                  <c:v>557.02369316243437</c:v>
                </c:pt>
                <c:pt idx="878">
                  <c:v>548.45546152730435</c:v>
                </c:pt>
                <c:pt idx="879">
                  <c:v>537.06878357280357</c:v>
                </c:pt>
                <c:pt idx="880">
                  <c:v>546.42614577197014</c:v>
                </c:pt>
                <c:pt idx="881">
                  <c:v>559.27849322466523</c:v>
                </c:pt>
                <c:pt idx="882">
                  <c:v>566.29087024018929</c:v>
                </c:pt>
                <c:pt idx="883">
                  <c:v>571.20632491437073</c:v>
                </c:pt>
                <c:pt idx="884">
                  <c:v>570.30438768678482</c:v>
                </c:pt>
                <c:pt idx="885">
                  <c:v>579.05298956473837</c:v>
                </c:pt>
                <c:pt idx="886">
                  <c:v>576.75311844516887</c:v>
                </c:pt>
                <c:pt idx="887">
                  <c:v>579.57160777127388</c:v>
                </c:pt>
                <c:pt idx="888">
                  <c:v>576.86583909525007</c:v>
                </c:pt>
                <c:pt idx="889">
                  <c:v>577.90303250158672</c:v>
                </c:pt>
                <c:pt idx="890">
                  <c:v>582.7283020543565</c:v>
                </c:pt>
                <c:pt idx="891">
                  <c:v>578.64713501501853</c:v>
                </c:pt>
                <c:pt idx="892">
                  <c:v>594.90419658636199</c:v>
                </c:pt>
                <c:pt idx="893">
                  <c:v>596.73056356346933</c:v>
                </c:pt>
                <c:pt idx="894">
                  <c:v>610.4848052370163</c:v>
                </c:pt>
                <c:pt idx="895">
                  <c:v>621.66853441328988</c:v>
                </c:pt>
                <c:pt idx="896">
                  <c:v>614.06988959848832</c:v>
                </c:pt>
                <c:pt idx="897">
                  <c:v>611.36416392919875</c:v>
                </c:pt>
                <c:pt idx="898">
                  <c:v>612.60430611376228</c:v>
                </c:pt>
                <c:pt idx="899">
                  <c:v>618.28635582331094</c:v>
                </c:pt>
                <c:pt idx="900">
                  <c:v>613.84444829832603</c:v>
                </c:pt>
                <c:pt idx="901">
                  <c:v>641.75874318840567</c:v>
                </c:pt>
                <c:pt idx="902">
                  <c:v>671.38668440551123</c:v>
                </c:pt>
                <c:pt idx="903">
                  <c:v>685.50170957143939</c:v>
                </c:pt>
                <c:pt idx="904">
                  <c:v>676.48255232925055</c:v>
                </c:pt>
                <c:pt idx="905">
                  <c:v>684.73507152933837</c:v>
                </c:pt>
                <c:pt idx="906">
                  <c:v>678.94025816297437</c:v>
                </c:pt>
                <c:pt idx="907">
                  <c:v>677.33937549276368</c:v>
                </c:pt>
                <c:pt idx="908">
                  <c:v>673.43857869624924</c:v>
                </c:pt>
                <c:pt idx="909">
                  <c:v>689.19955758972674</c:v>
                </c:pt>
                <c:pt idx="910">
                  <c:v>697.47465532521801</c:v>
                </c:pt>
                <c:pt idx="911">
                  <c:v>681.93911773190268</c:v>
                </c:pt>
                <c:pt idx="912">
                  <c:v>673.34839357483747</c:v>
                </c:pt>
                <c:pt idx="913">
                  <c:v>660.02254197968011</c:v>
                </c:pt>
                <c:pt idx="914">
                  <c:v>666.92219834512298</c:v>
                </c:pt>
                <c:pt idx="915">
                  <c:v>671.79258196196565</c:v>
                </c:pt>
                <c:pt idx="916">
                  <c:v>693.39348828588015</c:v>
                </c:pt>
                <c:pt idx="917">
                  <c:v>676.07665477279659</c:v>
                </c:pt>
                <c:pt idx="918">
                  <c:v>690.03384522457054</c:v>
                </c:pt>
                <c:pt idx="919">
                  <c:v>699.27848677365591</c:v>
                </c:pt>
                <c:pt idx="920">
                  <c:v>712.64940942615226</c:v>
                </c:pt>
                <c:pt idx="921">
                  <c:v>720.15782611280804</c:v>
                </c:pt>
                <c:pt idx="922">
                  <c:v>710.57497960674493</c:v>
                </c:pt>
                <c:pt idx="923">
                  <c:v>695.53552469129556</c:v>
                </c:pt>
                <c:pt idx="924">
                  <c:v>707.77902580930959</c:v>
                </c:pt>
                <c:pt idx="925">
                  <c:v>721.96170056797985</c:v>
                </c:pt>
                <c:pt idx="926">
                  <c:v>708.18492336576344</c:v>
                </c:pt>
                <c:pt idx="927">
                  <c:v>697.18152142557926</c:v>
                </c:pt>
                <c:pt idx="928">
                  <c:v>700.65388513697008</c:v>
                </c:pt>
                <c:pt idx="929">
                  <c:v>700.09019587309592</c:v>
                </c:pt>
                <c:pt idx="930">
                  <c:v>669.4926678356619</c:v>
                </c:pt>
                <c:pt idx="931">
                  <c:v>677.74523004248363</c:v>
                </c:pt>
                <c:pt idx="932">
                  <c:v>679.88726644789926</c:v>
                </c:pt>
                <c:pt idx="933">
                  <c:v>685.59189469285138</c:v>
                </c:pt>
                <c:pt idx="934">
                  <c:v>675.28748120202602</c:v>
                </c:pt>
                <c:pt idx="935">
                  <c:v>669.83091579937388</c:v>
                </c:pt>
                <c:pt idx="936">
                  <c:v>675.53550103759198</c:v>
                </c:pt>
                <c:pt idx="937">
                  <c:v>680.09021522612636</c:v>
                </c:pt>
                <c:pt idx="938">
                  <c:v>700.20295952991137</c:v>
                </c:pt>
                <c:pt idx="939">
                  <c:v>703.26946869158201</c:v>
                </c:pt>
                <c:pt idx="940">
                  <c:v>677.72265150708029</c:v>
                </c:pt>
                <c:pt idx="941">
                  <c:v>649.10936816764172</c:v>
                </c:pt>
                <c:pt idx="942">
                  <c:v>651.25140457305713</c:v>
                </c:pt>
                <c:pt idx="943">
                  <c:v>658.48930890221175</c:v>
                </c:pt>
                <c:pt idx="944">
                  <c:v>671.92783814071618</c:v>
                </c:pt>
                <c:pt idx="945">
                  <c:v>651.34158969446889</c:v>
                </c:pt>
                <c:pt idx="946">
                  <c:v>673.10033073253749</c:v>
                </c:pt>
                <c:pt idx="947">
                  <c:v>680.49606977584619</c:v>
                </c:pt>
                <c:pt idx="948">
                  <c:v>698.12852971050393</c:v>
                </c:pt>
                <c:pt idx="949">
                  <c:v>692.60427170837534</c:v>
                </c:pt>
                <c:pt idx="950">
                  <c:v>691.77002708026578</c:v>
                </c:pt>
                <c:pt idx="951">
                  <c:v>691.27398740913395</c:v>
                </c:pt>
                <c:pt idx="952">
                  <c:v>699.21083718091347</c:v>
                </c:pt>
                <c:pt idx="953">
                  <c:v>707.57612003781651</c:v>
                </c:pt>
                <c:pt idx="954">
                  <c:v>710.91318456372255</c:v>
                </c:pt>
                <c:pt idx="955">
                  <c:v>736.73055711245968</c:v>
                </c:pt>
                <c:pt idx="956">
                  <c:v>748.8613805871264</c:v>
                </c:pt>
                <c:pt idx="957">
                  <c:v>751.86024015605494</c:v>
                </c:pt>
                <c:pt idx="958">
                  <c:v>753.86693436925157</c:v>
                </c:pt>
                <c:pt idx="959">
                  <c:v>756.00901378140099</c:v>
                </c:pt>
                <c:pt idx="960">
                  <c:v>748.3878764446639</c:v>
                </c:pt>
                <c:pt idx="961">
                  <c:v>727.46338003470476</c:v>
                </c:pt>
                <c:pt idx="962">
                  <c:v>722.90870885290451</c:v>
                </c:pt>
                <c:pt idx="963">
                  <c:v>738.17360506851617</c:v>
                </c:pt>
                <c:pt idx="964">
                  <c:v>758.37653449371294</c:v>
                </c:pt>
                <c:pt idx="965">
                  <c:v>730.80044456061103</c:v>
                </c:pt>
                <c:pt idx="966">
                  <c:v>740.54112578082822</c:v>
                </c:pt>
                <c:pt idx="967">
                  <c:v>743.90081184887197</c:v>
                </c:pt>
                <c:pt idx="968">
                  <c:v>763.02143380365919</c:v>
                </c:pt>
                <c:pt idx="969">
                  <c:v>769.3122868411549</c:v>
                </c:pt>
                <c:pt idx="970">
                  <c:v>791.86020144999429</c:v>
                </c:pt>
                <c:pt idx="971">
                  <c:v>787.05746742589395</c:v>
                </c:pt>
                <c:pt idx="972">
                  <c:v>751.20636577076891</c:v>
                </c:pt>
                <c:pt idx="973">
                  <c:v>759.59414114960725</c:v>
                </c:pt>
                <c:pt idx="974">
                  <c:v>771.52197283931275</c:v>
                </c:pt>
                <c:pt idx="975">
                  <c:v>755.64827329575394</c:v>
                </c:pt>
                <c:pt idx="976">
                  <c:v>768.90647529816897</c:v>
                </c:pt>
                <c:pt idx="977">
                  <c:v>769.67302732680196</c:v>
                </c:pt>
                <c:pt idx="978">
                  <c:v>774.54345395037876</c:v>
                </c:pt>
                <c:pt idx="979">
                  <c:v>772.28861088141389</c:v>
                </c:pt>
                <c:pt idx="980">
                  <c:v>745.8850565468673</c:v>
                </c:pt>
                <c:pt idx="981">
                  <c:v>738.39913238214683</c:v>
                </c:pt>
                <c:pt idx="982">
                  <c:v>751.38673601359244</c:v>
                </c:pt>
                <c:pt idx="983">
                  <c:v>738.19614059718572</c:v>
                </c:pt>
                <c:pt idx="984">
                  <c:v>774.0699498079166</c:v>
                </c:pt>
                <c:pt idx="985">
                  <c:v>748.83875904498893</c:v>
                </c:pt>
                <c:pt idx="986">
                  <c:v>688.29762036214095</c:v>
                </c:pt>
                <c:pt idx="987">
                  <c:v>705.99777289627525</c:v>
                </c:pt>
                <c:pt idx="988">
                  <c:v>682.79594089541604</c:v>
                </c:pt>
                <c:pt idx="989">
                  <c:v>658.48930890221197</c:v>
                </c:pt>
                <c:pt idx="990">
                  <c:v>715.31006403810318</c:v>
                </c:pt>
                <c:pt idx="991">
                  <c:v>727.03494694958169</c:v>
                </c:pt>
                <c:pt idx="992">
                  <c:v>713.46111852559261</c:v>
                </c:pt>
                <c:pt idx="993">
                  <c:v>750.0112946435446</c:v>
                </c:pt>
                <c:pt idx="994">
                  <c:v>747.68884498857142</c:v>
                </c:pt>
                <c:pt idx="995">
                  <c:v>712.06314162687477</c:v>
                </c:pt>
                <c:pt idx="996">
                  <c:v>759.36869984944519</c:v>
                </c:pt>
                <c:pt idx="997">
                  <c:v>728.11725441999124</c:v>
                </c:pt>
                <c:pt idx="998">
                  <c:v>752.71702031283428</c:v>
                </c:pt>
                <c:pt idx="999">
                  <c:v>745.27625321892083</c:v>
                </c:pt>
                <c:pt idx="1000">
                  <c:v>764.93798590217875</c:v>
                </c:pt>
                <c:pt idx="1001">
                  <c:v>785.02823768402845</c:v>
                </c:pt>
                <c:pt idx="1002">
                  <c:v>786.96732531121677</c:v>
                </c:pt>
                <c:pt idx="1003">
                  <c:v>829.01913788915977</c:v>
                </c:pt>
                <c:pt idx="1004">
                  <c:v>825.25364027813009</c:v>
                </c:pt>
                <c:pt idx="1005">
                  <c:v>826.92221554781725</c:v>
                </c:pt>
                <c:pt idx="1006">
                  <c:v>811.22888624708196</c:v>
                </c:pt>
                <c:pt idx="1007">
                  <c:v>810.37202007683481</c:v>
                </c:pt>
                <c:pt idx="1008">
                  <c:v>751.11613764262347</c:v>
                </c:pt>
                <c:pt idx="1009">
                  <c:v>726.35853703562645</c:v>
                </c:pt>
                <c:pt idx="1010">
                  <c:v>684.30668145094944</c:v>
                </c:pt>
                <c:pt idx="1011">
                  <c:v>708.00451011620646</c:v>
                </c:pt>
                <c:pt idx="1012">
                  <c:v>709.49267213633595</c:v>
                </c:pt>
                <c:pt idx="1013">
                  <c:v>732.15335040199045</c:v>
                </c:pt>
                <c:pt idx="1014">
                  <c:v>729.56030237604796</c:v>
                </c:pt>
                <c:pt idx="1015">
                  <c:v>723.31452039589112</c:v>
                </c:pt>
                <c:pt idx="1016">
                  <c:v>694.20519738532073</c:v>
                </c:pt>
                <c:pt idx="1017">
                  <c:v>704.71251664763918</c:v>
                </c:pt>
                <c:pt idx="1018">
                  <c:v>695.53552469129602</c:v>
                </c:pt>
                <c:pt idx="1019">
                  <c:v>692.58173617970647</c:v>
                </c:pt>
                <c:pt idx="1020">
                  <c:v>687.68886004092849</c:v>
                </c:pt>
                <c:pt idx="1021">
                  <c:v>650.84555002333764</c:v>
                </c:pt>
                <c:pt idx="1022">
                  <c:v>654.72381129118253</c:v>
                </c:pt>
                <c:pt idx="1023">
                  <c:v>615.44533096853729</c:v>
                </c:pt>
                <c:pt idx="1024">
                  <c:v>611.38669945786876</c:v>
                </c:pt>
                <c:pt idx="1025">
                  <c:v>608.1623555820438</c:v>
                </c:pt>
                <c:pt idx="1026">
                  <c:v>636.21194965760833</c:v>
                </c:pt>
                <c:pt idx="1027">
                  <c:v>670.21423482042496</c:v>
                </c:pt>
                <c:pt idx="1028">
                  <c:v>681.35289293935978</c:v>
                </c:pt>
                <c:pt idx="1029">
                  <c:v>698.71479750978222</c:v>
                </c:pt>
                <c:pt idx="1030">
                  <c:v>669.67308108522025</c:v>
                </c:pt>
                <c:pt idx="1031">
                  <c:v>708.74861262963839</c:v>
                </c:pt>
                <c:pt idx="1032">
                  <c:v>692.71703536519124</c:v>
                </c:pt>
                <c:pt idx="1033">
                  <c:v>709.94364075012902</c:v>
                </c:pt>
                <c:pt idx="1034">
                  <c:v>743.72044160604912</c:v>
                </c:pt>
                <c:pt idx="1035">
                  <c:v>733.6189338867166</c:v>
                </c:pt>
                <c:pt idx="1036">
                  <c:v>699.59415620196478</c:v>
                </c:pt>
                <c:pt idx="1037">
                  <c:v>699.77452644478831</c:v>
                </c:pt>
                <c:pt idx="1038">
                  <c:v>726.98987589224316</c:v>
                </c:pt>
                <c:pt idx="1039">
                  <c:v>722.34497658229691</c:v>
                </c:pt>
                <c:pt idx="1040">
                  <c:v>700.20295952991182</c:v>
                </c:pt>
                <c:pt idx="1041">
                  <c:v>687.37319061262019</c:v>
                </c:pt>
                <c:pt idx="1042">
                  <c:v>670.57497530607202</c:v>
                </c:pt>
                <c:pt idx="1043">
                  <c:v>641.51072335284039</c:v>
                </c:pt>
                <c:pt idx="1044">
                  <c:v>713.52876811833494</c:v>
                </c:pt>
                <c:pt idx="1045">
                  <c:v>732.73961820126817</c:v>
                </c:pt>
                <c:pt idx="1046">
                  <c:v>776.82074653454561</c:v>
                </c:pt>
                <c:pt idx="1047">
                  <c:v>761.73622056175748</c:v>
                </c:pt>
                <c:pt idx="1048">
                  <c:v>777.47462091983164</c:v>
                </c:pt>
                <c:pt idx="1049">
                  <c:v>758.39907002238328</c:v>
                </c:pt>
                <c:pt idx="1050">
                  <c:v>756.39237580918666</c:v>
                </c:pt>
                <c:pt idx="1051">
                  <c:v>656.97856834667948</c:v>
                </c:pt>
                <c:pt idx="1052">
                  <c:v>624.19393284649118</c:v>
                </c:pt>
                <c:pt idx="1053">
                  <c:v>648.09471028997541</c:v>
                </c:pt>
                <c:pt idx="1054">
                  <c:v>646.58401274117637</c:v>
                </c:pt>
                <c:pt idx="1055">
                  <c:v>629.37994288490802</c:v>
                </c:pt>
                <c:pt idx="1056">
                  <c:v>621.05977409207799</c:v>
                </c:pt>
                <c:pt idx="1057">
                  <c:v>638.82753321222049</c:v>
                </c:pt>
                <c:pt idx="1058">
                  <c:v>670.89064473438054</c:v>
                </c:pt>
                <c:pt idx="1059">
                  <c:v>684.2841029155461</c:v>
                </c:pt>
                <c:pt idx="1060">
                  <c:v>721.46561789011469</c:v>
                </c:pt>
                <c:pt idx="1061">
                  <c:v>709.19953823669732</c:v>
                </c:pt>
                <c:pt idx="1062">
                  <c:v>734.36303640014853</c:v>
                </c:pt>
                <c:pt idx="1063">
                  <c:v>724.7576543654161</c:v>
                </c:pt>
                <c:pt idx="1064">
                  <c:v>756.95602206632668</c:v>
                </c:pt>
                <c:pt idx="1065">
                  <c:v>750.23673594370734</c:v>
                </c:pt>
                <c:pt idx="1066">
                  <c:v>763.31456770329885</c:v>
                </c:pt>
                <c:pt idx="1067">
                  <c:v>783.49496159982618</c:v>
                </c:pt>
                <c:pt idx="1068">
                  <c:v>770.98086211084296</c:v>
                </c:pt>
                <c:pt idx="1069">
                  <c:v>770.55242902571945</c:v>
                </c:pt>
                <c:pt idx="1070">
                  <c:v>764.39687517370839</c:v>
                </c:pt>
                <c:pt idx="1071">
                  <c:v>781.71362267332381</c:v>
                </c:pt>
                <c:pt idx="1072">
                  <c:v>770.89063398269718</c:v>
                </c:pt>
                <c:pt idx="1073">
                  <c:v>748.7486169303121</c:v>
                </c:pt>
                <c:pt idx="1074">
                  <c:v>762.39009494704362</c:v>
                </c:pt>
                <c:pt idx="1075">
                  <c:v>757.22662043729622</c:v>
                </c:pt>
                <c:pt idx="1076">
                  <c:v>739.72941668138913</c:v>
                </c:pt>
                <c:pt idx="1077">
                  <c:v>744.30662339185892</c:v>
                </c:pt>
                <c:pt idx="1078">
                  <c:v>768.56818432772423</c:v>
                </c:pt>
                <c:pt idx="1079">
                  <c:v>748.04958547421916</c:v>
                </c:pt>
                <c:pt idx="1080">
                  <c:v>745.0281903766213</c:v>
                </c:pt>
                <c:pt idx="1081">
                  <c:v>755.78357248123984</c:v>
                </c:pt>
                <c:pt idx="1082">
                  <c:v>767.93684547110786</c:v>
                </c:pt>
                <c:pt idx="1083">
                  <c:v>724.3742923376318</c:v>
                </c:pt>
                <c:pt idx="1084">
                  <c:v>686.11051289938791</c:v>
                </c:pt>
                <c:pt idx="1085">
                  <c:v>729.40246766189455</c:v>
                </c:pt>
                <c:pt idx="1086">
                  <c:v>691.09357415957766</c:v>
                </c:pt>
                <c:pt idx="1087">
                  <c:v>677.15896224320716</c:v>
                </c:pt>
                <c:pt idx="1088">
                  <c:v>695.94137924101665</c:v>
                </c:pt>
                <c:pt idx="1089">
                  <c:v>651.6572591227781</c:v>
                </c:pt>
                <c:pt idx="1090">
                  <c:v>658.44419483813977</c:v>
                </c:pt>
                <c:pt idx="1091">
                  <c:v>646.06539453464131</c:v>
                </c:pt>
                <c:pt idx="1092">
                  <c:v>647.95941110449075</c:v>
                </c:pt>
                <c:pt idx="1093">
                  <c:v>641.53325888151028</c:v>
                </c:pt>
                <c:pt idx="1094">
                  <c:v>600.60878182458146</c:v>
                </c:pt>
                <c:pt idx="1095">
                  <c:v>552.91994758769442</c:v>
                </c:pt>
                <c:pt idx="1096">
                  <c:v>590.28187581182078</c:v>
                </c:pt>
                <c:pt idx="1097">
                  <c:v>588.41039477064055</c:v>
                </c:pt>
                <c:pt idx="1098">
                  <c:v>601.26269921660162</c:v>
                </c:pt>
                <c:pt idx="1099">
                  <c:v>634.83655129429462</c:v>
                </c:pt>
                <c:pt idx="1100">
                  <c:v>621.35286498498294</c:v>
                </c:pt>
                <c:pt idx="1101">
                  <c:v>637.67757614906884</c:v>
                </c:pt>
                <c:pt idx="1102">
                  <c:v>610.10148621596682</c:v>
                </c:pt>
                <c:pt idx="1103">
                  <c:v>620.42843523546173</c:v>
                </c:pt>
                <c:pt idx="1104">
                  <c:v>643.24690520853642</c:v>
                </c:pt>
                <c:pt idx="1105">
                  <c:v>645.70461104226001</c:v>
                </c:pt>
                <c:pt idx="1106">
                  <c:v>644.50958292176927</c:v>
                </c:pt>
                <c:pt idx="1107">
                  <c:v>647.84669045440955</c:v>
                </c:pt>
                <c:pt idx="1108">
                  <c:v>663.58513381921784</c:v>
                </c:pt>
                <c:pt idx="1109">
                  <c:v>671.63474724781258</c:v>
                </c:pt>
                <c:pt idx="1110">
                  <c:v>663.22435032683666</c:v>
                </c:pt>
                <c:pt idx="1111">
                  <c:v>651.77002277959355</c:v>
                </c:pt>
                <c:pt idx="1112">
                  <c:v>683.69787812300297</c:v>
                </c:pt>
                <c:pt idx="1113">
                  <c:v>668.86132897904656</c:v>
                </c:pt>
                <c:pt idx="1114">
                  <c:v>669.60543149247837</c:v>
                </c:pt>
                <c:pt idx="1115">
                  <c:v>688.56821873311151</c:v>
                </c:pt>
                <c:pt idx="1116">
                  <c:v>677.63246638566955</c:v>
                </c:pt>
                <c:pt idx="1117">
                  <c:v>684.32921697961945</c:v>
                </c:pt>
                <c:pt idx="1118">
                  <c:v>650.07891198123696</c:v>
                </c:pt>
                <c:pt idx="1119">
                  <c:v>600.87938019555099</c:v>
                </c:pt>
                <c:pt idx="1120">
                  <c:v>607.05751258296561</c:v>
                </c:pt>
                <c:pt idx="1121">
                  <c:v>625.74974445936346</c:v>
                </c:pt>
                <c:pt idx="1122">
                  <c:v>594.65613374406348</c:v>
                </c:pt>
                <c:pt idx="1123">
                  <c:v>606.51635884776078</c:v>
                </c:pt>
                <c:pt idx="1124">
                  <c:v>633.61894463840042</c:v>
                </c:pt>
                <c:pt idx="1125">
                  <c:v>627.82413127203642</c:v>
                </c:pt>
                <c:pt idx="1126">
                  <c:v>640.36076628968908</c:v>
                </c:pt>
                <c:pt idx="1127">
                  <c:v>666.62910745221916</c:v>
                </c:pt>
                <c:pt idx="1128">
                  <c:v>663.47237016240251</c:v>
                </c:pt>
                <c:pt idx="1129">
                  <c:v>645.88502429181767</c:v>
                </c:pt>
                <c:pt idx="1130">
                  <c:v>644.53211845043882</c:v>
                </c:pt>
                <c:pt idx="1131">
                  <c:v>637.88052492729594</c:v>
                </c:pt>
                <c:pt idx="1132">
                  <c:v>646.78691851266967</c:v>
                </c:pt>
                <c:pt idx="1133">
                  <c:v>665.16348096075922</c:v>
                </c:pt>
                <c:pt idx="1134">
                  <c:v>674.97181177371885</c:v>
                </c:pt>
                <c:pt idx="1135">
                  <c:v>694.70123705645324</c:v>
                </c:pt>
                <c:pt idx="1136">
                  <c:v>706.87713158845884</c:v>
                </c:pt>
                <c:pt idx="1137">
                  <c:v>702.14204715710093</c:v>
                </c:pt>
                <c:pt idx="1138">
                  <c:v>672.15332244761407</c:v>
                </c:pt>
                <c:pt idx="1139">
                  <c:v>664.14882308309222</c:v>
                </c:pt>
                <c:pt idx="1140">
                  <c:v>649.83089214567121</c:v>
                </c:pt>
                <c:pt idx="1141">
                  <c:v>678.91772263430619</c:v>
                </c:pt>
                <c:pt idx="1142">
                  <c:v>653.88952365633975</c:v>
                </c:pt>
                <c:pt idx="1143">
                  <c:v>667.41828102299019</c:v>
                </c:pt>
                <c:pt idx="1144">
                  <c:v>672.37880675451061</c:v>
                </c:pt>
                <c:pt idx="1145">
                  <c:v>697.40700573247716</c:v>
                </c:pt>
                <c:pt idx="1146">
                  <c:v>690.30440058880731</c:v>
                </c:pt>
                <c:pt idx="1147">
                  <c:v>687.71139556959884</c:v>
                </c:pt>
                <c:pt idx="1148">
                  <c:v>634.27281902368668</c:v>
                </c:pt>
                <c:pt idx="1149">
                  <c:v>653.10035008556929</c:v>
                </c:pt>
                <c:pt idx="1150">
                  <c:v>669.67308108522116</c:v>
                </c:pt>
                <c:pt idx="1151">
                  <c:v>672.49157041132605</c:v>
                </c:pt>
                <c:pt idx="1152">
                  <c:v>677.11389118586874</c:v>
                </c:pt>
                <c:pt idx="1153">
                  <c:v>680.60879042592899</c:v>
                </c:pt>
                <c:pt idx="1154">
                  <c:v>708.90644734379327</c:v>
                </c:pt>
                <c:pt idx="1155">
                  <c:v>593.12290066659546</c:v>
                </c:pt>
                <c:pt idx="1156">
                  <c:v>601.91657360188788</c:v>
                </c:pt>
                <c:pt idx="1157">
                  <c:v>601.12740003111719</c:v>
                </c:pt>
                <c:pt idx="1158">
                  <c:v>588.38781623523732</c:v>
                </c:pt>
                <c:pt idx="1159">
                  <c:v>607.55355225409767</c:v>
                </c:pt>
                <c:pt idx="1160">
                  <c:v>592.10824278892824</c:v>
                </c:pt>
                <c:pt idx="1161">
                  <c:v>612.06315237855904</c:v>
                </c:pt>
                <c:pt idx="1162">
                  <c:v>609.69563166624721</c:v>
                </c:pt>
                <c:pt idx="1163">
                  <c:v>596.84328421355212</c:v>
                </c:pt>
                <c:pt idx="1164">
                  <c:v>585.45660625905134</c:v>
                </c:pt>
                <c:pt idx="1165">
                  <c:v>589.28975346282334</c:v>
                </c:pt>
                <c:pt idx="1166">
                  <c:v>578.24128046530018</c:v>
                </c:pt>
                <c:pt idx="1167">
                  <c:v>567.30552811785822</c:v>
                </c:pt>
                <c:pt idx="1168">
                  <c:v>570.34950175085964</c:v>
                </c:pt>
                <c:pt idx="1169">
                  <c:v>565.50169666942043</c:v>
                </c:pt>
                <c:pt idx="1170">
                  <c:v>573.50619603394227</c:v>
                </c:pt>
                <c:pt idx="1171">
                  <c:v>558.85006013954342</c:v>
                </c:pt>
                <c:pt idx="1172">
                  <c:v>548.92896566976844</c:v>
                </c:pt>
                <c:pt idx="1173">
                  <c:v>552.87487653035578</c:v>
                </c:pt>
                <c:pt idx="1174">
                  <c:v>548.92896566976844</c:v>
                </c:pt>
                <c:pt idx="1175">
                  <c:v>547.35061852822719</c:v>
                </c:pt>
                <c:pt idx="1176">
                  <c:v>547.91430779210134</c:v>
                </c:pt>
                <c:pt idx="1177">
                  <c:v>559.75199736712943</c:v>
                </c:pt>
                <c:pt idx="1178">
                  <c:v>568.77115460931827</c:v>
                </c:pt>
                <c:pt idx="1179">
                  <c:v>582.97632188992418</c:v>
                </c:pt>
                <c:pt idx="1180">
                  <c:v>604.17137366411851</c:v>
                </c:pt>
                <c:pt idx="1181">
                  <c:v>629.53777759906268</c:v>
                </c:pt>
                <c:pt idx="1182">
                  <c:v>584.78015333836186</c:v>
                </c:pt>
                <c:pt idx="1183">
                  <c:v>585.56932690913231</c:v>
                </c:pt>
                <c:pt idx="1184">
                  <c:v>572.94250677006801</c:v>
                </c:pt>
                <c:pt idx="1185">
                  <c:v>568.43290664560652</c:v>
                </c:pt>
                <c:pt idx="1186">
                  <c:v>572.04061254921612</c:v>
                </c:pt>
                <c:pt idx="1187">
                  <c:v>572.37881750619385</c:v>
                </c:pt>
                <c:pt idx="1188">
                  <c:v>561.44306515875189</c:v>
                </c:pt>
                <c:pt idx="1189">
                  <c:v>549.49269794037684</c:v>
                </c:pt>
                <c:pt idx="1190">
                  <c:v>547.80158714202025</c:v>
                </c:pt>
                <c:pt idx="1191">
                  <c:v>544.41940855204109</c:v>
                </c:pt>
                <c:pt idx="1192">
                  <c:v>546.78692926435303</c:v>
                </c:pt>
                <c:pt idx="1193">
                  <c:v>563.35966026400479</c:v>
                </c:pt>
                <c:pt idx="1194">
                  <c:v>559.52651306023279</c:v>
                </c:pt>
                <c:pt idx="1195">
                  <c:v>553.88953440802288</c:v>
                </c:pt>
                <c:pt idx="1196">
                  <c:v>574.52085391160927</c:v>
                </c:pt>
                <c:pt idx="1197">
                  <c:v>593.91207423736591</c:v>
                </c:pt>
                <c:pt idx="1198">
                  <c:v>604.17137366411839</c:v>
                </c:pt>
                <c:pt idx="1199">
                  <c:v>605.86248446247498</c:v>
                </c:pt>
                <c:pt idx="1200">
                  <c:v>580.27059622063427</c:v>
                </c:pt>
                <c:pt idx="1201">
                  <c:v>577.56482754461069</c:v>
                </c:pt>
                <c:pt idx="1202">
                  <c:v>547.68886649193905</c:v>
                </c:pt>
                <c:pt idx="1203">
                  <c:v>543.5174713244553</c:v>
                </c:pt>
                <c:pt idx="1204">
                  <c:v>554.67870797879368</c:v>
                </c:pt>
                <c:pt idx="1205">
                  <c:v>542.6155771036033</c:v>
                </c:pt>
                <c:pt idx="1206">
                  <c:v>568.88387525939959</c:v>
                </c:pt>
                <c:pt idx="1207">
                  <c:v>581.28525409830172</c:v>
                </c:pt>
                <c:pt idx="1208">
                  <c:v>583.87825911750997</c:v>
                </c:pt>
                <c:pt idx="1209">
                  <c:v>581.62345905527923</c:v>
                </c:pt>
                <c:pt idx="1210">
                  <c:v>605.97520511255641</c:v>
                </c:pt>
                <c:pt idx="1211">
                  <c:v>618.9402732153327</c:v>
                </c:pt>
                <c:pt idx="1212">
                  <c:v>630.43967181991468</c:v>
                </c:pt>
                <c:pt idx="1213">
                  <c:v>625.59190974520959</c:v>
                </c:pt>
                <c:pt idx="1214">
                  <c:v>631.45432969758178</c:v>
                </c:pt>
                <c:pt idx="1215">
                  <c:v>643.74294487966847</c:v>
                </c:pt>
                <c:pt idx="1216">
                  <c:v>644.41939780035796</c:v>
                </c:pt>
                <c:pt idx="1217">
                  <c:v>636.07665047212436</c:v>
                </c:pt>
                <c:pt idx="1218">
                  <c:v>600.11274215344997</c:v>
                </c:pt>
                <c:pt idx="1219">
                  <c:v>517.81286243253339</c:v>
                </c:pt>
                <c:pt idx="1220">
                  <c:v>531.00337183547185</c:v>
                </c:pt>
                <c:pt idx="1221">
                  <c:v>539.57160347060199</c:v>
                </c:pt>
                <c:pt idx="1222">
                  <c:v>570.46222240094062</c:v>
                </c:pt>
                <c:pt idx="1223">
                  <c:v>562.34500238633768</c:v>
                </c:pt>
                <c:pt idx="1224">
                  <c:v>613.19053090630734</c:v>
                </c:pt>
                <c:pt idx="1225">
                  <c:v>632.80723553896041</c:v>
                </c:pt>
                <c:pt idx="1226">
                  <c:v>625.9301147021871</c:v>
                </c:pt>
                <c:pt idx="1227">
                  <c:v>633.59640910973121</c:v>
                </c:pt>
                <c:pt idx="1228">
                  <c:v>616.57270949628639</c:v>
                </c:pt>
                <c:pt idx="1229">
                  <c:v>610.37204158020245</c:v>
                </c:pt>
                <c:pt idx="1230">
                  <c:v>587.9368906281785</c:v>
                </c:pt>
                <c:pt idx="1231">
                  <c:v>589.85344272669738</c:v>
                </c:pt>
                <c:pt idx="1232">
                  <c:v>589.40247411290454</c:v>
                </c:pt>
                <c:pt idx="1233">
                  <c:v>601.4656049880947</c:v>
                </c:pt>
                <c:pt idx="1234">
                  <c:v>596.50507925657439</c:v>
                </c:pt>
                <c:pt idx="1235">
                  <c:v>587.14771705740782</c:v>
                </c:pt>
                <c:pt idx="1236">
                  <c:v>581.62345905527911</c:v>
                </c:pt>
                <c:pt idx="1237">
                  <c:v>599.32356858267917</c:v>
                </c:pt>
                <c:pt idx="1238">
                  <c:v>624.35176756064561</c:v>
                </c:pt>
                <c:pt idx="1239">
                  <c:v>604.39685797101481</c:v>
                </c:pt>
                <c:pt idx="1240">
                  <c:v>582.52535327613089</c:v>
                </c:pt>
                <c:pt idx="1241">
                  <c:v>573.2807117270454</c:v>
                </c:pt>
                <c:pt idx="1242">
                  <c:v>581.7361797053602</c:v>
                </c:pt>
                <c:pt idx="1243">
                  <c:v>596.50507925657428</c:v>
                </c:pt>
                <c:pt idx="1244">
                  <c:v>587.71140632128186</c:v>
                </c:pt>
                <c:pt idx="1245">
                  <c:v>604.73506292799254</c:v>
                </c:pt>
                <c:pt idx="1246">
                  <c:v>616.79819380318293</c:v>
                </c:pt>
                <c:pt idx="1247">
                  <c:v>611.83766807166251</c:v>
                </c:pt>
                <c:pt idx="1248">
                  <c:v>588.16233192834079</c:v>
                </c:pt>
                <c:pt idx="1249">
                  <c:v>585.3438426022359</c:v>
                </c:pt>
                <c:pt idx="1250">
                  <c:v>563.4723809140861</c:v>
                </c:pt>
                <c:pt idx="1251">
                  <c:v>568.99663891621469</c:v>
                </c:pt>
                <c:pt idx="1252">
                  <c:v>563.81058587106384</c:v>
                </c:pt>
                <c:pt idx="1253">
                  <c:v>554.11501871491964</c:v>
                </c:pt>
                <c:pt idx="1254">
                  <c:v>549.37993428356151</c:v>
                </c:pt>
                <c:pt idx="1255">
                  <c:v>547.35061852822719</c:v>
                </c:pt>
                <c:pt idx="1256">
                  <c:v>539.57160347060187</c:v>
                </c:pt>
                <c:pt idx="1257">
                  <c:v>554.79142862887477</c:v>
                </c:pt>
                <c:pt idx="1258">
                  <c:v>551.18376573199919</c:v>
                </c:pt>
                <c:pt idx="1259">
                  <c:v>547.01241357124945</c:v>
                </c:pt>
                <c:pt idx="1260">
                  <c:v>544.53212920212218</c:v>
                </c:pt>
                <c:pt idx="1261">
                  <c:v>534.94928269605907</c:v>
                </c:pt>
                <c:pt idx="1262">
                  <c:v>548.92896566976833</c:v>
                </c:pt>
                <c:pt idx="1263">
                  <c:v>557.04622869110551</c:v>
                </c:pt>
                <c:pt idx="1264">
                  <c:v>545.88499203676702</c:v>
                </c:pt>
                <c:pt idx="1265">
                  <c:v>550.16910785433197</c:v>
                </c:pt>
                <c:pt idx="1266">
                  <c:v>545.65955073660461</c:v>
                </c:pt>
                <c:pt idx="1267">
                  <c:v>550.95828142510265</c:v>
                </c:pt>
                <c:pt idx="1268">
                  <c:v>564.82524374873049</c:v>
                </c:pt>
                <c:pt idx="1269">
                  <c:v>545.43406642970785</c:v>
                </c:pt>
                <c:pt idx="1270">
                  <c:v>545.88499203676679</c:v>
                </c:pt>
                <c:pt idx="1271">
                  <c:v>555.46788154956403</c:v>
                </c:pt>
                <c:pt idx="1272">
                  <c:v>569.4475645232734</c:v>
                </c:pt>
                <c:pt idx="1273">
                  <c:v>575.98648040306921</c:v>
                </c:pt>
                <c:pt idx="1274">
                  <c:v>583.54001115379799</c:v>
                </c:pt>
                <c:pt idx="1275">
                  <c:v>599.88725784655333</c:v>
                </c:pt>
                <c:pt idx="1276">
                  <c:v>594.13755854426222</c:v>
                </c:pt>
                <c:pt idx="1277">
                  <c:v>575.53551178927614</c:v>
                </c:pt>
                <c:pt idx="1278">
                  <c:v>590.07892703359357</c:v>
                </c:pt>
                <c:pt idx="1279">
                  <c:v>598.53439501190826</c:v>
                </c:pt>
                <c:pt idx="1280">
                  <c:v>607.10258364030415</c:v>
                </c:pt>
                <c:pt idx="1281">
                  <c:v>597.51973713424115</c:v>
                </c:pt>
                <c:pt idx="1282">
                  <c:v>586.13305917974037</c:v>
                </c:pt>
                <c:pt idx="1283">
                  <c:v>606.31341006953369</c:v>
                </c:pt>
                <c:pt idx="1284">
                  <c:v>672.37880675451015</c:v>
                </c:pt>
                <c:pt idx="1285">
                  <c:v>651.8602079010052</c:v>
                </c:pt>
                <c:pt idx="1286">
                  <c:v>672.04060179753264</c:v>
                </c:pt>
                <c:pt idx="1287">
                  <c:v>678.1285490635355</c:v>
                </c:pt>
                <c:pt idx="1288">
                  <c:v>689.8534319750139</c:v>
                </c:pt>
                <c:pt idx="1289">
                  <c:v>708.11727377302236</c:v>
                </c:pt>
                <c:pt idx="1290">
                  <c:v>692.10823203724465</c:v>
                </c:pt>
                <c:pt idx="1291">
                  <c:v>683.65276405892996</c:v>
                </c:pt>
                <c:pt idx="1292">
                  <c:v>673.16798032528106</c:v>
                </c:pt>
                <c:pt idx="1293">
                  <c:v>678.80495897749086</c:v>
                </c:pt>
                <c:pt idx="1294">
                  <c:v>682.97635414497461</c:v>
                </c:pt>
                <c:pt idx="1295">
                  <c:v>663.58513381921784</c:v>
                </c:pt>
                <c:pt idx="1296">
                  <c:v>672.15332244761385</c:v>
                </c:pt>
                <c:pt idx="1297">
                  <c:v>670.12400669227941</c:v>
                </c:pt>
                <c:pt idx="1298">
                  <c:v>658.85004938785983</c:v>
                </c:pt>
                <c:pt idx="1299">
                  <c:v>672.37880675451026</c:v>
                </c:pt>
                <c:pt idx="1300">
                  <c:v>685.9075641211607</c:v>
                </c:pt>
                <c:pt idx="1301">
                  <c:v>691.20633781639287</c:v>
                </c:pt>
                <c:pt idx="1302">
                  <c:v>680.60879042592853</c:v>
                </c:pt>
                <c:pt idx="1303">
                  <c:v>696.61783216170591</c:v>
                </c:pt>
                <c:pt idx="1304">
                  <c:v>675.87374900130442</c:v>
                </c:pt>
                <c:pt idx="1305">
                  <c:v>662.45771228473518</c:v>
                </c:pt>
                <c:pt idx="1306">
                  <c:v>668.20745459376019</c:v>
                </c:pt>
                <c:pt idx="1307">
                  <c:v>686.47125338503452</c:v>
                </c:pt>
                <c:pt idx="1308">
                  <c:v>680.83427473282472</c:v>
                </c:pt>
                <c:pt idx="1309">
                  <c:v>697.6324900393729</c:v>
                </c:pt>
                <c:pt idx="1310">
                  <c:v>690.19167993872531</c:v>
                </c:pt>
                <c:pt idx="1311">
                  <c:v>693.79934283560078</c:v>
                </c:pt>
                <c:pt idx="1312">
                  <c:v>704.17136291243469</c:v>
                </c:pt>
                <c:pt idx="1313">
                  <c:v>690.0789162819101</c:v>
                </c:pt>
                <c:pt idx="1314">
                  <c:v>713.07779950454233</c:v>
                </c:pt>
                <c:pt idx="1315">
                  <c:v>710.14658952835623</c:v>
                </c:pt>
                <c:pt idx="1316">
                  <c:v>721.30778317596048</c:v>
                </c:pt>
                <c:pt idx="1317">
                  <c:v>724.5771981091242</c:v>
                </c:pt>
                <c:pt idx="1318">
                  <c:v>730.66514537512694</c:v>
                </c:pt>
                <c:pt idx="1319">
                  <c:v>741.93910267954652</c:v>
                </c:pt>
                <c:pt idx="1320">
                  <c:v>749.2671921301129</c:v>
                </c:pt>
                <c:pt idx="1321">
                  <c:v>747.57608133175631</c:v>
                </c:pt>
                <c:pt idx="1322">
                  <c:v>743.74297713471833</c:v>
                </c:pt>
                <c:pt idx="1323">
                  <c:v>734.49833558563296</c:v>
                </c:pt>
                <c:pt idx="1324">
                  <c:v>738.66964473964845</c:v>
                </c:pt>
                <c:pt idx="1325">
                  <c:v>754.34052452518245</c:v>
                </c:pt>
                <c:pt idx="1326">
                  <c:v>755.35513939611553</c:v>
                </c:pt>
                <c:pt idx="1327">
                  <c:v>757.49721880826507</c:v>
                </c:pt>
                <c:pt idx="1328">
                  <c:v>771.02593316818138</c:v>
                </c:pt>
                <c:pt idx="1329">
                  <c:v>767.4182702713058</c:v>
                </c:pt>
                <c:pt idx="1330">
                  <c:v>763.35963876063727</c:v>
                </c:pt>
                <c:pt idx="1331">
                  <c:v>764.59978094520079</c:v>
                </c:pt>
                <c:pt idx="1332">
                  <c:v>758.96280229299089</c:v>
                </c:pt>
                <c:pt idx="1333">
                  <c:v>754.227760868367</c:v>
                </c:pt>
                <c:pt idx="1334">
                  <c:v>752.87485502698814</c:v>
                </c:pt>
                <c:pt idx="1335">
                  <c:v>746.89967141780062</c:v>
                </c:pt>
                <c:pt idx="1336">
                  <c:v>712.17586227695574</c:v>
                </c:pt>
                <c:pt idx="1337">
                  <c:v>714.76891030289823</c:v>
                </c:pt>
                <c:pt idx="1338">
                  <c:v>710.93576309912612</c:v>
                </c:pt>
                <c:pt idx="1339">
                  <c:v>710.82299944231079</c:v>
                </c:pt>
                <c:pt idx="1340">
                  <c:v>708.11727377302122</c:v>
                </c:pt>
                <c:pt idx="1341">
                  <c:v>692.67192130111766</c:v>
                </c:pt>
                <c:pt idx="1342">
                  <c:v>681.96169626730637</c:v>
                </c:pt>
                <c:pt idx="1343">
                  <c:v>689.74071132493157</c:v>
                </c:pt>
                <c:pt idx="1344">
                  <c:v>728.18486100599898</c:v>
                </c:pt>
                <c:pt idx="1345">
                  <c:v>744.9831193192814</c:v>
                </c:pt>
                <c:pt idx="1346">
                  <c:v>748.59078221615698</c:v>
                </c:pt>
                <c:pt idx="1347">
                  <c:v>755.46790305293041</c:v>
                </c:pt>
                <c:pt idx="1348">
                  <c:v>760.99211804832498</c:v>
                </c:pt>
                <c:pt idx="1349">
                  <c:v>764.03604867459228</c:v>
                </c:pt>
                <c:pt idx="1350">
                  <c:v>772.94248526669992</c:v>
                </c:pt>
                <c:pt idx="1351">
                  <c:v>770.12399594059502</c:v>
                </c:pt>
                <c:pt idx="1352">
                  <c:v>771.47690178197399</c:v>
                </c:pt>
                <c:pt idx="1353">
                  <c:v>768.20744384207615</c:v>
                </c:pt>
                <c:pt idx="1354">
                  <c:v>785.0056161418903</c:v>
                </c:pt>
                <c:pt idx="1355">
                  <c:v>783.76547395732666</c:v>
                </c:pt>
                <c:pt idx="1356">
                  <c:v>767.64371157146786</c:v>
                </c:pt>
                <c:pt idx="1357">
                  <c:v>750.73277561483837</c:v>
                </c:pt>
                <c:pt idx="1358">
                  <c:v>757.27169149463407</c:v>
                </c:pt>
                <c:pt idx="1359">
                  <c:v>764.03604867459217</c:v>
                </c:pt>
                <c:pt idx="1360">
                  <c:v>772.71704396653752</c:v>
                </c:pt>
                <c:pt idx="1361">
                  <c:v>770.34952325422557</c:v>
                </c:pt>
                <c:pt idx="1362">
                  <c:v>773.84442249428582</c:v>
                </c:pt>
                <c:pt idx="1363">
                  <c:v>768.0946801852607</c:v>
                </c:pt>
                <c:pt idx="1364">
                  <c:v>803.49489924006082</c:v>
                </c:pt>
                <c:pt idx="1365">
                  <c:v>783.99100127095699</c:v>
                </c:pt>
                <c:pt idx="1366">
                  <c:v>756.03154931007032</c:v>
                </c:pt>
                <c:pt idx="1367">
                  <c:v>777.90305400495413</c:v>
                </c:pt>
                <c:pt idx="1368">
                  <c:v>766.74186035734988</c:v>
                </c:pt>
                <c:pt idx="1369">
                  <c:v>787.37313685420202</c:v>
                </c:pt>
                <c:pt idx="1370">
                  <c:v>794.7012263047684</c:v>
                </c:pt>
                <c:pt idx="1371">
                  <c:v>805.8625059658408</c:v>
                </c:pt>
                <c:pt idx="1372">
                  <c:v>829.65047674577545</c:v>
                </c:pt>
                <c:pt idx="1373">
                  <c:v>820.51859885350541</c:v>
                </c:pt>
                <c:pt idx="1374">
                  <c:v>807.89182172117512</c:v>
                </c:pt>
                <c:pt idx="1375">
                  <c:v>801.69111079835704</c:v>
                </c:pt>
                <c:pt idx="1376">
                  <c:v>810.14657877667173</c:v>
                </c:pt>
                <c:pt idx="1377">
                  <c:v>807.10256213693617</c:v>
                </c:pt>
                <c:pt idx="1378">
                  <c:v>801.12737852774876</c:v>
                </c:pt>
                <c:pt idx="1379">
                  <c:v>830.43973633001428</c:v>
                </c:pt>
                <c:pt idx="1380">
                  <c:v>837.99326708074318</c:v>
                </c:pt>
                <c:pt idx="1381">
                  <c:v>846.56141270240494</c:v>
                </c:pt>
                <c:pt idx="1382">
                  <c:v>852.19839135461473</c:v>
                </c:pt>
                <c:pt idx="1383">
                  <c:v>841.71369363443398</c:v>
                </c:pt>
                <c:pt idx="1384">
                  <c:v>837.76773976711263</c:v>
                </c:pt>
                <c:pt idx="1385">
                  <c:v>841.60092997761865</c:v>
                </c:pt>
                <c:pt idx="1386">
                  <c:v>841.93913493459638</c:v>
                </c:pt>
                <c:pt idx="1387">
                  <c:v>877.79032260318957</c:v>
                </c:pt>
                <c:pt idx="1388">
                  <c:v>882.97633264160629</c:v>
                </c:pt>
                <c:pt idx="1389">
                  <c:v>864.9380181572285</c:v>
                </c:pt>
                <c:pt idx="1390">
                  <c:v>882.18715907083561</c:v>
                </c:pt>
                <c:pt idx="1391">
                  <c:v>889.74068982156439</c:v>
                </c:pt>
                <c:pt idx="1392">
                  <c:v>905.0732786366525</c:v>
                </c:pt>
                <c:pt idx="1393">
                  <c:v>904.62231002285955</c:v>
                </c:pt>
                <c:pt idx="1394">
                  <c:v>887.14772780909004</c:v>
                </c:pt>
                <c:pt idx="1395">
                  <c:v>875.98644814801742</c:v>
                </c:pt>
                <c:pt idx="1396">
                  <c:v>881.17254419990252</c:v>
                </c:pt>
                <c:pt idx="1397">
                  <c:v>871.13864306657831</c:v>
                </c:pt>
                <c:pt idx="1398">
                  <c:v>883.20177394176858</c:v>
                </c:pt>
                <c:pt idx="1399">
                  <c:v>871.02596542323113</c:v>
                </c:pt>
                <c:pt idx="1400">
                  <c:v>863.35967101568713</c:v>
                </c:pt>
                <c:pt idx="1401">
                  <c:v>865.8399553848144</c:v>
                </c:pt>
                <c:pt idx="1402">
                  <c:v>876.21197546164819</c:v>
                </c:pt>
                <c:pt idx="1403">
                  <c:v>879.70687470170844</c:v>
                </c:pt>
                <c:pt idx="1404">
                  <c:v>837.88050342392785</c:v>
                </c:pt>
                <c:pt idx="1405">
                  <c:v>854.11502946660187</c:v>
                </c:pt>
                <c:pt idx="1406">
                  <c:v>640.02256133271021</c:v>
                </c:pt>
                <c:pt idx="1407">
                  <c:v>650.50734506635911</c:v>
                </c:pt>
                <c:pt idx="1408">
                  <c:v>660.31567587931863</c:v>
                </c:pt>
                <c:pt idx="1409">
                  <c:v>673.95715389605027</c:v>
                </c:pt>
                <c:pt idx="1410">
                  <c:v>682.75086983807671</c:v>
                </c:pt>
                <c:pt idx="1411">
                  <c:v>672.82977536830185</c:v>
                </c:pt>
                <c:pt idx="1412">
                  <c:v>672.60429106140532</c:v>
                </c:pt>
                <c:pt idx="1413">
                  <c:v>667.08003305927673</c:v>
                </c:pt>
                <c:pt idx="1414">
                  <c:v>655.91883941167237</c:v>
                </c:pt>
                <c:pt idx="1415">
                  <c:v>647.23788712646115</c:v>
                </c:pt>
                <c:pt idx="1416">
                  <c:v>644.41939780035625</c:v>
                </c:pt>
                <c:pt idx="1417">
                  <c:v>658.28636012398431</c:v>
                </c:pt>
                <c:pt idx="1418">
                  <c:v>657.49718655321362</c:v>
                </c:pt>
                <c:pt idx="1419">
                  <c:v>667.30551736617304</c:v>
                </c:pt>
                <c:pt idx="1420">
                  <c:v>655.58063445469475</c:v>
                </c:pt>
                <c:pt idx="1421">
                  <c:v>663.02144455534233</c:v>
                </c:pt>
                <c:pt idx="1422">
                  <c:v>661.78130237077869</c:v>
                </c:pt>
                <c:pt idx="1423">
                  <c:v>683.54004340884717</c:v>
                </c:pt>
                <c:pt idx="1424">
                  <c:v>690.19167993872406</c:v>
                </c:pt>
                <c:pt idx="1425">
                  <c:v>678.80495897748938</c:v>
                </c:pt>
                <c:pt idx="1426">
                  <c:v>686.24576907813696</c:v>
                </c:pt>
                <c:pt idx="1427">
                  <c:v>697.97069499634949</c:v>
                </c:pt>
                <c:pt idx="1428">
                  <c:v>701.57835789322507</c:v>
                </c:pt>
                <c:pt idx="1429">
                  <c:v>712.17586227695517</c:v>
                </c:pt>
                <c:pt idx="1430">
                  <c:v>722.32244105362656</c:v>
                </c:pt>
                <c:pt idx="1431">
                  <c:v>733.59639835804614</c:v>
                </c:pt>
                <c:pt idx="1432">
                  <c:v>715.89628883064609</c:v>
                </c:pt>
                <c:pt idx="1433">
                  <c:v>705.97519436087134</c:v>
                </c:pt>
                <c:pt idx="1434">
                  <c:v>711.38668870618449</c:v>
                </c:pt>
                <c:pt idx="1435">
                  <c:v>687.93687987649344</c:v>
                </c:pt>
                <c:pt idx="1436">
                  <c:v>681.51072765351296</c:v>
                </c:pt>
                <c:pt idx="1437">
                  <c:v>681.39796399669763</c:v>
                </c:pt>
                <c:pt idx="1438">
                  <c:v>678.12854906353402</c:v>
                </c:pt>
                <c:pt idx="1439">
                  <c:v>662.68319659163058</c:v>
                </c:pt>
                <c:pt idx="1440">
                  <c:v>656.59529233236185</c:v>
                </c:pt>
                <c:pt idx="1441">
                  <c:v>655.12966584090168</c:v>
                </c:pt>
                <c:pt idx="1442">
                  <c:v>647.46337143335757</c:v>
                </c:pt>
                <c:pt idx="1443">
                  <c:v>655.4678707978793</c:v>
                </c:pt>
                <c:pt idx="1444">
                  <c:v>660.65388083629603</c:v>
                </c:pt>
                <c:pt idx="1445">
                  <c:v>661.55581806388204</c:v>
                </c:pt>
                <c:pt idx="1446">
                  <c:v>660.99212880000778</c:v>
                </c:pt>
                <c:pt idx="1447">
                  <c:v>649.49268718869178</c:v>
                </c:pt>
                <c:pt idx="1448">
                  <c:v>656.82073363252414</c:v>
                </c:pt>
                <c:pt idx="1449">
                  <c:v>654.11500796323458</c:v>
                </c:pt>
                <c:pt idx="1450">
                  <c:v>675.64826469440675</c:v>
                </c:pt>
                <c:pt idx="1451">
                  <c:v>670.91318026304884</c:v>
                </c:pt>
                <c:pt idx="1452">
                  <c:v>669.67308108521945</c:v>
                </c:pt>
                <c:pt idx="1453">
                  <c:v>664.82527600378012</c:v>
                </c:pt>
                <c:pt idx="1454">
                  <c:v>653.88952365633827</c:v>
                </c:pt>
                <c:pt idx="1455">
                  <c:v>651.18375498031457</c:v>
                </c:pt>
                <c:pt idx="1456">
                  <c:v>666.74182810229911</c:v>
                </c:pt>
                <c:pt idx="1457">
                  <c:v>661.21761310690465</c:v>
                </c:pt>
                <c:pt idx="1458">
                  <c:v>650.16909710264736</c:v>
                </c:pt>
                <c:pt idx="1459">
                  <c:v>651.29651863712968</c:v>
                </c:pt>
                <c:pt idx="1460">
                  <c:v>635.40024055816741</c:v>
                </c:pt>
                <c:pt idx="1461">
                  <c:v>632.46898757524707</c:v>
                </c:pt>
                <c:pt idx="1462">
                  <c:v>648.7035136179212</c:v>
                </c:pt>
                <c:pt idx="1463">
                  <c:v>630.66515612680939</c:v>
                </c:pt>
                <c:pt idx="1464">
                  <c:v>628.18491476441625</c:v>
                </c:pt>
                <c:pt idx="1465">
                  <c:v>634.27281902368497</c:v>
                </c:pt>
                <c:pt idx="1466">
                  <c:v>634.94927194437446</c:v>
                </c:pt>
                <c:pt idx="1467">
                  <c:v>644.53211845043745</c:v>
                </c:pt>
                <c:pt idx="1468">
                  <c:v>646.11050859871295</c:v>
                </c:pt>
                <c:pt idx="1469">
                  <c:v>649.26720288179547</c:v>
                </c:pt>
                <c:pt idx="1470">
                  <c:v>569.10935956629453</c:v>
                </c:pt>
                <c:pt idx="1471">
                  <c:v>564.82524374872946</c:v>
                </c:pt>
                <c:pt idx="1472">
                  <c:v>558.2863708756679</c:v>
                </c:pt>
                <c:pt idx="1473">
                  <c:v>566.40363389700485</c:v>
                </c:pt>
                <c:pt idx="1474">
                  <c:v>559.97743866729036</c:v>
                </c:pt>
                <c:pt idx="1475">
                  <c:v>572.94250677006653</c:v>
                </c:pt>
                <c:pt idx="1476">
                  <c:v>567.08004381096021</c:v>
                </c:pt>
                <c:pt idx="1477">
                  <c:v>578.57948542227632</c:v>
                </c:pt>
                <c:pt idx="1478">
                  <c:v>575.64827544609022</c:v>
                </c:pt>
                <c:pt idx="1479">
                  <c:v>568.43290664560493</c:v>
                </c:pt>
                <c:pt idx="1480">
                  <c:v>577.90303250158684</c:v>
                </c:pt>
                <c:pt idx="1481">
                  <c:v>585.23112195215322</c:v>
                </c:pt>
                <c:pt idx="1482">
                  <c:v>592.78469570961613</c:v>
                </c:pt>
                <c:pt idx="1483">
                  <c:v>597.18153217726228</c:v>
                </c:pt>
                <c:pt idx="1484">
                  <c:v>602.36754221567924</c:v>
                </c:pt>
                <c:pt idx="1485">
                  <c:v>605.8624844624735</c:v>
                </c:pt>
                <c:pt idx="1486">
                  <c:v>595.15221642192796</c:v>
                </c:pt>
                <c:pt idx="1487">
                  <c:v>604.284094314198</c:v>
                </c:pt>
                <c:pt idx="1488">
                  <c:v>592.55921140271971</c:v>
                </c:pt>
                <c:pt idx="1489">
                  <c:v>591.77003783194903</c:v>
                </c:pt>
                <c:pt idx="1490">
                  <c:v>589.06426915592533</c:v>
                </c:pt>
                <c:pt idx="1491">
                  <c:v>592.10824278892676</c:v>
                </c:pt>
                <c:pt idx="1492">
                  <c:v>584.32922773130144</c:v>
                </c:pt>
                <c:pt idx="1493">
                  <c:v>578.57948542227632</c:v>
                </c:pt>
                <c:pt idx="1494">
                  <c:v>588.04961127825811</c:v>
                </c:pt>
                <c:pt idx="1495">
                  <c:v>604.73506292799107</c:v>
                </c:pt>
                <c:pt idx="1496">
                  <c:v>620.51862035687213</c:v>
                </c:pt>
                <c:pt idx="1497">
                  <c:v>624.01351959693238</c:v>
                </c:pt>
                <c:pt idx="1498">
                  <c:v>643.17925561579261</c:v>
                </c:pt>
                <c:pt idx="1499">
                  <c:v>651.97297155781916</c:v>
                </c:pt>
                <c:pt idx="1500">
                  <c:v>632.58175123206252</c:v>
                </c:pt>
                <c:pt idx="1501">
                  <c:v>651.18375498031435</c:v>
                </c:pt>
                <c:pt idx="1502">
                  <c:v>647.6888557402541</c:v>
                </c:pt>
                <c:pt idx="1503">
                  <c:v>659.63922295862903</c:v>
                </c:pt>
                <c:pt idx="1504">
                  <c:v>668.20745459375905</c:v>
                </c:pt>
                <c:pt idx="1505">
                  <c:v>674.18263820294646</c:v>
                </c:pt>
                <c:pt idx="1506">
                  <c:v>668.99662816452962</c:v>
                </c:pt>
                <c:pt idx="1507">
                  <c:v>669.67308108521922</c:v>
                </c:pt>
                <c:pt idx="1508">
                  <c:v>659.86470726552557</c:v>
                </c:pt>
              </c:numCache>
            </c:numRef>
          </c:val>
          <c:smooth val="0"/>
          <c:extLst>
            <c:ext xmlns:c16="http://schemas.microsoft.com/office/drawing/2014/chart" uri="{C3380CC4-5D6E-409C-BE32-E72D297353CC}">
              <c16:uniqueId val="{00000000-40F7-4B26-8595-9D7E9AA99B1A}"/>
            </c:ext>
          </c:extLst>
        </c:ser>
        <c:ser>
          <c:idx val="1"/>
          <c:order val="1"/>
          <c:tx>
            <c:strRef>
              <c:f>'6Y STOCK PERFORMANCE'!$C$1</c:f>
              <c:strCache>
                <c:ptCount val="1"/>
                <c:pt idx="0">
                  <c:v>Cumulative NASDAQ Returns</c:v>
                </c:pt>
              </c:strCache>
            </c:strRef>
          </c:tx>
          <c:spPr>
            <a:ln w="22225" cap="rnd">
              <a:solidFill>
                <a:schemeClr val="accent2"/>
              </a:solidFill>
              <a:round/>
            </a:ln>
            <a:effectLst/>
          </c:spPr>
          <c:marker>
            <c:symbol val="none"/>
          </c:marker>
          <c:cat>
            <c:numRef>
              <c:f>'6Y STOCK PERFORMANCE'!$A$2:$A$1510</c:f>
              <c:numCache>
                <c:formatCode>m/d/yyyy</c:formatCode>
                <c:ptCount val="1509"/>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pt idx="1278">
                  <c:v>44957</c:v>
                </c:pt>
                <c:pt idx="1279">
                  <c:v>44958</c:v>
                </c:pt>
                <c:pt idx="1280">
                  <c:v>44959</c:v>
                </c:pt>
                <c:pt idx="1281">
                  <c:v>44960</c:v>
                </c:pt>
                <c:pt idx="1282">
                  <c:v>44963</c:v>
                </c:pt>
                <c:pt idx="1283">
                  <c:v>44964</c:v>
                </c:pt>
                <c:pt idx="1284">
                  <c:v>44965</c:v>
                </c:pt>
                <c:pt idx="1285">
                  <c:v>44966</c:v>
                </c:pt>
                <c:pt idx="1286">
                  <c:v>44967</c:v>
                </c:pt>
                <c:pt idx="1287">
                  <c:v>44970</c:v>
                </c:pt>
                <c:pt idx="1288">
                  <c:v>44971</c:v>
                </c:pt>
                <c:pt idx="1289">
                  <c:v>44972</c:v>
                </c:pt>
                <c:pt idx="1290">
                  <c:v>44973</c:v>
                </c:pt>
                <c:pt idx="1291">
                  <c:v>44974</c:v>
                </c:pt>
                <c:pt idx="1292">
                  <c:v>44978</c:v>
                </c:pt>
                <c:pt idx="1293">
                  <c:v>44979</c:v>
                </c:pt>
                <c:pt idx="1294">
                  <c:v>44980</c:v>
                </c:pt>
                <c:pt idx="1295">
                  <c:v>44981</c:v>
                </c:pt>
                <c:pt idx="1296">
                  <c:v>44984</c:v>
                </c:pt>
                <c:pt idx="1297">
                  <c:v>44985</c:v>
                </c:pt>
                <c:pt idx="1298">
                  <c:v>44986</c:v>
                </c:pt>
                <c:pt idx="1299">
                  <c:v>44987</c:v>
                </c:pt>
                <c:pt idx="1300">
                  <c:v>44988</c:v>
                </c:pt>
                <c:pt idx="1301">
                  <c:v>44991</c:v>
                </c:pt>
                <c:pt idx="1302">
                  <c:v>44992</c:v>
                </c:pt>
                <c:pt idx="1303">
                  <c:v>44993</c:v>
                </c:pt>
                <c:pt idx="1304">
                  <c:v>44994</c:v>
                </c:pt>
                <c:pt idx="1305">
                  <c:v>44995</c:v>
                </c:pt>
                <c:pt idx="1306">
                  <c:v>44998</c:v>
                </c:pt>
                <c:pt idx="1307">
                  <c:v>44999</c:v>
                </c:pt>
                <c:pt idx="1308">
                  <c:v>45000</c:v>
                </c:pt>
                <c:pt idx="1309">
                  <c:v>45001</c:v>
                </c:pt>
                <c:pt idx="1310">
                  <c:v>45002</c:v>
                </c:pt>
                <c:pt idx="1311">
                  <c:v>45005</c:v>
                </c:pt>
                <c:pt idx="1312">
                  <c:v>45006</c:v>
                </c:pt>
                <c:pt idx="1313">
                  <c:v>45007</c:v>
                </c:pt>
                <c:pt idx="1314">
                  <c:v>45008</c:v>
                </c:pt>
                <c:pt idx="1315">
                  <c:v>45009</c:v>
                </c:pt>
                <c:pt idx="1316">
                  <c:v>45012</c:v>
                </c:pt>
                <c:pt idx="1317">
                  <c:v>45013</c:v>
                </c:pt>
                <c:pt idx="1318">
                  <c:v>45014</c:v>
                </c:pt>
                <c:pt idx="1319">
                  <c:v>45015</c:v>
                </c:pt>
                <c:pt idx="1320">
                  <c:v>45016</c:v>
                </c:pt>
                <c:pt idx="1321">
                  <c:v>45019</c:v>
                </c:pt>
                <c:pt idx="1322">
                  <c:v>45020</c:v>
                </c:pt>
                <c:pt idx="1323">
                  <c:v>45021</c:v>
                </c:pt>
                <c:pt idx="1324">
                  <c:v>45022</c:v>
                </c:pt>
                <c:pt idx="1325">
                  <c:v>45026</c:v>
                </c:pt>
                <c:pt idx="1326">
                  <c:v>45027</c:v>
                </c:pt>
                <c:pt idx="1327">
                  <c:v>45028</c:v>
                </c:pt>
                <c:pt idx="1328">
                  <c:v>45029</c:v>
                </c:pt>
                <c:pt idx="1329">
                  <c:v>45030</c:v>
                </c:pt>
                <c:pt idx="1330">
                  <c:v>45033</c:v>
                </c:pt>
                <c:pt idx="1331">
                  <c:v>45034</c:v>
                </c:pt>
                <c:pt idx="1332">
                  <c:v>45035</c:v>
                </c:pt>
                <c:pt idx="1333">
                  <c:v>45036</c:v>
                </c:pt>
                <c:pt idx="1334">
                  <c:v>45037</c:v>
                </c:pt>
                <c:pt idx="1335">
                  <c:v>45040</c:v>
                </c:pt>
                <c:pt idx="1336">
                  <c:v>45041</c:v>
                </c:pt>
                <c:pt idx="1337">
                  <c:v>45042</c:v>
                </c:pt>
                <c:pt idx="1338">
                  <c:v>45043</c:v>
                </c:pt>
                <c:pt idx="1339">
                  <c:v>45044</c:v>
                </c:pt>
                <c:pt idx="1340">
                  <c:v>45047</c:v>
                </c:pt>
                <c:pt idx="1341">
                  <c:v>45048</c:v>
                </c:pt>
                <c:pt idx="1342">
                  <c:v>45049</c:v>
                </c:pt>
                <c:pt idx="1343">
                  <c:v>45050</c:v>
                </c:pt>
                <c:pt idx="1344">
                  <c:v>45051</c:v>
                </c:pt>
                <c:pt idx="1345">
                  <c:v>45054</c:v>
                </c:pt>
                <c:pt idx="1346">
                  <c:v>45055</c:v>
                </c:pt>
                <c:pt idx="1347">
                  <c:v>45056</c:v>
                </c:pt>
                <c:pt idx="1348">
                  <c:v>45057</c:v>
                </c:pt>
                <c:pt idx="1349">
                  <c:v>45058</c:v>
                </c:pt>
                <c:pt idx="1350">
                  <c:v>45061</c:v>
                </c:pt>
                <c:pt idx="1351">
                  <c:v>45062</c:v>
                </c:pt>
                <c:pt idx="1352">
                  <c:v>45063</c:v>
                </c:pt>
                <c:pt idx="1353">
                  <c:v>45064</c:v>
                </c:pt>
                <c:pt idx="1354">
                  <c:v>45065</c:v>
                </c:pt>
                <c:pt idx="1355">
                  <c:v>45068</c:v>
                </c:pt>
                <c:pt idx="1356">
                  <c:v>45069</c:v>
                </c:pt>
                <c:pt idx="1357">
                  <c:v>45070</c:v>
                </c:pt>
                <c:pt idx="1358">
                  <c:v>45071</c:v>
                </c:pt>
                <c:pt idx="1359">
                  <c:v>45072</c:v>
                </c:pt>
                <c:pt idx="1360">
                  <c:v>45076</c:v>
                </c:pt>
                <c:pt idx="1361">
                  <c:v>45077</c:v>
                </c:pt>
                <c:pt idx="1362">
                  <c:v>45078</c:v>
                </c:pt>
                <c:pt idx="1363">
                  <c:v>45079</c:v>
                </c:pt>
                <c:pt idx="1364">
                  <c:v>45082</c:v>
                </c:pt>
                <c:pt idx="1365">
                  <c:v>45083</c:v>
                </c:pt>
                <c:pt idx="1366">
                  <c:v>45084</c:v>
                </c:pt>
                <c:pt idx="1367">
                  <c:v>45085</c:v>
                </c:pt>
                <c:pt idx="1368">
                  <c:v>45086</c:v>
                </c:pt>
                <c:pt idx="1369">
                  <c:v>45089</c:v>
                </c:pt>
                <c:pt idx="1370">
                  <c:v>45090</c:v>
                </c:pt>
                <c:pt idx="1371">
                  <c:v>45091</c:v>
                </c:pt>
                <c:pt idx="1372">
                  <c:v>45092</c:v>
                </c:pt>
                <c:pt idx="1373">
                  <c:v>45093</c:v>
                </c:pt>
                <c:pt idx="1374">
                  <c:v>45097</c:v>
                </c:pt>
                <c:pt idx="1375">
                  <c:v>45098</c:v>
                </c:pt>
                <c:pt idx="1376">
                  <c:v>45099</c:v>
                </c:pt>
                <c:pt idx="1377">
                  <c:v>45100</c:v>
                </c:pt>
                <c:pt idx="1378">
                  <c:v>45103</c:v>
                </c:pt>
                <c:pt idx="1379">
                  <c:v>45104</c:v>
                </c:pt>
                <c:pt idx="1380">
                  <c:v>45105</c:v>
                </c:pt>
                <c:pt idx="1381">
                  <c:v>45106</c:v>
                </c:pt>
                <c:pt idx="1382">
                  <c:v>45107</c:v>
                </c:pt>
                <c:pt idx="1383">
                  <c:v>45110</c:v>
                </c:pt>
                <c:pt idx="1384">
                  <c:v>45112</c:v>
                </c:pt>
                <c:pt idx="1385">
                  <c:v>45113</c:v>
                </c:pt>
                <c:pt idx="1386">
                  <c:v>45114</c:v>
                </c:pt>
                <c:pt idx="1387">
                  <c:v>45117</c:v>
                </c:pt>
                <c:pt idx="1388">
                  <c:v>45118</c:v>
                </c:pt>
                <c:pt idx="1389">
                  <c:v>45119</c:v>
                </c:pt>
                <c:pt idx="1390">
                  <c:v>45120</c:v>
                </c:pt>
                <c:pt idx="1391">
                  <c:v>45121</c:v>
                </c:pt>
                <c:pt idx="1392">
                  <c:v>45124</c:v>
                </c:pt>
                <c:pt idx="1393">
                  <c:v>45125</c:v>
                </c:pt>
                <c:pt idx="1394">
                  <c:v>45126</c:v>
                </c:pt>
                <c:pt idx="1395">
                  <c:v>45127</c:v>
                </c:pt>
                <c:pt idx="1396">
                  <c:v>45128</c:v>
                </c:pt>
                <c:pt idx="1397">
                  <c:v>45131</c:v>
                </c:pt>
                <c:pt idx="1398">
                  <c:v>45132</c:v>
                </c:pt>
                <c:pt idx="1399">
                  <c:v>45133</c:v>
                </c:pt>
                <c:pt idx="1400">
                  <c:v>45134</c:v>
                </c:pt>
                <c:pt idx="1401">
                  <c:v>45135</c:v>
                </c:pt>
                <c:pt idx="1402">
                  <c:v>45138</c:v>
                </c:pt>
                <c:pt idx="1403">
                  <c:v>45139</c:v>
                </c:pt>
                <c:pt idx="1404">
                  <c:v>45140</c:v>
                </c:pt>
                <c:pt idx="1405">
                  <c:v>45141</c:v>
                </c:pt>
                <c:pt idx="1406">
                  <c:v>45142</c:v>
                </c:pt>
                <c:pt idx="1407">
                  <c:v>45145</c:v>
                </c:pt>
                <c:pt idx="1408">
                  <c:v>45146</c:v>
                </c:pt>
                <c:pt idx="1409">
                  <c:v>45147</c:v>
                </c:pt>
                <c:pt idx="1410">
                  <c:v>45148</c:v>
                </c:pt>
                <c:pt idx="1411">
                  <c:v>45149</c:v>
                </c:pt>
                <c:pt idx="1412">
                  <c:v>45152</c:v>
                </c:pt>
                <c:pt idx="1413">
                  <c:v>45153</c:v>
                </c:pt>
                <c:pt idx="1414">
                  <c:v>45154</c:v>
                </c:pt>
                <c:pt idx="1415">
                  <c:v>45155</c:v>
                </c:pt>
                <c:pt idx="1416">
                  <c:v>45156</c:v>
                </c:pt>
                <c:pt idx="1417">
                  <c:v>45159</c:v>
                </c:pt>
                <c:pt idx="1418">
                  <c:v>45160</c:v>
                </c:pt>
                <c:pt idx="1419">
                  <c:v>45161</c:v>
                </c:pt>
                <c:pt idx="1420">
                  <c:v>45162</c:v>
                </c:pt>
                <c:pt idx="1421">
                  <c:v>45163</c:v>
                </c:pt>
                <c:pt idx="1422">
                  <c:v>45166</c:v>
                </c:pt>
                <c:pt idx="1423">
                  <c:v>45167</c:v>
                </c:pt>
                <c:pt idx="1424">
                  <c:v>45168</c:v>
                </c:pt>
                <c:pt idx="1425">
                  <c:v>45169</c:v>
                </c:pt>
                <c:pt idx="1426">
                  <c:v>45170</c:v>
                </c:pt>
                <c:pt idx="1427">
                  <c:v>45174</c:v>
                </c:pt>
                <c:pt idx="1428">
                  <c:v>45175</c:v>
                </c:pt>
                <c:pt idx="1429">
                  <c:v>45176</c:v>
                </c:pt>
                <c:pt idx="1430">
                  <c:v>45177</c:v>
                </c:pt>
                <c:pt idx="1431">
                  <c:v>45180</c:v>
                </c:pt>
                <c:pt idx="1432">
                  <c:v>45181</c:v>
                </c:pt>
                <c:pt idx="1433">
                  <c:v>45182</c:v>
                </c:pt>
                <c:pt idx="1434">
                  <c:v>45183</c:v>
                </c:pt>
                <c:pt idx="1435">
                  <c:v>45184</c:v>
                </c:pt>
                <c:pt idx="1436">
                  <c:v>45187</c:v>
                </c:pt>
                <c:pt idx="1437">
                  <c:v>45188</c:v>
                </c:pt>
                <c:pt idx="1438">
                  <c:v>45189</c:v>
                </c:pt>
                <c:pt idx="1439">
                  <c:v>45190</c:v>
                </c:pt>
                <c:pt idx="1440">
                  <c:v>45191</c:v>
                </c:pt>
                <c:pt idx="1441">
                  <c:v>45194</c:v>
                </c:pt>
                <c:pt idx="1442">
                  <c:v>45195</c:v>
                </c:pt>
                <c:pt idx="1443">
                  <c:v>45196</c:v>
                </c:pt>
                <c:pt idx="1444">
                  <c:v>45197</c:v>
                </c:pt>
                <c:pt idx="1445">
                  <c:v>45198</c:v>
                </c:pt>
                <c:pt idx="1446">
                  <c:v>45201</c:v>
                </c:pt>
                <c:pt idx="1447">
                  <c:v>45202</c:v>
                </c:pt>
                <c:pt idx="1448">
                  <c:v>45203</c:v>
                </c:pt>
                <c:pt idx="1449">
                  <c:v>45204</c:v>
                </c:pt>
                <c:pt idx="1450">
                  <c:v>45205</c:v>
                </c:pt>
                <c:pt idx="1451">
                  <c:v>45208</c:v>
                </c:pt>
                <c:pt idx="1452">
                  <c:v>45209</c:v>
                </c:pt>
                <c:pt idx="1453">
                  <c:v>45210</c:v>
                </c:pt>
                <c:pt idx="1454">
                  <c:v>45211</c:v>
                </c:pt>
                <c:pt idx="1455">
                  <c:v>45212</c:v>
                </c:pt>
                <c:pt idx="1456">
                  <c:v>45215</c:v>
                </c:pt>
                <c:pt idx="1457">
                  <c:v>45216</c:v>
                </c:pt>
                <c:pt idx="1458">
                  <c:v>45217</c:v>
                </c:pt>
                <c:pt idx="1459">
                  <c:v>45218</c:v>
                </c:pt>
                <c:pt idx="1460">
                  <c:v>45219</c:v>
                </c:pt>
                <c:pt idx="1461">
                  <c:v>45222</c:v>
                </c:pt>
                <c:pt idx="1462">
                  <c:v>45223</c:v>
                </c:pt>
                <c:pt idx="1463">
                  <c:v>45224</c:v>
                </c:pt>
                <c:pt idx="1464">
                  <c:v>45225</c:v>
                </c:pt>
                <c:pt idx="1465">
                  <c:v>45226</c:v>
                </c:pt>
                <c:pt idx="1466">
                  <c:v>45229</c:v>
                </c:pt>
                <c:pt idx="1467">
                  <c:v>45230</c:v>
                </c:pt>
                <c:pt idx="1468">
                  <c:v>45231</c:v>
                </c:pt>
                <c:pt idx="1469">
                  <c:v>45232</c:v>
                </c:pt>
                <c:pt idx="1470">
                  <c:v>45233</c:v>
                </c:pt>
                <c:pt idx="1471">
                  <c:v>45236</c:v>
                </c:pt>
                <c:pt idx="1472">
                  <c:v>45237</c:v>
                </c:pt>
                <c:pt idx="1473">
                  <c:v>45238</c:v>
                </c:pt>
                <c:pt idx="1474">
                  <c:v>45239</c:v>
                </c:pt>
                <c:pt idx="1475">
                  <c:v>45240</c:v>
                </c:pt>
                <c:pt idx="1476">
                  <c:v>45243</c:v>
                </c:pt>
                <c:pt idx="1477">
                  <c:v>45244</c:v>
                </c:pt>
                <c:pt idx="1478">
                  <c:v>45245</c:v>
                </c:pt>
                <c:pt idx="1479">
                  <c:v>45246</c:v>
                </c:pt>
                <c:pt idx="1480">
                  <c:v>45247</c:v>
                </c:pt>
                <c:pt idx="1481">
                  <c:v>45250</c:v>
                </c:pt>
                <c:pt idx="1482">
                  <c:v>45251</c:v>
                </c:pt>
                <c:pt idx="1483">
                  <c:v>45252</c:v>
                </c:pt>
                <c:pt idx="1484">
                  <c:v>45254</c:v>
                </c:pt>
                <c:pt idx="1485">
                  <c:v>45257</c:v>
                </c:pt>
                <c:pt idx="1486">
                  <c:v>45258</c:v>
                </c:pt>
                <c:pt idx="1487">
                  <c:v>45259</c:v>
                </c:pt>
                <c:pt idx="1488">
                  <c:v>45260</c:v>
                </c:pt>
                <c:pt idx="1489">
                  <c:v>45261</c:v>
                </c:pt>
                <c:pt idx="1490">
                  <c:v>45264</c:v>
                </c:pt>
                <c:pt idx="1491">
                  <c:v>45265</c:v>
                </c:pt>
                <c:pt idx="1492">
                  <c:v>45266</c:v>
                </c:pt>
                <c:pt idx="1493">
                  <c:v>45267</c:v>
                </c:pt>
                <c:pt idx="1494">
                  <c:v>45268</c:v>
                </c:pt>
                <c:pt idx="1495">
                  <c:v>45271</c:v>
                </c:pt>
                <c:pt idx="1496">
                  <c:v>45272</c:v>
                </c:pt>
                <c:pt idx="1497">
                  <c:v>45273</c:v>
                </c:pt>
                <c:pt idx="1498">
                  <c:v>45274</c:v>
                </c:pt>
                <c:pt idx="1499">
                  <c:v>45275</c:v>
                </c:pt>
                <c:pt idx="1500">
                  <c:v>45278</c:v>
                </c:pt>
                <c:pt idx="1501">
                  <c:v>45279</c:v>
                </c:pt>
                <c:pt idx="1502">
                  <c:v>45280</c:v>
                </c:pt>
                <c:pt idx="1503">
                  <c:v>45281</c:v>
                </c:pt>
                <c:pt idx="1504">
                  <c:v>45282</c:v>
                </c:pt>
                <c:pt idx="1505">
                  <c:v>45286</c:v>
                </c:pt>
                <c:pt idx="1506">
                  <c:v>45287</c:v>
                </c:pt>
                <c:pt idx="1507">
                  <c:v>45288</c:v>
                </c:pt>
                <c:pt idx="1508">
                  <c:v>45289</c:v>
                </c:pt>
              </c:numCache>
            </c:numRef>
          </c:cat>
          <c:val>
            <c:numRef>
              <c:f>'6Y STOCK PERFORMANCE'!$C$2:$C$1510</c:f>
              <c:numCache>
                <c:formatCode>General</c:formatCode>
                <c:ptCount val="1509"/>
                <c:pt idx="0">
                  <c:v>100</c:v>
                </c:pt>
                <c:pt idx="1">
                  <c:v>100.83674497466259</c:v>
                </c:pt>
                <c:pt idx="2">
                  <c:v>101.0134332571598</c:v>
                </c:pt>
                <c:pt idx="3">
                  <c:v>101.85046394349988</c:v>
                </c:pt>
                <c:pt idx="4">
                  <c:v>102.14774345962414</c:v>
                </c:pt>
                <c:pt idx="5">
                  <c:v>102.236084116584</c:v>
                </c:pt>
                <c:pt idx="6">
                  <c:v>102.09322130926886</c:v>
                </c:pt>
                <c:pt idx="7">
                  <c:v>102.92397330728197</c:v>
                </c:pt>
                <c:pt idx="8">
                  <c:v>103.62728395998612</c:v>
                </c:pt>
                <c:pt idx="9">
                  <c:v>103.09395084964727</c:v>
                </c:pt>
                <c:pt idx="10">
                  <c:v>104.15847074845516</c:v>
                </c:pt>
                <c:pt idx="11">
                  <c:v>104.1266452550154</c:v>
                </c:pt>
                <c:pt idx="12">
                  <c:v>104.7022218821556</c:v>
                </c:pt>
                <c:pt idx="13">
                  <c:v>105.72478397583961</c:v>
                </c:pt>
                <c:pt idx="14">
                  <c:v>106.47062385702257</c:v>
                </c:pt>
                <c:pt idx="15">
                  <c:v>105.82511755467593</c:v>
                </c:pt>
                <c:pt idx="16">
                  <c:v>105.76945952618824</c:v>
                </c:pt>
                <c:pt idx="17">
                  <c:v>107.11969807104892</c:v>
                </c:pt>
                <c:pt idx="18">
                  <c:v>106.5593895972099</c:v>
                </c:pt>
                <c:pt idx="19">
                  <c:v>105.64557912398146</c:v>
                </c:pt>
                <c:pt idx="20">
                  <c:v>105.77402394445033</c:v>
                </c:pt>
                <c:pt idx="21">
                  <c:v>105.40838268305697</c:v>
                </c:pt>
                <c:pt idx="22">
                  <c:v>103.34028309567341</c:v>
                </c:pt>
                <c:pt idx="23">
                  <c:v>99.438123596223548</c:v>
                </c:pt>
                <c:pt idx="24">
                  <c:v>101.55532378066785</c:v>
                </c:pt>
                <c:pt idx="25">
                  <c:v>100.64336694905425</c:v>
                </c:pt>
                <c:pt idx="26">
                  <c:v>96.721235506491112</c:v>
                </c:pt>
                <c:pt idx="27">
                  <c:v>98.110295996600911</c:v>
                </c:pt>
                <c:pt idx="28">
                  <c:v>99.644065967063199</c:v>
                </c:pt>
                <c:pt idx="29">
                  <c:v>100.09433363360924</c:v>
                </c:pt>
                <c:pt idx="30">
                  <c:v>101.95122260556359</c:v>
                </c:pt>
                <c:pt idx="31">
                  <c:v>103.56120790813678</c:v>
                </c:pt>
                <c:pt idx="32">
                  <c:v>103.31916133727272</c:v>
                </c:pt>
                <c:pt idx="33">
                  <c:v>103.24551741025908</c:v>
                </c:pt>
                <c:pt idx="34">
                  <c:v>103.01602821604894</c:v>
                </c:pt>
                <c:pt idx="35">
                  <c:v>102.89985506055649</c:v>
                </c:pt>
                <c:pt idx="36">
                  <c:v>104.7166398690018</c:v>
                </c:pt>
                <c:pt idx="37">
                  <c:v>105.91645469996048</c:v>
                </c:pt>
                <c:pt idx="38">
                  <c:v>104.61616691861549</c:v>
                </c:pt>
                <c:pt idx="39">
                  <c:v>103.79782595712881</c:v>
                </c:pt>
                <c:pt idx="40">
                  <c:v>102.47841639912546</c:v>
                </c:pt>
                <c:pt idx="41">
                  <c:v>103.58175824318251</c:v>
                </c:pt>
                <c:pt idx="42">
                  <c:v>104.62130276023255</c:v>
                </c:pt>
                <c:pt idx="43">
                  <c:v>105.21071898228655</c:v>
                </c:pt>
                <c:pt idx="44">
                  <c:v>105.56237430863861</c:v>
                </c:pt>
                <c:pt idx="45">
                  <c:v>106.00908103208246</c:v>
                </c:pt>
                <c:pt idx="46">
                  <c:v>107.9052100639359</c:v>
                </c:pt>
                <c:pt idx="47">
                  <c:v>108.29781972025192</c:v>
                </c:pt>
                <c:pt idx="48">
                  <c:v>107.19447787619488</c:v>
                </c:pt>
                <c:pt idx="49">
                  <c:v>106.99182467393491</c:v>
                </c:pt>
                <c:pt idx="50">
                  <c:v>106.77675346657102</c:v>
                </c:pt>
                <c:pt idx="51">
                  <c:v>106.78032137825072</c:v>
                </c:pt>
                <c:pt idx="52">
                  <c:v>104.81440204274082</c:v>
                </c:pt>
                <c:pt idx="53">
                  <c:v>105.10068514357104</c:v>
                </c:pt>
                <c:pt idx="54">
                  <c:v>104.82938448436452</c:v>
                </c:pt>
                <c:pt idx="55">
                  <c:v>102.28032761512759</c:v>
                </c:pt>
                <c:pt idx="56">
                  <c:v>99.79691474593497</c:v>
                </c:pt>
                <c:pt idx="57">
                  <c:v>103.04899655619859</c:v>
                </c:pt>
                <c:pt idx="58">
                  <c:v>100.02726107517755</c:v>
                </c:pt>
                <c:pt idx="59">
                  <c:v>99.17695524870112</c:v>
                </c:pt>
                <c:pt idx="60">
                  <c:v>100.80706580309258</c:v>
                </c:pt>
                <c:pt idx="61">
                  <c:v>98.047927227981319</c:v>
                </c:pt>
                <c:pt idx="62">
                  <c:v>99.063492869855949</c:v>
                </c:pt>
                <c:pt idx="63">
                  <c:v>100.50250412348143</c:v>
                </c:pt>
                <c:pt idx="64">
                  <c:v>100.99401880024639</c:v>
                </c:pt>
                <c:pt idx="65">
                  <c:v>98.690004990198247</c:v>
                </c:pt>
                <c:pt idx="66">
                  <c:v>99.19279482535724</c:v>
                </c:pt>
                <c:pt idx="67">
                  <c:v>101.24734052950448</c:v>
                </c:pt>
                <c:pt idx="68">
                  <c:v>100.88669573817819</c:v>
                </c:pt>
                <c:pt idx="69">
                  <c:v>101.90312548366275</c:v>
                </c:pt>
                <c:pt idx="70">
                  <c:v>101.42359676019674</c:v>
                </c:pt>
                <c:pt idx="71">
                  <c:v>102.13189691439045</c:v>
                </c:pt>
                <c:pt idx="72">
                  <c:v>103.91328831771632</c:v>
                </c:pt>
                <c:pt idx="73">
                  <c:v>104.11509135352136</c:v>
                </c:pt>
                <c:pt idx="74">
                  <c:v>103.29903608545447</c:v>
                </c:pt>
                <c:pt idx="75">
                  <c:v>101.98704109391049</c:v>
                </c:pt>
                <c:pt idx="76">
                  <c:v>101.73686219310464</c:v>
                </c:pt>
                <c:pt idx="77">
                  <c:v>100.00642502845437</c:v>
                </c:pt>
                <c:pt idx="78">
                  <c:v>99.95490633500134</c:v>
                </c:pt>
                <c:pt idx="79">
                  <c:v>101.5952885726269</c:v>
                </c:pt>
                <c:pt idx="80">
                  <c:v>101.61126752083301</c:v>
                </c:pt>
                <c:pt idx="81">
                  <c:v>100.84730933815162</c:v>
                </c:pt>
                <c:pt idx="82">
                  <c:v>101.76683404492955</c:v>
                </c:pt>
                <c:pt idx="83">
                  <c:v>101.34153479156386</c:v>
                </c:pt>
                <c:pt idx="84">
                  <c:v>101.1595712958996</c:v>
                </c:pt>
                <c:pt idx="85">
                  <c:v>102.89315128900209</c:v>
                </c:pt>
                <c:pt idx="86">
                  <c:v>103.68650990015345</c:v>
                </c:pt>
                <c:pt idx="87">
                  <c:v>103.71062814687888</c:v>
                </c:pt>
                <c:pt idx="88">
                  <c:v>104.75260469747623</c:v>
                </c:pt>
                <c:pt idx="89">
                  <c:v>105.68111886922838</c:v>
                </c:pt>
                <c:pt idx="90">
                  <c:v>105.65128638895347</c:v>
                </c:pt>
                <c:pt idx="91">
                  <c:v>105.77173825103054</c:v>
                </c:pt>
                <c:pt idx="92">
                  <c:v>104.91986449461675</c:v>
                </c:pt>
                <c:pt idx="93">
                  <c:v>105.5859211320091</c:v>
                </c:pt>
                <c:pt idx="94">
                  <c:v>105.36000681805615</c:v>
                </c:pt>
                <c:pt idx="95">
                  <c:v>104.95854009973839</c:v>
                </c:pt>
                <c:pt idx="96">
                  <c:v>105.52512726190436</c:v>
                </c:pt>
                <c:pt idx="97">
                  <c:v>105.3027738910536</c:v>
                </c:pt>
                <c:pt idx="98">
                  <c:v>105.98067711019495</c:v>
                </c:pt>
                <c:pt idx="99">
                  <c:v>105.95884455688933</c:v>
                </c:pt>
                <c:pt idx="100">
                  <c:v>106.0932823540077</c:v>
                </c:pt>
                <c:pt idx="101">
                  <c:v>105.56151717360621</c:v>
                </c:pt>
                <c:pt idx="102">
                  <c:v>106.50145284387987</c:v>
                </c:pt>
                <c:pt idx="103">
                  <c:v>106.21130915111497</c:v>
                </c:pt>
                <c:pt idx="104">
                  <c:v>107.8127300719414</c:v>
                </c:pt>
                <c:pt idx="105">
                  <c:v>108.55670934293202</c:v>
                </c:pt>
                <c:pt idx="106">
                  <c:v>109.00483765618576</c:v>
                </c:pt>
                <c:pt idx="107">
                  <c:v>109.73812016071481</c:v>
                </c:pt>
                <c:pt idx="108">
                  <c:v>108.96501920435421</c:v>
                </c:pt>
                <c:pt idx="109">
                  <c:v>109.1140143598688</c:v>
                </c:pt>
                <c:pt idx="110">
                  <c:v>109.31981735915849</c:v>
                </c:pt>
                <c:pt idx="111">
                  <c:v>109.94576983304182</c:v>
                </c:pt>
                <c:pt idx="112">
                  <c:v>109.83031444103182</c:v>
                </c:pt>
                <c:pt idx="113">
                  <c:v>110.76282160769112</c:v>
                </c:pt>
                <c:pt idx="114">
                  <c:v>110.55359703684923</c:v>
                </c:pt>
                <c:pt idx="115">
                  <c:v>110.56287221350092</c:v>
                </c:pt>
                <c:pt idx="116">
                  <c:v>110.2568889440799</c:v>
                </c:pt>
                <c:pt idx="117">
                  <c:v>111.05495831362084</c:v>
                </c:pt>
                <c:pt idx="118">
                  <c:v>110.0765003469305</c:v>
                </c:pt>
                <c:pt idx="119">
                  <c:v>109.78920680236287</c:v>
                </c:pt>
                <c:pt idx="120">
                  <c:v>107.49418245728894</c:v>
                </c:pt>
                <c:pt idx="121">
                  <c:v>107.91691030555735</c:v>
                </c:pt>
                <c:pt idx="122">
                  <c:v>106.25355266791627</c:v>
                </c:pt>
                <c:pt idx="123">
                  <c:v>107.08987255935141</c:v>
                </c:pt>
                <c:pt idx="124">
                  <c:v>107.18434556451075</c:v>
                </c:pt>
                <c:pt idx="125">
                  <c:v>108.00339732090238</c:v>
                </c:pt>
                <c:pt idx="126">
                  <c:v>107.07545457250517</c:v>
                </c:pt>
                <c:pt idx="127">
                  <c:v>108.27085132532925</c:v>
                </c:pt>
                <c:pt idx="128">
                  <c:v>109.72598786728834</c:v>
                </c:pt>
                <c:pt idx="129">
                  <c:v>110.6937490675171</c:v>
                </c:pt>
                <c:pt idx="130">
                  <c:v>110.73656400767339</c:v>
                </c:pt>
                <c:pt idx="131">
                  <c:v>110.12872983528848</c:v>
                </c:pt>
                <c:pt idx="132">
                  <c:v>111.66022108090847</c:v>
                </c:pt>
                <c:pt idx="133">
                  <c:v>111.68962150937843</c:v>
                </c:pt>
                <c:pt idx="134">
                  <c:v>111.40048129177345</c:v>
                </c:pt>
                <c:pt idx="135">
                  <c:v>112.10549924596494</c:v>
                </c:pt>
                <c:pt idx="136">
                  <c:v>112.09579201750827</c:v>
                </c:pt>
                <c:pt idx="137">
                  <c:v>111.67991428092176</c:v>
                </c:pt>
                <c:pt idx="138">
                  <c:v>111.60713445751807</c:v>
                </c:pt>
                <c:pt idx="139">
                  <c:v>111.91639992694131</c:v>
                </c:pt>
                <c:pt idx="140">
                  <c:v>111.90069972183517</c:v>
                </c:pt>
                <c:pt idx="141">
                  <c:v>113.20613031337473</c:v>
                </c:pt>
                <c:pt idx="142">
                  <c:v>112.06354144084109</c:v>
                </c:pt>
                <c:pt idx="143">
                  <c:v>110.4257236397353</c:v>
                </c:pt>
                <c:pt idx="144">
                  <c:v>108.89266446417795</c:v>
                </c:pt>
                <c:pt idx="145">
                  <c:v>109.48907713804135</c:v>
                </c:pt>
                <c:pt idx="146">
                  <c:v>109.99572059655752</c:v>
                </c:pt>
                <c:pt idx="147">
                  <c:v>111.35723429981222</c:v>
                </c:pt>
                <c:pt idx="148">
                  <c:v>111.49024353854321</c:v>
                </c:pt>
                <c:pt idx="149">
                  <c:v>112.17057879123186</c:v>
                </c:pt>
                <c:pt idx="150">
                  <c:v>112.51281260080476</c:v>
                </c:pt>
                <c:pt idx="151">
                  <c:v>112.57946007600898</c:v>
                </c:pt>
                <c:pt idx="152">
                  <c:v>112.62869307604221</c:v>
                </c:pt>
                <c:pt idx="153">
                  <c:v>111.87700655833726</c:v>
                </c:pt>
                <c:pt idx="154">
                  <c:v>111.60013800570871</c:v>
                </c:pt>
                <c:pt idx="155">
                  <c:v>112.33056339346301</c:v>
                </c:pt>
                <c:pt idx="156">
                  <c:v>110.94949586174501</c:v>
                </c:pt>
                <c:pt idx="157">
                  <c:v>111.41189582171749</c:v>
                </c:pt>
                <c:pt idx="158">
                  <c:v>111.55190151225788</c:v>
                </c:pt>
                <c:pt idx="159">
                  <c:v>111.61868835901211</c:v>
                </c:pt>
                <c:pt idx="160">
                  <c:v>112.163296627745</c:v>
                </c:pt>
                <c:pt idx="161">
                  <c:v>112.59044952272554</c:v>
                </c:pt>
                <c:pt idx="162">
                  <c:v>112.43859725043617</c:v>
                </c:pt>
                <c:pt idx="163">
                  <c:v>113.40221911563029</c:v>
                </c:pt>
                <c:pt idx="164">
                  <c:v>114.42863483267149</c:v>
                </c:pt>
                <c:pt idx="165">
                  <c:v>114.601894575039</c:v>
                </c:pt>
                <c:pt idx="166">
                  <c:v>115.73862984247315</c:v>
                </c:pt>
                <c:pt idx="167">
                  <c:v>115.43421450298949</c:v>
                </c:pt>
                <c:pt idx="168">
                  <c:v>115.73649048918084</c:v>
                </c:pt>
                <c:pt idx="169">
                  <c:v>115.47546151320842</c:v>
                </c:pt>
                <c:pt idx="170">
                  <c:v>114.10424058149707</c:v>
                </c:pt>
                <c:pt idx="171">
                  <c:v>113.07040332941902</c:v>
                </c:pt>
                <c:pt idx="172">
                  <c:v>112.78225961839645</c:v>
                </c:pt>
                <c:pt idx="173">
                  <c:v>113.09081429291474</c:v>
                </c:pt>
                <c:pt idx="174">
                  <c:v>113.78027838212758</c:v>
                </c:pt>
                <c:pt idx="175">
                  <c:v>113.5199602010601</c:v>
                </c:pt>
                <c:pt idx="176">
                  <c:v>114.36883746914914</c:v>
                </c:pt>
                <c:pt idx="177">
                  <c:v>114.31646164066368</c:v>
                </c:pt>
                <c:pt idx="178">
                  <c:v>112.68592600304476</c:v>
                </c:pt>
                <c:pt idx="179">
                  <c:v>113.54678922443277</c:v>
                </c:pt>
                <c:pt idx="180">
                  <c:v>113.46016283753777</c:v>
                </c:pt>
                <c:pt idx="181">
                  <c:v>114.57606205824871</c:v>
                </c:pt>
                <c:pt idx="182">
                  <c:v>113.98707091942218</c:v>
                </c:pt>
                <c:pt idx="183">
                  <c:v>114.07684013476941</c:v>
                </c:pt>
                <c:pt idx="184">
                  <c:v>114.27978601728435</c:v>
                </c:pt>
                <c:pt idx="185">
                  <c:v>114.03573946467796</c:v>
                </c:pt>
                <c:pt idx="186">
                  <c:v>114.77215782908175</c:v>
                </c:pt>
                <c:pt idx="187">
                  <c:v>114.83466596925133</c:v>
                </c:pt>
                <c:pt idx="188">
                  <c:v>114.70550338530002</c:v>
                </c:pt>
                <c:pt idx="189">
                  <c:v>114.16674872166664</c:v>
                </c:pt>
                <c:pt idx="190">
                  <c:v>114.53124713635009</c:v>
                </c:pt>
                <c:pt idx="191">
                  <c:v>112.45357969205986</c:v>
                </c:pt>
                <c:pt idx="192">
                  <c:v>111.15400967419731</c:v>
                </c:pt>
                <c:pt idx="193">
                  <c:v>110.40474822146214</c:v>
                </c:pt>
                <c:pt idx="194">
                  <c:v>110.43428802148209</c:v>
                </c:pt>
                <c:pt idx="195">
                  <c:v>105.92487274157976</c:v>
                </c:pt>
                <c:pt idx="196">
                  <c:v>104.59775593686209</c:v>
                </c:pt>
                <c:pt idx="197">
                  <c:v>106.99296752064483</c:v>
                </c:pt>
                <c:pt idx="198">
                  <c:v>106.04889948391401</c:v>
                </c:pt>
                <c:pt idx="199">
                  <c:v>109.11373561676882</c:v>
                </c:pt>
                <c:pt idx="200">
                  <c:v>109.07391716493727</c:v>
                </c:pt>
                <c:pt idx="201">
                  <c:v>106.82527567169934</c:v>
                </c:pt>
                <c:pt idx="202">
                  <c:v>106.30992149130894</c:v>
                </c:pt>
                <c:pt idx="203">
                  <c:v>106.58964716071225</c:v>
                </c:pt>
                <c:pt idx="204">
                  <c:v>106.14594389417064</c:v>
                </c:pt>
                <c:pt idx="205">
                  <c:v>101.44857214195459</c:v>
                </c:pt>
                <c:pt idx="206">
                  <c:v>104.44476081786284</c:v>
                </c:pt>
                <c:pt idx="207">
                  <c:v>102.28788852171448</c:v>
                </c:pt>
                <c:pt idx="208">
                  <c:v>100.61924870232886</c:v>
                </c:pt>
                <c:pt idx="209">
                  <c:v>102.20853732972886</c:v>
                </c:pt>
                <c:pt idx="210">
                  <c:v>104.26722236891074</c:v>
                </c:pt>
                <c:pt idx="211">
                  <c:v>106.09627884233248</c:v>
                </c:pt>
                <c:pt idx="212">
                  <c:v>104.99636553840516</c:v>
                </c:pt>
                <c:pt idx="213">
                  <c:v>104.5947594485374</c:v>
                </c:pt>
                <c:pt idx="214">
                  <c:v>105.26709477425673</c:v>
                </c:pt>
                <c:pt idx="215">
                  <c:v>108.04706939609119</c:v>
                </c:pt>
                <c:pt idx="216">
                  <c:v>107.47805716895542</c:v>
                </c:pt>
                <c:pt idx="217">
                  <c:v>105.70865868750602</c:v>
                </c:pt>
                <c:pt idx="218">
                  <c:v>102.76827438021293</c:v>
                </c:pt>
                <c:pt idx="219">
                  <c:v>102.76827438021293</c:v>
                </c:pt>
                <c:pt idx="220">
                  <c:v>101.84803887853005</c:v>
                </c:pt>
                <c:pt idx="221">
                  <c:v>103.5983086147436</c:v>
                </c:pt>
                <c:pt idx="222">
                  <c:v>103.43904177599488</c:v>
                </c:pt>
                <c:pt idx="223">
                  <c:v>100.30798325116329</c:v>
                </c:pt>
                <c:pt idx="224">
                  <c:v>98.600235774851058</c:v>
                </c:pt>
                <c:pt idx="225">
                  <c:v>99.505488834910224</c:v>
                </c:pt>
                <c:pt idx="226">
                  <c:v>99.030670869833813</c:v>
                </c:pt>
                <c:pt idx="227">
                  <c:v>101.06966270900239</c:v>
                </c:pt>
                <c:pt idx="228">
                  <c:v>101.08179500242883</c:v>
                </c:pt>
                <c:pt idx="229">
                  <c:v>104.0629942681359</c:v>
                </c:pt>
                <c:pt idx="230">
                  <c:v>103.79882943228876</c:v>
                </c:pt>
                <c:pt idx="231">
                  <c:v>104.6188776952628</c:v>
                </c:pt>
                <c:pt idx="232">
                  <c:v>106.20259842924077</c:v>
                </c:pt>
                <c:pt idx="233">
                  <c:v>102.16258652969783</c:v>
                </c:pt>
                <c:pt idx="234">
                  <c:v>102.5883038977135</c:v>
                </c:pt>
                <c:pt idx="235">
                  <c:v>99.462673894753948</c:v>
                </c:pt>
                <c:pt idx="236">
                  <c:v>100.19438150076813</c:v>
                </c:pt>
                <c:pt idx="237">
                  <c:v>100.35579466138667</c:v>
                </c:pt>
                <c:pt idx="238">
                  <c:v>101.30457345650707</c:v>
                </c:pt>
                <c:pt idx="239">
                  <c:v>100.90525306005912</c:v>
                </c:pt>
                <c:pt idx="240">
                  <c:v>98.626500343446295</c:v>
                </c:pt>
                <c:pt idx="241">
                  <c:v>96.386848315182576</c:v>
                </c:pt>
                <c:pt idx="242">
                  <c:v>96.817569121842808</c:v>
                </c:pt>
                <c:pt idx="243">
                  <c:v>94.718494207474436</c:v>
                </c:pt>
                <c:pt idx="244">
                  <c:v>93.171163385198312</c:v>
                </c:pt>
                <c:pt idx="245">
                  <c:v>90.382199298389637</c:v>
                </c:pt>
                <c:pt idx="246">
                  <c:v>88.383165282602604</c:v>
                </c:pt>
                <c:pt idx="247">
                  <c:v>93.541508436403774</c:v>
                </c:pt>
                <c:pt idx="248">
                  <c:v>93.900160214565233</c:v>
                </c:pt>
                <c:pt idx="249">
                  <c:v>93.971943531386515</c:v>
                </c:pt>
                <c:pt idx="250">
                  <c:v>94.696368973913835</c:v>
                </c:pt>
                <c:pt idx="251">
                  <c:v>95.133939892255967</c:v>
                </c:pt>
                <c:pt idx="252">
                  <c:v>92.244788566738464</c:v>
                </c:pt>
                <c:pt idx="253">
                  <c:v>96.174627256015924</c:v>
                </c:pt>
                <c:pt idx="254">
                  <c:v>97.382156302266452</c:v>
                </c:pt>
                <c:pt idx="255">
                  <c:v>98.431547419323138</c:v>
                </c:pt>
                <c:pt idx="256">
                  <c:v>99.288989069158944</c:v>
                </c:pt>
                <c:pt idx="257">
                  <c:v>99.702720483875652</c:v>
                </c:pt>
                <c:pt idx="258">
                  <c:v>99.49449938819366</c:v>
                </c:pt>
                <c:pt idx="259">
                  <c:v>98.558849393082127</c:v>
                </c:pt>
                <c:pt idx="260">
                  <c:v>100.24162148763652</c:v>
                </c:pt>
                <c:pt idx="261">
                  <c:v>100.3966096198006</c:v>
                </c:pt>
                <c:pt idx="262">
                  <c:v>101.10690975573664</c:v>
                </c:pt>
                <c:pt idx="263">
                  <c:v>102.14545776620429</c:v>
                </c:pt>
                <c:pt idx="264">
                  <c:v>100.1920958073483</c:v>
                </c:pt>
                <c:pt idx="265">
                  <c:v>100.26930764604163</c:v>
                </c:pt>
                <c:pt idx="266">
                  <c:v>100.94992164183024</c:v>
                </c:pt>
                <c:pt idx="267">
                  <c:v>102.25434875820987</c:v>
                </c:pt>
                <c:pt idx="268">
                  <c:v>101.12432423090765</c:v>
                </c:pt>
                <c:pt idx="269">
                  <c:v>100.30527247451602</c:v>
                </c:pt>
                <c:pt idx="270">
                  <c:v>102.51438122759987</c:v>
                </c:pt>
                <c:pt idx="271">
                  <c:v>103.92242412281803</c:v>
                </c:pt>
                <c:pt idx="272">
                  <c:v>103.66738812349509</c:v>
                </c:pt>
                <c:pt idx="273">
                  <c:v>104.86149568948177</c:v>
                </c:pt>
                <c:pt idx="274">
                  <c:v>105.63987185900942</c:v>
                </c:pt>
                <c:pt idx="275">
                  <c:v>105.25738754580001</c:v>
                </c:pt>
                <c:pt idx="276">
                  <c:v>104.01675775642735</c:v>
                </c:pt>
                <c:pt idx="277">
                  <c:v>104.15733487032269</c:v>
                </c:pt>
                <c:pt idx="278">
                  <c:v>104.29576566234822</c:v>
                </c:pt>
                <c:pt idx="279">
                  <c:v>105.81883886634893</c:v>
                </c:pt>
                <c:pt idx="280">
                  <c:v>105.9010402065318</c:v>
                </c:pt>
                <c:pt idx="281">
                  <c:v>105.99480938536369</c:v>
                </c:pt>
                <c:pt idx="282">
                  <c:v>106.64359788771255</c:v>
                </c:pt>
                <c:pt idx="283">
                  <c:v>106.8485367833923</c:v>
                </c:pt>
                <c:pt idx="284">
                  <c:v>106.88135878341446</c:v>
                </c:pt>
                <c:pt idx="285">
                  <c:v>106.4623451869532</c:v>
                </c:pt>
                <c:pt idx="286">
                  <c:v>107.43039209885944</c:v>
                </c:pt>
                <c:pt idx="287">
                  <c:v>107.8145837135562</c:v>
                </c:pt>
                <c:pt idx="288">
                  <c:v>107.74093978654257</c:v>
                </c:pt>
                <c:pt idx="289">
                  <c:v>107.81529450846114</c:v>
                </c:pt>
                <c:pt idx="290">
                  <c:v>107.50160399232578</c:v>
                </c:pt>
                <c:pt idx="291">
                  <c:v>108.39815329908821</c:v>
                </c:pt>
                <c:pt idx="292">
                  <c:v>108.14439951802517</c:v>
                </c:pt>
                <c:pt idx="293">
                  <c:v>108.12713138298166</c:v>
                </c:pt>
                <c:pt idx="294">
                  <c:v>107.12183742434114</c:v>
                </c:pt>
                <c:pt idx="295">
                  <c:v>105.91645469996043</c:v>
                </c:pt>
                <c:pt idx="296">
                  <c:v>105.72635887435437</c:v>
                </c:pt>
                <c:pt idx="297">
                  <c:v>107.86596303545925</c:v>
                </c:pt>
                <c:pt idx="298">
                  <c:v>108.33649532537353</c:v>
                </c:pt>
                <c:pt idx="299">
                  <c:v>109.08404947662136</c:v>
                </c:pt>
                <c:pt idx="300">
                  <c:v>108.90565389263679</c:v>
                </c:pt>
                <c:pt idx="301">
                  <c:v>109.72798088045315</c:v>
                </c:pt>
                <c:pt idx="302">
                  <c:v>110.09833290023609</c:v>
                </c:pt>
                <c:pt idx="303">
                  <c:v>110.2334884608369</c:v>
                </c:pt>
                <c:pt idx="304">
                  <c:v>110.3051324061082</c:v>
                </c:pt>
                <c:pt idx="305">
                  <c:v>111.87486720504488</c:v>
                </c:pt>
                <c:pt idx="306">
                  <c:v>109.07348511313228</c:v>
                </c:pt>
                <c:pt idx="307">
                  <c:v>109.00027323792361</c:v>
                </c:pt>
                <c:pt idx="308">
                  <c:v>109.77065644905944</c:v>
                </c:pt>
                <c:pt idx="309">
                  <c:v>109.0836174248164</c:v>
                </c:pt>
                <c:pt idx="310">
                  <c:v>109.45168375117954</c:v>
                </c:pt>
                <c:pt idx="311">
                  <c:v>110.31012190759778</c:v>
                </c:pt>
                <c:pt idx="312">
                  <c:v>111.73143994295229</c:v>
                </c:pt>
                <c:pt idx="313">
                  <c:v>112.01373004887537</c:v>
                </c:pt>
                <c:pt idx="314">
                  <c:v>112.68249746291502</c:v>
                </c:pt>
                <c:pt idx="315">
                  <c:v>112.62869307604218</c:v>
                </c:pt>
                <c:pt idx="316">
                  <c:v>113.29817825356426</c:v>
                </c:pt>
                <c:pt idx="317">
                  <c:v>113.51496373099302</c:v>
                </c:pt>
                <c:pt idx="318">
                  <c:v>112.87844689362059</c:v>
                </c:pt>
                <c:pt idx="319">
                  <c:v>113.66282300837521</c:v>
                </c:pt>
                <c:pt idx="320">
                  <c:v>113.42191231564357</c:v>
                </c:pt>
                <c:pt idx="321">
                  <c:v>113.94711309604062</c:v>
                </c:pt>
                <c:pt idx="322">
                  <c:v>113.83079360042068</c:v>
                </c:pt>
                <c:pt idx="323">
                  <c:v>114.17645595012327</c:v>
                </c:pt>
                <c:pt idx="324">
                  <c:v>114.11723000995589</c:v>
                </c:pt>
                <c:pt idx="325">
                  <c:v>114.14548759171593</c:v>
                </c:pt>
                <c:pt idx="326">
                  <c:v>114.39110207425966</c:v>
                </c:pt>
                <c:pt idx="327">
                  <c:v>115.89747159799433</c:v>
                </c:pt>
                <c:pt idx="328">
                  <c:v>115.62902108698505</c:v>
                </c:pt>
                <c:pt idx="329">
                  <c:v>115.86693529139197</c:v>
                </c:pt>
                <c:pt idx="330">
                  <c:v>116.26254143603275</c:v>
                </c:pt>
                <c:pt idx="331">
                  <c:v>116.48304116526867</c:v>
                </c:pt>
                <c:pt idx="332">
                  <c:v>115.53454808182575</c:v>
                </c:pt>
                <c:pt idx="333">
                  <c:v>114.88162024444223</c:v>
                </c:pt>
                <c:pt idx="334">
                  <c:v>114.69794247871313</c:v>
                </c:pt>
                <c:pt idx="335">
                  <c:v>116.5137238119985</c:v>
                </c:pt>
                <c:pt idx="336">
                  <c:v>115.93272563156377</c:v>
                </c:pt>
                <c:pt idx="337">
                  <c:v>113.65596592811576</c:v>
                </c:pt>
                <c:pt idx="338">
                  <c:v>113.36425430541351</c:v>
                </c:pt>
                <c:pt idx="339">
                  <c:v>112.89714358705142</c:v>
                </c:pt>
                <c:pt idx="340">
                  <c:v>112.98776993743108</c:v>
                </c:pt>
                <c:pt idx="341">
                  <c:v>109.13556817007439</c:v>
                </c:pt>
                <c:pt idx="342">
                  <c:v>110.38391217473888</c:v>
                </c:pt>
                <c:pt idx="343">
                  <c:v>111.63495998747314</c:v>
                </c:pt>
                <c:pt idx="344">
                  <c:v>112.71817657971189</c:v>
                </c:pt>
                <c:pt idx="345">
                  <c:v>111.55118374877537</c:v>
                </c:pt>
                <c:pt idx="346">
                  <c:v>109.92564458122352</c:v>
                </c:pt>
                <c:pt idx="347">
                  <c:v>111.11504835739811</c:v>
                </c:pt>
                <c:pt idx="348">
                  <c:v>110.61724802372868</c:v>
                </c:pt>
                <c:pt idx="349">
                  <c:v>108.86811416564751</c:v>
                </c:pt>
                <c:pt idx="350">
                  <c:v>108.99270536275922</c:v>
                </c:pt>
                <c:pt idx="351">
                  <c:v>108.56941305971336</c:v>
                </c:pt>
                <c:pt idx="352">
                  <c:v>107.71254283323249</c:v>
                </c:pt>
                <c:pt idx="353">
                  <c:v>108.00382937270729</c:v>
                </c:pt>
                <c:pt idx="354">
                  <c:v>106.36872234824877</c:v>
                </c:pt>
                <c:pt idx="355">
                  <c:v>104.65427110038212</c:v>
                </c:pt>
                <c:pt idx="356">
                  <c:v>107.42439912220992</c:v>
                </c:pt>
                <c:pt idx="357">
                  <c:v>108.11457400632769</c:v>
                </c:pt>
                <c:pt idx="358">
                  <c:v>108.68643638166071</c:v>
                </c:pt>
                <c:pt idx="359">
                  <c:v>110.49251745506695</c:v>
                </c:pt>
                <c:pt idx="360">
                  <c:v>111.64951734586933</c:v>
                </c:pt>
                <c:pt idx="361">
                  <c:v>111.64095296412256</c:v>
                </c:pt>
                <c:pt idx="362">
                  <c:v>111.21494988442943</c:v>
                </c:pt>
                <c:pt idx="363">
                  <c:v>111.8487489765771</c:v>
                </c:pt>
                <c:pt idx="364">
                  <c:v>111.27117933627207</c:v>
                </c:pt>
                <c:pt idx="365">
                  <c:v>111.96135422038985</c:v>
                </c:pt>
                <c:pt idx="366">
                  <c:v>113.51496373099292</c:v>
                </c:pt>
                <c:pt idx="367">
                  <c:v>113.99220676103913</c:v>
                </c:pt>
                <c:pt idx="368">
                  <c:v>114.90587786271757</c:v>
                </c:pt>
                <c:pt idx="369">
                  <c:v>114.62572711008681</c:v>
                </c:pt>
                <c:pt idx="370">
                  <c:v>114.25452492384893</c:v>
                </c:pt>
                <c:pt idx="371">
                  <c:v>112.52794138255582</c:v>
                </c:pt>
                <c:pt idx="372">
                  <c:v>112.88830046220464</c:v>
                </c:pt>
                <c:pt idx="373">
                  <c:v>113.71305251499076</c:v>
                </c:pt>
                <c:pt idx="374">
                  <c:v>114.26223217056325</c:v>
                </c:pt>
                <c:pt idx="375">
                  <c:v>115.47417929494839</c:v>
                </c:pt>
                <c:pt idx="376">
                  <c:v>115.73006546072625</c:v>
                </c:pt>
                <c:pt idx="377">
                  <c:v>116.60263589231326</c:v>
                </c:pt>
                <c:pt idx="378">
                  <c:v>116.48218403023618</c:v>
                </c:pt>
                <c:pt idx="379">
                  <c:v>115.57721668185448</c:v>
                </c:pt>
                <c:pt idx="380">
                  <c:v>116.19589396082844</c:v>
                </c:pt>
                <c:pt idx="381">
                  <c:v>117.06361426247587</c:v>
                </c:pt>
                <c:pt idx="382">
                  <c:v>116.97098793035389</c:v>
                </c:pt>
                <c:pt idx="383">
                  <c:v>117.6574485626645</c:v>
                </c:pt>
                <c:pt idx="384">
                  <c:v>117.85797634878715</c:v>
                </c:pt>
                <c:pt idx="385">
                  <c:v>117.35289385163085</c:v>
                </c:pt>
                <c:pt idx="386">
                  <c:v>116.81642488141728</c:v>
                </c:pt>
                <c:pt idx="387">
                  <c:v>117.13083316103507</c:v>
                </c:pt>
                <c:pt idx="388">
                  <c:v>116.26383062287009</c:v>
                </c:pt>
                <c:pt idx="389">
                  <c:v>117.08658269391391</c:v>
                </c:pt>
                <c:pt idx="390">
                  <c:v>117.76107131008054</c:v>
                </c:pt>
                <c:pt idx="391">
                  <c:v>118.76150817020398</c:v>
                </c:pt>
                <c:pt idx="392">
                  <c:v>117.57753291590143</c:v>
                </c:pt>
                <c:pt idx="393">
                  <c:v>118.88581365563824</c:v>
                </c:pt>
                <c:pt idx="394">
                  <c:v>118.35947699710879</c:v>
                </c:pt>
                <c:pt idx="395">
                  <c:v>118.07804402621814</c:v>
                </c:pt>
                <c:pt idx="396">
                  <c:v>116.67670490255438</c:v>
                </c:pt>
                <c:pt idx="397">
                  <c:v>115.75904080596878</c:v>
                </c:pt>
                <c:pt idx="398">
                  <c:v>114.23125684357848</c:v>
                </c:pt>
                <c:pt idx="399">
                  <c:v>110.26331397253431</c:v>
                </c:pt>
                <c:pt idx="400">
                  <c:v>111.79366237144438</c:v>
                </c:pt>
                <c:pt idx="401">
                  <c:v>112.21553308468037</c:v>
                </c:pt>
                <c:pt idx="402">
                  <c:v>114.73205366557262</c:v>
                </c:pt>
                <c:pt idx="403">
                  <c:v>113.59003621639393</c:v>
                </c:pt>
                <c:pt idx="404">
                  <c:v>112.22381175474963</c:v>
                </c:pt>
                <c:pt idx="405">
                  <c:v>114.40665593923825</c:v>
                </c:pt>
                <c:pt idx="406">
                  <c:v>110.94692445664761</c:v>
                </c:pt>
                <c:pt idx="407">
                  <c:v>110.84245851135415</c:v>
                </c:pt>
                <c:pt idx="408">
                  <c:v>112.6887831198194</c:v>
                </c:pt>
                <c:pt idx="409">
                  <c:v>114.21327791362999</c:v>
                </c:pt>
                <c:pt idx="410">
                  <c:v>113.43904107913698</c:v>
                </c:pt>
                <c:pt idx="411">
                  <c:v>114.461603172821</c:v>
                </c:pt>
                <c:pt idx="412">
                  <c:v>114.05029682307409</c:v>
                </c:pt>
                <c:pt idx="413">
                  <c:v>110.63052316386499</c:v>
                </c:pt>
                <c:pt idx="414">
                  <c:v>112.08580604595157</c:v>
                </c:pt>
                <c:pt idx="415">
                  <c:v>111.70346807286965</c:v>
                </c:pt>
                <c:pt idx="416">
                  <c:v>112.1306139992727</c:v>
                </c:pt>
                <c:pt idx="417">
                  <c:v>113.79340718213631</c:v>
                </c:pt>
                <c:pt idx="418">
                  <c:v>113.64340855146179</c:v>
                </c:pt>
                <c:pt idx="419">
                  <c:v>112.37723195697635</c:v>
                </c:pt>
                <c:pt idx="420">
                  <c:v>113.8432116055245</c:v>
                </c:pt>
                <c:pt idx="421">
                  <c:v>115.84053135124668</c:v>
                </c:pt>
                <c:pt idx="422">
                  <c:v>115.64414986873618</c:v>
                </c:pt>
                <c:pt idx="423">
                  <c:v>115.42108570298048</c:v>
                </c:pt>
                <c:pt idx="424">
                  <c:v>115.37427776791702</c:v>
                </c:pt>
                <c:pt idx="425">
                  <c:v>116.59478927404892</c:v>
                </c:pt>
                <c:pt idx="426">
                  <c:v>116.94857698511581</c:v>
                </c:pt>
                <c:pt idx="427">
                  <c:v>116.69511588430773</c:v>
                </c:pt>
                <c:pt idx="428">
                  <c:v>116.36444294480634</c:v>
                </c:pt>
                <c:pt idx="429">
                  <c:v>116.82798575148874</c:v>
                </c:pt>
                <c:pt idx="430">
                  <c:v>116.7048231127644</c:v>
                </c:pt>
                <c:pt idx="431">
                  <c:v>116.78317082959012</c:v>
                </c:pt>
                <c:pt idx="432">
                  <c:v>115.85251730454564</c:v>
                </c:pt>
                <c:pt idx="433">
                  <c:v>115.77816258262708</c:v>
                </c:pt>
                <c:pt idx="434">
                  <c:v>114.08226168806381</c:v>
                </c:pt>
                <c:pt idx="435">
                  <c:v>115.27751210076039</c:v>
                </c:pt>
                <c:pt idx="436">
                  <c:v>114.61074466846308</c:v>
                </c:pt>
                <c:pt idx="437">
                  <c:v>113.3115927652505</c:v>
                </c:pt>
                <c:pt idx="438">
                  <c:v>114.16375223334175</c:v>
                </c:pt>
                <c:pt idx="439">
                  <c:v>112.86988948045121</c:v>
                </c:pt>
                <c:pt idx="440">
                  <c:v>111.10833761726613</c:v>
                </c:pt>
                <c:pt idx="441">
                  <c:v>112.35011025334869</c:v>
                </c:pt>
                <c:pt idx="442">
                  <c:v>113.92299484931509</c:v>
                </c:pt>
                <c:pt idx="443">
                  <c:v>113.54936062952991</c:v>
                </c:pt>
                <c:pt idx="444">
                  <c:v>111.65822109916604</c:v>
                </c:pt>
                <c:pt idx="445">
                  <c:v>112.79938838188981</c:v>
                </c:pt>
                <c:pt idx="446">
                  <c:v>113.47072023244922</c:v>
                </c:pt>
                <c:pt idx="447">
                  <c:v>114.9872290364455</c:v>
                </c:pt>
                <c:pt idx="448">
                  <c:v>114.86748796927336</c:v>
                </c:pt>
                <c:pt idx="449">
                  <c:v>116.2955097761823</c:v>
                </c:pt>
                <c:pt idx="450">
                  <c:v>115.94542934834509</c:v>
                </c:pt>
                <c:pt idx="451">
                  <c:v>116.41168293167473</c:v>
                </c:pt>
                <c:pt idx="452">
                  <c:v>115.45105755480536</c:v>
                </c:pt>
                <c:pt idx="453">
                  <c:v>116.49931279372966</c:v>
                </c:pt>
                <c:pt idx="454">
                  <c:v>115.66170371545714</c:v>
                </c:pt>
                <c:pt idx="455">
                  <c:v>115.882774868048</c:v>
                </c:pt>
                <c:pt idx="456">
                  <c:v>116.82484292303648</c:v>
                </c:pt>
                <c:pt idx="457">
                  <c:v>117.6428981728457</c:v>
                </c:pt>
                <c:pt idx="458">
                  <c:v>118.82559120888837</c:v>
                </c:pt>
                <c:pt idx="459">
                  <c:v>118.12427356934906</c:v>
                </c:pt>
                <c:pt idx="460">
                  <c:v>118.51147560952556</c:v>
                </c:pt>
                <c:pt idx="461">
                  <c:v>118.34563740219491</c:v>
                </c:pt>
                <c:pt idx="462">
                  <c:v>119.68774361711378</c:v>
                </c:pt>
                <c:pt idx="463">
                  <c:v>120.35565389612098</c:v>
                </c:pt>
                <c:pt idx="464">
                  <c:v>120.37676868594417</c:v>
                </c:pt>
                <c:pt idx="465">
                  <c:v>120.03353836978887</c:v>
                </c:pt>
                <c:pt idx="466">
                  <c:v>120.37448299252438</c:v>
                </c:pt>
                <c:pt idx="467">
                  <c:v>120.95662401966902</c:v>
                </c:pt>
                <c:pt idx="468">
                  <c:v>120.79921779111264</c:v>
                </c:pt>
                <c:pt idx="469">
                  <c:v>121.1104762737007</c:v>
                </c:pt>
                <c:pt idx="470">
                  <c:v>121.05352905837563</c:v>
                </c:pt>
                <c:pt idx="471">
                  <c:v>121.00957127150944</c:v>
                </c:pt>
                <c:pt idx="472">
                  <c:v>121.89170956000312</c:v>
                </c:pt>
                <c:pt idx="473">
                  <c:v>122.02172927898688</c:v>
                </c:pt>
                <c:pt idx="474">
                  <c:v>122.3174338965963</c:v>
                </c:pt>
                <c:pt idx="475">
                  <c:v>121.69048491613054</c:v>
                </c:pt>
                <c:pt idx="476">
                  <c:v>121.39762347814089</c:v>
                </c:pt>
                <c:pt idx="477">
                  <c:v>121.59271577381402</c:v>
                </c:pt>
                <c:pt idx="478">
                  <c:v>123.19985092818996</c:v>
                </c:pt>
                <c:pt idx="479">
                  <c:v>123.42019734872089</c:v>
                </c:pt>
                <c:pt idx="480">
                  <c:v>124.2372491233702</c:v>
                </c:pt>
                <c:pt idx="481">
                  <c:v>123.67052258965424</c:v>
                </c:pt>
                <c:pt idx="482">
                  <c:v>122.27932971482961</c:v>
                </c:pt>
                <c:pt idx="483">
                  <c:v>121.60355888040309</c:v>
                </c:pt>
                <c:pt idx="484">
                  <c:v>122.26048668127125</c:v>
                </c:pt>
                <c:pt idx="485">
                  <c:v>122.31800531995127</c:v>
                </c:pt>
                <c:pt idx="486">
                  <c:v>123.54294187279528</c:v>
                </c:pt>
                <c:pt idx="487">
                  <c:v>123.04771294422314</c:v>
                </c:pt>
                <c:pt idx="488">
                  <c:v>122.96707256540012</c:v>
                </c:pt>
                <c:pt idx="489">
                  <c:v>123.50754149909835</c:v>
                </c:pt>
                <c:pt idx="490">
                  <c:v>124.41051583431522</c:v>
                </c:pt>
                <c:pt idx="491">
                  <c:v>124.66111981834852</c:v>
                </c:pt>
                <c:pt idx="492">
                  <c:v>125.79358334777554</c:v>
                </c:pt>
                <c:pt idx="493">
                  <c:v>125.92388180985927</c:v>
                </c:pt>
                <c:pt idx="494">
                  <c:v>125.98638995002885</c:v>
                </c:pt>
                <c:pt idx="495">
                  <c:v>126.83526024954041</c:v>
                </c:pt>
                <c:pt idx="496">
                  <c:v>127.37387554162382</c:v>
                </c:pt>
                <c:pt idx="497">
                  <c:v>127.66916204458326</c:v>
                </c:pt>
                <c:pt idx="498">
                  <c:v>127.77233880303932</c:v>
                </c:pt>
                <c:pt idx="499">
                  <c:v>128.7643576215435</c:v>
                </c:pt>
                <c:pt idx="500">
                  <c:v>128.53930044262296</c:v>
                </c:pt>
                <c:pt idx="501">
                  <c:v>127.67401217452283</c:v>
                </c:pt>
                <c:pt idx="502">
                  <c:v>128.05377177392995</c:v>
                </c:pt>
                <c:pt idx="503">
                  <c:v>129.76052971223729</c:v>
                </c:pt>
                <c:pt idx="504">
                  <c:v>128.74123588140048</c:v>
                </c:pt>
                <c:pt idx="505">
                  <c:v>129.46481115747289</c:v>
                </c:pt>
                <c:pt idx="506">
                  <c:v>129.42357111583146</c:v>
                </c:pt>
                <c:pt idx="507">
                  <c:v>130.28929143573654</c:v>
                </c:pt>
                <c:pt idx="508">
                  <c:v>131.34809710099492</c:v>
                </c:pt>
                <c:pt idx="509">
                  <c:v>130.99745221838026</c:v>
                </c:pt>
                <c:pt idx="510">
                  <c:v>132.35424819466786</c:v>
                </c:pt>
                <c:pt idx="511">
                  <c:v>132.03171455368576</c:v>
                </c:pt>
                <c:pt idx="512">
                  <c:v>132.13689826246167</c:v>
                </c:pt>
                <c:pt idx="513">
                  <c:v>133.5416519891001</c:v>
                </c:pt>
                <c:pt idx="514">
                  <c:v>133.99564087603082</c:v>
                </c:pt>
                <c:pt idx="515">
                  <c:v>133.73688365632322</c:v>
                </c:pt>
                <c:pt idx="516">
                  <c:v>133.92184364031223</c:v>
                </c:pt>
                <c:pt idx="517">
                  <c:v>134.18887953008914</c:v>
                </c:pt>
                <c:pt idx="518">
                  <c:v>132.93910696703728</c:v>
                </c:pt>
                <c:pt idx="519">
                  <c:v>130.43299744092911</c:v>
                </c:pt>
                <c:pt idx="520">
                  <c:v>132.29359369611313</c:v>
                </c:pt>
                <c:pt idx="521">
                  <c:v>132.37180900996637</c:v>
                </c:pt>
                <c:pt idx="522">
                  <c:v>132.71103936263702</c:v>
                </c:pt>
                <c:pt idx="523">
                  <c:v>130.59898895696477</c:v>
                </c:pt>
                <c:pt idx="524">
                  <c:v>132.34669425665854</c:v>
                </c:pt>
                <c:pt idx="525">
                  <c:v>135.12351908146329</c:v>
                </c:pt>
                <c:pt idx="526">
                  <c:v>135.70451726189799</c:v>
                </c:pt>
                <c:pt idx="527">
                  <c:v>136.61034871388961</c:v>
                </c:pt>
                <c:pt idx="528">
                  <c:v>135.87335195755338</c:v>
                </c:pt>
                <c:pt idx="529">
                  <c:v>137.41297553311514</c:v>
                </c:pt>
                <c:pt idx="530">
                  <c:v>137.56355255572211</c:v>
                </c:pt>
                <c:pt idx="531">
                  <c:v>138.80546456335466</c:v>
                </c:pt>
                <c:pt idx="532">
                  <c:v>138.60580088084194</c:v>
                </c:pt>
                <c:pt idx="533">
                  <c:v>138.87995865682319</c:v>
                </c:pt>
                <c:pt idx="534">
                  <c:v>138.90223023051126</c:v>
                </c:pt>
                <c:pt idx="535">
                  <c:v>140.10732027463698</c:v>
                </c:pt>
                <c:pt idx="536">
                  <c:v>139.16239510287375</c:v>
                </c:pt>
                <c:pt idx="537">
                  <c:v>136.67370702051409</c:v>
                </c:pt>
                <c:pt idx="538">
                  <c:v>131.60285435721784</c:v>
                </c:pt>
                <c:pt idx="539">
                  <c:v>127.95402355560357</c:v>
                </c:pt>
                <c:pt idx="540">
                  <c:v>128.17052332135484</c:v>
                </c:pt>
                <c:pt idx="541">
                  <c:v>122.25778287320145</c:v>
                </c:pt>
                <c:pt idx="542">
                  <c:v>122.27047962140534</c:v>
                </c:pt>
                <c:pt idx="543">
                  <c:v>127.76220649135517</c:v>
                </c:pt>
                <c:pt idx="544">
                  <c:v>123.93626232401623</c:v>
                </c:pt>
                <c:pt idx="545">
                  <c:v>128.70299232808378</c:v>
                </c:pt>
                <c:pt idx="546">
                  <c:v>124.71406707018893</c:v>
                </c:pt>
                <c:pt idx="547">
                  <c:v>122.38822070683518</c:v>
                </c:pt>
                <c:pt idx="548">
                  <c:v>113.46929864263942</c:v>
                </c:pt>
                <c:pt idx="549">
                  <c:v>119.0861881330559</c:v>
                </c:pt>
                <c:pt idx="550">
                  <c:v>113.48884550252522</c:v>
                </c:pt>
                <c:pt idx="551">
                  <c:v>102.78154255177168</c:v>
                </c:pt>
                <c:pt idx="552">
                  <c:v>112.38750364021051</c:v>
                </c:pt>
                <c:pt idx="553">
                  <c:v>98.539866987973696</c:v>
                </c:pt>
                <c:pt idx="554">
                  <c:v>104.67938585368995</c:v>
                </c:pt>
                <c:pt idx="555">
                  <c:v>99.756524870748407</c:v>
                </c:pt>
                <c:pt idx="556">
                  <c:v>102.05055270923991</c:v>
                </c:pt>
                <c:pt idx="557">
                  <c:v>98.182079313422136</c:v>
                </c:pt>
                <c:pt idx="558">
                  <c:v>97.913057379057918</c:v>
                </c:pt>
                <c:pt idx="559">
                  <c:v>105.86507537805736</c:v>
                </c:pt>
                <c:pt idx="560">
                  <c:v>105.38611807794631</c:v>
                </c:pt>
                <c:pt idx="561">
                  <c:v>111.283736712926</c:v>
                </c:pt>
                <c:pt idx="562">
                  <c:v>107.07131523747049</c:v>
                </c:pt>
                <c:pt idx="563">
                  <c:v>110.94992094497238</c:v>
                </c:pt>
                <c:pt idx="564">
                  <c:v>109.89310829287882</c:v>
                </c:pt>
                <c:pt idx="565">
                  <c:v>105.04759852018059</c:v>
                </c:pt>
                <c:pt idx="566">
                  <c:v>106.85624403010658</c:v>
                </c:pt>
                <c:pt idx="567">
                  <c:v>105.22599410416515</c:v>
                </c:pt>
                <c:pt idx="568">
                  <c:v>112.93496902571812</c:v>
                </c:pt>
                <c:pt idx="569">
                  <c:v>112.56418495413021</c:v>
                </c:pt>
                <c:pt idx="570">
                  <c:v>115.47046504314123</c:v>
                </c:pt>
                <c:pt idx="571">
                  <c:v>116.36501436816133</c:v>
                </c:pt>
                <c:pt idx="572">
                  <c:v>116.91932289677335</c:v>
                </c:pt>
                <c:pt idx="573">
                  <c:v>121.53363617377408</c:v>
                </c:pt>
                <c:pt idx="574">
                  <c:v>119.78449534711544</c:v>
                </c:pt>
                <c:pt idx="575">
                  <c:v>121.77083261469856</c:v>
                </c:pt>
                <c:pt idx="576">
                  <c:v>123.45173713048311</c:v>
                </c:pt>
                <c:pt idx="577">
                  <c:v>122.17572090456852</c:v>
                </c:pt>
                <c:pt idx="578">
                  <c:v>117.9299060057359</c:v>
                </c:pt>
                <c:pt idx="579">
                  <c:v>121.24306042920422</c:v>
                </c:pt>
                <c:pt idx="580">
                  <c:v>121.23407096423</c:v>
                </c:pt>
                <c:pt idx="581">
                  <c:v>123.22881233627741</c:v>
                </c:pt>
                <c:pt idx="582">
                  <c:v>124.59376154823931</c:v>
                </c:pt>
                <c:pt idx="583">
                  <c:v>122.8464883003505</c:v>
                </c:pt>
                <c:pt idx="584">
                  <c:v>127.22759116275641</c:v>
                </c:pt>
                <c:pt idx="585">
                  <c:v>126.86851430136748</c:v>
                </c:pt>
                <c:pt idx="586">
                  <c:v>122.80680922006894</c:v>
                </c:pt>
                <c:pt idx="587">
                  <c:v>124.31617523212836</c:v>
                </c:pt>
                <c:pt idx="588">
                  <c:v>125.72065021566684</c:v>
                </c:pt>
                <c:pt idx="589">
                  <c:v>126.36672097279094</c:v>
                </c:pt>
                <c:pt idx="590">
                  <c:v>128.15453740457127</c:v>
                </c:pt>
                <c:pt idx="591">
                  <c:v>130.17626110869634</c:v>
                </c:pt>
                <c:pt idx="592">
                  <c:v>131.18982676882862</c:v>
                </c:pt>
                <c:pt idx="593">
                  <c:v>128.48121038058798</c:v>
                </c:pt>
                <c:pt idx="594">
                  <c:v>126.4920299333851</c:v>
                </c:pt>
                <c:pt idx="595">
                  <c:v>127.64160828915062</c:v>
                </c:pt>
                <c:pt idx="596">
                  <c:v>128.65260951276315</c:v>
                </c:pt>
                <c:pt idx="597">
                  <c:v>131.79623238282613</c:v>
                </c:pt>
                <c:pt idx="598">
                  <c:v>131.08649670166756</c:v>
                </c:pt>
                <c:pt idx="599">
                  <c:v>133.80782377526708</c:v>
                </c:pt>
                <c:pt idx="600">
                  <c:v>132.51052551366934</c:v>
                </c:pt>
                <c:pt idx="601">
                  <c:v>133.07725204738529</c:v>
                </c:pt>
                <c:pt idx="602">
                  <c:v>133.300316213141</c:v>
                </c:pt>
                <c:pt idx="603">
                  <c:v>134.32988172721193</c:v>
                </c:pt>
                <c:pt idx="604">
                  <c:v>133.71091873656047</c:v>
                </c:pt>
                <c:pt idx="605">
                  <c:v>135.43607371946618</c:v>
                </c:pt>
                <c:pt idx="606">
                  <c:v>136.32348025254939</c:v>
                </c:pt>
                <c:pt idx="607">
                  <c:v>137.12740322718983</c:v>
                </c:pt>
                <c:pt idx="608">
                  <c:v>138.19107295954279</c:v>
                </c:pt>
                <c:pt idx="609">
                  <c:v>137.23343710242065</c:v>
                </c:pt>
                <c:pt idx="610">
                  <c:v>140.06308374467082</c:v>
                </c:pt>
                <c:pt idx="611">
                  <c:v>141.64252577206418</c:v>
                </c:pt>
                <c:pt idx="612">
                  <c:v>142.05640352690835</c:v>
                </c:pt>
                <c:pt idx="613">
                  <c:v>143.00688962351612</c:v>
                </c:pt>
                <c:pt idx="614">
                  <c:v>135.47689564645765</c:v>
                </c:pt>
                <c:pt idx="615">
                  <c:v>136.84810264101401</c:v>
                </c:pt>
                <c:pt idx="616">
                  <c:v>138.80631472980957</c:v>
                </c:pt>
                <c:pt idx="617">
                  <c:v>141.23036228728483</c:v>
                </c:pt>
                <c:pt idx="618">
                  <c:v>141.43958685812672</c:v>
                </c:pt>
                <c:pt idx="619">
                  <c:v>141.90369411958656</c:v>
                </c:pt>
                <c:pt idx="620">
                  <c:v>141.94751253490278</c:v>
                </c:pt>
                <c:pt idx="621">
                  <c:v>143.52253648416149</c:v>
                </c:pt>
                <c:pt idx="622">
                  <c:v>144.59133508955404</c:v>
                </c:pt>
                <c:pt idx="623">
                  <c:v>141.42017240121342</c:v>
                </c:pt>
                <c:pt idx="624">
                  <c:v>142.95908518187028</c:v>
                </c:pt>
                <c:pt idx="625">
                  <c:v>139.25159289486609</c:v>
                </c:pt>
                <c:pt idx="626">
                  <c:v>140.92038602295671</c:v>
                </c:pt>
                <c:pt idx="627">
                  <c:v>143.55520517547873</c:v>
                </c:pt>
                <c:pt idx="628">
                  <c:v>144.92329024731538</c:v>
                </c:pt>
                <c:pt idx="629">
                  <c:v>145.67968752340994</c:v>
                </c:pt>
                <c:pt idx="630">
                  <c:v>148.90537236210585</c:v>
                </c:pt>
                <c:pt idx="631">
                  <c:v>147.62433876039171</c:v>
                </c:pt>
                <c:pt idx="632">
                  <c:v>149.74525319664318</c:v>
                </c:pt>
                <c:pt idx="633">
                  <c:v>150.53376167785495</c:v>
                </c:pt>
                <c:pt idx="634">
                  <c:v>151.52835887003388</c:v>
                </c:pt>
                <c:pt idx="635">
                  <c:v>148.2943953612687</c:v>
                </c:pt>
                <c:pt idx="636">
                  <c:v>149.68930945647799</c:v>
                </c:pt>
                <c:pt idx="637">
                  <c:v>150.57286933478153</c:v>
                </c:pt>
                <c:pt idx="638">
                  <c:v>149.47880266737619</c:v>
                </c:pt>
                <c:pt idx="639">
                  <c:v>149.89782323241494</c:v>
                </c:pt>
                <c:pt idx="640">
                  <c:v>153.66410243920404</c:v>
                </c:pt>
                <c:pt idx="641">
                  <c:v>152.42632976660616</c:v>
                </c:pt>
                <c:pt idx="642">
                  <c:v>152.79410341271432</c:v>
                </c:pt>
                <c:pt idx="643">
                  <c:v>149.30168930165149</c:v>
                </c:pt>
                <c:pt idx="644">
                  <c:v>147.89963938308281</c:v>
                </c:pt>
                <c:pt idx="645">
                  <c:v>150.36991648368908</c:v>
                </c:pt>
                <c:pt idx="646">
                  <c:v>148.45495138685476</c:v>
                </c:pt>
                <c:pt idx="647">
                  <c:v>150.46512118948581</c:v>
                </c:pt>
                <c:pt idx="648">
                  <c:v>151.1054777130604</c:v>
                </c:pt>
                <c:pt idx="649">
                  <c:v>153.35269064791095</c:v>
                </c:pt>
                <c:pt idx="650">
                  <c:v>155.60090705792143</c:v>
                </c:pt>
                <c:pt idx="651">
                  <c:v>156.14851181497906</c:v>
                </c:pt>
                <c:pt idx="652">
                  <c:v>156.96528484652836</c:v>
                </c:pt>
                <c:pt idx="653">
                  <c:v>158.53045522720294</c:v>
                </c:pt>
                <c:pt idx="654">
                  <c:v>157.14482327722283</c:v>
                </c:pt>
                <c:pt idx="655">
                  <c:v>156.53656402161047</c:v>
                </c:pt>
                <c:pt idx="656">
                  <c:v>153.88860213192459</c:v>
                </c:pt>
                <c:pt idx="657">
                  <c:v>157.16280220717127</c:v>
                </c:pt>
                <c:pt idx="658">
                  <c:v>157.59465889196389</c:v>
                </c:pt>
                <c:pt idx="659">
                  <c:v>157.26355390065754</c:v>
                </c:pt>
                <c:pt idx="660">
                  <c:v>158.83958132507618</c:v>
                </c:pt>
                <c:pt idx="661">
                  <c:v>159.99714567065604</c:v>
                </c:pt>
                <c:pt idx="662">
                  <c:v>159.07833872736055</c:v>
                </c:pt>
                <c:pt idx="663">
                  <c:v>160.76938949198424</c:v>
                </c:pt>
                <c:pt idx="664">
                  <c:v>161.43801056589641</c:v>
                </c:pt>
                <c:pt idx="665">
                  <c:v>162.40733969606251</c:v>
                </c:pt>
                <c:pt idx="666">
                  <c:v>163.64540504891539</c:v>
                </c:pt>
                <c:pt idx="667">
                  <c:v>166.47960914085016</c:v>
                </c:pt>
                <c:pt idx="668">
                  <c:v>165.9127432355842</c:v>
                </c:pt>
                <c:pt idx="669">
                  <c:v>166.91589784093239</c:v>
                </c:pt>
                <c:pt idx="670">
                  <c:v>168.05520451346379</c:v>
                </c:pt>
                <c:pt idx="671">
                  <c:v>170.39875106366603</c:v>
                </c:pt>
                <c:pt idx="672">
                  <c:v>172.06525849833685</c:v>
                </c:pt>
                <c:pt idx="673">
                  <c:v>163.5259496934207</c:v>
                </c:pt>
                <c:pt idx="674">
                  <c:v>161.45699297100472</c:v>
                </c:pt>
                <c:pt idx="675">
                  <c:v>154.81440552702946</c:v>
                </c:pt>
                <c:pt idx="676">
                  <c:v>159.00840208357658</c:v>
                </c:pt>
                <c:pt idx="677">
                  <c:v>155.8405285638157</c:v>
                </c:pt>
                <c:pt idx="678">
                  <c:v>154.89802845702224</c:v>
                </c:pt>
                <c:pt idx="679">
                  <c:v>157.79660826789643</c:v>
                </c:pt>
                <c:pt idx="680">
                  <c:v>159.70429816982139</c:v>
                </c:pt>
                <c:pt idx="681">
                  <c:v>157.70840001390908</c:v>
                </c:pt>
                <c:pt idx="682">
                  <c:v>155.7076656652122</c:v>
                </c:pt>
                <c:pt idx="683">
                  <c:v>154.0378829991167</c:v>
                </c:pt>
                <c:pt idx="684">
                  <c:v>153.8312228647946</c:v>
                </c:pt>
                <c:pt idx="685">
                  <c:v>156.46919181434635</c:v>
                </c:pt>
                <c:pt idx="686">
                  <c:v>151.75028018907966</c:v>
                </c:pt>
                <c:pt idx="687">
                  <c:v>152.31086043744116</c:v>
                </c:pt>
                <c:pt idx="688">
                  <c:v>155.75446663169819</c:v>
                </c:pt>
                <c:pt idx="689">
                  <c:v>158.66546444767633</c:v>
                </c:pt>
                <c:pt idx="690">
                  <c:v>158.2047717891912</c:v>
                </c:pt>
                <c:pt idx="691">
                  <c:v>159.37875410335963</c:v>
                </c:pt>
                <c:pt idx="692">
                  <c:v>161.64794593164328</c:v>
                </c:pt>
                <c:pt idx="693">
                  <c:v>158.05876615342382</c:v>
                </c:pt>
                <c:pt idx="694">
                  <c:v>161.73329706885588</c:v>
                </c:pt>
                <c:pt idx="695">
                  <c:v>159.19450491427554</c:v>
                </c:pt>
                <c:pt idx="696">
                  <c:v>162.19155072521622</c:v>
                </c:pt>
                <c:pt idx="697">
                  <c:v>162.99619843191661</c:v>
                </c:pt>
                <c:pt idx="698">
                  <c:v>165.26481883684531</c:v>
                </c:pt>
                <c:pt idx="699">
                  <c:v>169.49378371528439</c:v>
                </c:pt>
                <c:pt idx="700">
                  <c:v>169.31739508161968</c:v>
                </c:pt>
                <c:pt idx="701">
                  <c:v>167.9591635783672</c:v>
                </c:pt>
                <c:pt idx="702">
                  <c:v>167.17621602199995</c:v>
                </c:pt>
                <c:pt idx="703">
                  <c:v>166.57237484452219</c:v>
                </c:pt>
                <c:pt idx="704">
                  <c:v>163.82251841464011</c:v>
                </c:pt>
                <c:pt idx="705">
                  <c:v>164.35928006510866</c:v>
                </c:pt>
                <c:pt idx="706">
                  <c:v>163.90544448688291</c:v>
                </c:pt>
                <c:pt idx="707">
                  <c:v>164.2097065176616</c:v>
                </c:pt>
                <c:pt idx="708">
                  <c:v>164.81297627178441</c:v>
                </c:pt>
                <c:pt idx="709">
                  <c:v>162.11078491199822</c:v>
                </c:pt>
                <c:pt idx="710">
                  <c:v>163.14418314369379</c:v>
                </c:pt>
                <c:pt idx="711">
                  <c:v>157.05761849839544</c:v>
                </c:pt>
                <c:pt idx="712">
                  <c:v>159.63678659100728</c:v>
                </c:pt>
                <c:pt idx="713">
                  <c:v>155.72635539006563</c:v>
                </c:pt>
                <c:pt idx="714">
                  <c:v>156.3831438193838</c:v>
                </c:pt>
                <c:pt idx="715">
                  <c:v>159.27971667993816</c:v>
                </c:pt>
                <c:pt idx="716">
                  <c:v>165.41952125733192</c:v>
                </c:pt>
                <c:pt idx="717">
                  <c:v>169.70314765767628</c:v>
                </c:pt>
                <c:pt idx="718">
                  <c:v>169.76452688829099</c:v>
                </c:pt>
                <c:pt idx="719">
                  <c:v>167.17493380374003</c:v>
                </c:pt>
                <c:pt idx="720">
                  <c:v>164.89261317544751</c:v>
                </c:pt>
                <c:pt idx="721">
                  <c:v>168.21176057556534</c:v>
                </c:pt>
                <c:pt idx="722">
                  <c:v>167.11512947164022</c:v>
                </c:pt>
                <c:pt idx="723">
                  <c:v>168.82344837130742</c:v>
                </c:pt>
                <c:pt idx="724">
                  <c:v>170.17696911617028</c:v>
                </c:pt>
                <c:pt idx="725">
                  <c:v>169.8231744365259</c:v>
                </c:pt>
                <c:pt idx="726">
                  <c:v>168.42826034131662</c:v>
                </c:pt>
                <c:pt idx="727">
                  <c:v>169.89981485186428</c:v>
                </c:pt>
                <c:pt idx="728">
                  <c:v>169.1899397991557</c:v>
                </c:pt>
                <c:pt idx="729">
                  <c:v>169.55615248390401</c:v>
                </c:pt>
                <c:pt idx="730">
                  <c:v>171.7848150654512</c:v>
                </c:pt>
                <c:pt idx="731">
                  <c:v>172.60700965029503</c:v>
                </c:pt>
                <c:pt idx="732">
                  <c:v>174.19757352737741</c:v>
                </c:pt>
                <c:pt idx="733">
                  <c:v>174.09611103898618</c:v>
                </c:pt>
                <c:pt idx="734">
                  <c:v>176.32777010885809</c:v>
                </c:pt>
                <c:pt idx="735">
                  <c:v>176.24584751177517</c:v>
                </c:pt>
                <c:pt idx="736">
                  <c:v>176.64273587467582</c:v>
                </c:pt>
                <c:pt idx="737">
                  <c:v>177.88509387126834</c:v>
                </c:pt>
                <c:pt idx="738">
                  <c:v>178.68030612403456</c:v>
                </c:pt>
                <c:pt idx="739">
                  <c:v>179.57684149364198</c:v>
                </c:pt>
                <c:pt idx="740">
                  <c:v>176.09713806793806</c:v>
                </c:pt>
                <c:pt idx="741">
                  <c:v>177.05133144777551</c:v>
                </c:pt>
                <c:pt idx="742">
                  <c:v>176.65258944326001</c:v>
                </c:pt>
                <c:pt idx="743">
                  <c:v>177.53985660479324</c:v>
                </c:pt>
                <c:pt idx="744">
                  <c:v>179.75224058930181</c:v>
                </c:pt>
                <c:pt idx="745">
                  <c:v>180.65322191135385</c:v>
                </c:pt>
                <c:pt idx="746">
                  <c:v>182.17400245335728</c:v>
                </c:pt>
                <c:pt idx="747">
                  <c:v>182.04398273437354</c:v>
                </c:pt>
                <c:pt idx="748">
                  <c:v>181.85673705696476</c:v>
                </c:pt>
                <c:pt idx="749">
                  <c:v>182.79010832723401</c:v>
                </c:pt>
                <c:pt idx="750">
                  <c:v>182.26477514386445</c:v>
                </c:pt>
                <c:pt idx="751">
                  <c:v>182.74458957900794</c:v>
                </c:pt>
                <c:pt idx="752">
                  <c:v>184.09596400200101</c:v>
                </c:pt>
                <c:pt idx="753">
                  <c:v>183.39379619600678</c:v>
                </c:pt>
                <c:pt idx="754">
                  <c:v>183.67609327050735</c:v>
                </c:pt>
                <c:pt idx="755">
                  <c:v>183.93698287492978</c:v>
                </c:pt>
                <c:pt idx="756">
                  <c:v>181.22779506333421</c:v>
                </c:pt>
                <c:pt idx="757">
                  <c:v>182.94766786449543</c:v>
                </c:pt>
                <c:pt idx="758">
                  <c:v>181.83205435546196</c:v>
                </c:pt>
                <c:pt idx="759">
                  <c:v>186.49446475436355</c:v>
                </c:pt>
                <c:pt idx="760">
                  <c:v>188.41400123803743</c:v>
                </c:pt>
                <c:pt idx="761">
                  <c:v>186.05131897402185</c:v>
                </c:pt>
                <c:pt idx="762">
                  <c:v>186.5650982558974</c:v>
                </c:pt>
                <c:pt idx="763">
                  <c:v>187.37173897576261</c:v>
                </c:pt>
                <c:pt idx="764">
                  <c:v>187.13896061297277</c:v>
                </c:pt>
                <c:pt idx="765">
                  <c:v>185.50999987386871</c:v>
                </c:pt>
                <c:pt idx="766">
                  <c:v>188.34548618406339</c:v>
                </c:pt>
                <c:pt idx="767">
                  <c:v>192.05711780610227</c:v>
                </c:pt>
                <c:pt idx="768">
                  <c:v>193.10836953335132</c:v>
                </c:pt>
                <c:pt idx="769">
                  <c:v>193.28176167869134</c:v>
                </c:pt>
                <c:pt idx="770">
                  <c:v>194.6080352855316</c:v>
                </c:pt>
                <c:pt idx="771">
                  <c:v>194.46630835634886</c:v>
                </c:pt>
                <c:pt idx="772">
                  <c:v>189.3933093711828</c:v>
                </c:pt>
                <c:pt idx="773">
                  <c:v>190.34323798159062</c:v>
                </c:pt>
                <c:pt idx="774">
                  <c:v>186.54027618284468</c:v>
                </c:pt>
                <c:pt idx="775">
                  <c:v>191.28844189645383</c:v>
                </c:pt>
                <c:pt idx="776">
                  <c:v>194.27679092267527</c:v>
                </c:pt>
                <c:pt idx="777">
                  <c:v>194.24481908910803</c:v>
                </c:pt>
                <c:pt idx="778">
                  <c:v>196.63104120791655</c:v>
                </c:pt>
                <c:pt idx="779">
                  <c:v>197.75221564179455</c:v>
                </c:pt>
                <c:pt idx="780">
                  <c:v>199.62665149189237</c:v>
                </c:pt>
                <c:pt idx="781">
                  <c:v>199.91294852987761</c:v>
                </c:pt>
                <c:pt idx="782">
                  <c:v>199.41101582975105</c:v>
                </c:pt>
                <c:pt idx="783">
                  <c:v>200.1708277088203</c:v>
                </c:pt>
                <c:pt idx="784">
                  <c:v>201.16556427254923</c:v>
                </c:pt>
                <c:pt idx="785">
                  <c:v>200.48095728185348</c:v>
                </c:pt>
                <c:pt idx="786">
                  <c:v>199.31054287936476</c:v>
                </c:pt>
                <c:pt idx="787">
                  <c:v>197.88152456587341</c:v>
                </c:pt>
                <c:pt idx="788">
                  <c:v>198.01139097615217</c:v>
                </c:pt>
                <c:pt idx="789">
                  <c:v>193.13890583995376</c:v>
                </c:pt>
                <c:pt idx="790">
                  <c:v>192.17058018494754</c:v>
                </c:pt>
                <c:pt idx="791">
                  <c:v>194.06542002996358</c:v>
                </c:pt>
                <c:pt idx="792">
                  <c:v>187.23586565167949</c:v>
                </c:pt>
                <c:pt idx="793">
                  <c:v>188.27655301543942</c:v>
                </c:pt>
                <c:pt idx="794">
                  <c:v>193.93498219632983</c:v>
                </c:pt>
                <c:pt idx="795">
                  <c:v>190.65193202765889</c:v>
                </c:pt>
                <c:pt idx="796">
                  <c:v>185.49929613882972</c:v>
                </c:pt>
                <c:pt idx="797">
                  <c:v>181.58486497440342</c:v>
                </c:pt>
                <c:pt idx="798">
                  <c:v>184.39182192831552</c:v>
                </c:pt>
                <c:pt idx="799">
                  <c:v>179.95347917032956</c:v>
                </c:pt>
                <c:pt idx="800">
                  <c:v>186.58494476461578</c:v>
                </c:pt>
                <c:pt idx="801">
                  <c:v>186.51372590257193</c:v>
                </c:pt>
                <c:pt idx="802">
                  <c:v>191.22108362634464</c:v>
                </c:pt>
                <c:pt idx="803">
                  <c:v>190.09634128078696</c:v>
                </c:pt>
                <c:pt idx="804">
                  <c:v>192.09222549954427</c:v>
                </c:pt>
                <c:pt idx="805">
                  <c:v>192.26149224700464</c:v>
                </c:pt>
                <c:pt idx="806">
                  <c:v>193.02687898807341</c:v>
                </c:pt>
                <c:pt idx="807">
                  <c:v>187.18934342829351</c:v>
                </c:pt>
                <c:pt idx="808">
                  <c:v>188.6032399286112</c:v>
                </c:pt>
                <c:pt idx="809">
                  <c:v>190.91952540363579</c:v>
                </c:pt>
                <c:pt idx="810">
                  <c:v>188.78106408924083</c:v>
                </c:pt>
                <c:pt idx="811">
                  <c:v>184.98750987011906</c:v>
                </c:pt>
                <c:pt idx="812">
                  <c:v>185.21285972929456</c:v>
                </c:pt>
                <c:pt idx="813">
                  <c:v>187.51131958307568</c:v>
                </c:pt>
                <c:pt idx="814">
                  <c:v>186.38271664558332</c:v>
                </c:pt>
                <c:pt idx="815">
                  <c:v>186.17919237113591</c:v>
                </c:pt>
                <c:pt idx="816">
                  <c:v>189.05465044186712</c:v>
                </c:pt>
                <c:pt idx="817">
                  <c:v>192.38337266746908</c:v>
                </c:pt>
                <c:pt idx="818">
                  <c:v>195.60133632229562</c:v>
                </c:pt>
                <c:pt idx="819">
                  <c:v>195.49843830693953</c:v>
                </c:pt>
                <c:pt idx="820">
                  <c:v>195.36228623975632</c:v>
                </c:pt>
                <c:pt idx="821">
                  <c:v>197.36702055193788</c:v>
                </c:pt>
                <c:pt idx="822">
                  <c:v>198.37860713606034</c:v>
                </c:pt>
                <c:pt idx="823">
                  <c:v>197.66230705489733</c:v>
                </c:pt>
                <c:pt idx="824">
                  <c:v>199.74738906564693</c:v>
                </c:pt>
                <c:pt idx="825">
                  <c:v>197.77419453522765</c:v>
                </c:pt>
                <c:pt idx="826">
                  <c:v>200.35621974461424</c:v>
                </c:pt>
                <c:pt idx="827">
                  <c:v>200.55002982202748</c:v>
                </c:pt>
                <c:pt idx="828">
                  <c:v>198.58667492303738</c:v>
                </c:pt>
                <c:pt idx="829">
                  <c:v>196.75276831967605</c:v>
                </c:pt>
                <c:pt idx="830">
                  <c:v>199.0926075866486</c:v>
                </c:pt>
                <c:pt idx="831">
                  <c:v>197.21146796499636</c:v>
                </c:pt>
                <c:pt idx="832">
                  <c:v>200.04295431170635</c:v>
                </c:pt>
                <c:pt idx="833">
                  <c:v>201.78367709674575</c:v>
                </c:pt>
                <c:pt idx="834">
                  <c:v>201.09063812727572</c:v>
                </c:pt>
                <c:pt idx="835">
                  <c:v>200.53134009717414</c:v>
                </c:pt>
                <c:pt idx="836">
                  <c:v>200.9811757119152</c:v>
                </c:pt>
                <c:pt idx="837">
                  <c:v>199.27043174727822</c:v>
                </c:pt>
                <c:pt idx="838">
                  <c:v>198.30624542730666</c:v>
                </c:pt>
                <c:pt idx="839">
                  <c:v>194.57249554028473</c:v>
                </c:pt>
                <c:pt idx="840">
                  <c:v>193.84349871091783</c:v>
                </c:pt>
                <c:pt idx="841">
                  <c:v>194.56307402350558</c:v>
                </c:pt>
                <c:pt idx="842">
                  <c:v>196.26711421658817</c:v>
                </c:pt>
                <c:pt idx="843">
                  <c:v>191.26661631172581</c:v>
                </c:pt>
                <c:pt idx="844">
                  <c:v>191.08921026574615</c:v>
                </c:pt>
                <c:pt idx="845">
                  <c:v>185.98352865210791</c:v>
                </c:pt>
                <c:pt idx="846">
                  <c:v>187.31522381224266</c:v>
                </c:pt>
                <c:pt idx="847">
                  <c:v>191.66793668991608</c:v>
                </c:pt>
                <c:pt idx="848">
                  <c:v>190.94107224526397</c:v>
                </c:pt>
                <c:pt idx="849">
                  <c:v>189.86484513625709</c:v>
                </c:pt>
                <c:pt idx="850">
                  <c:v>189.8091940763469</c:v>
                </c:pt>
                <c:pt idx="851">
                  <c:v>193.17730270197546</c:v>
                </c:pt>
                <c:pt idx="852">
                  <c:v>192.25321357693542</c:v>
                </c:pt>
                <c:pt idx="853">
                  <c:v>194.96739089002057</c:v>
                </c:pt>
                <c:pt idx="854">
                  <c:v>194.91030430314552</c:v>
                </c:pt>
                <c:pt idx="855">
                  <c:v>196.06388262239571</c:v>
                </c:pt>
                <c:pt idx="856">
                  <c:v>196.03933929244283</c:v>
                </c:pt>
                <c:pt idx="857">
                  <c:v>196.21716345307243</c:v>
                </c:pt>
                <c:pt idx="858">
                  <c:v>196.04219640921758</c:v>
                </c:pt>
                <c:pt idx="859">
                  <c:v>196.32548302172307</c:v>
                </c:pt>
                <c:pt idx="860">
                  <c:v>194.30147362417819</c:v>
                </c:pt>
                <c:pt idx="861">
                  <c:v>197.15552422483125</c:v>
                </c:pt>
                <c:pt idx="862">
                  <c:v>198.11499978641325</c:v>
                </c:pt>
                <c:pt idx="863">
                  <c:v>198.73139834054493</c:v>
                </c:pt>
                <c:pt idx="864">
                  <c:v>198.54358123978119</c:v>
                </c:pt>
                <c:pt idx="865">
                  <c:v>200.09319775547712</c:v>
                </c:pt>
                <c:pt idx="866">
                  <c:v>200.79379066295652</c:v>
                </c:pt>
                <c:pt idx="867">
                  <c:v>202.28831360494223</c:v>
                </c:pt>
                <c:pt idx="868">
                  <c:v>200.8428912600173</c:v>
                </c:pt>
                <c:pt idx="869">
                  <c:v>200.36934854462328</c:v>
                </c:pt>
                <c:pt idx="870">
                  <c:v>202.10577868592307</c:v>
                </c:pt>
                <c:pt idx="871">
                  <c:v>200.23662501756979</c:v>
                </c:pt>
                <c:pt idx="872">
                  <c:v>201.82221333031757</c:v>
                </c:pt>
                <c:pt idx="873">
                  <c:v>203.41762733733952</c:v>
                </c:pt>
                <c:pt idx="874">
                  <c:v>203.68109531543675</c:v>
                </c:pt>
                <c:pt idx="875">
                  <c:v>205.07942401362075</c:v>
                </c:pt>
                <c:pt idx="876">
                  <c:v>204.94640780631227</c:v>
                </c:pt>
                <c:pt idx="877">
                  <c:v>206.94615261700423</c:v>
                </c:pt>
                <c:pt idx="878">
                  <c:v>207.34319428860988</c:v>
                </c:pt>
                <c:pt idx="879">
                  <c:v>206.995253214065</c:v>
                </c:pt>
                <c:pt idx="880">
                  <c:v>207.25827520320223</c:v>
                </c:pt>
                <c:pt idx="881">
                  <c:v>208.9273470743928</c:v>
                </c:pt>
                <c:pt idx="882">
                  <c:v>209.27428467377777</c:v>
                </c:pt>
                <c:pt idx="883">
                  <c:v>209.29454929714603</c:v>
                </c:pt>
                <c:pt idx="884">
                  <c:v>207.79204036534603</c:v>
                </c:pt>
                <c:pt idx="885">
                  <c:v>209.82060721257551</c:v>
                </c:pt>
                <c:pt idx="886">
                  <c:v>210.26759964769684</c:v>
                </c:pt>
                <c:pt idx="887">
                  <c:v>209.47424103654549</c:v>
                </c:pt>
                <c:pt idx="888">
                  <c:v>209.00755540141085</c:v>
                </c:pt>
                <c:pt idx="889">
                  <c:v>207.55441187261658</c:v>
                </c:pt>
                <c:pt idx="890">
                  <c:v>205.9004757517547</c:v>
                </c:pt>
                <c:pt idx="891">
                  <c:v>203.72747816727269</c:v>
                </c:pt>
                <c:pt idx="892">
                  <c:v>206.92289150531124</c:v>
                </c:pt>
                <c:pt idx="893">
                  <c:v>208.82202399406694</c:v>
                </c:pt>
                <c:pt idx="894">
                  <c:v>209.57341783151693</c:v>
                </c:pt>
                <c:pt idx="895">
                  <c:v>211.74828299476874</c:v>
                </c:pt>
                <c:pt idx="896">
                  <c:v>211.80136961815919</c:v>
                </c:pt>
                <c:pt idx="897">
                  <c:v>209.23061956716663</c:v>
                </c:pt>
                <c:pt idx="898">
                  <c:v>210.68632753248068</c:v>
                </c:pt>
                <c:pt idx="899">
                  <c:v>210.9101024931413</c:v>
                </c:pt>
                <c:pt idx="900">
                  <c:v>209.40330091760165</c:v>
                </c:pt>
                <c:pt idx="901">
                  <c:v>209.52304895335129</c:v>
                </c:pt>
                <c:pt idx="902">
                  <c:v>210.66791655072723</c:v>
                </c:pt>
                <c:pt idx="903">
                  <c:v>210.94250637851346</c:v>
                </c:pt>
                <c:pt idx="904">
                  <c:v>212.57789214607195</c:v>
                </c:pt>
                <c:pt idx="905">
                  <c:v>211.73072217947023</c:v>
                </c:pt>
                <c:pt idx="906">
                  <c:v>212.07923467737007</c:v>
                </c:pt>
                <c:pt idx="907">
                  <c:v>211.05039389535909</c:v>
                </c:pt>
                <c:pt idx="908">
                  <c:v>210.72285681573243</c:v>
                </c:pt>
                <c:pt idx="909">
                  <c:v>211.45242506845429</c:v>
                </c:pt>
                <c:pt idx="910">
                  <c:v>211.54719772244607</c:v>
                </c:pt>
                <c:pt idx="911">
                  <c:v>211.13131301728205</c:v>
                </c:pt>
                <c:pt idx="912">
                  <c:v>209.16781874674194</c:v>
                </c:pt>
                <c:pt idx="913">
                  <c:v>207.30865801852281</c:v>
                </c:pt>
                <c:pt idx="914">
                  <c:v>207.53529009595817</c:v>
                </c:pt>
                <c:pt idx="915">
                  <c:v>210.00243133668968</c:v>
                </c:pt>
                <c:pt idx="916">
                  <c:v>213.25622741701815</c:v>
                </c:pt>
                <c:pt idx="917">
                  <c:v>214.35727659907786</c:v>
                </c:pt>
                <c:pt idx="918">
                  <c:v>214.67211693050064</c:v>
                </c:pt>
                <c:pt idx="919">
                  <c:v>213.30131411343925</c:v>
                </c:pt>
                <c:pt idx="920">
                  <c:v>215.92287903155741</c:v>
                </c:pt>
                <c:pt idx="921">
                  <c:v>217.869383910154</c:v>
                </c:pt>
                <c:pt idx="922">
                  <c:v>217.77448582176723</c:v>
                </c:pt>
                <c:pt idx="923">
                  <c:v>218.49006117087029</c:v>
                </c:pt>
                <c:pt idx="924">
                  <c:v>218.80118028190836</c:v>
                </c:pt>
                <c:pt idx="925">
                  <c:v>219.26272310684843</c:v>
                </c:pt>
                <c:pt idx="926">
                  <c:v>219.41700741268505</c:v>
                </c:pt>
                <c:pt idx="927">
                  <c:v>218.16552057956835</c:v>
                </c:pt>
                <c:pt idx="928">
                  <c:v>217.61763707941077</c:v>
                </c:pt>
                <c:pt idx="929">
                  <c:v>215.72293660594471</c:v>
                </c:pt>
                <c:pt idx="930">
                  <c:v>215.58150235701694</c:v>
                </c:pt>
                <c:pt idx="931">
                  <c:v>214.61359481666068</c:v>
                </c:pt>
                <c:pt idx="932">
                  <c:v>216.38000377836283</c:v>
                </c:pt>
                <c:pt idx="933">
                  <c:v>216.67099763758264</c:v>
                </c:pt>
                <c:pt idx="934">
                  <c:v>214.70222118529799</c:v>
                </c:pt>
                <c:pt idx="935">
                  <c:v>209.99158823010055</c:v>
                </c:pt>
                <c:pt idx="936">
                  <c:v>210.45541674846041</c:v>
                </c:pt>
                <c:pt idx="937">
                  <c:v>212.60257484757463</c:v>
                </c:pt>
                <c:pt idx="938">
                  <c:v>214.82025495098276</c:v>
                </c:pt>
                <c:pt idx="939">
                  <c:v>214.75546111739337</c:v>
                </c:pt>
                <c:pt idx="940">
                  <c:v>213.64611932810936</c:v>
                </c:pt>
                <c:pt idx="941">
                  <c:v>207.60507343103706</c:v>
                </c:pt>
                <c:pt idx="942">
                  <c:v>207.11642283962433</c:v>
                </c:pt>
                <c:pt idx="943">
                  <c:v>206.20503046278822</c:v>
                </c:pt>
                <c:pt idx="944">
                  <c:v>207.89079904566734</c:v>
                </c:pt>
                <c:pt idx="945">
                  <c:v>203.44918105625666</c:v>
                </c:pt>
                <c:pt idx="946">
                  <c:v>205.99452367368644</c:v>
                </c:pt>
                <c:pt idx="947">
                  <c:v>206.9661384972724</c:v>
                </c:pt>
                <c:pt idx="948">
                  <c:v>209.13698975988456</c:v>
                </c:pt>
                <c:pt idx="949">
                  <c:v>208.07404475959154</c:v>
                </c:pt>
                <c:pt idx="950">
                  <c:v>206.7419314848068</c:v>
                </c:pt>
                <c:pt idx="951">
                  <c:v>206.45249858694686</c:v>
                </c:pt>
                <c:pt idx="952">
                  <c:v>207.96129317565129</c:v>
                </c:pt>
                <c:pt idx="953">
                  <c:v>211.55475166045539</c:v>
                </c:pt>
                <c:pt idx="954">
                  <c:v>212.60957129938413</c:v>
                </c:pt>
                <c:pt idx="955">
                  <c:v>214.38595926406541</c:v>
                </c:pt>
                <c:pt idx="956">
                  <c:v>215.91702542645791</c:v>
                </c:pt>
                <c:pt idx="957">
                  <c:v>215.81127029432707</c:v>
                </c:pt>
                <c:pt idx="958">
                  <c:v>217.15309776614598</c:v>
                </c:pt>
                <c:pt idx="959">
                  <c:v>215.36200610294097</c:v>
                </c:pt>
                <c:pt idx="960">
                  <c:v>217.31022525160239</c:v>
                </c:pt>
                <c:pt idx="961">
                  <c:v>217.43867007207129</c:v>
                </c:pt>
                <c:pt idx="962">
                  <c:v>217.44052371368613</c:v>
                </c:pt>
                <c:pt idx="963">
                  <c:v>220.47011278154901</c:v>
                </c:pt>
                <c:pt idx="964">
                  <c:v>221.18754177226691</c:v>
                </c:pt>
                <c:pt idx="965">
                  <c:v>222.5794593791515</c:v>
                </c:pt>
                <c:pt idx="966">
                  <c:v>223.34555691512523</c:v>
                </c:pt>
                <c:pt idx="967">
                  <c:v>225.65728494046522</c:v>
                </c:pt>
                <c:pt idx="968">
                  <c:v>227.49446677525125</c:v>
                </c:pt>
                <c:pt idx="969">
                  <c:v>227.94088778701763</c:v>
                </c:pt>
                <c:pt idx="970">
                  <c:v>228.09460066949936</c:v>
                </c:pt>
                <c:pt idx="971">
                  <c:v>226.7270870210177</c:v>
                </c:pt>
                <c:pt idx="972">
                  <c:v>222.96179735223348</c:v>
                </c:pt>
                <c:pt idx="973">
                  <c:v>224.12594003497276</c:v>
                </c:pt>
                <c:pt idx="974">
                  <c:v>226.36201718297926</c:v>
                </c:pt>
                <c:pt idx="975">
                  <c:v>226.26054075743303</c:v>
                </c:pt>
                <c:pt idx="976">
                  <c:v>227.97329167238982</c:v>
                </c:pt>
                <c:pt idx="977">
                  <c:v>227.22702670797938</c:v>
                </c:pt>
                <c:pt idx="978">
                  <c:v>228.25657828489528</c:v>
                </c:pt>
                <c:pt idx="979">
                  <c:v>229.16611702011656</c:v>
                </c:pt>
                <c:pt idx="980">
                  <c:v>226.27353018589181</c:v>
                </c:pt>
                <c:pt idx="981">
                  <c:v>225.13722000168514</c:v>
                </c:pt>
                <c:pt idx="982">
                  <c:v>226.13753142741359</c:v>
                </c:pt>
                <c:pt idx="983">
                  <c:v>221.09150083717017</c:v>
                </c:pt>
                <c:pt idx="984">
                  <c:v>225.24697509730061</c:v>
                </c:pt>
                <c:pt idx="985">
                  <c:v>221.74842863803832</c:v>
                </c:pt>
                <c:pt idx="986">
                  <c:v>217.70040984294857</c:v>
                </c:pt>
                <c:pt idx="987">
                  <c:v>219.51676956816641</c:v>
                </c:pt>
                <c:pt idx="988">
                  <c:v>215.29449452412675</c:v>
                </c:pt>
                <c:pt idx="989">
                  <c:v>217.28796761506928</c:v>
                </c:pt>
                <c:pt idx="990">
                  <c:v>223.87817923055906</c:v>
                </c:pt>
                <c:pt idx="991">
                  <c:v>225.30634737759547</c:v>
                </c:pt>
                <c:pt idx="992">
                  <c:v>221.4584243168234</c:v>
                </c:pt>
                <c:pt idx="993">
                  <c:v>223.07439562746856</c:v>
                </c:pt>
                <c:pt idx="994">
                  <c:v>219.97289083981192</c:v>
                </c:pt>
                <c:pt idx="995">
                  <c:v>217.46620989034884</c:v>
                </c:pt>
                <c:pt idx="996">
                  <c:v>222.14645984764888</c:v>
                </c:pt>
                <c:pt idx="997">
                  <c:v>216.6497295390545</c:v>
                </c:pt>
                <c:pt idx="998">
                  <c:v>216.49630933682778</c:v>
                </c:pt>
                <c:pt idx="999">
                  <c:v>213.80268932736584</c:v>
                </c:pt>
                <c:pt idx="1000">
                  <c:v>218.94261453083612</c:v>
                </c:pt>
                <c:pt idx="1001">
                  <c:v>221.52292547015787</c:v>
                </c:pt>
                <c:pt idx="1002">
                  <c:v>223.39936827057548</c:v>
                </c:pt>
                <c:pt idx="1003">
                  <c:v>226.50901235675141</c:v>
                </c:pt>
                <c:pt idx="1004">
                  <c:v>225.23112855206696</c:v>
                </c:pt>
                <c:pt idx="1005">
                  <c:v>225.00991802792609</c:v>
                </c:pt>
                <c:pt idx="1006">
                  <c:v>224.65797698989653</c:v>
                </c:pt>
                <c:pt idx="1007">
                  <c:v>223.27948086327581</c:v>
                </c:pt>
                <c:pt idx="1008">
                  <c:v>225.96012538143384</c:v>
                </c:pt>
                <c:pt idx="1009">
                  <c:v>222.96193672378325</c:v>
                </c:pt>
                <c:pt idx="1010">
                  <c:v>215.50429051832353</c:v>
                </c:pt>
                <c:pt idx="1011">
                  <c:v>215.22871115253238</c:v>
                </c:pt>
                <c:pt idx="1012">
                  <c:v>213.15989380166639</c:v>
                </c:pt>
                <c:pt idx="1013">
                  <c:v>213.25879185353784</c:v>
                </c:pt>
                <c:pt idx="1014">
                  <c:v>216.26468775790275</c:v>
                </c:pt>
                <c:pt idx="1015">
                  <c:v>216.76333128944961</c:v>
                </c:pt>
                <c:pt idx="1016">
                  <c:v>211.31755521953079</c:v>
                </c:pt>
                <c:pt idx="1017">
                  <c:v>212.55833831760845</c:v>
                </c:pt>
                <c:pt idx="1018">
                  <c:v>207.03735735931616</c:v>
                </c:pt>
                <c:pt idx="1019">
                  <c:v>204.65912123032194</c:v>
                </c:pt>
                <c:pt idx="1020">
                  <c:v>202.00116640050192</c:v>
                </c:pt>
                <c:pt idx="1021">
                  <c:v>196.50516082396746</c:v>
                </c:pt>
                <c:pt idx="1022">
                  <c:v>197.735518930106</c:v>
                </c:pt>
                <c:pt idx="1023">
                  <c:v>193.22796426039602</c:v>
                </c:pt>
                <c:pt idx="1024">
                  <c:v>193.26835413558254</c:v>
                </c:pt>
                <c:pt idx="1025">
                  <c:v>190.56616277579633</c:v>
                </c:pt>
                <c:pt idx="1026">
                  <c:v>196.52871461591539</c:v>
                </c:pt>
                <c:pt idx="1027">
                  <c:v>203.22653500515088</c:v>
                </c:pt>
                <c:pt idx="1028">
                  <c:v>204.74104382740481</c:v>
                </c:pt>
                <c:pt idx="1029">
                  <c:v>205.76217736270144</c:v>
                </c:pt>
                <c:pt idx="1030">
                  <c:v>198.0736203732217</c:v>
                </c:pt>
                <c:pt idx="1031">
                  <c:v>201.20181481270103</c:v>
                </c:pt>
                <c:pt idx="1032">
                  <c:v>200.02668965182272</c:v>
                </c:pt>
                <c:pt idx="1033">
                  <c:v>202.57817855460695</c:v>
                </c:pt>
                <c:pt idx="1034">
                  <c:v>206.80144313665153</c:v>
                </c:pt>
                <c:pt idx="1035">
                  <c:v>202.45243754220783</c:v>
                </c:pt>
                <c:pt idx="1036">
                  <c:v>196.82242622035997</c:v>
                </c:pt>
                <c:pt idx="1037">
                  <c:v>196.81913705178027</c:v>
                </c:pt>
                <c:pt idx="1038">
                  <c:v>201.79765606320953</c:v>
                </c:pt>
                <c:pt idx="1039">
                  <c:v>201.57402047409889</c:v>
                </c:pt>
                <c:pt idx="1040">
                  <c:v>195.76017807781693</c:v>
                </c:pt>
                <c:pt idx="1041">
                  <c:v>193.35327322099019</c:v>
                </c:pt>
                <c:pt idx="1042">
                  <c:v>190.97631931025586</c:v>
                </c:pt>
                <c:pt idx="1043">
                  <c:v>186.06645472435068</c:v>
                </c:pt>
                <c:pt idx="1044">
                  <c:v>192.29031428354216</c:v>
                </c:pt>
                <c:pt idx="1045">
                  <c:v>195.44478026019422</c:v>
                </c:pt>
                <c:pt idx="1046">
                  <c:v>196.25512826328912</c:v>
                </c:pt>
                <c:pt idx="1047">
                  <c:v>193.13048779833449</c:v>
                </c:pt>
                <c:pt idx="1048">
                  <c:v>196.26396441955839</c:v>
                </c:pt>
                <c:pt idx="1049">
                  <c:v>193.20870311218775</c:v>
                </c:pt>
                <c:pt idx="1050">
                  <c:v>190.00471842382498</c:v>
                </c:pt>
                <c:pt idx="1051">
                  <c:v>183.11892762512076</c:v>
                </c:pt>
                <c:pt idx="1052">
                  <c:v>182.6135663848645</c:v>
                </c:pt>
                <c:pt idx="1053">
                  <c:v>189.1785238754965</c:v>
                </c:pt>
                <c:pt idx="1054">
                  <c:v>187.38614999403157</c:v>
                </c:pt>
                <c:pt idx="1055">
                  <c:v>183.30231271059492</c:v>
                </c:pt>
                <c:pt idx="1056">
                  <c:v>179.55472322865918</c:v>
                </c:pt>
                <c:pt idx="1057">
                  <c:v>184.7981318079955</c:v>
                </c:pt>
                <c:pt idx="1058">
                  <c:v>191.76169193159296</c:v>
                </c:pt>
                <c:pt idx="1059">
                  <c:v>194.30533421611287</c:v>
                </c:pt>
                <c:pt idx="1060">
                  <c:v>198.28797381710328</c:v>
                </c:pt>
                <c:pt idx="1061">
                  <c:v>197.49761169427669</c:v>
                </c:pt>
                <c:pt idx="1062">
                  <c:v>201.35609911853786</c:v>
                </c:pt>
                <c:pt idx="1063">
                  <c:v>198.69842303181781</c:v>
                </c:pt>
                <c:pt idx="1064">
                  <c:v>202.54092453929533</c:v>
                </c:pt>
                <c:pt idx="1065">
                  <c:v>202.21924106476817</c:v>
                </c:pt>
                <c:pt idx="1066">
                  <c:v>204.86806705806399</c:v>
                </c:pt>
                <c:pt idx="1067">
                  <c:v>208.64633221815208</c:v>
                </c:pt>
                <c:pt idx="1068">
                  <c:v>206.11496856718611</c:v>
                </c:pt>
                <c:pt idx="1069">
                  <c:v>202.95023090729993</c:v>
                </c:pt>
                <c:pt idx="1070">
                  <c:v>203.53508967966931</c:v>
                </c:pt>
                <c:pt idx="1071">
                  <c:v>207.4034167353596</c:v>
                </c:pt>
                <c:pt idx="1072">
                  <c:v>202.71689505831009</c:v>
                </c:pt>
                <c:pt idx="1073">
                  <c:v>198.2163368404095</c:v>
                </c:pt>
                <c:pt idx="1074">
                  <c:v>198.33735315726403</c:v>
                </c:pt>
                <c:pt idx="1075">
                  <c:v>195.67854816098907</c:v>
                </c:pt>
                <c:pt idx="1076">
                  <c:v>191.41075436872333</c:v>
                </c:pt>
                <c:pt idx="1077">
                  <c:v>190.83432757512821</c:v>
                </c:pt>
                <c:pt idx="1078">
                  <c:v>194.71649422573233</c:v>
                </c:pt>
                <c:pt idx="1079">
                  <c:v>190.54189818894355</c:v>
                </c:pt>
                <c:pt idx="1080">
                  <c:v>190.27473686477168</c:v>
                </c:pt>
                <c:pt idx="1081">
                  <c:v>194.37497817964189</c:v>
                </c:pt>
                <c:pt idx="1082">
                  <c:v>191.99746678270759</c:v>
                </c:pt>
                <c:pt idx="1083">
                  <c:v>188.02395601824139</c:v>
                </c:pt>
                <c:pt idx="1084">
                  <c:v>183.23781155726053</c:v>
                </c:pt>
                <c:pt idx="1085">
                  <c:v>185.60061925567109</c:v>
                </c:pt>
                <c:pt idx="1086">
                  <c:v>178.26343188086594</c:v>
                </c:pt>
                <c:pt idx="1087">
                  <c:v>178.23759239549815</c:v>
                </c:pt>
                <c:pt idx="1088">
                  <c:v>183.6979327923907</c:v>
                </c:pt>
                <c:pt idx="1089">
                  <c:v>176.03561946577369</c:v>
                </c:pt>
                <c:pt idx="1090">
                  <c:v>178.90964200954002</c:v>
                </c:pt>
                <c:pt idx="1091">
                  <c:v>179.30554083443579</c:v>
                </c:pt>
                <c:pt idx="1092">
                  <c:v>185.02990669562547</c:v>
                </c:pt>
                <c:pt idx="1093">
                  <c:v>175.79372620361463</c:v>
                </c:pt>
                <c:pt idx="1094">
                  <c:v>173.32429926946327</c:v>
                </c:pt>
                <c:pt idx="1095">
                  <c:v>165.88291772388712</c:v>
                </c:pt>
                <c:pt idx="1096">
                  <c:v>167.51587842647581</c:v>
                </c:pt>
                <c:pt idx="1097">
                  <c:v>162.18642185217692</c:v>
                </c:pt>
                <c:pt idx="1098">
                  <c:v>162.2823234157236</c:v>
                </c:pt>
                <c:pt idx="1099">
                  <c:v>168.47678951502263</c:v>
                </c:pt>
                <c:pt idx="1100">
                  <c:v>166.44721919263324</c:v>
                </c:pt>
                <c:pt idx="1101">
                  <c:v>171.03882884414094</c:v>
                </c:pt>
                <c:pt idx="1102">
                  <c:v>162.95580855673032</c:v>
                </c:pt>
                <c:pt idx="1103">
                  <c:v>162.53264865665693</c:v>
                </c:pt>
                <c:pt idx="1104">
                  <c:v>162.04912693828376</c:v>
                </c:pt>
                <c:pt idx="1105">
                  <c:v>164.6272915557357</c:v>
                </c:pt>
                <c:pt idx="1106">
                  <c:v>160.76225366862511</c:v>
                </c:pt>
                <c:pt idx="1107">
                  <c:v>163.19257294584983</c:v>
                </c:pt>
                <c:pt idx="1108">
                  <c:v>167.55841462353209</c:v>
                </c:pt>
                <c:pt idx="1109">
                  <c:v>173.13119998695493</c:v>
                </c:pt>
                <c:pt idx="1110">
                  <c:v>172.42132493424634</c:v>
                </c:pt>
                <c:pt idx="1111">
                  <c:v>171.18069514487368</c:v>
                </c:pt>
                <c:pt idx="1112">
                  <c:v>175.78245104522051</c:v>
                </c:pt>
                <c:pt idx="1113">
                  <c:v>171.44144537774611</c:v>
                </c:pt>
                <c:pt idx="1114">
                  <c:v>172.13561325677102</c:v>
                </c:pt>
                <c:pt idx="1115">
                  <c:v>173.76058796954541</c:v>
                </c:pt>
                <c:pt idx="1116">
                  <c:v>172.49096889777525</c:v>
                </c:pt>
                <c:pt idx="1117">
                  <c:v>167.75222470094528</c:v>
                </c:pt>
                <c:pt idx="1118">
                  <c:v>161.84075253389676</c:v>
                </c:pt>
                <c:pt idx="1119">
                  <c:v>154.2655185517122</c:v>
                </c:pt>
                <c:pt idx="1120">
                  <c:v>154.53838017227858</c:v>
                </c:pt>
                <c:pt idx="1121">
                  <c:v>158.40315325344417</c:v>
                </c:pt>
                <c:pt idx="1122">
                  <c:v>151.93737255778362</c:v>
                </c:pt>
                <c:pt idx="1123">
                  <c:v>154.11023077071562</c:v>
                </c:pt>
                <c:pt idx="1124">
                  <c:v>157.97713623659604</c:v>
                </c:pt>
                <c:pt idx="1125">
                  <c:v>157.74565402922107</c:v>
                </c:pt>
                <c:pt idx="1126">
                  <c:v>160.30185369039489</c:v>
                </c:pt>
                <c:pt idx="1127">
                  <c:v>165.65985355813129</c:v>
                </c:pt>
                <c:pt idx="1128">
                  <c:v>164.47430340531386</c:v>
                </c:pt>
                <c:pt idx="1129">
                  <c:v>159.57898920922742</c:v>
                </c:pt>
                <c:pt idx="1130">
                  <c:v>159.52689212384192</c:v>
                </c:pt>
                <c:pt idx="1131">
                  <c:v>157.39828437803109</c:v>
                </c:pt>
                <c:pt idx="1132">
                  <c:v>158.81273836454872</c:v>
                </c:pt>
                <c:pt idx="1133">
                  <c:v>161.58701268998868</c:v>
                </c:pt>
                <c:pt idx="1134">
                  <c:v>162.15230369673978</c:v>
                </c:pt>
                <c:pt idx="1135">
                  <c:v>165.85579602025933</c:v>
                </c:pt>
                <c:pt idx="1136">
                  <c:v>166.05502765096711</c:v>
                </c:pt>
                <c:pt idx="1137">
                  <c:v>162.30572389896651</c:v>
                </c:pt>
                <c:pt idx="1138">
                  <c:v>160.76625363210971</c:v>
                </c:pt>
                <c:pt idx="1139">
                  <c:v>160.52148931602088</c:v>
                </c:pt>
                <c:pt idx="1140">
                  <c:v>160.57301497805142</c:v>
                </c:pt>
                <c:pt idx="1141">
                  <c:v>163.44489119994793</c:v>
                </c:pt>
                <c:pt idx="1142">
                  <c:v>162.12661752007699</c:v>
                </c:pt>
                <c:pt idx="1143">
                  <c:v>167.16594433876597</c:v>
                </c:pt>
                <c:pt idx="1144">
                  <c:v>169.79906315837815</c:v>
                </c:pt>
                <c:pt idx="1145">
                  <c:v>172.11049850346316</c:v>
                </c:pt>
                <c:pt idx="1146">
                  <c:v>168.89224216838161</c:v>
                </c:pt>
                <c:pt idx="1147">
                  <c:v>168.15810252882014</c:v>
                </c:pt>
                <c:pt idx="1148">
                  <c:v>165.01691866088191</c:v>
                </c:pt>
                <c:pt idx="1149">
                  <c:v>171.72244629683172</c:v>
                </c:pt>
                <c:pt idx="1150">
                  <c:v>173.58018543524096</c:v>
                </c:pt>
                <c:pt idx="1151">
                  <c:v>176.83555641408429</c:v>
                </c:pt>
                <c:pt idx="1152">
                  <c:v>176.52571952130612</c:v>
                </c:pt>
                <c:pt idx="1153">
                  <c:v>176.23713678990109</c:v>
                </c:pt>
                <c:pt idx="1154">
                  <c:v>180.79550632673667</c:v>
                </c:pt>
                <c:pt idx="1155">
                  <c:v>181.54362493276196</c:v>
                </c:pt>
                <c:pt idx="1156">
                  <c:v>180.64407913767479</c:v>
                </c:pt>
                <c:pt idx="1157">
                  <c:v>180.45726551207096</c:v>
                </c:pt>
                <c:pt idx="1158">
                  <c:v>178.30895062909184</c:v>
                </c:pt>
                <c:pt idx="1159">
                  <c:v>183.45916145295124</c:v>
                </c:pt>
                <c:pt idx="1160">
                  <c:v>182.39036284755872</c:v>
                </c:pt>
                <c:pt idx="1161">
                  <c:v>186.20489248495366</c:v>
                </c:pt>
                <c:pt idx="1162">
                  <c:v>187.35888891885384</c:v>
                </c:pt>
                <c:pt idx="1163">
                  <c:v>186.99496192752531</c:v>
                </c:pt>
                <c:pt idx="1164">
                  <c:v>184.64827951744837</c:v>
                </c:pt>
                <c:pt idx="1165">
                  <c:v>185.03674983872978</c:v>
                </c:pt>
                <c:pt idx="1166">
                  <c:v>181.32440742178599</c:v>
                </c:pt>
                <c:pt idx="1167">
                  <c:v>176.70539732355064</c:v>
                </c:pt>
                <c:pt idx="1168">
                  <c:v>176.70153673161599</c:v>
                </c:pt>
                <c:pt idx="1169">
                  <c:v>177.41840823613398</c:v>
                </c:pt>
                <c:pt idx="1170">
                  <c:v>180.38318953325245</c:v>
                </c:pt>
                <c:pt idx="1171">
                  <c:v>173.28219512421185</c:v>
                </c:pt>
                <c:pt idx="1172">
                  <c:v>171.51193950773001</c:v>
                </c:pt>
                <c:pt idx="1173">
                  <c:v>169.59197097225112</c:v>
                </c:pt>
                <c:pt idx="1174">
                  <c:v>168.63663474570379</c:v>
                </c:pt>
                <c:pt idx="1175">
                  <c:v>168.19321022226217</c:v>
                </c:pt>
                <c:pt idx="1176">
                  <c:v>165.99152997279268</c:v>
                </c:pt>
                <c:pt idx="1177">
                  <c:v>164.76487914988382</c:v>
                </c:pt>
                <c:pt idx="1178">
                  <c:v>168.28983651786882</c:v>
                </c:pt>
                <c:pt idx="1179">
                  <c:v>169.29212701960711</c:v>
                </c:pt>
                <c:pt idx="1180">
                  <c:v>172.86260313581818</c:v>
                </c:pt>
                <c:pt idx="1181">
                  <c:v>175.06187225747288</c:v>
                </c:pt>
                <c:pt idx="1182">
                  <c:v>166.03020557791436</c:v>
                </c:pt>
                <c:pt idx="1183">
                  <c:v>167.25912815708804</c:v>
                </c:pt>
                <c:pt idx="1184">
                  <c:v>164.87120570536965</c:v>
                </c:pt>
                <c:pt idx="1185">
                  <c:v>163.38752586997302</c:v>
                </c:pt>
                <c:pt idx="1186">
                  <c:v>164.62372364405604</c:v>
                </c:pt>
                <c:pt idx="1187">
                  <c:v>163.05427455679686</c:v>
                </c:pt>
                <c:pt idx="1188">
                  <c:v>160.13059392976982</c:v>
                </c:pt>
                <c:pt idx="1189">
                  <c:v>157.9415964913492</c:v>
                </c:pt>
                <c:pt idx="1190">
                  <c:v>155.1032530643798</c:v>
                </c:pt>
                <c:pt idx="1191">
                  <c:v>154.17545665611007</c:v>
                </c:pt>
                <c:pt idx="1192">
                  <c:v>154.55479814086723</c:v>
                </c:pt>
                <c:pt idx="1193">
                  <c:v>157.72509672559792</c:v>
                </c:pt>
                <c:pt idx="1194">
                  <c:v>153.24194601429082</c:v>
                </c:pt>
                <c:pt idx="1195">
                  <c:v>150.93151414436574</c:v>
                </c:pt>
                <c:pt idx="1196">
                  <c:v>154.35399161164463</c:v>
                </c:pt>
                <c:pt idx="1197">
                  <c:v>159.50577733401889</c:v>
                </c:pt>
                <c:pt idx="1198">
                  <c:v>159.10944645731817</c:v>
                </c:pt>
                <c:pt idx="1199">
                  <c:v>158.0343621950212</c:v>
                </c:pt>
                <c:pt idx="1200">
                  <c:v>152.02729508183594</c:v>
                </c:pt>
                <c:pt idx="1201">
                  <c:v>150.45312129903215</c:v>
                </c:pt>
                <c:pt idx="1202">
                  <c:v>148.79890643507028</c:v>
                </c:pt>
                <c:pt idx="1203">
                  <c:v>148.6691654591865</c:v>
                </c:pt>
                <c:pt idx="1204">
                  <c:v>151.98091222999997</c:v>
                </c:pt>
                <c:pt idx="1205">
                  <c:v>147.3032267092197</c:v>
                </c:pt>
                <c:pt idx="1206">
                  <c:v>152.36124325276205</c:v>
                </c:pt>
                <c:pt idx="1207">
                  <c:v>153.73989268808779</c:v>
                </c:pt>
                <c:pt idx="1208">
                  <c:v>152.42846215132127</c:v>
                </c:pt>
                <c:pt idx="1209">
                  <c:v>151.49124422627236</c:v>
                </c:pt>
                <c:pt idx="1210">
                  <c:v>154.98608340230498</c:v>
                </c:pt>
                <c:pt idx="1211">
                  <c:v>156.31178558579026</c:v>
                </c:pt>
                <c:pt idx="1212">
                  <c:v>159.82988587351585</c:v>
                </c:pt>
                <c:pt idx="1213">
                  <c:v>156.57409678002256</c:v>
                </c:pt>
                <c:pt idx="1214">
                  <c:v>154.02917227724276</c:v>
                </c:pt>
                <c:pt idx="1215">
                  <c:v>158.45024690018522</c:v>
                </c:pt>
                <c:pt idx="1216">
                  <c:v>156.81900046766134</c:v>
                </c:pt>
                <c:pt idx="1217">
                  <c:v>155.43035809220149</c:v>
                </c:pt>
                <c:pt idx="1218">
                  <c:v>150.20622459822852</c:v>
                </c:pt>
                <c:pt idx="1219">
                  <c:v>147.61079184573308</c:v>
                </c:pt>
                <c:pt idx="1220">
                  <c:v>149.4990672907447</c:v>
                </c:pt>
                <c:pt idx="1221">
                  <c:v>150.77309050349447</c:v>
                </c:pt>
                <c:pt idx="1222">
                  <c:v>151.51065868318565</c:v>
                </c:pt>
                <c:pt idx="1223">
                  <c:v>147.75678354434547</c:v>
                </c:pt>
                <c:pt idx="1224">
                  <c:v>158.6172279542258</c:v>
                </c:pt>
                <c:pt idx="1225">
                  <c:v>161.6025665549675</c:v>
                </c:pt>
                <c:pt idx="1226">
                  <c:v>159.78849252316945</c:v>
                </c:pt>
                <c:pt idx="1227">
                  <c:v>162.10321703683417</c:v>
                </c:pt>
                <c:pt idx="1228">
                  <c:v>159.60924677272996</c:v>
                </c:pt>
                <c:pt idx="1229">
                  <c:v>159.05693125728274</c:v>
                </c:pt>
                <c:pt idx="1230">
                  <c:v>159.07262449381139</c:v>
                </c:pt>
                <c:pt idx="1231">
                  <c:v>157.33790862257649</c:v>
                </c:pt>
                <c:pt idx="1232">
                  <c:v>159.47723404058141</c:v>
                </c:pt>
                <c:pt idx="1233">
                  <c:v>161.06010460810447</c:v>
                </c:pt>
                <c:pt idx="1234">
                  <c:v>160.21864887505225</c:v>
                </c:pt>
                <c:pt idx="1235">
                  <c:v>157.69456041899565</c:v>
                </c:pt>
                <c:pt idx="1236">
                  <c:v>156.7566316990418</c:v>
                </c:pt>
                <c:pt idx="1237">
                  <c:v>163.66724457079886</c:v>
                </c:pt>
                <c:pt idx="1238">
                  <c:v>163.87347265331601</c:v>
                </c:pt>
                <c:pt idx="1239">
                  <c:v>163.57447886712689</c:v>
                </c:pt>
                <c:pt idx="1240">
                  <c:v>160.41245895246547</c:v>
                </c:pt>
                <c:pt idx="1241">
                  <c:v>157.20061370868336</c:v>
                </c:pt>
                <c:pt idx="1242">
                  <c:v>156.39655136249294</c:v>
                </c:pt>
                <c:pt idx="1243">
                  <c:v>158.15838893735551</c:v>
                </c:pt>
                <c:pt idx="1244">
                  <c:v>157.05405058671604</c:v>
                </c:pt>
                <c:pt idx="1245">
                  <c:v>159.03952375068928</c:v>
                </c:pt>
                <c:pt idx="1246">
                  <c:v>160.65320936791468</c:v>
                </c:pt>
                <c:pt idx="1247">
                  <c:v>159.42699059681078</c:v>
                </c:pt>
                <c:pt idx="1248">
                  <c:v>154.28406890501577</c:v>
                </c:pt>
                <c:pt idx="1249">
                  <c:v>152.78383172948057</c:v>
                </c:pt>
                <c:pt idx="1250">
                  <c:v>150.50921834790236</c:v>
                </c:pt>
                <c:pt idx="1251">
                  <c:v>150.52463284133106</c:v>
                </c:pt>
                <c:pt idx="1252">
                  <c:v>152.84034689300069</c:v>
                </c:pt>
                <c:pt idx="1253">
                  <c:v>149.5114852958487</c:v>
                </c:pt>
                <c:pt idx="1254">
                  <c:v>149.82175424043186</c:v>
                </c:pt>
                <c:pt idx="1255">
                  <c:v>147.75764764795545</c:v>
                </c:pt>
                <c:pt idx="1256">
                  <c:v>145.76046727378326</c:v>
                </c:pt>
                <c:pt idx="1257">
                  <c:v>149.53959653748129</c:v>
                </c:pt>
                <c:pt idx="1258">
                  <c:v>149.37391163885562</c:v>
                </c:pt>
                <c:pt idx="1259">
                  <c:v>148.2393157247138</c:v>
                </c:pt>
                <c:pt idx="1260">
                  <c:v>149.26372449143517</c:v>
                </c:pt>
                <c:pt idx="1261">
                  <c:v>147.07274797700475</c:v>
                </c:pt>
                <c:pt idx="1262">
                  <c:v>150.8411735056637</c:v>
                </c:pt>
                <c:pt idx="1263">
                  <c:v>151.78824499929678</c:v>
                </c:pt>
                <c:pt idx="1264">
                  <c:v>153.31501851794968</c:v>
                </c:pt>
                <c:pt idx="1265">
                  <c:v>156.01293117115125</c:v>
                </c:pt>
                <c:pt idx="1266">
                  <c:v>157.0038071429455</c:v>
                </c:pt>
                <c:pt idx="1267">
                  <c:v>158.11785969061913</c:v>
                </c:pt>
                <c:pt idx="1268">
                  <c:v>158.34549524321446</c:v>
                </c:pt>
                <c:pt idx="1269">
                  <c:v>156.37457246905998</c:v>
                </c:pt>
                <c:pt idx="1270">
                  <c:v>154.8797568468193</c:v>
                </c:pt>
                <c:pt idx="1271">
                  <c:v>158.99227679524347</c:v>
                </c:pt>
                <c:pt idx="1272">
                  <c:v>162.18884691714692</c:v>
                </c:pt>
                <c:pt idx="1273">
                  <c:v>161.75869056526415</c:v>
                </c:pt>
                <c:pt idx="1274">
                  <c:v>161.46028213958496</c:v>
                </c:pt>
                <c:pt idx="1275">
                  <c:v>164.30105063152416</c:v>
                </c:pt>
                <c:pt idx="1276">
                  <c:v>165.86093883045422</c:v>
                </c:pt>
                <c:pt idx="1277">
                  <c:v>162.60842496838563</c:v>
                </c:pt>
                <c:pt idx="1278">
                  <c:v>165.33060220844013</c:v>
                </c:pt>
                <c:pt idx="1279">
                  <c:v>168.63834901576894</c:v>
                </c:pt>
                <c:pt idx="1280">
                  <c:v>174.12579717913417</c:v>
                </c:pt>
                <c:pt idx="1281">
                  <c:v>171.35895135730857</c:v>
                </c:pt>
                <c:pt idx="1282">
                  <c:v>169.65348957441611</c:v>
                </c:pt>
                <c:pt idx="1283">
                  <c:v>172.88373186279662</c:v>
                </c:pt>
                <c:pt idx="1284">
                  <c:v>169.98272698695263</c:v>
                </c:pt>
                <c:pt idx="1285">
                  <c:v>168.25672183759195</c:v>
                </c:pt>
                <c:pt idx="1286">
                  <c:v>167.23687052055521</c:v>
                </c:pt>
                <c:pt idx="1287">
                  <c:v>169.71542629123076</c:v>
                </c:pt>
                <c:pt idx="1288">
                  <c:v>170.69104107830134</c:v>
                </c:pt>
                <c:pt idx="1289">
                  <c:v>172.26719393711497</c:v>
                </c:pt>
                <c:pt idx="1290">
                  <c:v>169.20221843271017</c:v>
                </c:pt>
                <c:pt idx="1291">
                  <c:v>168.22374652886484</c:v>
                </c:pt>
                <c:pt idx="1292">
                  <c:v>164.01404279863408</c:v>
                </c:pt>
                <c:pt idx="1293">
                  <c:v>164.22484226799085</c:v>
                </c:pt>
                <c:pt idx="1294">
                  <c:v>165.41409970403794</c:v>
                </c:pt>
                <c:pt idx="1295">
                  <c:v>162.62456419387431</c:v>
                </c:pt>
                <c:pt idx="1296">
                  <c:v>163.65269418098035</c:v>
                </c:pt>
                <c:pt idx="1297">
                  <c:v>163.48942041016946</c:v>
                </c:pt>
                <c:pt idx="1298">
                  <c:v>162.40392509308839</c:v>
                </c:pt>
                <c:pt idx="1299">
                  <c:v>163.59560759410527</c:v>
                </c:pt>
                <c:pt idx="1300">
                  <c:v>166.82141786719615</c:v>
                </c:pt>
                <c:pt idx="1301">
                  <c:v>166.63203980507254</c:v>
                </c:pt>
                <c:pt idx="1302">
                  <c:v>164.55679742575208</c:v>
                </c:pt>
                <c:pt idx="1303">
                  <c:v>165.20858241642568</c:v>
                </c:pt>
                <c:pt idx="1304">
                  <c:v>161.81691999884913</c:v>
                </c:pt>
                <c:pt idx="1305">
                  <c:v>158.97029790181043</c:v>
                </c:pt>
                <c:pt idx="1306">
                  <c:v>159.68316944284373</c:v>
                </c:pt>
                <c:pt idx="1307">
                  <c:v>163.09852502391823</c:v>
                </c:pt>
                <c:pt idx="1308">
                  <c:v>163.18271937726593</c:v>
                </c:pt>
                <c:pt idx="1309">
                  <c:v>167.2248845672562</c:v>
                </c:pt>
                <c:pt idx="1310">
                  <c:v>165.98652653414834</c:v>
                </c:pt>
                <c:pt idx="1311">
                  <c:v>166.62918268829773</c:v>
                </c:pt>
                <c:pt idx="1312">
                  <c:v>169.26330498306982</c:v>
                </c:pt>
                <c:pt idx="1313">
                  <c:v>166.54954578463463</c:v>
                </c:pt>
                <c:pt idx="1314">
                  <c:v>168.22561410763461</c:v>
                </c:pt>
                <c:pt idx="1315">
                  <c:v>168.74737937932446</c:v>
                </c:pt>
                <c:pt idx="1316">
                  <c:v>167.96072453972752</c:v>
                </c:pt>
                <c:pt idx="1317">
                  <c:v>167.20775580376267</c:v>
                </c:pt>
                <c:pt idx="1318">
                  <c:v>170.20708730812316</c:v>
                </c:pt>
                <c:pt idx="1319">
                  <c:v>171.45199580408047</c:v>
                </c:pt>
                <c:pt idx="1320">
                  <c:v>174.42678397848806</c:v>
                </c:pt>
                <c:pt idx="1321">
                  <c:v>173.96352688348315</c:v>
                </c:pt>
                <c:pt idx="1322">
                  <c:v>173.0626988701361</c:v>
                </c:pt>
                <c:pt idx="1323">
                  <c:v>171.21495267186097</c:v>
                </c:pt>
                <c:pt idx="1324">
                  <c:v>172.5150941130785</c:v>
                </c:pt>
                <c:pt idx="1325">
                  <c:v>172.46372175975296</c:v>
                </c:pt>
                <c:pt idx="1326">
                  <c:v>171.71473905011777</c:v>
                </c:pt>
                <c:pt idx="1327">
                  <c:v>170.25132383808938</c:v>
                </c:pt>
                <c:pt idx="1328">
                  <c:v>173.63270063527682</c:v>
                </c:pt>
                <c:pt idx="1329">
                  <c:v>173.02187694314466</c:v>
                </c:pt>
                <c:pt idx="1330">
                  <c:v>173.51068084326238</c:v>
                </c:pt>
                <c:pt idx="1331">
                  <c:v>173.44917617825271</c:v>
                </c:pt>
                <c:pt idx="1332">
                  <c:v>173.50369832860801</c:v>
                </c:pt>
                <c:pt idx="1333">
                  <c:v>172.10977377140361</c:v>
                </c:pt>
                <c:pt idx="1334">
                  <c:v>172.29388358893766</c:v>
                </c:pt>
                <c:pt idx="1335">
                  <c:v>171.79066867055121</c:v>
                </c:pt>
                <c:pt idx="1336">
                  <c:v>168.39344532813016</c:v>
                </c:pt>
                <c:pt idx="1337">
                  <c:v>169.18108970573201</c:v>
                </c:pt>
                <c:pt idx="1338">
                  <c:v>173.28976299937651</c:v>
                </c:pt>
                <c:pt idx="1339">
                  <c:v>174.49343145369238</c:v>
                </c:pt>
                <c:pt idx="1340">
                  <c:v>174.29390714272967</c:v>
                </c:pt>
                <c:pt idx="1341">
                  <c:v>172.40876755759277</c:v>
                </c:pt>
                <c:pt idx="1342">
                  <c:v>171.62126255154089</c:v>
                </c:pt>
                <c:pt idx="1343">
                  <c:v>170.78023887029366</c:v>
                </c:pt>
                <c:pt idx="1344">
                  <c:v>174.61945120919148</c:v>
                </c:pt>
                <c:pt idx="1345">
                  <c:v>174.92643098519494</c:v>
                </c:pt>
                <c:pt idx="1346">
                  <c:v>173.82223200610548</c:v>
                </c:pt>
                <c:pt idx="1347">
                  <c:v>175.63317017802879</c:v>
                </c:pt>
                <c:pt idx="1348">
                  <c:v>175.94813594384655</c:v>
                </c:pt>
                <c:pt idx="1349">
                  <c:v>175.32347265680059</c:v>
                </c:pt>
                <c:pt idx="1350">
                  <c:v>176.47190816585623</c:v>
                </c:pt>
                <c:pt idx="1351">
                  <c:v>176.1556462446236</c:v>
                </c:pt>
                <c:pt idx="1352">
                  <c:v>178.4037232830841</c:v>
                </c:pt>
                <c:pt idx="1353">
                  <c:v>181.09063952099163</c:v>
                </c:pt>
                <c:pt idx="1354">
                  <c:v>180.64908257631984</c:v>
                </c:pt>
                <c:pt idx="1355">
                  <c:v>181.54648204953719</c:v>
                </c:pt>
                <c:pt idx="1356">
                  <c:v>179.25545069937041</c:v>
                </c:pt>
                <c:pt idx="1357">
                  <c:v>178.16952333048437</c:v>
                </c:pt>
                <c:pt idx="1358">
                  <c:v>181.22265225314018</c:v>
                </c:pt>
                <c:pt idx="1359">
                  <c:v>185.18446974456239</c:v>
                </c:pt>
                <c:pt idx="1360">
                  <c:v>185.78015768636587</c:v>
                </c:pt>
                <c:pt idx="1361">
                  <c:v>184.60788964226231</c:v>
                </c:pt>
                <c:pt idx="1362">
                  <c:v>186.9725649194427</c:v>
                </c:pt>
                <c:pt idx="1363">
                  <c:v>188.96758503459009</c:v>
                </c:pt>
                <c:pt idx="1364">
                  <c:v>188.80574679074408</c:v>
                </c:pt>
                <c:pt idx="1365">
                  <c:v>189.47637481497605</c:v>
                </c:pt>
                <c:pt idx="1366">
                  <c:v>187.02850865960784</c:v>
                </c:pt>
                <c:pt idx="1367">
                  <c:v>188.93547382947284</c:v>
                </c:pt>
                <c:pt idx="1368">
                  <c:v>189.22975685727238</c:v>
                </c:pt>
                <c:pt idx="1369">
                  <c:v>192.12376528130699</c:v>
                </c:pt>
                <c:pt idx="1370">
                  <c:v>193.71363230063943</c:v>
                </c:pt>
                <c:pt idx="1371">
                  <c:v>194.47231527015376</c:v>
                </c:pt>
                <c:pt idx="1372">
                  <c:v>196.70354228822072</c:v>
                </c:pt>
                <c:pt idx="1373">
                  <c:v>195.37271123169586</c:v>
                </c:pt>
                <c:pt idx="1374">
                  <c:v>195.05473504039838</c:v>
                </c:pt>
                <c:pt idx="1375">
                  <c:v>192.69863111354223</c:v>
                </c:pt>
                <c:pt idx="1376">
                  <c:v>194.53125549864367</c:v>
                </c:pt>
                <c:pt idx="1377">
                  <c:v>192.56047209603918</c:v>
                </c:pt>
                <c:pt idx="1378">
                  <c:v>190.32354478157771</c:v>
                </c:pt>
                <c:pt idx="1379">
                  <c:v>193.46173216119121</c:v>
                </c:pt>
                <c:pt idx="1380">
                  <c:v>193.97665428977663</c:v>
                </c:pt>
                <c:pt idx="1381">
                  <c:v>193.97066131312715</c:v>
                </c:pt>
                <c:pt idx="1382">
                  <c:v>196.77632211162438</c:v>
                </c:pt>
                <c:pt idx="1383">
                  <c:v>197.18805354459877</c:v>
                </c:pt>
                <c:pt idx="1384">
                  <c:v>196.82956204371979</c:v>
                </c:pt>
                <c:pt idx="1385">
                  <c:v>195.22242688934384</c:v>
                </c:pt>
                <c:pt idx="1386">
                  <c:v>194.96096586156645</c:v>
                </c:pt>
                <c:pt idx="1387">
                  <c:v>195.31434242656087</c:v>
                </c:pt>
                <c:pt idx="1388">
                  <c:v>196.38785179034298</c:v>
                </c:pt>
                <c:pt idx="1389">
                  <c:v>198.64647925513756</c:v>
                </c:pt>
                <c:pt idx="1390">
                  <c:v>201.78068060842136</c:v>
                </c:pt>
                <c:pt idx="1391">
                  <c:v>201.42574308206707</c:v>
                </c:pt>
                <c:pt idx="1392">
                  <c:v>203.29889671390501</c:v>
                </c:pt>
                <c:pt idx="1393">
                  <c:v>204.85007419096078</c:v>
                </c:pt>
                <c:pt idx="1394">
                  <c:v>204.91258233113038</c:v>
                </c:pt>
                <c:pt idx="1395">
                  <c:v>200.70658588412928</c:v>
                </c:pt>
                <c:pt idx="1396">
                  <c:v>200.27130065920696</c:v>
                </c:pt>
                <c:pt idx="1397">
                  <c:v>200.6432275775048</c:v>
                </c:pt>
                <c:pt idx="1398">
                  <c:v>201.86615718002901</c:v>
                </c:pt>
                <c:pt idx="1399">
                  <c:v>201.61955315948035</c:v>
                </c:pt>
                <c:pt idx="1400">
                  <c:v>200.51821129716564</c:v>
                </c:pt>
                <c:pt idx="1401">
                  <c:v>204.32231594262149</c:v>
                </c:pt>
                <c:pt idx="1402">
                  <c:v>204.74132257050525</c:v>
                </c:pt>
                <c:pt idx="1403">
                  <c:v>203.85491951258194</c:v>
                </c:pt>
                <c:pt idx="1404">
                  <c:v>199.42414462976032</c:v>
                </c:pt>
                <c:pt idx="1405">
                  <c:v>199.22818823047726</c:v>
                </c:pt>
                <c:pt idx="1406">
                  <c:v>198.5077627514346</c:v>
                </c:pt>
                <c:pt idx="1407">
                  <c:v>199.72313841594945</c:v>
                </c:pt>
                <c:pt idx="1408">
                  <c:v>198.15211443017537</c:v>
                </c:pt>
                <c:pt idx="1409">
                  <c:v>195.83581501799577</c:v>
                </c:pt>
                <c:pt idx="1410">
                  <c:v>196.06374325084607</c:v>
                </c:pt>
                <c:pt idx="1411">
                  <c:v>194.73447315568109</c:v>
                </c:pt>
                <c:pt idx="1412">
                  <c:v>196.78217571672394</c:v>
                </c:pt>
                <c:pt idx="1413">
                  <c:v>194.53752721839317</c:v>
                </c:pt>
                <c:pt idx="1414">
                  <c:v>192.30515735361632</c:v>
                </c:pt>
                <c:pt idx="1415">
                  <c:v>190.05451587863607</c:v>
                </c:pt>
                <c:pt idx="1416">
                  <c:v>189.68132067923335</c:v>
                </c:pt>
                <c:pt idx="1417">
                  <c:v>192.63283380479299</c:v>
                </c:pt>
                <c:pt idx="1418">
                  <c:v>192.75100694202774</c:v>
                </c:pt>
                <c:pt idx="1419">
                  <c:v>195.82169667998204</c:v>
                </c:pt>
                <c:pt idx="1420">
                  <c:v>192.15301936964948</c:v>
                </c:pt>
                <c:pt idx="1421">
                  <c:v>193.96096105324804</c:v>
                </c:pt>
                <c:pt idx="1422">
                  <c:v>195.59477192229167</c:v>
                </c:pt>
                <c:pt idx="1423">
                  <c:v>199.00041330633198</c:v>
                </c:pt>
                <c:pt idx="1424">
                  <c:v>200.07863342850368</c:v>
                </c:pt>
                <c:pt idx="1425">
                  <c:v>200.30212964606434</c:v>
                </c:pt>
                <c:pt idx="1426">
                  <c:v>200.25702901248823</c:v>
                </c:pt>
                <c:pt idx="1427">
                  <c:v>200.10204784890166</c:v>
                </c:pt>
                <c:pt idx="1428">
                  <c:v>197.98298705426501</c:v>
                </c:pt>
                <c:pt idx="1429">
                  <c:v>196.21844567133269</c:v>
                </c:pt>
                <c:pt idx="1430">
                  <c:v>196.39969837209202</c:v>
                </c:pt>
                <c:pt idx="1431">
                  <c:v>198.63120413325893</c:v>
                </c:pt>
                <c:pt idx="1432">
                  <c:v>196.57210097942709</c:v>
                </c:pt>
                <c:pt idx="1433">
                  <c:v>197.14267416792273</c:v>
                </c:pt>
                <c:pt idx="1434">
                  <c:v>198.74766300042887</c:v>
                </c:pt>
                <c:pt idx="1435">
                  <c:v>195.64044397922274</c:v>
                </c:pt>
                <c:pt idx="1436">
                  <c:v>195.66770505440039</c:v>
                </c:pt>
                <c:pt idx="1437">
                  <c:v>195.21030156449498</c:v>
                </c:pt>
                <c:pt idx="1438">
                  <c:v>192.22666329666313</c:v>
                </c:pt>
                <c:pt idx="1439">
                  <c:v>188.72797746585084</c:v>
                </c:pt>
                <c:pt idx="1440">
                  <c:v>188.55427870310086</c:v>
                </c:pt>
                <c:pt idx="1441">
                  <c:v>189.40359499157239</c:v>
                </c:pt>
                <c:pt idx="1442">
                  <c:v>186.43923180910386</c:v>
                </c:pt>
                <c:pt idx="1443">
                  <c:v>186.85652416692275</c:v>
                </c:pt>
                <c:pt idx="1444">
                  <c:v>188.40400829790389</c:v>
                </c:pt>
                <c:pt idx="1445">
                  <c:v>188.66146936219661</c:v>
                </c:pt>
                <c:pt idx="1446">
                  <c:v>189.9237853647474</c:v>
                </c:pt>
                <c:pt idx="1447">
                  <c:v>186.380138271909</c:v>
                </c:pt>
                <c:pt idx="1448">
                  <c:v>188.89965534112602</c:v>
                </c:pt>
                <c:pt idx="1449">
                  <c:v>188.66874455710601</c:v>
                </c:pt>
                <c:pt idx="1450">
                  <c:v>191.68733720967484</c:v>
                </c:pt>
                <c:pt idx="1451">
                  <c:v>192.44231289595953</c:v>
                </c:pt>
                <c:pt idx="1452">
                  <c:v>193.56405875319246</c:v>
                </c:pt>
                <c:pt idx="1453">
                  <c:v>194.94612279149285</c:v>
                </c:pt>
                <c:pt idx="1454">
                  <c:v>193.72646842039339</c:v>
                </c:pt>
                <c:pt idx="1455">
                  <c:v>191.34325672706458</c:v>
                </c:pt>
                <c:pt idx="1456">
                  <c:v>193.63742393710606</c:v>
                </c:pt>
                <c:pt idx="1457">
                  <c:v>193.14889878008833</c:v>
                </c:pt>
                <c:pt idx="1458">
                  <c:v>190.01698312022432</c:v>
                </c:pt>
                <c:pt idx="1459">
                  <c:v>188.18849807015755</c:v>
                </c:pt>
                <c:pt idx="1460">
                  <c:v>185.30034325122244</c:v>
                </c:pt>
                <c:pt idx="1461">
                  <c:v>185.79300774327481</c:v>
                </c:pt>
                <c:pt idx="1462">
                  <c:v>187.52758424295973</c:v>
                </c:pt>
                <c:pt idx="1463">
                  <c:v>182.97991844116319</c:v>
                </c:pt>
                <c:pt idx="1464">
                  <c:v>179.76010114472177</c:v>
                </c:pt>
                <c:pt idx="1465">
                  <c:v>180.43656883689823</c:v>
                </c:pt>
                <c:pt idx="1466">
                  <c:v>182.52694696654737</c:v>
                </c:pt>
                <c:pt idx="1467">
                  <c:v>183.4083605229811</c:v>
                </c:pt>
                <c:pt idx="1468">
                  <c:v>186.40868156534651</c:v>
                </c:pt>
                <c:pt idx="1469">
                  <c:v>189.72998922448912</c:v>
                </c:pt>
                <c:pt idx="1470">
                  <c:v>192.35725443900179</c:v>
                </c:pt>
                <c:pt idx="1471">
                  <c:v>192.93525613111177</c:v>
                </c:pt>
                <c:pt idx="1472">
                  <c:v>194.66326823079226</c:v>
                </c:pt>
                <c:pt idx="1473">
                  <c:v>194.8138313162442</c:v>
                </c:pt>
                <c:pt idx="1474">
                  <c:v>192.97336031287844</c:v>
                </c:pt>
                <c:pt idx="1475">
                  <c:v>196.92175632403681</c:v>
                </c:pt>
                <c:pt idx="1476">
                  <c:v>196.4883247407293</c:v>
                </c:pt>
                <c:pt idx="1477">
                  <c:v>201.15001040757093</c:v>
                </c:pt>
                <c:pt idx="1478">
                  <c:v>201.28501962804427</c:v>
                </c:pt>
                <c:pt idx="1479">
                  <c:v>201.42531103026212</c:v>
                </c:pt>
                <c:pt idx="1480">
                  <c:v>201.59386698281753</c:v>
                </c:pt>
                <c:pt idx="1481">
                  <c:v>203.86376960600614</c:v>
                </c:pt>
                <c:pt idx="1482">
                  <c:v>202.65710466336554</c:v>
                </c:pt>
                <c:pt idx="1483">
                  <c:v>203.59731907673921</c:v>
                </c:pt>
                <c:pt idx="1484">
                  <c:v>203.38309106725274</c:v>
                </c:pt>
                <c:pt idx="1485">
                  <c:v>203.24279966503488</c:v>
                </c:pt>
                <c:pt idx="1486">
                  <c:v>203.82422989727456</c:v>
                </c:pt>
                <c:pt idx="1487">
                  <c:v>203.4921353679633</c:v>
                </c:pt>
                <c:pt idx="1488">
                  <c:v>203.03158208102815</c:v>
                </c:pt>
                <c:pt idx="1489">
                  <c:v>204.15633836374082</c:v>
                </c:pt>
                <c:pt idx="1490">
                  <c:v>202.45030515749343</c:v>
                </c:pt>
                <c:pt idx="1491">
                  <c:v>203.08425058976857</c:v>
                </c:pt>
                <c:pt idx="1492">
                  <c:v>201.8968467953363</c:v>
                </c:pt>
                <c:pt idx="1493">
                  <c:v>204.65527457554265</c:v>
                </c:pt>
                <c:pt idx="1494">
                  <c:v>205.56836728528864</c:v>
                </c:pt>
                <c:pt idx="1495">
                  <c:v>205.97540189702843</c:v>
                </c:pt>
                <c:pt idx="1496">
                  <c:v>207.41555599736381</c:v>
                </c:pt>
                <c:pt idx="1497">
                  <c:v>210.27787133093113</c:v>
                </c:pt>
                <c:pt idx="1498">
                  <c:v>210.67176320550706</c:v>
                </c:pt>
                <c:pt idx="1499">
                  <c:v>211.41903164507738</c:v>
                </c:pt>
                <c:pt idx="1500">
                  <c:v>212.71617659797013</c:v>
                </c:pt>
                <c:pt idx="1501">
                  <c:v>214.12065158150861</c:v>
                </c:pt>
                <c:pt idx="1502">
                  <c:v>210.90554504345678</c:v>
                </c:pt>
                <c:pt idx="1503">
                  <c:v>213.55906785798717</c:v>
                </c:pt>
                <c:pt idx="1504">
                  <c:v>213.97436720264122</c:v>
                </c:pt>
                <c:pt idx="1505">
                  <c:v>215.13894193718548</c:v>
                </c:pt>
                <c:pt idx="1506">
                  <c:v>215.49015824315509</c:v>
                </c:pt>
                <c:pt idx="1507">
                  <c:v>215.43250023292509</c:v>
                </c:pt>
                <c:pt idx="1508">
                  <c:v>214.23667839687357</c:v>
                </c:pt>
              </c:numCache>
            </c:numRef>
          </c:val>
          <c:smooth val="0"/>
          <c:extLst>
            <c:ext xmlns:c16="http://schemas.microsoft.com/office/drawing/2014/chart" uri="{C3380CC4-5D6E-409C-BE32-E72D297353CC}">
              <c16:uniqueId val="{00000001-40F7-4B26-8595-9D7E9AA99B1A}"/>
            </c:ext>
          </c:extLst>
        </c:ser>
        <c:dLbls>
          <c:showLegendKey val="0"/>
          <c:showVal val="0"/>
          <c:showCatName val="0"/>
          <c:showSerName val="0"/>
          <c:showPercent val="0"/>
          <c:showBubbleSize val="0"/>
        </c:dLbls>
        <c:smooth val="0"/>
        <c:axId val="922438064"/>
        <c:axId val="922435664"/>
      </c:lineChart>
      <c:dateAx>
        <c:axId val="92243806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m/d/yy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fr-FR"/>
          </a:p>
        </c:txPr>
        <c:crossAx val="922435664"/>
        <c:crosses val="autoZero"/>
        <c:auto val="1"/>
        <c:lblOffset val="100"/>
        <c:baseTimeUnit val="days"/>
      </c:dateAx>
      <c:valAx>
        <c:axId val="92243566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92243806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(NASDAQ Returns - FTNT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areaChart>
        <c:grouping val="standard"/>
        <c:varyColors val="0"/>
        <c:ser>
          <c:idx val="0"/>
          <c:order val="0"/>
          <c:tx>
            <c:strRef>
              <c:f>'6Y STOCK PERFORMANCE'!$H$1</c:f>
              <c:strCache>
                <c:ptCount val="1"/>
                <c:pt idx="0">
                  <c:v>Performance</c:v>
                </c:pt>
              </c:strCache>
            </c:strRef>
          </c:tx>
          <c:spPr>
            <a:solidFill>
              <a:schemeClr val="accent1"/>
            </a:solidFill>
            <a:ln>
              <a:noFill/>
            </a:ln>
            <a:effectLst/>
          </c:spPr>
          <c:cat>
            <c:numRef>
              <c:f>'6Y STOCK PERFORMANCE'!$A$2:$A$1510</c:f>
              <c:numCache>
                <c:formatCode>m/d/yyyy</c:formatCode>
                <c:ptCount val="1509"/>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pt idx="1278">
                  <c:v>44957</c:v>
                </c:pt>
                <c:pt idx="1279">
                  <c:v>44958</c:v>
                </c:pt>
                <c:pt idx="1280">
                  <c:v>44959</c:v>
                </c:pt>
                <c:pt idx="1281">
                  <c:v>44960</c:v>
                </c:pt>
                <c:pt idx="1282">
                  <c:v>44963</c:v>
                </c:pt>
                <c:pt idx="1283">
                  <c:v>44964</c:v>
                </c:pt>
                <c:pt idx="1284">
                  <c:v>44965</c:v>
                </c:pt>
                <c:pt idx="1285">
                  <c:v>44966</c:v>
                </c:pt>
                <c:pt idx="1286">
                  <c:v>44967</c:v>
                </c:pt>
                <c:pt idx="1287">
                  <c:v>44970</c:v>
                </c:pt>
                <c:pt idx="1288">
                  <c:v>44971</c:v>
                </c:pt>
                <c:pt idx="1289">
                  <c:v>44972</c:v>
                </c:pt>
                <c:pt idx="1290">
                  <c:v>44973</c:v>
                </c:pt>
                <c:pt idx="1291">
                  <c:v>44974</c:v>
                </c:pt>
                <c:pt idx="1292">
                  <c:v>44978</c:v>
                </c:pt>
                <c:pt idx="1293">
                  <c:v>44979</c:v>
                </c:pt>
                <c:pt idx="1294">
                  <c:v>44980</c:v>
                </c:pt>
                <c:pt idx="1295">
                  <c:v>44981</c:v>
                </c:pt>
                <c:pt idx="1296">
                  <c:v>44984</c:v>
                </c:pt>
                <c:pt idx="1297">
                  <c:v>44985</c:v>
                </c:pt>
                <c:pt idx="1298">
                  <c:v>44986</c:v>
                </c:pt>
                <c:pt idx="1299">
                  <c:v>44987</c:v>
                </c:pt>
                <c:pt idx="1300">
                  <c:v>44988</c:v>
                </c:pt>
                <c:pt idx="1301">
                  <c:v>44991</c:v>
                </c:pt>
                <c:pt idx="1302">
                  <c:v>44992</c:v>
                </c:pt>
                <c:pt idx="1303">
                  <c:v>44993</c:v>
                </c:pt>
                <c:pt idx="1304">
                  <c:v>44994</c:v>
                </c:pt>
                <c:pt idx="1305">
                  <c:v>44995</c:v>
                </c:pt>
                <c:pt idx="1306">
                  <c:v>44998</c:v>
                </c:pt>
                <c:pt idx="1307">
                  <c:v>44999</c:v>
                </c:pt>
                <c:pt idx="1308">
                  <c:v>45000</c:v>
                </c:pt>
                <c:pt idx="1309">
                  <c:v>45001</c:v>
                </c:pt>
                <c:pt idx="1310">
                  <c:v>45002</c:v>
                </c:pt>
                <c:pt idx="1311">
                  <c:v>45005</c:v>
                </c:pt>
                <c:pt idx="1312">
                  <c:v>45006</c:v>
                </c:pt>
                <c:pt idx="1313">
                  <c:v>45007</c:v>
                </c:pt>
                <c:pt idx="1314">
                  <c:v>45008</c:v>
                </c:pt>
                <c:pt idx="1315">
                  <c:v>45009</c:v>
                </c:pt>
                <c:pt idx="1316">
                  <c:v>45012</c:v>
                </c:pt>
                <c:pt idx="1317">
                  <c:v>45013</c:v>
                </c:pt>
                <c:pt idx="1318">
                  <c:v>45014</c:v>
                </c:pt>
                <c:pt idx="1319">
                  <c:v>45015</c:v>
                </c:pt>
                <c:pt idx="1320">
                  <c:v>45016</c:v>
                </c:pt>
                <c:pt idx="1321">
                  <c:v>45019</c:v>
                </c:pt>
                <c:pt idx="1322">
                  <c:v>45020</c:v>
                </c:pt>
                <c:pt idx="1323">
                  <c:v>45021</c:v>
                </c:pt>
                <c:pt idx="1324">
                  <c:v>45022</c:v>
                </c:pt>
                <c:pt idx="1325">
                  <c:v>45026</c:v>
                </c:pt>
                <c:pt idx="1326">
                  <c:v>45027</c:v>
                </c:pt>
                <c:pt idx="1327">
                  <c:v>45028</c:v>
                </c:pt>
                <c:pt idx="1328">
                  <c:v>45029</c:v>
                </c:pt>
                <c:pt idx="1329">
                  <c:v>45030</c:v>
                </c:pt>
                <c:pt idx="1330">
                  <c:v>45033</c:v>
                </c:pt>
                <c:pt idx="1331">
                  <c:v>45034</c:v>
                </c:pt>
                <c:pt idx="1332">
                  <c:v>45035</c:v>
                </c:pt>
                <c:pt idx="1333">
                  <c:v>45036</c:v>
                </c:pt>
                <c:pt idx="1334">
                  <c:v>45037</c:v>
                </c:pt>
                <c:pt idx="1335">
                  <c:v>45040</c:v>
                </c:pt>
                <c:pt idx="1336">
                  <c:v>45041</c:v>
                </c:pt>
                <c:pt idx="1337">
                  <c:v>45042</c:v>
                </c:pt>
                <c:pt idx="1338">
                  <c:v>45043</c:v>
                </c:pt>
                <c:pt idx="1339">
                  <c:v>45044</c:v>
                </c:pt>
                <c:pt idx="1340">
                  <c:v>45047</c:v>
                </c:pt>
                <c:pt idx="1341">
                  <c:v>45048</c:v>
                </c:pt>
                <c:pt idx="1342">
                  <c:v>45049</c:v>
                </c:pt>
                <c:pt idx="1343">
                  <c:v>45050</c:v>
                </c:pt>
                <c:pt idx="1344">
                  <c:v>45051</c:v>
                </c:pt>
                <c:pt idx="1345">
                  <c:v>45054</c:v>
                </c:pt>
                <c:pt idx="1346">
                  <c:v>45055</c:v>
                </c:pt>
                <c:pt idx="1347">
                  <c:v>45056</c:v>
                </c:pt>
                <c:pt idx="1348">
                  <c:v>45057</c:v>
                </c:pt>
                <c:pt idx="1349">
                  <c:v>45058</c:v>
                </c:pt>
                <c:pt idx="1350">
                  <c:v>45061</c:v>
                </c:pt>
                <c:pt idx="1351">
                  <c:v>45062</c:v>
                </c:pt>
                <c:pt idx="1352">
                  <c:v>45063</c:v>
                </c:pt>
                <c:pt idx="1353">
                  <c:v>45064</c:v>
                </c:pt>
                <c:pt idx="1354">
                  <c:v>45065</c:v>
                </c:pt>
                <c:pt idx="1355">
                  <c:v>45068</c:v>
                </c:pt>
                <c:pt idx="1356">
                  <c:v>45069</c:v>
                </c:pt>
                <c:pt idx="1357">
                  <c:v>45070</c:v>
                </c:pt>
                <c:pt idx="1358">
                  <c:v>45071</c:v>
                </c:pt>
                <c:pt idx="1359">
                  <c:v>45072</c:v>
                </c:pt>
                <c:pt idx="1360">
                  <c:v>45076</c:v>
                </c:pt>
                <c:pt idx="1361">
                  <c:v>45077</c:v>
                </c:pt>
                <c:pt idx="1362">
                  <c:v>45078</c:v>
                </c:pt>
                <c:pt idx="1363">
                  <c:v>45079</c:v>
                </c:pt>
                <c:pt idx="1364">
                  <c:v>45082</c:v>
                </c:pt>
                <c:pt idx="1365">
                  <c:v>45083</c:v>
                </c:pt>
                <c:pt idx="1366">
                  <c:v>45084</c:v>
                </c:pt>
                <c:pt idx="1367">
                  <c:v>45085</c:v>
                </c:pt>
                <c:pt idx="1368">
                  <c:v>45086</c:v>
                </c:pt>
                <c:pt idx="1369">
                  <c:v>45089</c:v>
                </c:pt>
                <c:pt idx="1370">
                  <c:v>45090</c:v>
                </c:pt>
                <c:pt idx="1371">
                  <c:v>45091</c:v>
                </c:pt>
                <c:pt idx="1372">
                  <c:v>45092</c:v>
                </c:pt>
                <c:pt idx="1373">
                  <c:v>45093</c:v>
                </c:pt>
                <c:pt idx="1374">
                  <c:v>45097</c:v>
                </c:pt>
                <c:pt idx="1375">
                  <c:v>45098</c:v>
                </c:pt>
                <c:pt idx="1376">
                  <c:v>45099</c:v>
                </c:pt>
                <c:pt idx="1377">
                  <c:v>45100</c:v>
                </c:pt>
                <c:pt idx="1378">
                  <c:v>45103</c:v>
                </c:pt>
                <c:pt idx="1379">
                  <c:v>45104</c:v>
                </c:pt>
                <c:pt idx="1380">
                  <c:v>45105</c:v>
                </c:pt>
                <c:pt idx="1381">
                  <c:v>45106</c:v>
                </c:pt>
                <c:pt idx="1382">
                  <c:v>45107</c:v>
                </c:pt>
                <c:pt idx="1383">
                  <c:v>45110</c:v>
                </c:pt>
                <c:pt idx="1384">
                  <c:v>45112</c:v>
                </c:pt>
                <c:pt idx="1385">
                  <c:v>45113</c:v>
                </c:pt>
                <c:pt idx="1386">
                  <c:v>45114</c:v>
                </c:pt>
                <c:pt idx="1387">
                  <c:v>45117</c:v>
                </c:pt>
                <c:pt idx="1388">
                  <c:v>45118</c:v>
                </c:pt>
                <c:pt idx="1389">
                  <c:v>45119</c:v>
                </c:pt>
                <c:pt idx="1390">
                  <c:v>45120</c:v>
                </c:pt>
                <c:pt idx="1391">
                  <c:v>45121</c:v>
                </c:pt>
                <c:pt idx="1392">
                  <c:v>45124</c:v>
                </c:pt>
                <c:pt idx="1393">
                  <c:v>45125</c:v>
                </c:pt>
                <c:pt idx="1394">
                  <c:v>45126</c:v>
                </c:pt>
                <c:pt idx="1395">
                  <c:v>45127</c:v>
                </c:pt>
                <c:pt idx="1396">
                  <c:v>45128</c:v>
                </c:pt>
                <c:pt idx="1397">
                  <c:v>45131</c:v>
                </c:pt>
                <c:pt idx="1398">
                  <c:v>45132</c:v>
                </c:pt>
                <c:pt idx="1399">
                  <c:v>45133</c:v>
                </c:pt>
                <c:pt idx="1400">
                  <c:v>45134</c:v>
                </c:pt>
                <c:pt idx="1401">
                  <c:v>45135</c:v>
                </c:pt>
                <c:pt idx="1402">
                  <c:v>45138</c:v>
                </c:pt>
                <c:pt idx="1403">
                  <c:v>45139</c:v>
                </c:pt>
                <c:pt idx="1404">
                  <c:v>45140</c:v>
                </c:pt>
                <c:pt idx="1405">
                  <c:v>45141</c:v>
                </c:pt>
                <c:pt idx="1406">
                  <c:v>45142</c:v>
                </c:pt>
                <c:pt idx="1407">
                  <c:v>45145</c:v>
                </c:pt>
                <c:pt idx="1408">
                  <c:v>45146</c:v>
                </c:pt>
                <c:pt idx="1409">
                  <c:v>45147</c:v>
                </c:pt>
                <c:pt idx="1410">
                  <c:v>45148</c:v>
                </c:pt>
                <c:pt idx="1411">
                  <c:v>45149</c:v>
                </c:pt>
                <c:pt idx="1412">
                  <c:v>45152</c:v>
                </c:pt>
                <c:pt idx="1413">
                  <c:v>45153</c:v>
                </c:pt>
                <c:pt idx="1414">
                  <c:v>45154</c:v>
                </c:pt>
                <c:pt idx="1415">
                  <c:v>45155</c:v>
                </c:pt>
                <c:pt idx="1416">
                  <c:v>45156</c:v>
                </c:pt>
                <c:pt idx="1417">
                  <c:v>45159</c:v>
                </c:pt>
                <c:pt idx="1418">
                  <c:v>45160</c:v>
                </c:pt>
                <c:pt idx="1419">
                  <c:v>45161</c:v>
                </c:pt>
                <c:pt idx="1420">
                  <c:v>45162</c:v>
                </c:pt>
                <c:pt idx="1421">
                  <c:v>45163</c:v>
                </c:pt>
                <c:pt idx="1422">
                  <c:v>45166</c:v>
                </c:pt>
                <c:pt idx="1423">
                  <c:v>45167</c:v>
                </c:pt>
                <c:pt idx="1424">
                  <c:v>45168</c:v>
                </c:pt>
                <c:pt idx="1425">
                  <c:v>45169</c:v>
                </c:pt>
                <c:pt idx="1426">
                  <c:v>45170</c:v>
                </c:pt>
                <c:pt idx="1427">
                  <c:v>45174</c:v>
                </c:pt>
                <c:pt idx="1428">
                  <c:v>45175</c:v>
                </c:pt>
                <c:pt idx="1429">
                  <c:v>45176</c:v>
                </c:pt>
                <c:pt idx="1430">
                  <c:v>45177</c:v>
                </c:pt>
                <c:pt idx="1431">
                  <c:v>45180</c:v>
                </c:pt>
                <c:pt idx="1432">
                  <c:v>45181</c:v>
                </c:pt>
                <c:pt idx="1433">
                  <c:v>45182</c:v>
                </c:pt>
                <c:pt idx="1434">
                  <c:v>45183</c:v>
                </c:pt>
                <c:pt idx="1435">
                  <c:v>45184</c:v>
                </c:pt>
                <c:pt idx="1436">
                  <c:v>45187</c:v>
                </c:pt>
                <c:pt idx="1437">
                  <c:v>45188</c:v>
                </c:pt>
                <c:pt idx="1438">
                  <c:v>45189</c:v>
                </c:pt>
                <c:pt idx="1439">
                  <c:v>45190</c:v>
                </c:pt>
                <c:pt idx="1440">
                  <c:v>45191</c:v>
                </c:pt>
                <c:pt idx="1441">
                  <c:v>45194</c:v>
                </c:pt>
                <c:pt idx="1442">
                  <c:v>45195</c:v>
                </c:pt>
                <c:pt idx="1443">
                  <c:v>45196</c:v>
                </c:pt>
                <c:pt idx="1444">
                  <c:v>45197</c:v>
                </c:pt>
                <c:pt idx="1445">
                  <c:v>45198</c:v>
                </c:pt>
                <c:pt idx="1446">
                  <c:v>45201</c:v>
                </c:pt>
                <c:pt idx="1447">
                  <c:v>45202</c:v>
                </c:pt>
                <c:pt idx="1448">
                  <c:v>45203</c:v>
                </c:pt>
                <c:pt idx="1449">
                  <c:v>45204</c:v>
                </c:pt>
                <c:pt idx="1450">
                  <c:v>45205</c:v>
                </c:pt>
                <c:pt idx="1451">
                  <c:v>45208</c:v>
                </c:pt>
                <c:pt idx="1452">
                  <c:v>45209</c:v>
                </c:pt>
                <c:pt idx="1453">
                  <c:v>45210</c:v>
                </c:pt>
                <c:pt idx="1454">
                  <c:v>45211</c:v>
                </c:pt>
                <c:pt idx="1455">
                  <c:v>45212</c:v>
                </c:pt>
                <c:pt idx="1456">
                  <c:v>45215</c:v>
                </c:pt>
                <c:pt idx="1457">
                  <c:v>45216</c:v>
                </c:pt>
                <c:pt idx="1458">
                  <c:v>45217</c:v>
                </c:pt>
                <c:pt idx="1459">
                  <c:v>45218</c:v>
                </c:pt>
                <c:pt idx="1460">
                  <c:v>45219</c:v>
                </c:pt>
                <c:pt idx="1461">
                  <c:v>45222</c:v>
                </c:pt>
                <c:pt idx="1462">
                  <c:v>45223</c:v>
                </c:pt>
                <c:pt idx="1463">
                  <c:v>45224</c:v>
                </c:pt>
                <c:pt idx="1464">
                  <c:v>45225</c:v>
                </c:pt>
                <c:pt idx="1465">
                  <c:v>45226</c:v>
                </c:pt>
                <c:pt idx="1466">
                  <c:v>45229</c:v>
                </c:pt>
                <c:pt idx="1467">
                  <c:v>45230</c:v>
                </c:pt>
                <c:pt idx="1468">
                  <c:v>45231</c:v>
                </c:pt>
                <c:pt idx="1469">
                  <c:v>45232</c:v>
                </c:pt>
                <c:pt idx="1470">
                  <c:v>45233</c:v>
                </c:pt>
                <c:pt idx="1471">
                  <c:v>45236</c:v>
                </c:pt>
                <c:pt idx="1472">
                  <c:v>45237</c:v>
                </c:pt>
                <c:pt idx="1473">
                  <c:v>45238</c:v>
                </c:pt>
                <c:pt idx="1474">
                  <c:v>45239</c:v>
                </c:pt>
                <c:pt idx="1475">
                  <c:v>45240</c:v>
                </c:pt>
                <c:pt idx="1476">
                  <c:v>45243</c:v>
                </c:pt>
                <c:pt idx="1477">
                  <c:v>45244</c:v>
                </c:pt>
                <c:pt idx="1478">
                  <c:v>45245</c:v>
                </c:pt>
                <c:pt idx="1479">
                  <c:v>45246</c:v>
                </c:pt>
                <c:pt idx="1480">
                  <c:v>45247</c:v>
                </c:pt>
                <c:pt idx="1481">
                  <c:v>45250</c:v>
                </c:pt>
                <c:pt idx="1482">
                  <c:v>45251</c:v>
                </c:pt>
                <c:pt idx="1483">
                  <c:v>45252</c:v>
                </c:pt>
                <c:pt idx="1484">
                  <c:v>45254</c:v>
                </c:pt>
                <c:pt idx="1485">
                  <c:v>45257</c:v>
                </c:pt>
                <c:pt idx="1486">
                  <c:v>45258</c:v>
                </c:pt>
                <c:pt idx="1487">
                  <c:v>45259</c:v>
                </c:pt>
                <c:pt idx="1488">
                  <c:v>45260</c:v>
                </c:pt>
                <c:pt idx="1489">
                  <c:v>45261</c:v>
                </c:pt>
                <c:pt idx="1490">
                  <c:v>45264</c:v>
                </c:pt>
                <c:pt idx="1491">
                  <c:v>45265</c:v>
                </c:pt>
                <c:pt idx="1492">
                  <c:v>45266</c:v>
                </c:pt>
                <c:pt idx="1493">
                  <c:v>45267</c:v>
                </c:pt>
                <c:pt idx="1494">
                  <c:v>45268</c:v>
                </c:pt>
                <c:pt idx="1495">
                  <c:v>45271</c:v>
                </c:pt>
                <c:pt idx="1496">
                  <c:v>45272</c:v>
                </c:pt>
                <c:pt idx="1497">
                  <c:v>45273</c:v>
                </c:pt>
                <c:pt idx="1498">
                  <c:v>45274</c:v>
                </c:pt>
                <c:pt idx="1499">
                  <c:v>45275</c:v>
                </c:pt>
                <c:pt idx="1500">
                  <c:v>45278</c:v>
                </c:pt>
                <c:pt idx="1501">
                  <c:v>45279</c:v>
                </c:pt>
                <c:pt idx="1502">
                  <c:v>45280</c:v>
                </c:pt>
                <c:pt idx="1503">
                  <c:v>45281</c:v>
                </c:pt>
                <c:pt idx="1504">
                  <c:v>45282</c:v>
                </c:pt>
                <c:pt idx="1505">
                  <c:v>45286</c:v>
                </c:pt>
                <c:pt idx="1506">
                  <c:v>45287</c:v>
                </c:pt>
                <c:pt idx="1507">
                  <c:v>45288</c:v>
                </c:pt>
                <c:pt idx="1508">
                  <c:v>45289</c:v>
                </c:pt>
              </c:numCache>
            </c:numRef>
          </c:cat>
          <c:val>
            <c:numRef>
              <c:f>'6Y STOCK PERFORMANCE'!$H$2:$H$1510</c:f>
              <c:numCache>
                <c:formatCode>0.00%</c:formatCode>
                <c:ptCount val="1509"/>
                <c:pt idx="0">
                  <c:v>6.9650960617280155E-3</c:v>
                </c:pt>
                <c:pt idx="1">
                  <c:v>-2.4625792636362664E-2</c:v>
                </c:pt>
                <c:pt idx="2">
                  <c:v>-6.0136595649884494E-3</c:v>
                </c:pt>
                <c:pt idx="3">
                  <c:v>1.7489414458235819E-2</c:v>
                </c:pt>
                <c:pt idx="4">
                  <c:v>-1.5975907700012226E-2</c:v>
                </c:pt>
                <c:pt idx="5">
                  <c:v>-3.5665878677719753E-3</c:v>
                </c:pt>
                <c:pt idx="6">
                  <c:v>-4.5090111179497683E-3</c:v>
                </c:pt>
                <c:pt idx="7">
                  <c:v>8.5304204092457869E-3</c:v>
                </c:pt>
                <c:pt idx="8">
                  <c:v>-8.2044746572919047E-3</c:v>
                </c:pt>
                <c:pt idx="9">
                  <c:v>6.5889804893179971E-3</c:v>
                </c:pt>
                <c:pt idx="10">
                  <c:v>1.4055887449628934E-2</c:v>
                </c:pt>
                <c:pt idx="11">
                  <c:v>1.0353973536563199E-3</c:v>
                </c:pt>
                <c:pt idx="12">
                  <c:v>-1.3243844141783589E-2</c:v>
                </c:pt>
                <c:pt idx="13">
                  <c:v>-9.2356165310804039E-3</c:v>
                </c:pt>
                <c:pt idx="14">
                  <c:v>-4.8661353210261993E-3</c:v>
                </c:pt>
                <c:pt idx="15">
                  <c:v>4.0618094642875802E-3</c:v>
                </c:pt>
                <c:pt idx="16">
                  <c:v>-2.8561355271050637E-3</c:v>
                </c:pt>
                <c:pt idx="17">
                  <c:v>7.4112757971371845E-3</c:v>
                </c:pt>
                <c:pt idx="18">
                  <c:v>3.7887588954689244E-3</c:v>
                </c:pt>
                <c:pt idx="19">
                  <c:v>5.3430479491529681E-3</c:v>
                </c:pt>
                <c:pt idx="20">
                  <c:v>-2.3566909472527708E-4</c:v>
                </c:pt>
                <c:pt idx="21">
                  <c:v>-6.5479787335931405E-4</c:v>
                </c:pt>
                <c:pt idx="22">
                  <c:v>1.3060680990123918E-2</c:v>
                </c:pt>
                <c:pt idx="23">
                  <c:v>4.0538142992777582E-2</c:v>
                </c:pt>
                <c:pt idx="24">
                  <c:v>-1.3151531729719723E-2</c:v>
                </c:pt>
                <c:pt idx="25">
                  <c:v>1.677759857598593E-2</c:v>
                </c:pt>
                <c:pt idx="26">
                  <c:v>3.1481213592926327E-2</c:v>
                </c:pt>
                <c:pt idx="27">
                  <c:v>-1.6922342037413829E-2</c:v>
                </c:pt>
                <c:pt idx="28">
                  <c:v>3.0765241825343237E-2</c:v>
                </c:pt>
                <c:pt idx="29">
                  <c:v>-1.3148225766484778E-2</c:v>
                </c:pt>
                <c:pt idx="30">
                  <c:v>2.811039240821378E-3</c:v>
                </c:pt>
                <c:pt idx="31">
                  <c:v>-4.3591950423291781E-3</c:v>
                </c:pt>
                <c:pt idx="32">
                  <c:v>2.9600038928659922E-3</c:v>
                </c:pt>
                <c:pt idx="33">
                  <c:v>3.2418384500796371E-3</c:v>
                </c:pt>
                <c:pt idx="34">
                  <c:v>2.9604013209248992E-3</c:v>
                </c:pt>
                <c:pt idx="35">
                  <c:v>-4.0379857765646676E-3</c:v>
                </c:pt>
                <c:pt idx="36">
                  <c:v>-2.4342522003457656E-3</c:v>
                </c:pt>
                <c:pt idx="37">
                  <c:v>4.9235650684659182E-3</c:v>
                </c:pt>
                <c:pt idx="38">
                  <c:v>1.8232738156600092E-2</c:v>
                </c:pt>
                <c:pt idx="39">
                  <c:v>-6.3098040672580069E-3</c:v>
                </c:pt>
                <c:pt idx="40">
                  <c:v>8.4214218042637512E-3</c:v>
                </c:pt>
                <c:pt idx="41">
                  <c:v>-6.2706113269004327E-3</c:v>
                </c:pt>
                <c:pt idx="42">
                  <c:v>1.8058174141859284E-2</c:v>
                </c:pt>
                <c:pt idx="43">
                  <c:v>8.6152323388613006E-3</c:v>
                </c:pt>
                <c:pt idx="44">
                  <c:v>2.6643042533183614E-2</c:v>
                </c:pt>
                <c:pt idx="45">
                  <c:v>-1.1415808525572668E-2</c:v>
                </c:pt>
                <c:pt idx="46">
                  <c:v>7.7008614183804447E-4</c:v>
                </c:pt>
                <c:pt idx="47">
                  <c:v>2.3241447888376898E-3</c:v>
                </c:pt>
                <c:pt idx="48">
                  <c:v>7.236105118152647E-3</c:v>
                </c:pt>
                <c:pt idx="49">
                  <c:v>-4.5904539339349792E-3</c:v>
                </c:pt>
                <c:pt idx="50">
                  <c:v>-3.3556969210434273E-3</c:v>
                </c:pt>
                <c:pt idx="51">
                  <c:v>6.3738293225108489E-3</c:v>
                </c:pt>
                <c:pt idx="52">
                  <c:v>5.3285996646634803E-3</c:v>
                </c:pt>
                <c:pt idx="53">
                  <c:v>1.7270816064799965E-2</c:v>
                </c:pt>
                <c:pt idx="54">
                  <c:v>6.7242112414925836E-3</c:v>
                </c:pt>
                <c:pt idx="55">
                  <c:v>1.1969321780905262E-2</c:v>
                </c:pt>
                <c:pt idx="56">
                  <c:v>-1.8032194981729699E-3</c:v>
                </c:pt>
                <c:pt idx="57">
                  <c:v>6.4211275504096887E-3</c:v>
                </c:pt>
                <c:pt idx="58">
                  <c:v>-1.1187992574756112E-2</c:v>
                </c:pt>
                <c:pt idx="59">
                  <c:v>8.4296511442403244E-3</c:v>
                </c:pt>
                <c:pt idx="60">
                  <c:v>5.9072972768117182E-3</c:v>
                </c:pt>
                <c:pt idx="61">
                  <c:v>8.715182307960756E-3</c:v>
                </c:pt>
                <c:pt idx="62">
                  <c:v>1.9440527700462784E-3</c:v>
                </c:pt>
                <c:pt idx="63">
                  <c:v>2.6499414749303618E-4</c:v>
                </c:pt>
                <c:pt idx="64">
                  <c:v>1.8050587762781012E-2</c:v>
                </c:pt>
                <c:pt idx="65">
                  <c:v>-2.517803923774542E-3</c:v>
                </c:pt>
                <c:pt idx="66">
                  <c:v>1.1598734976279168E-2</c:v>
                </c:pt>
                <c:pt idx="67">
                  <c:v>-2.1335784407944702E-2</c:v>
                </c:pt>
                <c:pt idx="68">
                  <c:v>1.2905231765349301E-2</c:v>
                </c:pt>
                <c:pt idx="69">
                  <c:v>2.4859194317872202E-4</c:v>
                </c:pt>
                <c:pt idx="70">
                  <c:v>9.4920622651748499E-3</c:v>
                </c:pt>
                <c:pt idx="71">
                  <c:v>-1.4096361672946145E-3</c:v>
                </c:pt>
                <c:pt idx="72">
                  <c:v>-5.0632615950562121E-3</c:v>
                </c:pt>
                <c:pt idx="73">
                  <c:v>6.4464829304484716E-3</c:v>
                </c:pt>
                <c:pt idx="74">
                  <c:v>8.1721097007096954E-3</c:v>
                </c:pt>
                <c:pt idx="75">
                  <c:v>-4.7211211479981641E-3</c:v>
                </c:pt>
                <c:pt idx="76">
                  <c:v>5.2007165000632627E-3</c:v>
                </c:pt>
                <c:pt idx="77">
                  <c:v>-2.2135079424965287E-2</c:v>
                </c:pt>
                <c:pt idx="78">
                  <c:v>-5.0973911182961018E-3</c:v>
                </c:pt>
                <c:pt idx="79">
                  <c:v>-8.9988155908324874E-3</c:v>
                </c:pt>
                <c:pt idx="80">
                  <c:v>1.5346537989696651E-2</c:v>
                </c:pt>
                <c:pt idx="81">
                  <c:v>-2.2538080686025364E-3</c:v>
                </c:pt>
                <c:pt idx="82">
                  <c:v>7.767238024747769E-3</c:v>
                </c:pt>
                <c:pt idx="83">
                  <c:v>4.8345529281618171E-3</c:v>
                </c:pt>
                <c:pt idx="84">
                  <c:v>-4.1553422999981771E-2</c:v>
                </c:pt>
                <c:pt idx="85">
                  <c:v>9.6442203294042628E-3</c:v>
                </c:pt>
                <c:pt idx="86">
                  <c:v>2.2213075015359962E-2</c:v>
                </c:pt>
                <c:pt idx="87">
                  <c:v>2.6482753841915674E-2</c:v>
                </c:pt>
                <c:pt idx="88">
                  <c:v>1.0451583240975282E-2</c:v>
                </c:pt>
                <c:pt idx="89">
                  <c:v>3.9392547171761549E-3</c:v>
                </c:pt>
                <c:pt idx="90">
                  <c:v>-1.4886392613110644E-2</c:v>
                </c:pt>
                <c:pt idx="91">
                  <c:v>3.6878053924761511E-3</c:v>
                </c:pt>
                <c:pt idx="92">
                  <c:v>-1.7817265093896251E-2</c:v>
                </c:pt>
                <c:pt idx="93">
                  <c:v>-3.3202047965766868E-3</c:v>
                </c:pt>
                <c:pt idx="94">
                  <c:v>7.7562575152861912E-3</c:v>
                </c:pt>
                <c:pt idx="95">
                  <c:v>8.272326672889907E-3</c:v>
                </c:pt>
                <c:pt idx="96">
                  <c:v>-7.1646846231973038E-3</c:v>
                </c:pt>
                <c:pt idx="97">
                  <c:v>3.6852955649790964E-4</c:v>
                </c:pt>
                <c:pt idx="98">
                  <c:v>2.5049729450382863E-2</c:v>
                </c:pt>
                <c:pt idx="99">
                  <c:v>-5.7212720407026074E-3</c:v>
                </c:pt>
                <c:pt idx="100">
                  <c:v>-2.276170938190325E-3</c:v>
                </c:pt>
                <c:pt idx="101">
                  <c:v>1.1953516346862703E-2</c:v>
                </c:pt>
                <c:pt idx="102">
                  <c:v>2.7243167582907679E-3</c:v>
                </c:pt>
                <c:pt idx="103">
                  <c:v>-1.6746507605926997E-3</c:v>
                </c:pt>
                <c:pt idx="104">
                  <c:v>6.8004865866622133E-4</c:v>
                </c:pt>
                <c:pt idx="105">
                  <c:v>7.557544087490653E-3</c:v>
                </c:pt>
                <c:pt idx="106">
                  <c:v>-5.3030410361696312E-3</c:v>
                </c:pt>
                <c:pt idx="107">
                  <c:v>-2.1237530794391724E-2</c:v>
                </c:pt>
                <c:pt idx="108">
                  <c:v>1.5380549503253071E-2</c:v>
                </c:pt>
                <c:pt idx="109">
                  <c:v>9.6283497089586501E-3</c:v>
                </c:pt>
                <c:pt idx="110">
                  <c:v>7.8709500171874058E-3</c:v>
                </c:pt>
                <c:pt idx="111">
                  <c:v>1.0097076736605648E-2</c:v>
                </c:pt>
                <c:pt idx="112">
                  <c:v>7.7408248660342238E-3</c:v>
                </c:pt>
                <c:pt idx="113">
                  <c:v>-5.1083204207919009E-3</c:v>
                </c:pt>
                <c:pt idx="114">
                  <c:v>1.3549715607028112E-2</c:v>
                </c:pt>
                <c:pt idx="115">
                  <c:v>-2.5190775463909132E-2</c:v>
                </c:pt>
                <c:pt idx="116">
                  <c:v>4.577607022463015E-3</c:v>
                </c:pt>
                <c:pt idx="117">
                  <c:v>3.5862472976224691E-3</c:v>
                </c:pt>
                <c:pt idx="118">
                  <c:v>-9.9016174747221797E-3</c:v>
                </c:pt>
                <c:pt idx="119">
                  <c:v>-7.4083364338523028E-3</c:v>
                </c:pt>
                <c:pt idx="120">
                  <c:v>8.1408876800954655E-3</c:v>
                </c:pt>
                <c:pt idx="121">
                  <c:v>-1.6059835710369175E-3</c:v>
                </c:pt>
                <c:pt idx="122">
                  <c:v>2.6468260479057815E-3</c:v>
                </c:pt>
                <c:pt idx="123">
                  <c:v>-1.202417307292758E-3</c:v>
                </c:pt>
                <c:pt idx="124">
                  <c:v>1.6385401229359386E-2</c:v>
                </c:pt>
                <c:pt idx="125">
                  <c:v>3.2734879422279262E-3</c:v>
                </c:pt>
                <c:pt idx="126">
                  <c:v>4.729713118072354E-4</c:v>
                </c:pt>
                <c:pt idx="127">
                  <c:v>-3.4910590746559667E-3</c:v>
                </c:pt>
                <c:pt idx="128">
                  <c:v>-1.1898140196502704E-2</c:v>
                </c:pt>
                <c:pt idx="129">
                  <c:v>9.4942765106538207E-3</c:v>
                </c:pt>
                <c:pt idx="130">
                  <c:v>9.3110707919854541E-3</c:v>
                </c:pt>
                <c:pt idx="131">
                  <c:v>1.0004693433596223E-2</c:v>
                </c:pt>
                <c:pt idx="132">
                  <c:v>-1.022907857571409E-2</c:v>
                </c:pt>
                <c:pt idx="133">
                  <c:v>-2.3691482274112996E-3</c:v>
                </c:pt>
                <c:pt idx="134">
                  <c:v>4.3914805604758911E-3</c:v>
                </c:pt>
                <c:pt idx="135">
                  <c:v>-1.855378070814262E-3</c:v>
                </c:pt>
                <c:pt idx="136">
                  <c:v>1.3289372936413413E-2</c:v>
                </c:pt>
                <c:pt idx="137">
                  <c:v>8.5093508243051508E-3</c:v>
                </c:pt>
                <c:pt idx="138">
                  <c:v>7.594560817099083E-4</c:v>
                </c:pt>
                <c:pt idx="139">
                  <c:v>-2.1407623912885532E-2</c:v>
                </c:pt>
                <c:pt idx="140">
                  <c:v>1.3502526870856846E-2</c:v>
                </c:pt>
                <c:pt idx="141">
                  <c:v>1.2138872100787568E-2</c:v>
                </c:pt>
                <c:pt idx="142">
                  <c:v>-2.5635761048840022E-2</c:v>
                </c:pt>
                <c:pt idx="143">
                  <c:v>-3.2158461251523551E-2</c:v>
                </c:pt>
                <c:pt idx="144">
                  <c:v>-3.4063443163838691E-3</c:v>
                </c:pt>
                <c:pt idx="145">
                  <c:v>2.2236455278743961E-2</c:v>
                </c:pt>
                <c:pt idx="146">
                  <c:v>0.12941776882535372</c:v>
                </c:pt>
                <c:pt idx="147">
                  <c:v>-2.9569117939193257E-3</c:v>
                </c:pt>
                <c:pt idx="148">
                  <c:v>-6.1021954127622458E-3</c:v>
                </c:pt>
                <c:pt idx="149">
                  <c:v>-1.0792379084575088E-2</c:v>
                </c:pt>
                <c:pt idx="150">
                  <c:v>-7.2928368268199151E-4</c:v>
                </c:pt>
                <c:pt idx="151">
                  <c:v>2.0096576656853271E-2</c:v>
                </c:pt>
                <c:pt idx="152">
                  <c:v>1.6600231513027808E-2</c:v>
                </c:pt>
                <c:pt idx="153">
                  <c:v>-4.2990021724458316E-3</c:v>
                </c:pt>
                <c:pt idx="154">
                  <c:v>1.4449904376363731E-2</c:v>
                </c:pt>
                <c:pt idx="155">
                  <c:v>1.059198643215753E-2</c:v>
                </c:pt>
                <c:pt idx="156">
                  <c:v>6.8666809686290797E-4</c:v>
                </c:pt>
                <c:pt idx="157">
                  <c:v>-2.4317146193704176E-3</c:v>
                </c:pt>
                <c:pt idx="158">
                  <c:v>1.7542511185484333E-3</c:v>
                </c:pt>
                <c:pt idx="159">
                  <c:v>-5.7921282421945497E-3</c:v>
                </c:pt>
                <c:pt idx="160">
                  <c:v>1.0680665908349374E-2</c:v>
                </c:pt>
                <c:pt idx="161">
                  <c:v>1.4601437008295193E-2</c:v>
                </c:pt>
                <c:pt idx="162">
                  <c:v>1.2255135306606491E-2</c:v>
                </c:pt>
                <c:pt idx="163">
                  <c:v>-1.0046184439790329E-2</c:v>
                </c:pt>
                <c:pt idx="164">
                  <c:v>6.0814216532800724E-3</c:v>
                </c:pt>
                <c:pt idx="165">
                  <c:v>9.730093163907938E-3</c:v>
                </c:pt>
                <c:pt idx="166">
                  <c:v>9.174845414913646E-3</c:v>
                </c:pt>
                <c:pt idx="167">
                  <c:v>5.9304788705363265E-3</c:v>
                </c:pt>
                <c:pt idx="168">
                  <c:v>2.9953485170532979E-2</c:v>
                </c:pt>
                <c:pt idx="169">
                  <c:v>-1.7865161614220137E-2</c:v>
                </c:pt>
                <c:pt idx="170">
                  <c:v>2.6780740712503026E-2</c:v>
                </c:pt>
                <c:pt idx="171">
                  <c:v>8.666009065799285E-3</c:v>
                </c:pt>
                <c:pt idx="172">
                  <c:v>2.4509221471911813E-2</c:v>
                </c:pt>
                <c:pt idx="173">
                  <c:v>-1.315406825841936E-2</c:v>
                </c:pt>
                <c:pt idx="174">
                  <c:v>1.9483887754575324E-2</c:v>
                </c:pt>
                <c:pt idx="175">
                  <c:v>6.0463815185765046E-3</c:v>
                </c:pt>
                <c:pt idx="176">
                  <c:v>5.1282341603196002E-3</c:v>
                </c:pt>
                <c:pt idx="177">
                  <c:v>-9.8649806223934933E-3</c:v>
                </c:pt>
                <c:pt idx="178">
                  <c:v>-4.6906406411160173E-3</c:v>
                </c:pt>
                <c:pt idx="179">
                  <c:v>-2.8638897662002782E-2</c:v>
                </c:pt>
                <c:pt idx="180">
                  <c:v>-1.1233285518169378E-2</c:v>
                </c:pt>
                <c:pt idx="181">
                  <c:v>2.4571726362353496E-3</c:v>
                </c:pt>
                <c:pt idx="182">
                  <c:v>1.9919064002126285E-2</c:v>
                </c:pt>
                <c:pt idx="183">
                  <c:v>2.4123530516354075E-2</c:v>
                </c:pt>
                <c:pt idx="184">
                  <c:v>2.5823631535017988E-3</c:v>
                </c:pt>
                <c:pt idx="185">
                  <c:v>1.8221133322507299E-2</c:v>
                </c:pt>
                <c:pt idx="186">
                  <c:v>5.0134143206870263E-3</c:v>
                </c:pt>
                <c:pt idx="187">
                  <c:v>1.3415094305642139E-3</c:v>
                </c:pt>
                <c:pt idx="188">
                  <c:v>-7.3304606809359019E-3</c:v>
                </c:pt>
                <c:pt idx="189">
                  <c:v>3.1681182116671813E-4</c:v>
                </c:pt>
                <c:pt idx="190">
                  <c:v>-6.0123590092443502E-3</c:v>
                </c:pt>
                <c:pt idx="191">
                  <c:v>-2.4169810884315801E-2</c:v>
                </c:pt>
                <c:pt idx="192">
                  <c:v>-2.113378843016922E-2</c:v>
                </c:pt>
                <c:pt idx="193">
                  <c:v>-1.3887669299348149E-2</c:v>
                </c:pt>
                <c:pt idx="194">
                  <c:v>4.617409538108963E-3</c:v>
                </c:pt>
                <c:pt idx="195">
                  <c:v>-1.8261635756036787E-2</c:v>
                </c:pt>
                <c:pt idx="196">
                  <c:v>1.3796794023470449E-2</c:v>
                </c:pt>
                <c:pt idx="197">
                  <c:v>1.1325266459291217E-2</c:v>
                </c:pt>
                <c:pt idx="198">
                  <c:v>3.0398403693272513E-3</c:v>
                </c:pt>
                <c:pt idx="199">
                  <c:v>-1.2329976966058531E-2</c:v>
                </c:pt>
                <c:pt idx="200">
                  <c:v>2.1227950199940282E-2</c:v>
                </c:pt>
                <c:pt idx="201">
                  <c:v>-1.4172706293035242E-3</c:v>
                </c:pt>
                <c:pt idx="202">
                  <c:v>1.8797317165548888E-2</c:v>
                </c:pt>
                <c:pt idx="203">
                  <c:v>9.7089599824419226E-3</c:v>
                </c:pt>
                <c:pt idx="204">
                  <c:v>-7.304890853277568E-3</c:v>
                </c:pt>
                <c:pt idx="205">
                  <c:v>-4.2496380901142494E-3</c:v>
                </c:pt>
                <c:pt idx="206">
                  <c:v>-1.5230773088982796E-2</c:v>
                </c:pt>
                <c:pt idx="207">
                  <c:v>8.0001409307874916E-3</c:v>
                </c:pt>
                <c:pt idx="208">
                  <c:v>2.3890605340775029E-3</c:v>
                </c:pt>
                <c:pt idx="209">
                  <c:v>2.0770017643198413E-2</c:v>
                </c:pt>
                <c:pt idx="210">
                  <c:v>8.3229394549766411E-4</c:v>
                </c:pt>
                <c:pt idx="211">
                  <c:v>-0.12262371517901405</c:v>
                </c:pt>
                <c:pt idx="212">
                  <c:v>3.5660666916737971E-2</c:v>
                </c:pt>
                <c:pt idx="213">
                  <c:v>-8.0307913871675574E-3</c:v>
                </c:pt>
                <c:pt idx="214">
                  <c:v>1.5196563140247976E-2</c:v>
                </c:pt>
                <c:pt idx="215">
                  <c:v>5.9085295027332396E-3</c:v>
                </c:pt>
                <c:pt idx="216">
                  <c:v>-2.4353425395357453E-2</c:v>
                </c:pt>
                <c:pt idx="217">
                  <c:v>1.4568238214402007E-2</c:v>
                </c:pt>
                <c:pt idx="218">
                  <c:v>-3.5259048864428877E-3</c:v>
                </c:pt>
                <c:pt idx="219">
                  <c:v>7.0491986694232178E-3</c:v>
                </c:pt>
                <c:pt idx="220">
                  <c:v>-2.5229835016964408E-2</c:v>
                </c:pt>
                <c:pt idx="221">
                  <c:v>1.1159300849746034E-2</c:v>
                </c:pt>
                <c:pt idx="222">
                  <c:v>-4.6925760236790959E-2</c:v>
                </c:pt>
                <c:pt idx="223">
                  <c:v>6.1073829099294041E-3</c:v>
                </c:pt>
                <c:pt idx="224">
                  <c:v>1.3193672344933516E-2</c:v>
                </c:pt>
                <c:pt idx="225">
                  <c:v>-3.6904479161421477E-3</c:v>
                </c:pt>
                <c:pt idx="226">
                  <c:v>2.1788386630531065E-2</c:v>
                </c:pt>
                <c:pt idx="227">
                  <c:v>-2.0963148608734716E-3</c:v>
                </c:pt>
                <c:pt idx="228">
                  <c:v>1.0393914520149261E-2</c:v>
                </c:pt>
                <c:pt idx="229">
                  <c:v>7.7071199803439017E-3</c:v>
                </c:pt>
                <c:pt idx="230">
                  <c:v>-8.7122750531120063E-3</c:v>
                </c:pt>
                <c:pt idx="231">
                  <c:v>2.0613937380908887E-3</c:v>
                </c:pt>
                <c:pt idx="232">
                  <c:v>1.5007683242611147E-2</c:v>
                </c:pt>
                <c:pt idx="233">
                  <c:v>2.3906032362825513E-2</c:v>
                </c:pt>
                <c:pt idx="234">
                  <c:v>-2.0301168180973828E-2</c:v>
                </c:pt>
                <c:pt idx="235">
                  <c:v>3.5793796456753624E-2</c:v>
                </c:pt>
                <c:pt idx="236">
                  <c:v>-5.091592304505177E-3</c:v>
                </c:pt>
                <c:pt idx="237">
                  <c:v>6.2111653260599198E-4</c:v>
                </c:pt>
                <c:pt idx="238">
                  <c:v>-5.1019539042165274E-3</c:v>
                </c:pt>
                <c:pt idx="239">
                  <c:v>1.1094224225880467E-3</c:v>
                </c:pt>
                <c:pt idx="240">
                  <c:v>-4.1343152089295843E-2</c:v>
                </c:pt>
                <c:pt idx="241">
                  <c:v>2.2348461569983158E-2</c:v>
                </c:pt>
                <c:pt idx="242">
                  <c:v>2.0967134694912959E-2</c:v>
                </c:pt>
                <c:pt idx="243">
                  <c:v>1.4193874257587002E-2</c:v>
                </c:pt>
                <c:pt idx="244">
                  <c:v>-2.7744759445211487E-2</c:v>
                </c:pt>
                <c:pt idx="245">
                  <c:v>1.7105413892538834E-2</c:v>
                </c:pt>
                <c:pt idx="246">
                  <c:v>-1.1653024952031243E-2</c:v>
                </c:pt>
                <c:pt idx="247">
                  <c:v>2.270809772015947E-2</c:v>
                </c:pt>
                <c:pt idx="248">
                  <c:v>-1.4748086897760082E-3</c:v>
                </c:pt>
                <c:pt idx="249">
                  <c:v>-6.4294121276848859E-3</c:v>
                </c:pt>
                <c:pt idx="250">
                  <c:v>-1.5269689717565704E-2</c:v>
                </c:pt>
                <c:pt idx="251">
                  <c:v>8.8020498755780885E-5</c:v>
                </c:pt>
                <c:pt idx="252">
                  <c:v>-5.2369930250693475E-2</c:v>
                </c:pt>
                <c:pt idx="253">
                  <c:v>3.4970915811623593E-2</c:v>
                </c:pt>
                <c:pt idx="254">
                  <c:v>1.0054406179480946E-2</c:v>
                </c:pt>
                <c:pt idx="255">
                  <c:v>1.2672585000669701E-2</c:v>
                </c:pt>
                <c:pt idx="256">
                  <c:v>-2.3880675439809096E-3</c:v>
                </c:pt>
                <c:pt idx="257">
                  <c:v>2.9079852898646896E-3</c:v>
                </c:pt>
                <c:pt idx="258">
                  <c:v>-4.3806366704873811E-3</c:v>
                </c:pt>
                <c:pt idx="259">
                  <c:v>1.5724447969834188E-2</c:v>
                </c:pt>
                <c:pt idx="260">
                  <c:v>-3.2230805855228972E-2</c:v>
                </c:pt>
                <c:pt idx="261">
                  <c:v>-2.7896691898214865E-3</c:v>
                </c:pt>
                <c:pt idx="262">
                  <c:v>-3.9865680238552748E-2</c:v>
                </c:pt>
                <c:pt idx="263">
                  <c:v>9.903470457907626E-3</c:v>
                </c:pt>
                <c:pt idx="264">
                  <c:v>2.2565027954741801E-2</c:v>
                </c:pt>
                <c:pt idx="265">
                  <c:v>7.7616778994220592E-3</c:v>
                </c:pt>
                <c:pt idx="266">
                  <c:v>1.8330723731885268E-3</c:v>
                </c:pt>
                <c:pt idx="267">
                  <c:v>1.2817660481194038E-2</c:v>
                </c:pt>
                <c:pt idx="268">
                  <c:v>1.1813692423203737E-3</c:v>
                </c:pt>
                <c:pt idx="269">
                  <c:v>4.6118086944617609E-3</c:v>
                </c:pt>
                <c:pt idx="270">
                  <c:v>5.024938501315912E-3</c:v>
                </c:pt>
                <c:pt idx="271">
                  <c:v>3.2883745822421817E-2</c:v>
                </c:pt>
                <c:pt idx="272">
                  <c:v>4.1974634378780795E-3</c:v>
                </c:pt>
                <c:pt idx="273">
                  <c:v>1.5412092466894567E-2</c:v>
                </c:pt>
                <c:pt idx="274">
                  <c:v>-5.5290226647796148E-3</c:v>
                </c:pt>
                <c:pt idx="275">
                  <c:v>-1.1114118999055234E-2</c:v>
                </c:pt>
                <c:pt idx="276">
                  <c:v>1.9565899946732301E-2</c:v>
                </c:pt>
                <c:pt idx="277">
                  <c:v>6.9404384788775975E-3</c:v>
                </c:pt>
                <c:pt idx="278">
                  <c:v>3.0242198204775139E-3</c:v>
                </c:pt>
                <c:pt idx="279">
                  <c:v>-9.3176638271708079E-3</c:v>
                </c:pt>
                <c:pt idx="280">
                  <c:v>8.4570264986345567E-3</c:v>
                </c:pt>
                <c:pt idx="281">
                  <c:v>-7.082644934307214E-3</c:v>
                </c:pt>
                <c:pt idx="282">
                  <c:v>7.9446978405495194E-3</c:v>
                </c:pt>
                <c:pt idx="283">
                  <c:v>-1.0220121587665165E-3</c:v>
                </c:pt>
                <c:pt idx="284">
                  <c:v>1.1312787466583818E-2</c:v>
                </c:pt>
                <c:pt idx="285">
                  <c:v>1.8129243839862585E-2</c:v>
                </c:pt>
                <c:pt idx="286">
                  <c:v>-4.6518437752762765E-4</c:v>
                </c:pt>
                <c:pt idx="287">
                  <c:v>-2.3588850319378185E-4</c:v>
                </c:pt>
                <c:pt idx="288">
                  <c:v>9.8870200496010696E-3</c:v>
                </c:pt>
                <c:pt idx="289">
                  <c:v>-9.7184755684194268E-3</c:v>
                </c:pt>
                <c:pt idx="290">
                  <c:v>-6.7267870617839787E-3</c:v>
                </c:pt>
                <c:pt idx="291">
                  <c:v>-3.343495547282771E-2</c:v>
                </c:pt>
                <c:pt idx="292">
                  <c:v>-2.2263295767033231E-3</c:v>
                </c:pt>
                <c:pt idx="293">
                  <c:v>6.8689307925196008E-4</c:v>
                </c:pt>
                <c:pt idx="294">
                  <c:v>6.1861233814876071E-3</c:v>
                </c:pt>
                <c:pt idx="295">
                  <c:v>-2.014991246623421E-2</c:v>
                </c:pt>
                <c:pt idx="296">
                  <c:v>3.1914930413594611E-3</c:v>
                </c:pt>
                <c:pt idx="297">
                  <c:v>-6.300153954810761E-3</c:v>
                </c:pt>
                <c:pt idx="298">
                  <c:v>8.3910131788385023E-3</c:v>
                </c:pt>
                <c:pt idx="299">
                  <c:v>1.0241605148116784E-2</c:v>
                </c:pt>
                <c:pt idx="300">
                  <c:v>-2.0824050058298127E-2</c:v>
                </c:pt>
                <c:pt idx="301">
                  <c:v>1.1638028203749595E-2</c:v>
                </c:pt>
                <c:pt idx="302">
                  <c:v>8.357000737749587E-3</c:v>
                </c:pt>
                <c:pt idx="303">
                  <c:v>2.631931363272999E-3</c:v>
                </c:pt>
                <c:pt idx="304">
                  <c:v>1.7311155611557938E-2</c:v>
                </c:pt>
                <c:pt idx="305">
                  <c:v>-1.0180507090095103E-2</c:v>
                </c:pt>
                <c:pt idx="306">
                  <c:v>-1.3243465923965525E-3</c:v>
                </c:pt>
                <c:pt idx="307">
                  <c:v>-9.1848258282979378E-3</c:v>
                </c:pt>
                <c:pt idx="308">
                  <c:v>-2.9219758471630497E-2</c:v>
                </c:pt>
                <c:pt idx="309">
                  <c:v>2.9804767044632197E-3</c:v>
                </c:pt>
                <c:pt idx="310">
                  <c:v>1.1829133062805974E-2</c:v>
                </c:pt>
                <c:pt idx="311">
                  <c:v>2.0015211421888779E-3</c:v>
                </c:pt>
                <c:pt idx="312">
                  <c:v>2.2845025253723783E-3</c:v>
                </c:pt>
                <c:pt idx="313">
                  <c:v>1.5750939171890188E-2</c:v>
                </c:pt>
                <c:pt idx="314">
                  <c:v>-4.5127637674873045E-2</c:v>
                </c:pt>
                <c:pt idx="315">
                  <c:v>1.3611937747577407E-3</c:v>
                </c:pt>
                <c:pt idx="316">
                  <c:v>2.1508248888176817E-2</c:v>
                </c:pt>
                <c:pt idx="317">
                  <c:v>1.9896389222679778E-2</c:v>
                </c:pt>
                <c:pt idx="318">
                  <c:v>1.9508588138704486E-2</c:v>
                </c:pt>
                <c:pt idx="319">
                  <c:v>2.7890718949846738E-3</c:v>
                </c:pt>
                <c:pt idx="320">
                  <c:v>2.9156234375613765E-2</c:v>
                </c:pt>
                <c:pt idx="321">
                  <c:v>2.809453450025523E-2</c:v>
                </c:pt>
                <c:pt idx="322">
                  <c:v>-1.5324028131845302E-2</c:v>
                </c:pt>
                <c:pt idx="323">
                  <c:v>-1.7344038665884076E-2</c:v>
                </c:pt>
                <c:pt idx="324">
                  <c:v>-1.4213263282395583E-2</c:v>
                </c:pt>
                <c:pt idx="325">
                  <c:v>3.2280955724945937E-3</c:v>
                </c:pt>
                <c:pt idx="326">
                  <c:v>-8.5818506324302213E-3</c:v>
                </c:pt>
                <c:pt idx="327">
                  <c:v>5.2513201199426707E-3</c:v>
                </c:pt>
                <c:pt idx="328">
                  <c:v>4.87936678502221E-3</c:v>
                </c:pt>
                <c:pt idx="329">
                  <c:v>-2.1225938345021955E-3</c:v>
                </c:pt>
                <c:pt idx="330">
                  <c:v>-1.7890200243222409E-3</c:v>
                </c:pt>
                <c:pt idx="331">
                  <c:v>1.2334905165022891E-2</c:v>
                </c:pt>
                <c:pt idx="332">
                  <c:v>-1.0726271798823572E-2</c:v>
                </c:pt>
                <c:pt idx="333">
                  <c:v>-2.5365470279212765E-3</c:v>
                </c:pt>
                <c:pt idx="334">
                  <c:v>-7.6480126942246596E-2</c:v>
                </c:pt>
                <c:pt idx="335">
                  <c:v>-6.0650509864882407E-3</c:v>
                </c:pt>
                <c:pt idx="336">
                  <c:v>-1.8356894471730056E-2</c:v>
                </c:pt>
                <c:pt idx="337">
                  <c:v>9.7692920174063946E-4</c:v>
                </c:pt>
                <c:pt idx="338">
                  <c:v>6.0799993422090415E-3</c:v>
                </c:pt>
                <c:pt idx="339">
                  <c:v>1.2520846378732742E-2</c:v>
                </c:pt>
                <c:pt idx="340">
                  <c:v>-7.0399349736791628E-3</c:v>
                </c:pt>
                <c:pt idx="341">
                  <c:v>1.0073669938380325E-2</c:v>
                </c:pt>
                <c:pt idx="342">
                  <c:v>-1.3180939340794895E-2</c:v>
                </c:pt>
                <c:pt idx="343">
                  <c:v>1.7317257825203658E-2</c:v>
                </c:pt>
                <c:pt idx="344">
                  <c:v>2.9048163559167728E-3</c:v>
                </c:pt>
                <c:pt idx="345">
                  <c:v>-7.994257118971726E-4</c:v>
                </c:pt>
                <c:pt idx="346">
                  <c:v>4.0538436959736135E-3</c:v>
                </c:pt>
                <c:pt idx="347">
                  <c:v>-2.7873333043677562E-3</c:v>
                </c:pt>
                <c:pt idx="348">
                  <c:v>-3.8726314454345045E-2</c:v>
                </c:pt>
                <c:pt idx="349">
                  <c:v>2.0818118013399278E-3</c:v>
                </c:pt>
                <c:pt idx="350">
                  <c:v>-2.5480442584421281E-3</c:v>
                </c:pt>
                <c:pt idx="351">
                  <c:v>-1.0491910314136765E-2</c:v>
                </c:pt>
                <c:pt idx="352">
                  <c:v>3.292367312583977E-4</c:v>
                </c:pt>
                <c:pt idx="353">
                  <c:v>-3.180344106022559E-2</c:v>
                </c:pt>
                <c:pt idx="354">
                  <c:v>-2.292725032744769E-2</c:v>
                </c:pt>
                <c:pt idx="355">
                  <c:v>1.4018837458273481E-2</c:v>
                </c:pt>
                <c:pt idx="356">
                  <c:v>2.9584208805237822E-3</c:v>
                </c:pt>
                <c:pt idx="357">
                  <c:v>7.2564727051482869E-4</c:v>
                </c:pt>
                <c:pt idx="358">
                  <c:v>-1.3491962359002851E-2</c:v>
                </c:pt>
                <c:pt idx="359">
                  <c:v>1.1786584435014014E-3</c:v>
                </c:pt>
                <c:pt idx="360">
                  <c:v>1.7484328996425491E-2</c:v>
                </c:pt>
                <c:pt idx="361">
                  <c:v>1.7108781288545538E-2</c:v>
                </c:pt>
                <c:pt idx="362">
                  <c:v>-1.0634585845149758E-2</c:v>
                </c:pt>
                <c:pt idx="363">
                  <c:v>-6.5839262897107176E-3</c:v>
                </c:pt>
                <c:pt idx="364">
                  <c:v>-2.1788430050712293E-2</c:v>
                </c:pt>
                <c:pt idx="365">
                  <c:v>-8.2410115091620106E-3</c:v>
                </c:pt>
                <c:pt idx="366">
                  <c:v>2.2613677373248597E-2</c:v>
                </c:pt>
                <c:pt idx="367">
                  <c:v>-8.2751251002257664E-3</c:v>
                </c:pt>
                <c:pt idx="368">
                  <c:v>-8.0895759284164148E-3</c:v>
                </c:pt>
                <c:pt idx="369">
                  <c:v>-5.7086352591695366E-4</c:v>
                </c:pt>
                <c:pt idx="370">
                  <c:v>2.3216297845838341E-3</c:v>
                </c:pt>
                <c:pt idx="371">
                  <c:v>1.873081965064749E-3</c:v>
                </c:pt>
                <c:pt idx="372">
                  <c:v>1.2627654673082134E-2</c:v>
                </c:pt>
                <c:pt idx="373">
                  <c:v>-3.7871898765349243E-3</c:v>
                </c:pt>
                <c:pt idx="374">
                  <c:v>-5.9210763720107806E-3</c:v>
                </c:pt>
                <c:pt idx="375">
                  <c:v>9.7026834819355923E-3</c:v>
                </c:pt>
                <c:pt idx="376">
                  <c:v>1.8060847380798606E-3</c:v>
                </c:pt>
                <c:pt idx="377">
                  <c:v>1.6672218545454864E-3</c:v>
                </c:pt>
                <c:pt idx="378">
                  <c:v>3.4593598503405154E-3</c:v>
                </c:pt>
                <c:pt idx="379">
                  <c:v>2.0108591285725064E-2</c:v>
                </c:pt>
                <c:pt idx="380">
                  <c:v>-1.2605066634723272E-3</c:v>
                </c:pt>
                <c:pt idx="381">
                  <c:v>3.7928892763686717E-2</c:v>
                </c:pt>
                <c:pt idx="382">
                  <c:v>1.8638818102125754E-3</c:v>
                </c:pt>
                <c:pt idx="383">
                  <c:v>1.9552249939160937E-3</c:v>
                </c:pt>
                <c:pt idx="384">
                  <c:v>1.3450783795589949E-3</c:v>
                </c:pt>
                <c:pt idx="385">
                  <c:v>2.5569351214253078E-2</c:v>
                </c:pt>
                <c:pt idx="386">
                  <c:v>-3.8467910184013521E-3</c:v>
                </c:pt>
                <c:pt idx="387">
                  <c:v>1.7928270289571335E-2</c:v>
                </c:pt>
                <c:pt idx="388">
                  <c:v>-4.9016807227855175E-3</c:v>
                </c:pt>
                <c:pt idx="389">
                  <c:v>-5.0753240006955469E-3</c:v>
                </c:pt>
                <c:pt idx="390">
                  <c:v>-2.0252093799082882E-2</c:v>
                </c:pt>
                <c:pt idx="391">
                  <c:v>-4.3526158392047654E-3</c:v>
                </c:pt>
                <c:pt idx="392">
                  <c:v>-1.0892622296888366E-2</c:v>
                </c:pt>
                <c:pt idx="393">
                  <c:v>-2.3689052474228367E-2</c:v>
                </c:pt>
                <c:pt idx="394">
                  <c:v>-3.8901904548804822E-3</c:v>
                </c:pt>
                <c:pt idx="395">
                  <c:v>-1.3969101102753623E-2</c:v>
                </c:pt>
                <c:pt idx="396">
                  <c:v>-8.197764282882769E-3</c:v>
                </c:pt>
                <c:pt idx="397">
                  <c:v>0.10216273460784464</c:v>
                </c:pt>
                <c:pt idx="398">
                  <c:v>-2.5577617708952949E-2</c:v>
                </c:pt>
                <c:pt idx="399">
                  <c:v>9.6141499015089948E-4</c:v>
                </c:pt>
                <c:pt idx="400">
                  <c:v>-1.1085428974778377E-2</c:v>
                </c:pt>
                <c:pt idx="401">
                  <c:v>1.3297322082495233E-2</c:v>
                </c:pt>
                <c:pt idx="402">
                  <c:v>-2.4363534338878168E-6</c:v>
                </c:pt>
                <c:pt idx="403">
                  <c:v>-4.0144414193881151E-3</c:v>
                </c:pt>
                <c:pt idx="404">
                  <c:v>1.4763007946594353E-3</c:v>
                </c:pt>
                <c:pt idx="405">
                  <c:v>-7.89541414250583E-3</c:v>
                </c:pt>
                <c:pt idx="406">
                  <c:v>-6.616322398176222E-3</c:v>
                </c:pt>
                <c:pt idx="407">
                  <c:v>-9.6659662238149924E-3</c:v>
                </c:pt>
                <c:pt idx="408">
                  <c:v>-7.3294801955221534E-3</c:v>
                </c:pt>
                <c:pt idx="409">
                  <c:v>-1.1579948848527422E-2</c:v>
                </c:pt>
                <c:pt idx="410">
                  <c:v>1.9854828463718999E-2</c:v>
                </c:pt>
                <c:pt idx="411">
                  <c:v>9.0956950648302115E-4</c:v>
                </c:pt>
                <c:pt idx="412">
                  <c:v>1.2859361401036717E-2</c:v>
                </c:pt>
                <c:pt idx="413">
                  <c:v>-3.4469044502603019E-3</c:v>
                </c:pt>
                <c:pt idx="414">
                  <c:v>8.319129906042555E-5</c:v>
                </c:pt>
                <c:pt idx="415">
                  <c:v>-4.1048831771798966E-2</c:v>
                </c:pt>
                <c:pt idx="416">
                  <c:v>-1.3287637461763202E-2</c:v>
                </c:pt>
                <c:pt idx="417">
                  <c:v>1.6836992864037836E-2</c:v>
                </c:pt>
                <c:pt idx="418">
                  <c:v>-3.3822372723751881E-3</c:v>
                </c:pt>
                <c:pt idx="419">
                  <c:v>-1.0610198262068771E-2</c:v>
                </c:pt>
                <c:pt idx="420">
                  <c:v>1.0197727111811439E-2</c:v>
                </c:pt>
                <c:pt idx="421">
                  <c:v>-1.9120561810028747E-3</c:v>
                </c:pt>
                <c:pt idx="422">
                  <c:v>-1.1679131207705029E-2</c:v>
                </c:pt>
                <c:pt idx="423">
                  <c:v>2.9368633161872548E-3</c:v>
                </c:pt>
                <c:pt idx="424">
                  <c:v>-2.4989098859735659E-3</c:v>
                </c:pt>
                <c:pt idx="425">
                  <c:v>-2.1569117973008756E-2</c:v>
                </c:pt>
                <c:pt idx="426">
                  <c:v>-1.1503122391021137E-3</c:v>
                </c:pt>
                <c:pt idx="427">
                  <c:v>2.2805501000386696E-2</c:v>
                </c:pt>
                <c:pt idx="428">
                  <c:v>-6.7449135279872285E-3</c:v>
                </c:pt>
                <c:pt idx="429">
                  <c:v>-6.2459776326792005E-3</c:v>
                </c:pt>
                <c:pt idx="430">
                  <c:v>-6.3769333880706602E-3</c:v>
                </c:pt>
                <c:pt idx="431">
                  <c:v>5.5462141211540805E-3</c:v>
                </c:pt>
                <c:pt idx="432">
                  <c:v>1.3808130506261285E-2</c:v>
                </c:pt>
                <c:pt idx="433">
                  <c:v>1.490016351543999E-2</c:v>
                </c:pt>
                <c:pt idx="434">
                  <c:v>-1.0350966463215316E-2</c:v>
                </c:pt>
                <c:pt idx="435">
                  <c:v>3.6092185694724943E-4</c:v>
                </c:pt>
                <c:pt idx="436">
                  <c:v>-2.2141698266508691E-2</c:v>
                </c:pt>
                <c:pt idx="437">
                  <c:v>-4.3575533330098004E-4</c:v>
                </c:pt>
                <c:pt idx="438">
                  <c:v>1.5111377698938777E-2</c:v>
                </c:pt>
                <c:pt idx="439">
                  <c:v>-2.5630776446194936E-3</c:v>
                </c:pt>
                <c:pt idx="440">
                  <c:v>1.1560043577206747E-2</c:v>
                </c:pt>
                <c:pt idx="441">
                  <c:v>-1.2448849549220986E-2</c:v>
                </c:pt>
                <c:pt idx="442">
                  <c:v>7.4092819812813238E-3</c:v>
                </c:pt>
                <c:pt idx="443">
                  <c:v>-2.3659427715361225E-3</c:v>
                </c:pt>
                <c:pt idx="444">
                  <c:v>1.0217410486213829E-2</c:v>
                </c:pt>
                <c:pt idx="445">
                  <c:v>-9.6747301579330758E-3</c:v>
                </c:pt>
                <c:pt idx="446">
                  <c:v>6.7382896639613943E-3</c:v>
                </c:pt>
                <c:pt idx="447">
                  <c:v>2.9362821236083025E-3</c:v>
                </c:pt>
                <c:pt idx="448">
                  <c:v>-2.037544400498692E-2</c:v>
                </c:pt>
                <c:pt idx="449">
                  <c:v>-8.5555803599337565E-3</c:v>
                </c:pt>
                <c:pt idx="450">
                  <c:v>1.0637269482124845E-2</c:v>
                </c:pt>
                <c:pt idx="451">
                  <c:v>-2.1528753070060191E-2</c:v>
                </c:pt>
                <c:pt idx="452">
                  <c:v>-1.2736958933574849E-2</c:v>
                </c:pt>
                <c:pt idx="453">
                  <c:v>1.7153141326666121E-2</c:v>
                </c:pt>
                <c:pt idx="454">
                  <c:v>1.1328546108060777E-2</c:v>
                </c:pt>
                <c:pt idx="455">
                  <c:v>2.9021350789149691E-2</c:v>
                </c:pt>
                <c:pt idx="456">
                  <c:v>-1.2931185930696532E-2</c:v>
                </c:pt>
                <c:pt idx="457">
                  <c:v>-1.2165596948031099E-2</c:v>
                </c:pt>
                <c:pt idx="458">
                  <c:v>1.1380804566912595E-2</c:v>
                </c:pt>
                <c:pt idx="459">
                  <c:v>1.9880008269866023E-2</c:v>
                </c:pt>
                <c:pt idx="460">
                  <c:v>-1.1430473663319618E-2</c:v>
                </c:pt>
                <c:pt idx="461">
                  <c:v>9.3735378495584776E-2</c:v>
                </c:pt>
                <c:pt idx="462">
                  <c:v>1.3946976359960228E-2</c:v>
                </c:pt>
                <c:pt idx="463">
                  <c:v>-2.8961431066252263E-3</c:v>
                </c:pt>
                <c:pt idx="464">
                  <c:v>1.8892365322310645E-2</c:v>
                </c:pt>
                <c:pt idx="465">
                  <c:v>8.543967151590337E-3</c:v>
                </c:pt>
                <c:pt idx="466">
                  <c:v>1.7039283807778194E-2</c:v>
                </c:pt>
                <c:pt idx="467">
                  <c:v>-1.6083383652186756E-3</c:v>
                </c:pt>
                <c:pt idx="468">
                  <c:v>3.9528532261276617E-2</c:v>
                </c:pt>
                <c:pt idx="469">
                  <c:v>-2.730070128772133E-3</c:v>
                </c:pt>
                <c:pt idx="470">
                  <c:v>4.8780336699200122E-3</c:v>
                </c:pt>
                <c:pt idx="471">
                  <c:v>6.893177674084594E-3</c:v>
                </c:pt>
                <c:pt idx="472">
                  <c:v>2.1584444023151406E-2</c:v>
                </c:pt>
                <c:pt idx="473">
                  <c:v>9.4217838227708128E-3</c:v>
                </c:pt>
                <c:pt idx="474">
                  <c:v>-1.9810175464662683E-2</c:v>
                </c:pt>
                <c:pt idx="475">
                  <c:v>7.9703144843642493E-3</c:v>
                </c:pt>
                <c:pt idx="476">
                  <c:v>6.0613151929409526E-3</c:v>
                </c:pt>
                <c:pt idx="477">
                  <c:v>-4.0545937113334318E-4</c:v>
                </c:pt>
                <c:pt idx="478">
                  <c:v>-9.1120649943114973E-3</c:v>
                </c:pt>
                <c:pt idx="479">
                  <c:v>1.6197849144756749E-3</c:v>
                </c:pt>
                <c:pt idx="480">
                  <c:v>3.4212802605966264E-3</c:v>
                </c:pt>
                <c:pt idx="481">
                  <c:v>-7.2236408245163197E-5</c:v>
                </c:pt>
                <c:pt idx="482">
                  <c:v>4.3717094384086996E-3</c:v>
                </c:pt>
                <c:pt idx="483">
                  <c:v>-7.6179854813593906E-3</c:v>
                </c:pt>
                <c:pt idx="484">
                  <c:v>1.2467632354429492E-2</c:v>
                </c:pt>
                <c:pt idx="485">
                  <c:v>-2.2596570313324849E-2</c:v>
                </c:pt>
                <c:pt idx="486">
                  <c:v>6.518453970483451E-3</c:v>
                </c:pt>
                <c:pt idx="487">
                  <c:v>-2.2334893365445474E-3</c:v>
                </c:pt>
                <c:pt idx="488">
                  <c:v>1.3024993030334997E-3</c:v>
                </c:pt>
                <c:pt idx="489">
                  <c:v>-4.8144451853215919E-3</c:v>
                </c:pt>
                <c:pt idx="490">
                  <c:v>9.8631165268658894E-3</c:v>
                </c:pt>
                <c:pt idx="491">
                  <c:v>6.0614272367005562E-3</c:v>
                </c:pt>
                <c:pt idx="492">
                  <c:v>-9.3349303251218929E-3</c:v>
                </c:pt>
                <c:pt idx="493">
                  <c:v>1.5018409440364033E-2</c:v>
                </c:pt>
                <c:pt idx="494">
                  <c:v>7.4288614531916597E-3</c:v>
                </c:pt>
                <c:pt idx="495">
                  <c:v>-2.8075632308365961E-2</c:v>
                </c:pt>
                <c:pt idx="496">
                  <c:v>6.0991673599721796E-3</c:v>
                </c:pt>
                <c:pt idx="497">
                  <c:v>-1.1791190565006993E-3</c:v>
                </c:pt>
                <c:pt idx="498">
                  <c:v>-3.4959581337508094E-3</c:v>
                </c:pt>
                <c:pt idx="499">
                  <c:v>-5.5508171583039667E-3</c:v>
                </c:pt>
                <c:pt idx="500">
                  <c:v>2.0783570878716295E-3</c:v>
                </c:pt>
                <c:pt idx="501">
                  <c:v>-4.7509832660117546E-3</c:v>
                </c:pt>
                <c:pt idx="502">
                  <c:v>1.4022693692803179E-2</c:v>
                </c:pt>
                <c:pt idx="503">
                  <c:v>2.1804851779103407E-2</c:v>
                </c:pt>
                <c:pt idx="504">
                  <c:v>1.4832495929635314E-3</c:v>
                </c:pt>
                <c:pt idx="505">
                  <c:v>-6.6357178655374049E-4</c:v>
                </c:pt>
                <c:pt idx="506">
                  <c:v>9.2193895901524492E-3</c:v>
                </c:pt>
                <c:pt idx="507">
                  <c:v>-1.0006549126972963E-3</c:v>
                </c:pt>
                <c:pt idx="508">
                  <c:v>1.2719787421660023E-3</c:v>
                </c:pt>
                <c:pt idx="509">
                  <c:v>1.0373814981882834E-2</c:v>
                </c:pt>
                <c:pt idx="510">
                  <c:v>2.6940104538873966E-3</c:v>
                </c:pt>
                <c:pt idx="511">
                  <c:v>2.0306234482783125E-3</c:v>
                </c:pt>
                <c:pt idx="512">
                  <c:v>6.7974417651477381E-3</c:v>
                </c:pt>
                <c:pt idx="513">
                  <c:v>-1.6834889025642785E-2</c:v>
                </c:pt>
                <c:pt idx="514">
                  <c:v>3.2078205131821358E-3</c:v>
                </c:pt>
                <c:pt idx="515">
                  <c:v>-1.0790831639284626E-4</c:v>
                </c:pt>
                <c:pt idx="516">
                  <c:v>8.8727694973593785E-3</c:v>
                </c:pt>
                <c:pt idx="517">
                  <c:v>2.4325460066088045E-4</c:v>
                </c:pt>
                <c:pt idx="518">
                  <c:v>-1.1320484688425836E-2</c:v>
                </c:pt>
                <c:pt idx="519">
                  <c:v>1.2913410062927788E-2</c:v>
                </c:pt>
                <c:pt idx="520">
                  <c:v>-2.8882708781242661E-3</c:v>
                </c:pt>
                <c:pt idx="521">
                  <c:v>6.4762567183425102E-3</c:v>
                </c:pt>
                <c:pt idx="522">
                  <c:v>-9.1846373841827367E-3</c:v>
                </c:pt>
                <c:pt idx="523">
                  <c:v>-3.5868113387800271E-3</c:v>
                </c:pt>
                <c:pt idx="524">
                  <c:v>9.8366686792283886E-3</c:v>
                </c:pt>
                <c:pt idx="525">
                  <c:v>-6.7981476853425926E-3</c:v>
                </c:pt>
                <c:pt idx="526">
                  <c:v>6.265420383183562E-3</c:v>
                </c:pt>
                <c:pt idx="527">
                  <c:v>-2.9386286246278925E-2</c:v>
                </c:pt>
                <c:pt idx="528">
                  <c:v>2.501808684169049E-3</c:v>
                </c:pt>
                <c:pt idx="529">
                  <c:v>-1.2971465986992725E-2</c:v>
                </c:pt>
                <c:pt idx="530">
                  <c:v>-8.3460683961593674E-3</c:v>
                </c:pt>
                <c:pt idx="531">
                  <c:v>1.5918858161535709E-2</c:v>
                </c:pt>
                <c:pt idx="532">
                  <c:v>-1.2223147646228671E-3</c:v>
                </c:pt>
                <c:pt idx="533">
                  <c:v>2.0210273949579083E-3</c:v>
                </c:pt>
                <c:pt idx="534">
                  <c:v>-1.0768708967604401E-2</c:v>
                </c:pt>
                <c:pt idx="535">
                  <c:v>-3.3228089136603245E-3</c:v>
                </c:pt>
                <c:pt idx="536">
                  <c:v>-1.1947190511097827E-2</c:v>
                </c:pt>
                <c:pt idx="537">
                  <c:v>-1.3387285933988635E-2</c:v>
                </c:pt>
                <c:pt idx="538">
                  <c:v>-5.8525596958849402E-3</c:v>
                </c:pt>
                <c:pt idx="539">
                  <c:v>9.8263399044202782E-3</c:v>
                </c:pt>
                <c:pt idx="540">
                  <c:v>1.2064402915813011E-2</c:v>
                </c:pt>
                <c:pt idx="541">
                  <c:v>-5.7546327882849191E-3</c:v>
                </c:pt>
                <c:pt idx="542">
                  <c:v>3.3862600653036923E-2</c:v>
                </c:pt>
                <c:pt idx="543">
                  <c:v>-2.9727251472925875E-2</c:v>
                </c:pt>
                <c:pt idx="544">
                  <c:v>-4.4613098553722974E-3</c:v>
                </c:pt>
                <c:pt idx="545">
                  <c:v>2.5018717529627921E-3</c:v>
                </c:pt>
                <c:pt idx="546">
                  <c:v>-2.4619783218516766E-2</c:v>
                </c:pt>
                <c:pt idx="547">
                  <c:v>-5.134709060611653E-2</c:v>
                </c:pt>
                <c:pt idx="548">
                  <c:v>-8.4181104595464351E-3</c:v>
                </c:pt>
                <c:pt idx="549">
                  <c:v>1.6468997040319233E-2</c:v>
                </c:pt>
                <c:pt idx="550">
                  <c:v>-4.3686254578418238E-2</c:v>
                </c:pt>
                <c:pt idx="551">
                  <c:v>-3.3663131917989197E-3</c:v>
                </c:pt>
                <c:pt idx="552">
                  <c:v>3.9234637631735292E-2</c:v>
                </c:pt>
                <c:pt idx="553">
                  <c:v>-3.1657648794576998E-2</c:v>
                </c:pt>
                <c:pt idx="554">
                  <c:v>2.7802137136402671E-2</c:v>
                </c:pt>
                <c:pt idx="555">
                  <c:v>0.10298389756192106</c:v>
                </c:pt>
                <c:pt idx="556">
                  <c:v>2.3399530285604153E-2</c:v>
                </c:pt>
                <c:pt idx="557">
                  <c:v>1.4399432071154572E-2</c:v>
                </c:pt>
                <c:pt idx="558">
                  <c:v>8.0368086905316938E-2</c:v>
                </c:pt>
                <c:pt idx="559">
                  <c:v>-2.3938338972609219E-2</c:v>
                </c:pt>
                <c:pt idx="560">
                  <c:v>-3.0172859318700951E-2</c:v>
                </c:pt>
                <c:pt idx="561">
                  <c:v>1.6131287066631694E-2</c:v>
                </c:pt>
                <c:pt idx="562">
                  <c:v>1.501704207200083E-3</c:v>
                </c:pt>
                <c:pt idx="563">
                  <c:v>1.170436522751872E-2</c:v>
                </c:pt>
                <c:pt idx="564">
                  <c:v>3.7173918595905686E-2</c:v>
                </c:pt>
                <c:pt idx="565">
                  <c:v>-1.2738433794022841E-2</c:v>
                </c:pt>
                <c:pt idx="566">
                  <c:v>2.0409078551668403E-2</c:v>
                </c:pt>
                <c:pt idx="567">
                  <c:v>-9.7753176890542637E-3</c:v>
                </c:pt>
                <c:pt idx="568">
                  <c:v>-7.7476507212853596E-3</c:v>
                </c:pt>
                <c:pt idx="569">
                  <c:v>-2.4801733993389252E-3</c:v>
                </c:pt>
                <c:pt idx="570">
                  <c:v>-7.4151133725378404E-2</c:v>
                </c:pt>
                <c:pt idx="571">
                  <c:v>2.1823332273502416E-2</c:v>
                </c:pt>
                <c:pt idx="572">
                  <c:v>5.5457445661197813E-3</c:v>
                </c:pt>
                <c:pt idx="573">
                  <c:v>1.8964640197736582E-2</c:v>
                </c:pt>
                <c:pt idx="574">
                  <c:v>-1.2941265049154715E-2</c:v>
                </c:pt>
                <c:pt idx="575">
                  <c:v>1.0776656128805184E-2</c:v>
                </c:pt>
                <c:pt idx="576">
                  <c:v>4.9360240936107136E-3</c:v>
                </c:pt>
                <c:pt idx="577">
                  <c:v>-6.4669713231273351E-2</c:v>
                </c:pt>
                <c:pt idx="578">
                  <c:v>2.8406718159526001E-3</c:v>
                </c:pt>
                <c:pt idx="579">
                  <c:v>-3.5588759617058541E-2</c:v>
                </c:pt>
                <c:pt idx="580">
                  <c:v>1.0189135701258234E-2</c:v>
                </c:pt>
                <c:pt idx="581">
                  <c:v>1.1873052752522817E-2</c:v>
                </c:pt>
                <c:pt idx="582">
                  <c:v>1.2130496340264307E-2</c:v>
                </c:pt>
                <c:pt idx="583">
                  <c:v>-6.4522523066312676E-3</c:v>
                </c:pt>
                <c:pt idx="584">
                  <c:v>-4.3653022505418804E-3</c:v>
                </c:pt>
                <c:pt idx="585">
                  <c:v>4.5760883801881924E-4</c:v>
                </c:pt>
                <c:pt idx="586">
                  <c:v>7.4370751536623203E-4</c:v>
                </c:pt>
                <c:pt idx="587">
                  <c:v>1.5760130579299148E-2</c:v>
                </c:pt>
                <c:pt idx="588">
                  <c:v>2.1574395826848169E-2</c:v>
                </c:pt>
                <c:pt idx="589">
                  <c:v>0.19812563658578664</c:v>
                </c:pt>
                <c:pt idx="590">
                  <c:v>-3.0462495667882283E-3</c:v>
                </c:pt>
                <c:pt idx="591">
                  <c:v>1.8668115329113055E-2</c:v>
                </c:pt>
                <c:pt idx="592">
                  <c:v>5.9092664138575834E-3</c:v>
                </c:pt>
                <c:pt idx="593">
                  <c:v>6.5943312749363603E-3</c:v>
                </c:pt>
                <c:pt idx="594">
                  <c:v>-2.5264574243404336E-3</c:v>
                </c:pt>
                <c:pt idx="595">
                  <c:v>3.097555603457125E-2</c:v>
                </c:pt>
                <c:pt idx="596">
                  <c:v>-1.5789667902994742E-2</c:v>
                </c:pt>
                <c:pt idx="597">
                  <c:v>6.4219646077600112E-3</c:v>
                </c:pt>
                <c:pt idx="598">
                  <c:v>-1.5235688359950483E-2</c:v>
                </c:pt>
                <c:pt idx="599">
                  <c:v>-5.6872658012490085E-3</c:v>
                </c:pt>
                <c:pt idx="600">
                  <c:v>-9.4379768817158816E-3</c:v>
                </c:pt>
                <c:pt idx="601">
                  <c:v>-3.7500631427691222E-2</c:v>
                </c:pt>
                <c:pt idx="602">
                  <c:v>-5.4113567152204611E-2</c:v>
                </c:pt>
                <c:pt idx="603">
                  <c:v>3.1447298598238693E-2</c:v>
                </c:pt>
                <c:pt idx="604">
                  <c:v>2.0735661356349855E-2</c:v>
                </c:pt>
                <c:pt idx="605">
                  <c:v>3.3318494445507829E-2</c:v>
                </c:pt>
                <c:pt idx="606">
                  <c:v>-1.1493049174559178E-2</c:v>
                </c:pt>
                <c:pt idx="607">
                  <c:v>-1.5051539758202948E-2</c:v>
                </c:pt>
                <c:pt idx="608">
                  <c:v>-1.6234833693367201E-2</c:v>
                </c:pt>
                <c:pt idx="609">
                  <c:v>-1.4171295518122129E-2</c:v>
                </c:pt>
                <c:pt idx="610">
                  <c:v>-3.2418441681643206E-2</c:v>
                </c:pt>
                <c:pt idx="611">
                  <c:v>-1.4484811903325512E-2</c:v>
                </c:pt>
                <c:pt idx="612">
                  <c:v>5.9635912101727584E-3</c:v>
                </c:pt>
                <c:pt idx="613">
                  <c:v>9.7166929187656459E-3</c:v>
                </c:pt>
                <c:pt idx="614">
                  <c:v>-2.0673216155368102E-2</c:v>
                </c:pt>
                <c:pt idx="615">
                  <c:v>2.8424940530338949E-2</c:v>
                </c:pt>
                <c:pt idx="616">
                  <c:v>-1.143006654711809E-2</c:v>
                </c:pt>
                <c:pt idx="617">
                  <c:v>-1.0623546515519999E-2</c:v>
                </c:pt>
                <c:pt idx="618">
                  <c:v>-2.1003400346919499E-3</c:v>
                </c:pt>
                <c:pt idx="619">
                  <c:v>7.579694132800574E-3</c:v>
                </c:pt>
                <c:pt idx="620">
                  <c:v>3.3963078862648821E-2</c:v>
                </c:pt>
                <c:pt idx="621">
                  <c:v>-4.8043246212954638E-2</c:v>
                </c:pt>
                <c:pt idx="622">
                  <c:v>1.942101096581772E-3</c:v>
                </c:pt>
                <c:pt idx="623">
                  <c:v>2.8472538687696058E-4</c:v>
                </c:pt>
                <c:pt idx="624">
                  <c:v>1.651037653997478E-2</c:v>
                </c:pt>
                <c:pt idx="625">
                  <c:v>-2.0010755796967539E-2</c:v>
                </c:pt>
                <c:pt idx="626">
                  <c:v>9.7736079076571336E-3</c:v>
                </c:pt>
                <c:pt idx="627">
                  <c:v>4.6755301361842694E-3</c:v>
                </c:pt>
                <c:pt idx="628">
                  <c:v>-1.0821942374342974E-2</c:v>
                </c:pt>
                <c:pt idx="629">
                  <c:v>-1.3040865178706618E-2</c:v>
                </c:pt>
                <c:pt idx="630">
                  <c:v>-3.8523094216980081E-3</c:v>
                </c:pt>
                <c:pt idx="631">
                  <c:v>4.6447811937122996E-2</c:v>
                </c:pt>
                <c:pt idx="632">
                  <c:v>1.6941358590825573E-2</c:v>
                </c:pt>
                <c:pt idx="633">
                  <c:v>-3.2008214141259428E-2</c:v>
                </c:pt>
                <c:pt idx="634">
                  <c:v>-7.9343535649586405E-2</c:v>
                </c:pt>
                <c:pt idx="635">
                  <c:v>1.6218956981229216E-2</c:v>
                </c:pt>
                <c:pt idx="636">
                  <c:v>-4.427262778007568E-2</c:v>
                </c:pt>
                <c:pt idx="637">
                  <c:v>-7.9675400929815066E-3</c:v>
                </c:pt>
                <c:pt idx="638">
                  <c:v>1.1095497721099301E-2</c:v>
                </c:pt>
                <c:pt idx="639">
                  <c:v>1.8787027459934214E-2</c:v>
                </c:pt>
                <c:pt idx="640">
                  <c:v>-3.2835075656256762E-4</c:v>
                </c:pt>
                <c:pt idx="641">
                  <c:v>2.3006353833578963E-3</c:v>
                </c:pt>
                <c:pt idx="642">
                  <c:v>2.9335504086163144E-2</c:v>
                </c:pt>
                <c:pt idx="643">
                  <c:v>-6.2943892305135085E-3</c:v>
                </c:pt>
                <c:pt idx="644">
                  <c:v>1.0432313537300342E-2</c:v>
                </c:pt>
                <c:pt idx="645">
                  <c:v>-1.0901997621671766E-2</c:v>
                </c:pt>
                <c:pt idx="646">
                  <c:v>1.2092734253651427E-2</c:v>
                </c:pt>
                <c:pt idx="647">
                  <c:v>-4.9135365286077093E-3</c:v>
                </c:pt>
                <c:pt idx="648">
                  <c:v>-3.5372840703047359E-3</c:v>
                </c:pt>
                <c:pt idx="649">
                  <c:v>-1.5238909826446045E-2</c:v>
                </c:pt>
                <c:pt idx="650">
                  <c:v>8.9402372679803221E-4</c:v>
                </c:pt>
                <c:pt idx="651">
                  <c:v>4.0611737511038193E-3</c:v>
                </c:pt>
                <c:pt idx="652">
                  <c:v>-1.4324845014612619E-2</c:v>
                </c:pt>
                <c:pt idx="653">
                  <c:v>-5.2258720600362962E-2</c:v>
                </c:pt>
                <c:pt idx="654">
                  <c:v>-2.7579738561315459E-2</c:v>
                </c:pt>
                <c:pt idx="655">
                  <c:v>1.4630360763532746E-2</c:v>
                </c:pt>
                <c:pt idx="656">
                  <c:v>-2.0407508373005978E-2</c:v>
                </c:pt>
                <c:pt idx="657">
                  <c:v>3.092766397953417E-3</c:v>
                </c:pt>
                <c:pt idx="658">
                  <c:v>3.3564677728803449E-3</c:v>
                </c:pt>
                <c:pt idx="659">
                  <c:v>2.2041477128371678E-3</c:v>
                </c:pt>
                <c:pt idx="660">
                  <c:v>-1.4035143553543517E-3</c:v>
                </c:pt>
                <c:pt idx="661">
                  <c:v>2.5869027910337961E-3</c:v>
                </c:pt>
                <c:pt idx="662">
                  <c:v>2.0873055816561958E-2</c:v>
                </c:pt>
                <c:pt idx="663">
                  <c:v>-1.8231843216954702E-2</c:v>
                </c:pt>
                <c:pt idx="664">
                  <c:v>4.2454663162039274E-3</c:v>
                </c:pt>
                <c:pt idx="665">
                  <c:v>-5.9697976087973448E-3</c:v>
                </c:pt>
                <c:pt idx="666">
                  <c:v>1.2242649405183714E-2</c:v>
                </c:pt>
                <c:pt idx="667">
                  <c:v>-3.4125979811526874E-2</c:v>
                </c:pt>
                <c:pt idx="668">
                  <c:v>-1.611665168517018E-2</c:v>
                </c:pt>
                <c:pt idx="669">
                  <c:v>2.8882916304155959E-3</c:v>
                </c:pt>
                <c:pt idx="670">
                  <c:v>-2.5232135752895735E-2</c:v>
                </c:pt>
                <c:pt idx="671">
                  <c:v>6.1562240627075493E-3</c:v>
                </c:pt>
                <c:pt idx="672">
                  <c:v>-4.0115313728373514E-2</c:v>
                </c:pt>
                <c:pt idx="673">
                  <c:v>-1.2699931605563042E-2</c:v>
                </c:pt>
                <c:pt idx="674">
                  <c:v>2.2270385547805027E-2</c:v>
                </c:pt>
                <c:pt idx="675">
                  <c:v>-1.2448249164920044E-2</c:v>
                </c:pt>
                <c:pt idx="676">
                  <c:v>1.6933968600975957E-2</c:v>
                </c:pt>
                <c:pt idx="677">
                  <c:v>-7.5697802223108068E-3</c:v>
                </c:pt>
                <c:pt idx="678">
                  <c:v>5.9463249410851571E-3</c:v>
                </c:pt>
                <c:pt idx="679">
                  <c:v>-1.0479511847958589E-2</c:v>
                </c:pt>
                <c:pt idx="680">
                  <c:v>1.7529716269680806E-3</c:v>
                </c:pt>
                <c:pt idx="681">
                  <c:v>-8.2606830037190715E-4</c:v>
                </c:pt>
                <c:pt idx="682">
                  <c:v>2.7455503337829312E-2</c:v>
                </c:pt>
                <c:pt idx="683">
                  <c:v>6.1165772018819675E-3</c:v>
                </c:pt>
                <c:pt idx="684">
                  <c:v>-1.002018419866002E-2</c:v>
                </c:pt>
                <c:pt idx="685">
                  <c:v>1.4260337492447706E-3</c:v>
                </c:pt>
                <c:pt idx="686">
                  <c:v>-1.6988022029993388E-3</c:v>
                </c:pt>
                <c:pt idx="687">
                  <c:v>-1.1267111827905518E-2</c:v>
                </c:pt>
                <c:pt idx="688">
                  <c:v>-1.440918680054426E-2</c:v>
                </c:pt>
                <c:pt idx="689">
                  <c:v>1.1134262361398584E-3</c:v>
                </c:pt>
                <c:pt idx="690">
                  <c:v>-1.3574481686966511E-3</c:v>
                </c:pt>
                <c:pt idx="691">
                  <c:v>6.4735395490886916E-3</c:v>
                </c:pt>
                <c:pt idx="692">
                  <c:v>-9.9792770026226885E-3</c:v>
                </c:pt>
                <c:pt idx="693">
                  <c:v>3.798492600548542E-5</c:v>
                </c:pt>
                <c:pt idx="694">
                  <c:v>9.0637214407331967E-3</c:v>
                </c:pt>
                <c:pt idx="695">
                  <c:v>1.3765867988895231E-3</c:v>
                </c:pt>
                <c:pt idx="696">
                  <c:v>2.9102539344731948E-3</c:v>
                </c:pt>
                <c:pt idx="697">
                  <c:v>2.3405047973225068E-2</c:v>
                </c:pt>
                <c:pt idx="698">
                  <c:v>-4.191057250394925E-3</c:v>
                </c:pt>
                <c:pt idx="699">
                  <c:v>1.4464045145051174E-2</c:v>
                </c:pt>
                <c:pt idx="700">
                  <c:v>4.4233130976831792E-3</c:v>
                </c:pt>
                <c:pt idx="701">
                  <c:v>1.7032847077349089E-2</c:v>
                </c:pt>
                <c:pt idx="702">
                  <c:v>2.0180831770180152E-3</c:v>
                </c:pt>
                <c:pt idx="703">
                  <c:v>-4.169665793937738E-3</c:v>
                </c:pt>
                <c:pt idx="704">
                  <c:v>2.5445756563990951E-2</c:v>
                </c:pt>
                <c:pt idx="705">
                  <c:v>-1.6405655561572585E-2</c:v>
                </c:pt>
                <c:pt idx="706">
                  <c:v>-1.5858492912891653E-2</c:v>
                </c:pt>
                <c:pt idx="707">
                  <c:v>1.3648330464866687E-2</c:v>
                </c:pt>
                <c:pt idx="708">
                  <c:v>-3.8827712511852019E-2</c:v>
                </c:pt>
                <c:pt idx="709">
                  <c:v>2.149509343345235E-3</c:v>
                </c:pt>
                <c:pt idx="710">
                  <c:v>-5.193913820384588E-3</c:v>
                </c:pt>
                <c:pt idx="711">
                  <c:v>-2.4408366611083809E-2</c:v>
                </c:pt>
                <c:pt idx="712">
                  <c:v>-4.0165254753210089E-2</c:v>
                </c:pt>
                <c:pt idx="713">
                  <c:v>-2.2242567577470673E-3</c:v>
                </c:pt>
                <c:pt idx="714">
                  <c:v>-2.0650844327909645E-3</c:v>
                </c:pt>
                <c:pt idx="715">
                  <c:v>-4.4756600683417691E-3</c:v>
                </c:pt>
                <c:pt idx="716">
                  <c:v>2.2359749503326753E-3</c:v>
                </c:pt>
                <c:pt idx="717">
                  <c:v>-1.9606978464785318E-2</c:v>
                </c:pt>
                <c:pt idx="718">
                  <c:v>1.4400921693639268E-2</c:v>
                </c:pt>
                <c:pt idx="719">
                  <c:v>-3.5959212819918873E-2</c:v>
                </c:pt>
                <c:pt idx="720">
                  <c:v>9.4305594528303338E-3</c:v>
                </c:pt>
                <c:pt idx="721">
                  <c:v>-2.120147028259356E-3</c:v>
                </c:pt>
                <c:pt idx="722">
                  <c:v>1.0200159540541431E-2</c:v>
                </c:pt>
                <c:pt idx="723">
                  <c:v>-1.1160694513310254E-3</c:v>
                </c:pt>
                <c:pt idx="724">
                  <c:v>1.6643757978855644E-2</c:v>
                </c:pt>
                <c:pt idx="725">
                  <c:v>-6.4795251496244655E-3</c:v>
                </c:pt>
                <c:pt idx="726">
                  <c:v>-5.7373369528013196E-3</c:v>
                </c:pt>
                <c:pt idx="727">
                  <c:v>1.349206661456559E-2</c:v>
                </c:pt>
                <c:pt idx="728">
                  <c:v>-1.0969119297502994E-2</c:v>
                </c:pt>
                <c:pt idx="729">
                  <c:v>-2.4693130603181679E-4</c:v>
                </c:pt>
                <c:pt idx="730">
                  <c:v>5.9229646677299019E-3</c:v>
                </c:pt>
                <c:pt idx="731">
                  <c:v>2.3573279809266712E-2</c:v>
                </c:pt>
                <c:pt idx="732">
                  <c:v>-3.9413142920159405E-3</c:v>
                </c:pt>
                <c:pt idx="733">
                  <c:v>-1.7606342792452434E-2</c:v>
                </c:pt>
                <c:pt idx="734">
                  <c:v>2.4215649137552253E-3</c:v>
                </c:pt>
                <c:pt idx="735">
                  <c:v>2.3871152796572259E-2</c:v>
                </c:pt>
                <c:pt idx="736">
                  <c:v>6.5285361078455395E-3</c:v>
                </c:pt>
                <c:pt idx="737">
                  <c:v>-2.2794565574155712E-3</c:v>
                </c:pt>
                <c:pt idx="738">
                  <c:v>2.293380146593571E-2</c:v>
                </c:pt>
                <c:pt idx="739">
                  <c:v>-2.8625187575650357E-2</c:v>
                </c:pt>
                <c:pt idx="740">
                  <c:v>1.2293194253823581E-2</c:v>
                </c:pt>
                <c:pt idx="741">
                  <c:v>8.5237540292804059E-3</c:v>
                </c:pt>
                <c:pt idx="742">
                  <c:v>1.3129389046919737E-2</c:v>
                </c:pt>
                <c:pt idx="743">
                  <c:v>-3.8149284045092546E-3</c:v>
                </c:pt>
                <c:pt idx="744">
                  <c:v>6.4426650152389353E-3</c:v>
                </c:pt>
                <c:pt idx="745">
                  <c:v>1.4757349276207865E-2</c:v>
                </c:pt>
                <c:pt idx="746">
                  <c:v>6.9838460726563301E-2</c:v>
                </c:pt>
                <c:pt idx="747">
                  <c:v>1.782751382656711E-3</c:v>
                </c:pt>
                <c:pt idx="748">
                  <c:v>3.7276456129200719E-2</c:v>
                </c:pt>
                <c:pt idx="749">
                  <c:v>-9.6794306903735805E-3</c:v>
                </c:pt>
                <c:pt idx="750">
                  <c:v>-5.6277259600426843E-3</c:v>
                </c:pt>
                <c:pt idx="751">
                  <c:v>-1.0732899870679935E-2</c:v>
                </c:pt>
                <c:pt idx="752">
                  <c:v>-7.9749711588851246E-3</c:v>
                </c:pt>
                <c:pt idx="753">
                  <c:v>1.7820492602660387E-3</c:v>
                </c:pt>
                <c:pt idx="754">
                  <c:v>2.0250774381580516E-3</c:v>
                </c:pt>
                <c:pt idx="755">
                  <c:v>-5.2670649929540403E-3</c:v>
                </c:pt>
                <c:pt idx="756">
                  <c:v>-3.573358784511782E-2</c:v>
                </c:pt>
                <c:pt idx="757">
                  <c:v>-1.9512274280983455E-2</c:v>
                </c:pt>
                <c:pt idx="758">
                  <c:v>1.1575406457752235E-2</c:v>
                </c:pt>
                <c:pt idx="759">
                  <c:v>2.384342216987112E-2</c:v>
                </c:pt>
                <c:pt idx="760">
                  <c:v>1.2742373077064051E-2</c:v>
                </c:pt>
                <c:pt idx="761">
                  <c:v>2.9228786764147863E-2</c:v>
                </c:pt>
                <c:pt idx="762">
                  <c:v>-3.708803899390567E-2</c:v>
                </c:pt>
                <c:pt idx="763">
                  <c:v>-1.2593357883370349E-3</c:v>
                </c:pt>
                <c:pt idx="764">
                  <c:v>1.9262434792596261E-3</c:v>
                </c:pt>
                <c:pt idx="765">
                  <c:v>-3.8195723589606878E-3</c:v>
                </c:pt>
                <c:pt idx="766">
                  <c:v>-5.6723538877416768E-3</c:v>
                </c:pt>
                <c:pt idx="767">
                  <c:v>-9.0001863554439732E-3</c:v>
                </c:pt>
                <c:pt idx="768">
                  <c:v>8.9178253985930933E-3</c:v>
                </c:pt>
                <c:pt idx="769">
                  <c:v>-2.9605230020166573E-3</c:v>
                </c:pt>
                <c:pt idx="770">
                  <c:v>-1.3564973708832362E-2</c:v>
                </c:pt>
                <c:pt idx="771">
                  <c:v>4.937006208018957E-4</c:v>
                </c:pt>
                <c:pt idx="772">
                  <c:v>1.3568910558217517E-2</c:v>
                </c:pt>
                <c:pt idx="773">
                  <c:v>-5.4698628107185954E-3</c:v>
                </c:pt>
                <c:pt idx="774">
                  <c:v>-3.0707619714243073E-4</c:v>
                </c:pt>
                <c:pt idx="775">
                  <c:v>2.0903146342316159E-2</c:v>
                </c:pt>
                <c:pt idx="776">
                  <c:v>-1.8624818807765786E-2</c:v>
                </c:pt>
                <c:pt idx="777">
                  <c:v>2.7935395932233931E-2</c:v>
                </c:pt>
                <c:pt idx="778">
                  <c:v>-1.5320368107262117E-2</c:v>
                </c:pt>
                <c:pt idx="779">
                  <c:v>1.5926454638100163E-2</c:v>
                </c:pt>
                <c:pt idx="780">
                  <c:v>1.8902088373289327E-3</c:v>
                </c:pt>
                <c:pt idx="781">
                  <c:v>1.1012861670898322E-2</c:v>
                </c:pt>
                <c:pt idx="782">
                  <c:v>6.6658308337470551E-3</c:v>
                </c:pt>
                <c:pt idx="783">
                  <c:v>5.5819985765466207E-3</c:v>
                </c:pt>
                <c:pt idx="784">
                  <c:v>4.374533462699004E-3</c:v>
                </c:pt>
                <c:pt idx="785">
                  <c:v>1.396459402805883E-2</c:v>
                </c:pt>
                <c:pt idx="786">
                  <c:v>1.5952814352963918E-2</c:v>
                </c:pt>
                <c:pt idx="787">
                  <c:v>2.4628570330448962E-2</c:v>
                </c:pt>
                <c:pt idx="788">
                  <c:v>1.5417253996276026E-2</c:v>
                </c:pt>
                <c:pt idx="789">
                  <c:v>-4.2613426940023569E-3</c:v>
                </c:pt>
                <c:pt idx="790">
                  <c:v>-3.4609678363428653E-3</c:v>
                </c:pt>
                <c:pt idx="791">
                  <c:v>2.4299977253414706E-2</c:v>
                </c:pt>
                <c:pt idx="792">
                  <c:v>-4.98579405776578E-4</c:v>
                </c:pt>
                <c:pt idx="793">
                  <c:v>-3.9359627629229621E-3</c:v>
                </c:pt>
                <c:pt idx="794">
                  <c:v>1.744799788463447E-2</c:v>
                </c:pt>
                <c:pt idx="795">
                  <c:v>7.009198592642818E-3</c:v>
                </c:pt>
                <c:pt idx="796">
                  <c:v>-1.392265853302066E-2</c:v>
                </c:pt>
                <c:pt idx="797">
                  <c:v>6.7465198073470845E-3</c:v>
                </c:pt>
                <c:pt idx="798">
                  <c:v>1.5954179285275316E-2</c:v>
                </c:pt>
                <c:pt idx="799">
                  <c:v>2.0666559946303176E-2</c:v>
                </c:pt>
                <c:pt idx="800">
                  <c:v>2.7064285995019532E-2</c:v>
                </c:pt>
                <c:pt idx="801">
                  <c:v>1.3939032222317183E-2</c:v>
                </c:pt>
                <c:pt idx="802">
                  <c:v>1.0254466050394928E-2</c:v>
                </c:pt>
                <c:pt idx="803">
                  <c:v>9.0387665446953758E-3</c:v>
                </c:pt>
                <c:pt idx="804">
                  <c:v>-1.3952020717901692E-2</c:v>
                </c:pt>
                <c:pt idx="805">
                  <c:v>-4.0177618390983993E-2</c:v>
                </c:pt>
                <c:pt idx="806">
                  <c:v>-2.2314628358461319E-2</c:v>
                </c:pt>
                <c:pt idx="807">
                  <c:v>7.0971409988818124E-4</c:v>
                </c:pt>
                <c:pt idx="808">
                  <c:v>1.4253284243976205E-2</c:v>
                </c:pt>
                <c:pt idx="809">
                  <c:v>-5.8268555230094332E-3</c:v>
                </c:pt>
                <c:pt idx="810">
                  <c:v>-6.9965714513390287E-3</c:v>
                </c:pt>
                <c:pt idx="811">
                  <c:v>-1.6268276436943729E-3</c:v>
                </c:pt>
                <c:pt idx="812">
                  <c:v>5.4984978941807539E-2</c:v>
                </c:pt>
                <c:pt idx="813">
                  <c:v>1.094308223475593E-2</c:v>
                </c:pt>
                <c:pt idx="814">
                  <c:v>-1.1648333710853498E-2</c:v>
                </c:pt>
                <c:pt idx="815">
                  <c:v>1.5961831177915276E-3</c:v>
                </c:pt>
                <c:pt idx="816">
                  <c:v>-6.9250294579135119E-3</c:v>
                </c:pt>
                <c:pt idx="817">
                  <c:v>9.4548804903566985E-3</c:v>
                </c:pt>
                <c:pt idx="818">
                  <c:v>1.8354239356036861E-2</c:v>
                </c:pt>
                <c:pt idx="819">
                  <c:v>-8.8063105744964343E-3</c:v>
                </c:pt>
                <c:pt idx="820">
                  <c:v>9.1855565675658113E-3</c:v>
                </c:pt>
                <c:pt idx="821">
                  <c:v>1.649659660880598E-4</c:v>
                </c:pt>
                <c:pt idx="822">
                  <c:v>9.2888338840002582E-4</c:v>
                </c:pt>
                <c:pt idx="823">
                  <c:v>4.4190771077161628E-3</c:v>
                </c:pt>
                <c:pt idx="824">
                  <c:v>6.2791443060035146E-3</c:v>
                </c:pt>
                <c:pt idx="825">
                  <c:v>1.8150764488572335E-2</c:v>
                </c:pt>
                <c:pt idx="826">
                  <c:v>1.3192822154373118E-3</c:v>
                </c:pt>
                <c:pt idx="827">
                  <c:v>1.0420911980334902E-2</c:v>
                </c:pt>
                <c:pt idx="828">
                  <c:v>-6.9677709221481754E-3</c:v>
                </c:pt>
                <c:pt idx="829">
                  <c:v>-1.6231593341218598E-2</c:v>
                </c:pt>
                <c:pt idx="830">
                  <c:v>5.6846883305053941E-3</c:v>
                </c:pt>
                <c:pt idx="831">
                  <c:v>-1.1374846359533786E-2</c:v>
                </c:pt>
                <c:pt idx="832">
                  <c:v>1.9048562827135296E-3</c:v>
                </c:pt>
                <c:pt idx="833">
                  <c:v>-9.5619733188417877E-3</c:v>
                </c:pt>
                <c:pt idx="834">
                  <c:v>-1.331802624655043E-2</c:v>
                </c:pt>
                <c:pt idx="835">
                  <c:v>-1.5070838454870339E-2</c:v>
                </c:pt>
                <c:pt idx="836">
                  <c:v>5.3326992178672539E-2</c:v>
                </c:pt>
                <c:pt idx="837">
                  <c:v>-3.0265782481697645E-4</c:v>
                </c:pt>
                <c:pt idx="838">
                  <c:v>3.6546416025848405E-2</c:v>
                </c:pt>
                <c:pt idx="839">
                  <c:v>1.6320420448409756E-2</c:v>
                </c:pt>
                <c:pt idx="840">
                  <c:v>-1.7419312580755464E-2</c:v>
                </c:pt>
                <c:pt idx="841">
                  <c:v>1.6712678053103946E-2</c:v>
                </c:pt>
                <c:pt idx="842">
                  <c:v>-9.8432786642622672E-3</c:v>
                </c:pt>
                <c:pt idx="843">
                  <c:v>1.179434977194993E-2</c:v>
                </c:pt>
                <c:pt idx="844">
                  <c:v>-1.9186929331694746E-2</c:v>
                </c:pt>
                <c:pt idx="845">
                  <c:v>-2.5770247336653895E-4</c:v>
                </c:pt>
                <c:pt idx="846">
                  <c:v>1.4415724627921511E-2</c:v>
                </c:pt>
                <c:pt idx="847">
                  <c:v>-3.5913682884077813E-3</c:v>
                </c:pt>
                <c:pt idx="848">
                  <c:v>5.1959553887264143E-3</c:v>
                </c:pt>
                <c:pt idx="849">
                  <c:v>1.6694626775829779E-2</c:v>
                </c:pt>
                <c:pt idx="850">
                  <c:v>4.9913289793477311E-3</c:v>
                </c:pt>
                <c:pt idx="851">
                  <c:v>-2.2340849171956778E-3</c:v>
                </c:pt>
                <c:pt idx="852">
                  <c:v>-3.4930939331638822E-3</c:v>
                </c:pt>
                <c:pt idx="853">
                  <c:v>7.3328124934959327E-3</c:v>
                </c:pt>
                <c:pt idx="854">
                  <c:v>-6.0563129079160838E-4</c:v>
                </c:pt>
                <c:pt idx="855">
                  <c:v>3.0458439020478734E-3</c:v>
                </c:pt>
                <c:pt idx="856">
                  <c:v>9.2620619763268408E-3</c:v>
                </c:pt>
                <c:pt idx="857">
                  <c:v>-1.5352443798045901E-2</c:v>
                </c:pt>
                <c:pt idx="858">
                  <c:v>4.9738082719341659E-3</c:v>
                </c:pt>
                <c:pt idx="859">
                  <c:v>5.7340076584204702E-3</c:v>
                </c:pt>
                <c:pt idx="860">
                  <c:v>1.4933310995662197E-2</c:v>
                </c:pt>
                <c:pt idx="861">
                  <c:v>3.1600802769378156E-3</c:v>
                </c:pt>
                <c:pt idx="862">
                  <c:v>1.3977345849881084E-2</c:v>
                </c:pt>
                <c:pt idx="863">
                  <c:v>-7.1478128236651672E-3</c:v>
                </c:pt>
                <c:pt idx="864">
                  <c:v>7.4043935845955478E-3</c:v>
                </c:pt>
                <c:pt idx="865">
                  <c:v>-3.5450699292050025E-3</c:v>
                </c:pt>
                <c:pt idx="866">
                  <c:v>3.5642130665782812E-3</c:v>
                </c:pt>
                <c:pt idx="867">
                  <c:v>1.0968226684695548E-3</c:v>
                </c:pt>
                <c:pt idx="868">
                  <c:v>3.2705781845814297E-3</c:v>
                </c:pt>
                <c:pt idx="869">
                  <c:v>2.0473537916898321E-2</c:v>
                </c:pt>
                <c:pt idx="870">
                  <c:v>-4.7612590011149036E-3</c:v>
                </c:pt>
                <c:pt idx="871">
                  <c:v>1.0313071765156279E-2</c:v>
                </c:pt>
                <c:pt idx="872">
                  <c:v>8.8232956810427865E-3</c:v>
                </c:pt>
                <c:pt idx="873">
                  <c:v>-8.9016566213014903E-3</c:v>
                </c:pt>
                <c:pt idx="874">
                  <c:v>-7.1568771456816949E-3</c:v>
                </c:pt>
                <c:pt idx="875">
                  <c:v>9.148902475596743E-3</c:v>
                </c:pt>
                <c:pt idx="876">
                  <c:v>1.0942566533312714E-2</c:v>
                </c:pt>
                <c:pt idx="877">
                  <c:v>-1.7300742085814114E-2</c:v>
                </c:pt>
                <c:pt idx="878">
                  <c:v>-1.9083261361561688E-2</c:v>
                </c:pt>
                <c:pt idx="879">
                  <c:v>1.6152357034613818E-2</c:v>
                </c:pt>
                <c:pt idx="880">
                  <c:v>1.546763904121673E-2</c:v>
                </c:pt>
                <c:pt idx="881">
                  <c:v>1.08776904023975E-2</c:v>
                </c:pt>
                <c:pt idx="882">
                  <c:v>8.583255313242999E-3</c:v>
                </c:pt>
                <c:pt idx="883">
                  <c:v>5.5999162336534125E-3</c:v>
                </c:pt>
                <c:pt idx="884">
                  <c:v>5.5777466379487439E-3</c:v>
                </c:pt>
                <c:pt idx="885">
                  <c:v>-6.1021353275780843E-3</c:v>
                </c:pt>
                <c:pt idx="886">
                  <c:v>8.6599112899428121E-3</c:v>
                </c:pt>
                <c:pt idx="887">
                  <c:v>-2.440676318379742E-3</c:v>
                </c:pt>
                <c:pt idx="888">
                  <c:v>8.7505687988645997E-3</c:v>
                </c:pt>
                <c:pt idx="889">
                  <c:v>1.6318304873336853E-2</c:v>
                </c:pt>
                <c:pt idx="890">
                  <c:v>3.5500803008959858E-3</c:v>
                </c:pt>
                <c:pt idx="891">
                  <c:v>1.2410204709665029E-2</c:v>
                </c:pt>
                <c:pt idx="892">
                  <c:v>-6.1079532767338574E-3</c:v>
                </c:pt>
                <c:pt idx="893">
                  <c:v>1.9451083389415036E-2</c:v>
                </c:pt>
                <c:pt idx="894">
                  <c:v>7.9418414514849101E-3</c:v>
                </c:pt>
                <c:pt idx="895">
                  <c:v>-1.2473690702440199E-2</c:v>
                </c:pt>
                <c:pt idx="896">
                  <c:v>7.7313338061537618E-3</c:v>
                </c:pt>
                <c:pt idx="897">
                  <c:v>-4.9289491448714084E-3</c:v>
                </c:pt>
                <c:pt idx="898">
                  <c:v>8.2131125296871499E-3</c:v>
                </c:pt>
                <c:pt idx="899">
                  <c:v>-3.9940206235211662E-5</c:v>
                </c:pt>
                <c:pt idx="900">
                  <c:v>4.4902687963340959E-2</c:v>
                </c:pt>
                <c:pt idx="901">
                  <c:v>4.0702629499178133E-2</c:v>
                </c:pt>
                <c:pt idx="902">
                  <c:v>1.9720264474433646E-2</c:v>
                </c:pt>
                <c:pt idx="903">
                  <c:v>-2.0909772342028177E-2</c:v>
                </c:pt>
                <c:pt idx="904">
                  <c:v>1.6184381861622077E-2</c:v>
                </c:pt>
                <c:pt idx="905">
                  <c:v>-1.0108872236985089E-2</c:v>
                </c:pt>
                <c:pt idx="906">
                  <c:v>2.4932955271396162E-3</c:v>
                </c:pt>
                <c:pt idx="907">
                  <c:v>-4.2070612360204374E-3</c:v>
                </c:pt>
                <c:pt idx="908">
                  <c:v>1.9941519296428067E-2</c:v>
                </c:pt>
                <c:pt idx="909">
                  <c:v>1.1558625449737958E-2</c:v>
                </c:pt>
                <c:pt idx="910">
                  <c:v>-2.0308062298999841E-2</c:v>
                </c:pt>
                <c:pt idx="911">
                  <c:v>-3.2976219132324625E-3</c:v>
                </c:pt>
                <c:pt idx="912">
                  <c:v>-1.0902057191808479E-2</c:v>
                </c:pt>
                <c:pt idx="913">
                  <c:v>9.3604568907863506E-3</c:v>
                </c:pt>
                <c:pt idx="914">
                  <c:v>-4.5850392219954905E-3</c:v>
                </c:pt>
                <c:pt idx="915">
                  <c:v>1.6660042800325625E-2</c:v>
                </c:pt>
                <c:pt idx="916">
                  <c:v>-3.0137069523198945E-2</c:v>
                </c:pt>
                <c:pt idx="917">
                  <c:v>1.9175626099277476E-2</c:v>
                </c:pt>
                <c:pt idx="918">
                  <c:v>1.9782939358113927E-2</c:v>
                </c:pt>
                <c:pt idx="919">
                  <c:v>6.8305965262152046E-3</c:v>
                </c:pt>
                <c:pt idx="920">
                  <c:v>1.521104004172269E-3</c:v>
                </c:pt>
                <c:pt idx="921">
                  <c:v>-1.2871018883568341E-2</c:v>
                </c:pt>
                <c:pt idx="922">
                  <c:v>-2.4451045495184731E-2</c:v>
                </c:pt>
                <c:pt idx="923">
                  <c:v>1.617903372048346E-2</c:v>
                </c:pt>
                <c:pt idx="924">
                  <c:v>1.7928864128857747E-2</c:v>
                </c:pt>
                <c:pt idx="925">
                  <c:v>-1.9786071533023142E-2</c:v>
                </c:pt>
                <c:pt idx="926">
                  <c:v>-9.8337788103638468E-3</c:v>
                </c:pt>
                <c:pt idx="927">
                  <c:v>7.4918936561381155E-3</c:v>
                </c:pt>
                <c:pt idx="928">
                  <c:v>7.9020386562965728E-3</c:v>
                </c:pt>
                <c:pt idx="929">
                  <c:v>-4.3049493713995801E-2</c:v>
                </c:pt>
                <c:pt idx="930">
                  <c:v>1.6816343143533086E-2</c:v>
                </c:pt>
                <c:pt idx="931">
                  <c:v>-5.070114676940074E-3</c:v>
                </c:pt>
                <c:pt idx="932">
                  <c:v>7.0457223397799584E-3</c:v>
                </c:pt>
                <c:pt idx="933">
                  <c:v>-5.9434734053100957E-3</c:v>
                </c:pt>
                <c:pt idx="934">
                  <c:v>1.3859949251236237E-2</c:v>
                </c:pt>
                <c:pt idx="935">
                  <c:v>6.3076598706592879E-3</c:v>
                </c:pt>
                <c:pt idx="936">
                  <c:v>-3.4600610880359817E-3</c:v>
                </c:pt>
                <c:pt idx="937">
                  <c:v>1.9142535119744064E-2</c:v>
                </c:pt>
                <c:pt idx="938">
                  <c:v>4.681076412592744E-3</c:v>
                </c:pt>
                <c:pt idx="939">
                  <c:v>-3.1160182811181825E-2</c:v>
                </c:pt>
                <c:pt idx="940">
                  <c:v>-1.394380868128009E-2</c:v>
                </c:pt>
                <c:pt idx="941">
                  <c:v>5.6537129629616878E-3</c:v>
                </c:pt>
                <c:pt idx="942">
                  <c:v>1.5514227461216556E-2</c:v>
                </c:pt>
                <c:pt idx="943">
                  <c:v>1.2232914707121401E-2</c:v>
                </c:pt>
                <c:pt idx="944">
                  <c:v>-9.2724388183987871E-3</c:v>
                </c:pt>
                <c:pt idx="945">
                  <c:v>2.0895086261136342E-2</c:v>
                </c:pt>
                <c:pt idx="946">
                  <c:v>6.2708708314143102E-3</c:v>
                </c:pt>
                <c:pt idx="947">
                  <c:v>1.5422265589662976E-2</c:v>
                </c:pt>
                <c:pt idx="948">
                  <c:v>-2.8304227702302676E-3</c:v>
                </c:pt>
                <c:pt idx="949">
                  <c:v>5.1976076742008548E-3</c:v>
                </c:pt>
                <c:pt idx="950">
                  <c:v>6.8291328093927905E-4</c:v>
                </c:pt>
                <c:pt idx="951">
                  <c:v>4.1732894595714054E-3</c:v>
                </c:pt>
                <c:pt idx="952">
                  <c:v>-5.3155663791091268E-3</c:v>
                </c:pt>
                <c:pt idx="953">
                  <c:v>-2.6984458663492639E-4</c:v>
                </c:pt>
                <c:pt idx="954">
                  <c:v>2.7960623468327173E-2</c:v>
                </c:pt>
                <c:pt idx="955">
                  <c:v>9.3241186299986012E-3</c:v>
                </c:pt>
                <c:pt idx="956">
                  <c:v>4.4943542272689596E-3</c:v>
                </c:pt>
                <c:pt idx="957">
                  <c:v>-3.5486244600109185E-3</c:v>
                </c:pt>
                <c:pt idx="958">
                  <c:v>1.1089515050686227E-2</c:v>
                </c:pt>
                <c:pt idx="959">
                  <c:v>-1.9127002090782996E-2</c:v>
                </c:pt>
                <c:pt idx="960">
                  <c:v>-2.8550493902333218E-2</c:v>
                </c:pt>
                <c:pt idx="961">
                  <c:v>-6.269556454910008E-3</c:v>
                </c:pt>
                <c:pt idx="962">
                  <c:v>7.1829838588171047E-3</c:v>
                </c:pt>
                <c:pt idx="963">
                  <c:v>2.4114717677005126E-2</c:v>
                </c:pt>
                <c:pt idx="964">
                  <c:v>-4.2654932647040678E-2</c:v>
                </c:pt>
                <c:pt idx="965">
                  <c:v>9.8868781112859683E-3</c:v>
                </c:pt>
                <c:pt idx="966">
                  <c:v>-5.8136557339114603E-3</c:v>
                </c:pt>
                <c:pt idx="967">
                  <c:v>1.7561718175606034E-2</c:v>
                </c:pt>
                <c:pt idx="968">
                  <c:v>6.2823230845230338E-3</c:v>
                </c:pt>
                <c:pt idx="969">
                  <c:v>2.8634828867615703E-2</c:v>
                </c:pt>
                <c:pt idx="970">
                  <c:v>-6.9749382043404751E-5</c:v>
                </c:pt>
                <c:pt idx="971">
                  <c:v>-2.8943660288559769E-2</c:v>
                </c:pt>
                <c:pt idx="972">
                  <c:v>5.9444753071595802E-3</c:v>
                </c:pt>
                <c:pt idx="973">
                  <c:v>5.7260231750082546E-3</c:v>
                </c:pt>
                <c:pt idx="974">
                  <c:v>-2.0126234210658289E-2</c:v>
                </c:pt>
                <c:pt idx="975">
                  <c:v>9.9756500915559876E-3</c:v>
                </c:pt>
                <c:pt idx="976">
                  <c:v>4.2704133383509868E-3</c:v>
                </c:pt>
                <c:pt idx="977">
                  <c:v>1.7969784359668228E-3</c:v>
                </c:pt>
                <c:pt idx="978">
                  <c:v>-6.8959106853957453E-3</c:v>
                </c:pt>
                <c:pt idx="979">
                  <c:v>-2.1566486491044756E-2</c:v>
                </c:pt>
                <c:pt idx="980">
                  <c:v>-5.0144541014386368E-3</c:v>
                </c:pt>
                <c:pt idx="981">
                  <c:v>1.3145747472909308E-2</c:v>
                </c:pt>
                <c:pt idx="982">
                  <c:v>4.7589882065144362E-3</c:v>
                </c:pt>
                <c:pt idx="983">
                  <c:v>2.9801312780120659E-2</c:v>
                </c:pt>
                <c:pt idx="984">
                  <c:v>-1.7063445521010356E-2</c:v>
                </c:pt>
                <c:pt idx="985">
                  <c:v>-6.259168935320325E-2</c:v>
                </c:pt>
                <c:pt idx="986">
                  <c:v>1.7372450144357732E-2</c:v>
                </c:pt>
                <c:pt idx="987">
                  <c:v>-1.3629480668777449E-2</c:v>
                </c:pt>
                <c:pt idx="988">
                  <c:v>-4.4857961793835721E-2</c:v>
                </c:pt>
                <c:pt idx="989">
                  <c:v>5.5960173178043915E-2</c:v>
                </c:pt>
                <c:pt idx="990">
                  <c:v>1.0012109491369658E-2</c:v>
                </c:pt>
                <c:pt idx="991">
                  <c:v>-1.5914912700439876E-3</c:v>
                </c:pt>
                <c:pt idx="992">
                  <c:v>4.3932436335141656E-2</c:v>
                </c:pt>
                <c:pt idx="993">
                  <c:v>1.0806901942019276E-2</c:v>
                </c:pt>
                <c:pt idx="994">
                  <c:v>-3.6252357816777159E-2</c:v>
                </c:pt>
                <c:pt idx="995">
                  <c:v>4.4912765057192994E-2</c:v>
                </c:pt>
                <c:pt idx="996">
                  <c:v>-1.6410785975957465E-2</c:v>
                </c:pt>
                <c:pt idx="997">
                  <c:v>3.4493594202399724E-2</c:v>
                </c:pt>
                <c:pt idx="998">
                  <c:v>2.5566632599427486E-3</c:v>
                </c:pt>
                <c:pt idx="999">
                  <c:v>2.3412971447767106E-3</c:v>
                </c:pt>
                <c:pt idx="1000">
                  <c:v>1.4478566205860632E-2</c:v>
                </c:pt>
                <c:pt idx="1001">
                  <c:v>-6.000561869430765E-3</c:v>
                </c:pt>
                <c:pt idx="1002">
                  <c:v>3.9515607617532478E-2</c:v>
                </c:pt>
                <c:pt idx="1003">
                  <c:v>1.0995348202974542E-3</c:v>
                </c:pt>
                <c:pt idx="1004">
                  <c:v>3.0040428460798019E-3</c:v>
                </c:pt>
                <c:pt idx="1005">
                  <c:v>-1.7413885943247887E-2</c:v>
                </c:pt>
                <c:pt idx="1006">
                  <c:v>5.079719787817738E-3</c:v>
                </c:pt>
                <c:pt idx="1007">
                  <c:v>-8.5127607585913534E-2</c:v>
                </c:pt>
                <c:pt idx="1008">
                  <c:v>-1.9692419434882869E-2</c:v>
                </c:pt>
                <c:pt idx="1009">
                  <c:v>-2.4446006123782893E-2</c:v>
                </c:pt>
                <c:pt idx="1010">
                  <c:v>3.5909186383581537E-2</c:v>
                </c:pt>
                <c:pt idx="1011">
                  <c:v>1.1714091473876698E-2</c:v>
                </c:pt>
                <c:pt idx="1012">
                  <c:v>3.1475308530430457E-2</c:v>
                </c:pt>
                <c:pt idx="1013">
                  <c:v>-1.7636735425080485E-2</c:v>
                </c:pt>
                <c:pt idx="1014">
                  <c:v>-1.0866731685786335E-2</c:v>
                </c:pt>
                <c:pt idx="1015">
                  <c:v>-1.5121207860994468E-2</c:v>
                </c:pt>
                <c:pt idx="1016">
                  <c:v>9.2641024692405871E-3</c:v>
                </c:pt>
                <c:pt idx="1017">
                  <c:v>1.2951636067464189E-2</c:v>
                </c:pt>
                <c:pt idx="1018">
                  <c:v>7.2402072642665516E-3</c:v>
                </c:pt>
                <c:pt idx="1019">
                  <c:v>5.922537521874216E-3</c:v>
                </c:pt>
                <c:pt idx="1020">
                  <c:v>-2.6367760323219969E-2</c:v>
                </c:pt>
                <c:pt idx="1021">
                  <c:v>-3.0239565652778744E-4</c:v>
                </c:pt>
                <c:pt idx="1022">
                  <c:v>-3.7196564558855227E-2</c:v>
                </c:pt>
                <c:pt idx="1023">
                  <c:v>-6.8036526303273392E-3</c:v>
                </c:pt>
                <c:pt idx="1024">
                  <c:v>8.7077302776489285E-3</c:v>
                </c:pt>
                <c:pt idx="1025">
                  <c:v>1.4833266914579202E-2</c:v>
                </c:pt>
                <c:pt idx="1026">
                  <c:v>1.9364282051348436E-2</c:v>
                </c:pt>
                <c:pt idx="1027">
                  <c:v>9.1672304235903557E-3</c:v>
                </c:pt>
                <c:pt idx="1028">
                  <c:v>2.049407655922697E-2</c:v>
                </c:pt>
                <c:pt idx="1029">
                  <c:v>-4.1982481478984868E-3</c:v>
                </c:pt>
                <c:pt idx="1030">
                  <c:v>4.2557070544414488E-2</c:v>
                </c:pt>
                <c:pt idx="1031">
                  <c:v>-1.6779024016076005E-2</c:v>
                </c:pt>
                <c:pt idx="1032">
                  <c:v>1.2112428277187393E-2</c:v>
                </c:pt>
                <c:pt idx="1033">
                  <c:v>2.672915655170871E-2</c:v>
                </c:pt>
                <c:pt idx="1034">
                  <c:v>7.4474620396672853E-3</c:v>
                </c:pt>
                <c:pt idx="1035">
                  <c:v>-1.8570304691967077E-2</c:v>
                </c:pt>
                <c:pt idx="1036">
                  <c:v>2.7453260490462039E-4</c:v>
                </c:pt>
                <c:pt idx="1037">
                  <c:v>1.3596704823696459E-2</c:v>
                </c:pt>
                <c:pt idx="1038">
                  <c:v>-5.2810044706442794E-3</c:v>
                </c:pt>
                <c:pt idx="1039">
                  <c:v>-1.8107466950870732E-3</c:v>
                </c:pt>
                <c:pt idx="1040">
                  <c:v>-6.0277577593956799E-3</c:v>
                </c:pt>
                <c:pt idx="1041">
                  <c:v>-1.2144954066072411E-2</c:v>
                </c:pt>
                <c:pt idx="1042">
                  <c:v>-1.763300057305317E-2</c:v>
                </c:pt>
                <c:pt idx="1043">
                  <c:v>7.881353755819398E-2</c:v>
                </c:pt>
                <c:pt idx="1044">
                  <c:v>1.0519016345689858E-2</c:v>
                </c:pt>
                <c:pt idx="1045">
                  <c:v>5.6013161561299096E-2</c:v>
                </c:pt>
                <c:pt idx="1046">
                  <c:v>-3.4969653192055139E-3</c:v>
                </c:pt>
                <c:pt idx="1047">
                  <c:v>4.4365603224121308E-3</c:v>
                </c:pt>
                <c:pt idx="1048">
                  <c:v>-8.9681686992973964E-3</c:v>
                </c:pt>
                <c:pt idx="1049">
                  <c:v>1.3937063856488074E-2</c:v>
                </c:pt>
                <c:pt idx="1050">
                  <c:v>-9.5191426079649477E-2</c:v>
                </c:pt>
                <c:pt idx="1051">
                  <c:v>-4.7142395150073457E-2</c:v>
                </c:pt>
                <c:pt idx="1052">
                  <c:v>2.3406288267893149E-3</c:v>
                </c:pt>
                <c:pt idx="1053">
                  <c:v>7.1435276584135288E-3</c:v>
                </c:pt>
                <c:pt idx="1054">
                  <c:v>-4.8139339541622972E-3</c:v>
                </c:pt>
                <c:pt idx="1055">
                  <c:v>7.2252283906546477E-3</c:v>
                </c:pt>
                <c:pt idx="1056">
                  <c:v>-5.9351245975736155E-4</c:v>
                </c:pt>
                <c:pt idx="1057">
                  <c:v>1.2508576485291467E-2</c:v>
                </c:pt>
                <c:pt idx="1058">
                  <c:v>6.6990971784621767E-3</c:v>
                </c:pt>
                <c:pt idx="1059">
                  <c:v>3.3839560700149818E-2</c:v>
                </c:pt>
                <c:pt idx="1060">
                  <c:v>-1.301568288665178E-2</c:v>
                </c:pt>
                <c:pt idx="1061">
                  <c:v>1.5944667555858327E-2</c:v>
                </c:pt>
                <c:pt idx="1062">
                  <c:v>1.1900321278457415E-4</c:v>
                </c:pt>
                <c:pt idx="1063">
                  <c:v>2.5088032706360064E-2</c:v>
                </c:pt>
                <c:pt idx="1064">
                  <c:v>-7.2884798993883004E-3</c:v>
                </c:pt>
                <c:pt idx="1065">
                  <c:v>4.3328235834514395E-3</c:v>
                </c:pt>
                <c:pt idx="1066">
                  <c:v>7.9954163369859721E-3</c:v>
                </c:pt>
                <c:pt idx="1067">
                  <c:v>-3.8398325640949249E-3</c:v>
                </c:pt>
                <c:pt idx="1068">
                  <c:v>1.4798536249154393E-2</c:v>
                </c:pt>
                <c:pt idx="1069">
                  <c:v>-1.0870278731500149E-2</c:v>
                </c:pt>
                <c:pt idx="1070">
                  <c:v>3.6484307327160348E-3</c:v>
                </c:pt>
                <c:pt idx="1071">
                  <c:v>8.7509550170236095E-3</c:v>
                </c:pt>
                <c:pt idx="1072">
                  <c:v>-6.5214443087583396E-3</c:v>
                </c:pt>
                <c:pt idx="1073">
                  <c:v>1.7608509561285013E-2</c:v>
                </c:pt>
                <c:pt idx="1074">
                  <c:v>6.6327217173378639E-3</c:v>
                </c:pt>
                <c:pt idx="1075">
                  <c:v>-1.2967298386353798E-3</c:v>
                </c:pt>
                <c:pt idx="1076">
                  <c:v>9.1991420494361709E-3</c:v>
                </c:pt>
                <c:pt idx="1077">
                  <c:v>1.225306573456586E-2</c:v>
                </c:pt>
                <c:pt idx="1078">
                  <c:v>-5.2578194350266783E-3</c:v>
                </c:pt>
                <c:pt idx="1079">
                  <c:v>-2.6369172372876504E-3</c:v>
                </c:pt>
                <c:pt idx="1080">
                  <c:v>-7.1128496196708468E-3</c:v>
                </c:pt>
                <c:pt idx="1081">
                  <c:v>2.8311932666409079E-2</c:v>
                </c:pt>
                <c:pt idx="1082">
                  <c:v>-3.6031097551914582E-2</c:v>
                </c:pt>
                <c:pt idx="1083">
                  <c:v>-2.7368244024006505E-2</c:v>
                </c:pt>
                <c:pt idx="1084">
                  <c:v>5.0202880381787773E-2</c:v>
                </c:pt>
                <c:pt idx="1085">
                  <c:v>-1.2988798986573791E-2</c:v>
                </c:pt>
                <c:pt idx="1086">
                  <c:v>-2.0018182256583694E-2</c:v>
                </c:pt>
                <c:pt idx="1087">
                  <c:v>-2.8980912296134864E-3</c:v>
                </c:pt>
                <c:pt idx="1088">
                  <c:v>-2.1920485097505438E-2</c:v>
                </c:pt>
                <c:pt idx="1089">
                  <c:v>-5.9114838954432702E-3</c:v>
                </c:pt>
                <c:pt idx="1090">
                  <c:v>-2.1012917393503194E-2</c:v>
                </c:pt>
                <c:pt idx="1091">
                  <c:v>-2.8993585968727587E-2</c:v>
                </c:pt>
                <c:pt idx="1092">
                  <c:v>3.9999707662073614E-2</c:v>
                </c:pt>
                <c:pt idx="1093">
                  <c:v>-4.9744370186068254E-2</c:v>
                </c:pt>
                <c:pt idx="1094">
                  <c:v>-3.6467542383219476E-2</c:v>
                </c:pt>
                <c:pt idx="1095">
                  <c:v>5.7727983105399394E-2</c:v>
                </c:pt>
                <c:pt idx="1096">
                  <c:v>2.8644148224625465E-2</c:v>
                </c:pt>
                <c:pt idx="1097">
                  <c:v>2.1251111186796345E-2</c:v>
                </c:pt>
                <c:pt idx="1098">
                  <c:v>1.7667984049999585E-2</c:v>
                </c:pt>
                <c:pt idx="1099">
                  <c:v>-9.1930316174207993E-3</c:v>
                </c:pt>
                <c:pt idx="1100">
                  <c:v>-1.3131290732146805E-3</c:v>
                </c:pt>
                <c:pt idx="1101">
                  <c:v>4.0138277087387042E-3</c:v>
                </c:pt>
                <c:pt idx="1102">
                  <c:v>1.9523385554926609E-2</c:v>
                </c:pt>
                <c:pt idx="1103">
                  <c:v>3.9753489493947525E-2</c:v>
                </c:pt>
                <c:pt idx="1104">
                  <c:v>-1.2088990287423718E-2</c:v>
                </c:pt>
                <c:pt idx="1105">
                  <c:v>2.1626768950325781E-2</c:v>
                </c:pt>
                <c:pt idx="1106">
                  <c:v>-9.9397275840533705E-3</c:v>
                </c:pt>
                <c:pt idx="1107">
                  <c:v>-2.4592295495589056E-3</c:v>
                </c:pt>
                <c:pt idx="1108">
                  <c:v>-2.1128270682244432E-2</c:v>
                </c:pt>
                <c:pt idx="1109">
                  <c:v>-8.4220633757244867E-3</c:v>
                </c:pt>
                <c:pt idx="1110">
                  <c:v>-1.0075329521973209E-2</c:v>
                </c:pt>
                <c:pt idx="1111">
                  <c:v>2.2103935423820609E-2</c:v>
                </c:pt>
                <c:pt idx="1112">
                  <c:v>2.9948837952129548E-3</c:v>
                </c:pt>
                <c:pt idx="1113">
                  <c:v>-2.9365170995094836E-3</c:v>
                </c:pt>
                <c:pt idx="1114">
                  <c:v>1.8879260645216389E-2</c:v>
                </c:pt>
                <c:pt idx="1115">
                  <c:v>-8.575157180708004E-3</c:v>
                </c:pt>
                <c:pt idx="1116">
                  <c:v>3.7354989606540157E-2</c:v>
                </c:pt>
                <c:pt idx="1117">
                  <c:v>-1.4810148822414382E-2</c:v>
                </c:pt>
                <c:pt idx="1118">
                  <c:v>-2.8875684270439406E-2</c:v>
                </c:pt>
                <c:pt idx="1119">
                  <c:v>8.5130388630765275E-3</c:v>
                </c:pt>
                <c:pt idx="1120">
                  <c:v>5.7830337286590705E-3</c:v>
                </c:pt>
                <c:pt idx="1121">
                  <c:v>-8.8716592544493267E-3</c:v>
                </c:pt>
                <c:pt idx="1122">
                  <c:v>5.6436658295484499E-3</c:v>
                </c:pt>
                <c:pt idx="1123">
                  <c:v>1.9593847862031888E-2</c:v>
                </c:pt>
                <c:pt idx="1124">
                  <c:v>-7.6802916763699658E-3</c:v>
                </c:pt>
                <c:pt idx="1125">
                  <c:v>3.7638219484783519E-3</c:v>
                </c:pt>
                <c:pt idx="1126">
                  <c:v>7.5967184431928736E-3</c:v>
                </c:pt>
                <c:pt idx="1127">
                  <c:v>2.4211599422365726E-3</c:v>
                </c:pt>
                <c:pt idx="1128">
                  <c:v>3.2553676918578578E-3</c:v>
                </c:pt>
                <c:pt idx="1129">
                  <c:v>-1.7681884779482404E-3</c:v>
                </c:pt>
                <c:pt idx="1130">
                  <c:v>3.0232191730337199E-3</c:v>
                </c:pt>
                <c:pt idx="1131">
                  <c:v>4.9760154263507328E-3</c:v>
                </c:pt>
                <c:pt idx="1132">
                  <c:v>1.0943241143730686E-2</c:v>
                </c:pt>
                <c:pt idx="1133">
                  <c:v>1.1247375541665106E-2</c:v>
                </c:pt>
                <c:pt idx="1134">
                  <c:v>6.390407682351773E-3</c:v>
                </c:pt>
                <c:pt idx="1135">
                  <c:v>1.6325572982658132E-2</c:v>
                </c:pt>
                <c:pt idx="1136">
                  <c:v>1.5880086382122793E-2</c:v>
                </c:pt>
                <c:pt idx="1137">
                  <c:v>-3.3225335854569105E-2</c:v>
                </c:pt>
                <c:pt idx="1138">
                  <c:v>-1.0386254646493676E-2</c:v>
                </c:pt>
                <c:pt idx="1139">
                  <c:v>-2.1879306296750278E-2</c:v>
                </c:pt>
                <c:pt idx="1140">
                  <c:v>2.6875441734369732E-2</c:v>
                </c:pt>
                <c:pt idx="1141">
                  <c:v>-2.8799293970765527E-2</c:v>
                </c:pt>
                <c:pt idx="1142">
                  <c:v>-1.0392993458250288E-2</c:v>
                </c:pt>
                <c:pt idx="1143">
                  <c:v>-8.3191174652985644E-3</c:v>
                </c:pt>
                <c:pt idx="1144">
                  <c:v>2.3610592349035064E-2</c:v>
                </c:pt>
                <c:pt idx="1145">
                  <c:v>8.5144756634786267E-3</c:v>
                </c:pt>
                <c:pt idx="1146">
                  <c:v>5.9047199039408138E-4</c:v>
                </c:pt>
                <c:pt idx="1147">
                  <c:v>-5.902500196756566E-2</c:v>
                </c:pt>
                <c:pt idx="1148">
                  <c:v>-1.0951746838341325E-2</c:v>
                </c:pt>
                <c:pt idx="1149">
                  <c:v>1.4557207860649068E-2</c:v>
                </c:pt>
                <c:pt idx="1150">
                  <c:v>-1.4545523472464961E-2</c:v>
                </c:pt>
                <c:pt idx="1151">
                  <c:v>8.6255443408094212E-3</c:v>
                </c:pt>
                <c:pt idx="1152">
                  <c:v>6.7962558124585737E-3</c:v>
                </c:pt>
                <c:pt idx="1153">
                  <c:v>1.5712001043144186E-2</c:v>
                </c:pt>
                <c:pt idx="1154">
                  <c:v>-0.16746490350978116</c:v>
                </c:pt>
                <c:pt idx="1155">
                  <c:v>1.978103952804422E-2</c:v>
                </c:pt>
                <c:pt idx="1156">
                  <c:v>-2.7694819678003579E-4</c:v>
                </c:pt>
                <c:pt idx="1157">
                  <c:v>-9.2879782963792845E-3</c:v>
                </c:pt>
                <c:pt idx="1158">
                  <c:v>3.6896693871621977E-3</c:v>
                </c:pt>
                <c:pt idx="1159">
                  <c:v>-1.9596324596885428E-2</c:v>
                </c:pt>
                <c:pt idx="1160">
                  <c:v>1.2787359055103975E-2</c:v>
                </c:pt>
                <c:pt idx="1161">
                  <c:v>-1.0065553702942154E-2</c:v>
                </c:pt>
                <c:pt idx="1162">
                  <c:v>-1.9137534401375556E-2</c:v>
                </c:pt>
                <c:pt idx="1163">
                  <c:v>-6.5287286288410185E-3</c:v>
                </c:pt>
                <c:pt idx="1164">
                  <c:v>4.443438701325686E-3</c:v>
                </c:pt>
                <c:pt idx="1165">
                  <c:v>1.3139349869104588E-3</c:v>
                </c:pt>
                <c:pt idx="1166">
                  <c:v>6.5616439810846083E-3</c:v>
                </c:pt>
                <c:pt idx="1167">
                  <c:v>5.387516524539282E-3</c:v>
                </c:pt>
                <c:pt idx="1168">
                  <c:v>-1.2556671984504275E-2</c:v>
                </c:pt>
                <c:pt idx="1169">
                  <c:v>-2.5559879158241205E-3</c:v>
                </c:pt>
                <c:pt idx="1170">
                  <c:v>1.3810842364228582E-2</c:v>
                </c:pt>
                <c:pt idx="1171">
                  <c:v>-7.5366674571991643E-3</c:v>
                </c:pt>
                <c:pt idx="1172">
                  <c:v>1.8382754050157324E-2</c:v>
                </c:pt>
                <c:pt idx="1173">
                  <c:v>-1.5039321615371026E-3</c:v>
                </c:pt>
                <c:pt idx="1174">
                  <c:v>-2.4585394943443806E-4</c:v>
                </c:pt>
                <c:pt idx="1175">
                  <c:v>1.4120035489926686E-2</c:v>
                </c:pt>
                <c:pt idx="1176">
                  <c:v>2.8994841593020904E-2</c:v>
                </c:pt>
                <c:pt idx="1177">
                  <c:v>-5.2810900403510441E-3</c:v>
                </c:pt>
                <c:pt idx="1178">
                  <c:v>1.9019449400159205E-2</c:v>
                </c:pt>
                <c:pt idx="1179">
                  <c:v>1.5266004278801759E-2</c:v>
                </c:pt>
                <c:pt idx="1180">
                  <c:v>2.9262802308515523E-2</c:v>
                </c:pt>
                <c:pt idx="1181">
                  <c:v>-1.9504726717230692E-2</c:v>
                </c:pt>
                <c:pt idx="1182">
                  <c:v>-6.0522794162110038E-3</c:v>
                </c:pt>
                <c:pt idx="1183">
                  <c:v>-7.2865382819872204E-3</c:v>
                </c:pt>
                <c:pt idx="1184">
                  <c:v>1.1280763491714474E-3</c:v>
                </c:pt>
                <c:pt idx="1185">
                  <c:v>-1.2192897952267856E-3</c:v>
                </c:pt>
                <c:pt idx="1186">
                  <c:v>1.0124778993690686E-2</c:v>
                </c:pt>
                <c:pt idx="1187">
                  <c:v>-1.1750744740081087E-3</c:v>
                </c:pt>
                <c:pt idx="1188">
                  <c:v>-7.6150155551464316E-3</c:v>
                </c:pt>
                <c:pt idx="1189">
                  <c:v>1.4893256120351417E-2</c:v>
                </c:pt>
                <c:pt idx="1190">
                  <c:v>-1.9229566694967115E-4</c:v>
                </c:pt>
                <c:pt idx="1191">
                  <c:v>1.8882542739269148E-3</c:v>
                </c:pt>
                <c:pt idx="1192">
                  <c:v>9.7968469484805976E-3</c:v>
                </c:pt>
                <c:pt idx="1193">
                  <c:v>2.1619740702119028E-2</c:v>
                </c:pt>
                <c:pt idx="1194">
                  <c:v>5.0024684366728467E-3</c:v>
                </c:pt>
                <c:pt idx="1195">
                  <c:v>1.4572377830467165E-2</c:v>
                </c:pt>
                <c:pt idx="1196">
                  <c:v>3.7555347533069217E-4</c:v>
                </c:pt>
                <c:pt idx="1197">
                  <c:v>1.9758847905797849E-2</c:v>
                </c:pt>
                <c:pt idx="1198">
                  <c:v>9.5559433245724357E-3</c:v>
                </c:pt>
                <c:pt idx="1199">
                  <c:v>-4.2292786610884647E-3</c:v>
                </c:pt>
                <c:pt idx="1200">
                  <c:v>5.6916041364417636E-3</c:v>
                </c:pt>
                <c:pt idx="1201">
                  <c:v>-4.0732573553572737E-2</c:v>
                </c:pt>
                <c:pt idx="1202">
                  <c:v>-6.7444376871210743E-3</c:v>
                </c:pt>
                <c:pt idx="1203">
                  <c:v>-1.7407552693808892E-3</c:v>
                </c:pt>
                <c:pt idx="1204">
                  <c:v>9.0301509438871497E-3</c:v>
                </c:pt>
                <c:pt idx="1205">
                  <c:v>1.4073066793034661E-2</c:v>
                </c:pt>
                <c:pt idx="1206">
                  <c:v>1.2750933589457114E-2</c:v>
                </c:pt>
                <c:pt idx="1207">
                  <c:v>1.2991003616127483E-2</c:v>
                </c:pt>
                <c:pt idx="1208">
                  <c:v>2.2868115769911768E-3</c:v>
                </c:pt>
                <c:pt idx="1209">
                  <c:v>1.8798997433521203E-2</c:v>
                </c:pt>
                <c:pt idx="1210">
                  <c:v>1.284169192447715E-2</c:v>
                </c:pt>
                <c:pt idx="1211">
                  <c:v>-3.9277686620811103E-3</c:v>
                </c:pt>
                <c:pt idx="1212">
                  <c:v>1.268084584899265E-2</c:v>
                </c:pt>
                <c:pt idx="1213">
                  <c:v>2.5624799933308684E-2</c:v>
                </c:pt>
                <c:pt idx="1214">
                  <c:v>-9.2420257057566069E-3</c:v>
                </c:pt>
                <c:pt idx="1215">
                  <c:v>1.1345819368799637E-2</c:v>
                </c:pt>
                <c:pt idx="1216">
                  <c:v>-4.0910809907802603E-3</c:v>
                </c:pt>
                <c:pt idx="1217">
                  <c:v>-2.2929444818134304E-2</c:v>
                </c:pt>
                <c:pt idx="1218">
                  <c:v>-0.11986156783215218</c:v>
                </c:pt>
                <c:pt idx="1219">
                  <c:v>1.2681247906365822E-2</c:v>
                </c:pt>
                <c:pt idx="1220">
                  <c:v>7.6139794151108831E-3</c:v>
                </c:pt>
                <c:pt idx="1221">
                  <c:v>5.2358359438364532E-2</c:v>
                </c:pt>
                <c:pt idx="1222">
                  <c:v>1.0547112424384109E-2</c:v>
                </c:pt>
                <c:pt idx="1223">
                  <c:v>1.6914793949054152E-2</c:v>
                </c:pt>
                <c:pt idx="1224">
                  <c:v>1.3170182403805519E-2</c:v>
                </c:pt>
                <c:pt idx="1225">
                  <c:v>3.578879707047955E-4</c:v>
                </c:pt>
                <c:pt idx="1226">
                  <c:v>-2.2383337912175172E-3</c:v>
                </c:pt>
                <c:pt idx="1227">
                  <c:v>-1.1483289356136184E-2</c:v>
                </c:pt>
                <c:pt idx="1228">
                  <c:v>-6.5962463820853356E-3</c:v>
                </c:pt>
                <c:pt idx="1229">
                  <c:v>-3.6855182304357914E-2</c:v>
                </c:pt>
                <c:pt idx="1230">
                  <c:v>1.416497389934035E-2</c:v>
                </c:pt>
                <c:pt idx="1231">
                  <c:v>-1.436155541057238E-2</c:v>
                </c:pt>
                <c:pt idx="1232">
                  <c:v>1.0541342232509576E-2</c:v>
                </c:pt>
                <c:pt idx="1233">
                  <c:v>-3.0229144573353794E-3</c:v>
                </c:pt>
                <c:pt idx="1234">
                  <c:v>6.7045861183112621E-5</c:v>
                </c:pt>
                <c:pt idx="1235">
                  <c:v>-3.4608783524102682E-3</c:v>
                </c:pt>
                <c:pt idx="1236">
                  <c:v>-1.3652731044664357E-2</c:v>
                </c:pt>
                <c:pt idx="1237">
                  <c:v>4.0500700495491815E-2</c:v>
                </c:pt>
                <c:pt idx="1238">
                  <c:v>-3.0136463908575384E-2</c:v>
                </c:pt>
                <c:pt idx="1239">
                  <c:v>-1.6856557987091292E-2</c:v>
                </c:pt>
                <c:pt idx="1240">
                  <c:v>4.1524790841850345E-3</c:v>
                </c:pt>
                <c:pt idx="1241">
                  <c:v>1.9864143432030246E-2</c:v>
                </c:pt>
                <c:pt idx="1242">
                  <c:v>1.4122429734501729E-2</c:v>
                </c:pt>
                <c:pt idx="1243">
                  <c:v>-7.7595081531649512E-3</c:v>
                </c:pt>
                <c:pt idx="1244">
                  <c:v>1.6324040014111807E-2</c:v>
                </c:pt>
                <c:pt idx="1245">
                  <c:v>9.8013507138121625E-3</c:v>
                </c:pt>
                <c:pt idx="1246">
                  <c:v>-4.0967409480907602E-4</c:v>
                </c:pt>
                <c:pt idx="1247">
                  <c:v>-6.4366644194006062E-3</c:v>
                </c:pt>
                <c:pt idx="1248">
                  <c:v>4.9318369344326651E-3</c:v>
                </c:pt>
                <c:pt idx="1249">
                  <c:v>-2.2477363507208636E-2</c:v>
                </c:pt>
                <c:pt idx="1250">
                  <c:v>9.701539631050915E-3</c:v>
                </c:pt>
                <c:pt idx="1251">
                  <c:v>-2.4498668896899334E-2</c:v>
                </c:pt>
                <c:pt idx="1252">
                  <c:v>4.5834952313820176E-3</c:v>
                </c:pt>
                <c:pt idx="1253">
                  <c:v>-1.0620527804257041E-2</c:v>
                </c:pt>
                <c:pt idx="1254">
                  <c:v>1.0083252588605207E-2</c:v>
                </c:pt>
                <c:pt idx="1255">
                  <c:v>-6.9552872960543244E-4</c:v>
                </c:pt>
                <c:pt idx="1256">
                  <c:v>2.2802552343685889E-3</c:v>
                </c:pt>
                <c:pt idx="1257">
                  <c:v>-5.3947705286822023E-3</c:v>
                </c:pt>
                <c:pt idx="1258">
                  <c:v>2.7688460272234927E-5</c:v>
                </c:pt>
                <c:pt idx="1259">
                  <c:v>-1.1444744391718498E-2</c:v>
                </c:pt>
                <c:pt idx="1260">
                  <c:v>-2.9197525145570058E-3</c:v>
                </c:pt>
                <c:pt idx="1261">
                  <c:v>5.0985843559470112E-4</c:v>
                </c:pt>
                <c:pt idx="1262">
                  <c:v>8.5088554979599884E-3</c:v>
                </c:pt>
                <c:pt idx="1263">
                  <c:v>-3.0095039380278688E-2</c:v>
                </c:pt>
                <c:pt idx="1264">
                  <c:v>-9.7491653551176061E-3</c:v>
                </c:pt>
                <c:pt idx="1265">
                  <c:v>-1.4547917119589915E-2</c:v>
                </c:pt>
                <c:pt idx="1266">
                  <c:v>2.6149858667416925E-3</c:v>
                </c:pt>
                <c:pt idx="1267">
                  <c:v>2.3729148970387248E-2</c:v>
                </c:pt>
                <c:pt idx="1268">
                  <c:v>-2.1884309362178334E-2</c:v>
                </c:pt>
                <c:pt idx="1269">
                  <c:v>1.0385926764854503E-2</c:v>
                </c:pt>
                <c:pt idx="1270">
                  <c:v>-8.9982081840191963E-3</c:v>
                </c:pt>
                <c:pt idx="1271">
                  <c:v>5.0622099160728684E-3</c:v>
                </c:pt>
                <c:pt idx="1272">
                  <c:v>1.4135105713330764E-2</c:v>
                </c:pt>
                <c:pt idx="1273">
                  <c:v>1.4958851702338793E-2</c:v>
                </c:pt>
                <c:pt idx="1274">
                  <c:v>1.0419701255243607E-2</c:v>
                </c:pt>
                <c:pt idx="1275">
                  <c:v>-1.9078718514391912E-2</c:v>
                </c:pt>
                <c:pt idx="1276">
                  <c:v>-1.1699441862006554E-2</c:v>
                </c:pt>
                <c:pt idx="1277">
                  <c:v>8.5286720536288385E-3</c:v>
                </c:pt>
                <c:pt idx="1278">
                  <c:v>-5.6774788502624851E-3</c:v>
                </c:pt>
                <c:pt idx="1279">
                  <c:v>-1.8224458823150158E-2</c:v>
                </c:pt>
                <c:pt idx="1280">
                  <c:v>1.0536586696785477E-4</c:v>
                </c:pt>
                <c:pt idx="1281">
                  <c:v>-9.1040031292531909E-3</c:v>
                </c:pt>
                <c:pt idx="1282">
                  <c:v>1.5389406271145045E-2</c:v>
                </c:pt>
                <c:pt idx="1283">
                  <c:v>0.12574254510100669</c:v>
                </c:pt>
                <c:pt idx="1284">
                  <c:v>-2.0362423946162056E-2</c:v>
                </c:pt>
                <c:pt idx="1285">
                  <c:v>3.7019443240187688E-2</c:v>
                </c:pt>
                <c:pt idx="1286">
                  <c:v>-5.761731938531689E-3</c:v>
                </c:pt>
                <c:pt idx="1287">
                  <c:v>1.1541526081300768E-2</c:v>
                </c:pt>
                <c:pt idx="1288">
                  <c:v>1.72410078069547E-2</c:v>
                </c:pt>
                <c:pt idx="1289">
                  <c:v>-4.8159100676010702E-3</c:v>
                </c:pt>
                <c:pt idx="1290">
                  <c:v>-6.4341185168905746E-3</c:v>
                </c:pt>
                <c:pt idx="1291">
                  <c:v>9.6880153488024812E-3</c:v>
                </c:pt>
                <c:pt idx="1292">
                  <c:v>7.0885542949976621E-3</c:v>
                </c:pt>
                <c:pt idx="1293">
                  <c:v>-1.0964371962762787E-3</c:v>
                </c:pt>
                <c:pt idx="1294">
                  <c:v>-1.1528275502730057E-2</c:v>
                </c:pt>
                <c:pt idx="1295">
                  <c:v>6.5898583509229613E-3</c:v>
                </c:pt>
                <c:pt idx="1296">
                  <c:v>-2.0214416848166605E-3</c:v>
                </c:pt>
                <c:pt idx="1297">
                  <c:v>-1.0184143427035663E-2</c:v>
                </c:pt>
                <c:pt idx="1298">
                  <c:v>1.3196125354963728E-2</c:v>
                </c:pt>
                <c:pt idx="1299">
                  <c:v>4.0254123552929677E-4</c:v>
                </c:pt>
                <c:pt idx="1300">
                  <c:v>8.8604151649530616E-3</c:v>
                </c:pt>
                <c:pt idx="1301">
                  <c:v>-2.8779174871419455E-3</c:v>
                </c:pt>
                <c:pt idx="1302">
                  <c:v>1.9560798758390341E-2</c:v>
                </c:pt>
                <c:pt idx="1303">
                  <c:v>-9.2487056752462715E-3</c:v>
                </c:pt>
                <c:pt idx="1304">
                  <c:v>-2.2582933225864243E-3</c:v>
                </c:pt>
                <c:pt idx="1305">
                  <c:v>4.1951038214111946E-3</c:v>
                </c:pt>
                <c:pt idx="1306">
                  <c:v>5.9442023930647014E-3</c:v>
                </c:pt>
                <c:pt idx="1307">
                  <c:v>-8.7277468173623252E-3</c:v>
                </c:pt>
                <c:pt idx="1308">
                  <c:v>-9.7804798226297507E-5</c:v>
                </c:pt>
                <c:pt idx="1309">
                  <c:v>-3.2604567130761763E-3</c:v>
                </c:pt>
                <c:pt idx="1310">
                  <c:v>1.3553080278871921E-3</c:v>
                </c:pt>
                <c:pt idx="1311">
                  <c:v>-8.5869283099104798E-4</c:v>
                </c:pt>
                <c:pt idx="1312">
                  <c:v>-3.9800410888984894E-3</c:v>
                </c:pt>
                <c:pt idx="1313">
                  <c:v>2.3264421254519885E-2</c:v>
                </c:pt>
                <c:pt idx="1314">
                  <c:v>-7.212225824675067E-3</c:v>
                </c:pt>
                <c:pt idx="1315">
                  <c:v>2.0378476812293655E-2</c:v>
                </c:pt>
                <c:pt idx="1316">
                  <c:v>9.0156259867822941E-3</c:v>
                </c:pt>
                <c:pt idx="1317">
                  <c:v>-9.5356849655805487E-3</c:v>
                </c:pt>
                <c:pt idx="1318">
                  <c:v>8.1156367908004068E-3</c:v>
                </c:pt>
                <c:pt idx="1319">
                  <c:v>-7.4736182448293942E-3</c:v>
                </c:pt>
                <c:pt idx="1320">
                  <c:v>3.9886311738801528E-4</c:v>
                </c:pt>
                <c:pt idx="1321">
                  <c:v>5.0881212617093219E-5</c:v>
                </c:pt>
                <c:pt idx="1322">
                  <c:v>-1.7531431351487381E-3</c:v>
                </c:pt>
                <c:pt idx="1323">
                  <c:v>-1.9144941279249927E-3</c:v>
                </c:pt>
                <c:pt idx="1324">
                  <c:v>2.151278911723209E-2</c:v>
                </c:pt>
                <c:pt idx="1325">
                  <c:v>5.687877703199451E-3</c:v>
                </c:pt>
                <c:pt idx="1326">
                  <c:v>1.1358219597111585E-2</c:v>
                </c:pt>
                <c:pt idx="1327">
                  <c:v>-2.0013351027439175E-3</c:v>
                </c:pt>
                <c:pt idx="1328">
                  <c:v>-1.1611352286802212E-3</c:v>
                </c:pt>
                <c:pt idx="1329">
                  <c:v>-8.1137812331025794E-3</c:v>
                </c:pt>
                <c:pt idx="1330">
                  <c:v>1.9790563560221353E-3</c:v>
                </c:pt>
                <c:pt idx="1331">
                  <c:v>-7.6867973215910546E-3</c:v>
                </c:pt>
                <c:pt idx="1332">
                  <c:v>1.7951440423673581E-3</c:v>
                </c:pt>
                <c:pt idx="1333">
                  <c:v>-2.8634861848023663E-3</c:v>
                </c:pt>
                <c:pt idx="1334">
                  <c:v>-5.0158120165487707E-3</c:v>
                </c:pt>
                <c:pt idx="1335">
                  <c:v>-2.6715227710779943E-2</c:v>
                </c:pt>
                <c:pt idx="1336">
                  <c:v>-1.0363831435080684E-3</c:v>
                </c:pt>
                <c:pt idx="1337">
                  <c:v>-2.9648431627357752E-2</c:v>
                </c:pt>
                <c:pt idx="1338">
                  <c:v>-7.1046000803766107E-3</c:v>
                </c:pt>
                <c:pt idx="1339">
                  <c:v>-2.6630201048080115E-3</c:v>
                </c:pt>
                <c:pt idx="1340">
                  <c:v>-1.0995990422570934E-2</c:v>
                </c:pt>
                <c:pt idx="1341">
                  <c:v>-1.0894528084326893E-2</c:v>
                </c:pt>
                <c:pt idx="1342">
                  <c:v>1.6307284285865697E-2</c:v>
                </c:pt>
                <c:pt idx="1343">
                  <c:v>3.3256678958581753E-2</c:v>
                </c:pt>
                <c:pt idx="1344">
                  <c:v>2.1310679805268462E-2</c:v>
                </c:pt>
                <c:pt idx="1345">
                  <c:v>1.1154972393086049E-2</c:v>
                </c:pt>
                <c:pt idx="1346">
                  <c:v>-1.2315786194112555E-3</c:v>
                </c:pt>
                <c:pt idx="1347">
                  <c:v>5.5189933769743682E-3</c:v>
                </c:pt>
                <c:pt idx="1348">
                  <c:v>7.5502196904837504E-3</c:v>
                </c:pt>
                <c:pt idx="1349">
                  <c:v>5.106708688992212E-3</c:v>
                </c:pt>
                <c:pt idx="1350">
                  <c:v>-1.8543037208594848E-3</c:v>
                </c:pt>
                <c:pt idx="1351">
                  <c:v>-1.1005141297567356E-2</c:v>
                </c:pt>
                <c:pt idx="1352">
                  <c:v>-1.9298796058274448E-2</c:v>
                </c:pt>
                <c:pt idx="1353">
                  <c:v>2.4305033873350368E-2</c:v>
                </c:pt>
                <c:pt idx="1354">
                  <c:v>-6.5474269096655879E-3</c:v>
                </c:pt>
                <c:pt idx="1355">
                  <c:v>-7.9500952310511686E-3</c:v>
                </c:pt>
                <c:pt idx="1356">
                  <c:v>-1.5971679804691163E-2</c:v>
                </c:pt>
                <c:pt idx="1357">
                  <c:v>-8.4260451431417138E-3</c:v>
                </c:pt>
                <c:pt idx="1358">
                  <c:v>-1.2929065264505546E-2</c:v>
                </c:pt>
                <c:pt idx="1359">
                  <c:v>8.1452958623065008E-3</c:v>
                </c:pt>
                <c:pt idx="1360">
                  <c:v>3.2460835363380403E-3</c:v>
                </c:pt>
                <c:pt idx="1361">
                  <c:v>-8.2724069531767697E-3</c:v>
                </c:pt>
                <c:pt idx="1362">
                  <c:v>-1.8100223315219321E-2</c:v>
                </c:pt>
                <c:pt idx="1363">
                  <c:v>4.6944787276199329E-2</c:v>
                </c:pt>
                <c:pt idx="1364">
                  <c:v>-2.782577632434502E-2</c:v>
                </c:pt>
                <c:pt idx="1365">
                  <c:v>-2.2743865474145863E-2</c:v>
                </c:pt>
                <c:pt idx="1366">
                  <c:v>1.8733234210195349E-2</c:v>
                </c:pt>
                <c:pt idx="1367">
                  <c:v>-1.5905379956638765E-2</c:v>
                </c:pt>
                <c:pt idx="1368">
                  <c:v>1.1614099300794267E-2</c:v>
                </c:pt>
                <c:pt idx="1369">
                  <c:v>1.0317866421536426E-3</c:v>
                </c:pt>
                <c:pt idx="1370">
                  <c:v>1.0128105463886872E-2</c:v>
                </c:pt>
                <c:pt idx="1371">
                  <c:v>1.8045409637335696E-2</c:v>
                </c:pt>
                <c:pt idx="1372">
                  <c:v>-4.2412286701652979E-3</c:v>
                </c:pt>
                <c:pt idx="1373">
                  <c:v>-1.3761239896754929E-2</c:v>
                </c:pt>
                <c:pt idx="1374">
                  <c:v>4.4040189361619353E-3</c:v>
                </c:pt>
                <c:pt idx="1375">
                  <c:v>1.0367262474948458E-3</c:v>
                </c:pt>
                <c:pt idx="1376">
                  <c:v>6.373569178055094E-3</c:v>
                </c:pt>
                <c:pt idx="1377">
                  <c:v>4.2135003978411856E-3</c:v>
                </c:pt>
                <c:pt idx="1378">
                  <c:v>2.0100187729559682E-2</c:v>
                </c:pt>
                <c:pt idx="1379">
                  <c:v>6.4341978156463586E-3</c:v>
                </c:pt>
                <c:pt idx="1380">
                  <c:v>1.0255494948050448E-2</c:v>
                </c:pt>
                <c:pt idx="1381">
                  <c:v>-7.8056799341388317E-3</c:v>
                </c:pt>
                <c:pt idx="1382">
                  <c:v>-1.4395501422046597E-2</c:v>
                </c:pt>
                <c:pt idx="1383">
                  <c:v>-2.869981729269333E-3</c:v>
                </c:pt>
                <c:pt idx="1384">
                  <c:v>1.2740591458373918E-2</c:v>
                </c:pt>
                <c:pt idx="1385">
                  <c:v>1.7411571701785311E-3</c:v>
                </c:pt>
                <c:pt idx="1386">
                  <c:v>4.0769135414785218E-2</c:v>
                </c:pt>
                <c:pt idx="1387">
                  <c:v>4.1171217239144298E-4</c:v>
                </c:pt>
                <c:pt idx="1388">
                  <c:v>-3.1929841009721405E-2</c:v>
                </c:pt>
                <c:pt idx="1389">
                  <c:v>4.1648478038589509E-3</c:v>
                </c:pt>
                <c:pt idx="1390">
                  <c:v>1.03213032309869E-2</c:v>
                </c:pt>
                <c:pt idx="1391">
                  <c:v>7.9331739328587503E-3</c:v>
                </c:pt>
                <c:pt idx="1392">
                  <c:v>-8.1283014316038127E-3</c:v>
                </c:pt>
                <c:pt idx="1393">
                  <c:v>-1.9622133238741402E-2</c:v>
                </c:pt>
                <c:pt idx="1394">
                  <c:v>7.9447250881216069E-3</c:v>
                </c:pt>
                <c:pt idx="1395">
                  <c:v>8.0890565946377668E-3</c:v>
                </c:pt>
                <c:pt idx="1396">
                  <c:v>-1.3244103347704761E-2</c:v>
                </c:pt>
                <c:pt idx="1397">
                  <c:v>7.7524987067811857E-3</c:v>
                </c:pt>
                <c:pt idx="1398">
                  <c:v>-1.2564365975300307E-2</c:v>
                </c:pt>
                <c:pt idx="1399">
                  <c:v>-3.3389778925684288E-3</c:v>
                </c:pt>
                <c:pt idx="1400">
                  <c:v>-1.6098538726494693E-2</c:v>
                </c:pt>
                <c:pt idx="1401">
                  <c:v>9.928428377834031E-3</c:v>
                </c:pt>
                <c:pt idx="1402">
                  <c:v>8.3180261735136263E-3</c:v>
                </c:pt>
                <c:pt idx="1403">
                  <c:v>-2.5810862571603255E-2</c:v>
                </c:pt>
                <c:pt idx="1404">
                  <c:v>2.0358316902014173E-2</c:v>
                </c:pt>
                <c:pt idx="1405">
                  <c:v>-0.24704391189906916</c:v>
                </c:pt>
                <c:pt idx="1406">
                  <c:v>1.0259337205703378E-2</c:v>
                </c:pt>
                <c:pt idx="1407">
                  <c:v>2.2943979797789948E-2</c:v>
                </c:pt>
                <c:pt idx="1408">
                  <c:v>3.2348526306063996E-2</c:v>
                </c:pt>
                <c:pt idx="1409">
                  <c:v>1.1884011646950965E-2</c:v>
                </c:pt>
                <c:pt idx="1410">
                  <c:v>-7.7512755457876947E-3</c:v>
                </c:pt>
                <c:pt idx="1411">
                  <c:v>-1.0850485597557968E-2</c:v>
                </c:pt>
                <c:pt idx="1412">
                  <c:v>3.1935310220598812E-3</c:v>
                </c:pt>
                <c:pt idx="1413">
                  <c:v>-5.2561501998623639E-3</c:v>
                </c:pt>
                <c:pt idx="1414">
                  <c:v>-1.5313064432739276E-3</c:v>
                </c:pt>
                <c:pt idx="1415">
                  <c:v>-2.3910202135111192E-3</c:v>
                </c:pt>
                <c:pt idx="1416">
                  <c:v>5.9581580836525205E-3</c:v>
                </c:pt>
                <c:pt idx="1417">
                  <c:v>-1.812293312635882E-3</c:v>
                </c:pt>
                <c:pt idx="1418">
                  <c:v>-1.0131850020702604E-3</c:v>
                </c:pt>
                <c:pt idx="1419">
                  <c:v>1.1642976250949566E-3</c:v>
                </c:pt>
                <c:pt idx="1420">
                  <c:v>1.9410897883997968E-3</c:v>
                </c:pt>
                <c:pt idx="1421">
                  <c:v>-1.0293841099249579E-2</c:v>
                </c:pt>
                <c:pt idx="1422">
                  <c:v>1.5467330860875483E-2</c:v>
                </c:pt>
                <c:pt idx="1423">
                  <c:v>4.3129782229811564E-3</c:v>
                </c:pt>
                <c:pt idx="1424">
                  <c:v>-1.7614952979935095E-2</c:v>
                </c:pt>
                <c:pt idx="1425">
                  <c:v>1.1186794938190303E-2</c:v>
                </c:pt>
                <c:pt idx="1426">
                  <c:v>1.7859518816015219E-2</c:v>
                </c:pt>
                <c:pt idx="1427">
                  <c:v>1.5758689083488986E-2</c:v>
                </c:pt>
                <c:pt idx="1428">
                  <c:v>2.401782371493888E-2</c:v>
                </c:pt>
                <c:pt idx="1429">
                  <c:v>1.3323564677595323E-2</c:v>
                </c:pt>
                <c:pt idx="1430">
                  <c:v>4.2458658253941017E-3</c:v>
                </c:pt>
                <c:pt idx="1431">
                  <c:v>-1.3761394093313228E-2</c:v>
                </c:pt>
                <c:pt idx="1432">
                  <c:v>-1.6760899840501553E-2</c:v>
                </c:pt>
                <c:pt idx="1433">
                  <c:v>-4.7597977942981373E-4</c:v>
                </c:pt>
                <c:pt idx="1434">
                  <c:v>-1.7329529053292103E-2</c:v>
                </c:pt>
                <c:pt idx="1435">
                  <c:v>-9.4805372736239679E-3</c:v>
                </c:pt>
                <c:pt idx="1436">
                  <c:v>2.1721931846659936E-3</c:v>
                </c:pt>
                <c:pt idx="1437">
                  <c:v>1.0486126429985365E-2</c:v>
                </c:pt>
                <c:pt idx="1438">
                  <c:v>-4.5756021791093504E-3</c:v>
                </c:pt>
                <c:pt idx="1439">
                  <c:v>-8.2663833690973521E-3</c:v>
                </c:pt>
                <c:pt idx="1440">
                  <c:v>-6.736520802041901E-3</c:v>
                </c:pt>
                <c:pt idx="1441">
                  <c:v>3.9490899724533568E-3</c:v>
                </c:pt>
                <c:pt idx="1442">
                  <c:v>1.0124638712251777E-2</c:v>
                </c:pt>
                <c:pt idx="1443">
                  <c:v>-3.6974928306943156E-4</c:v>
                </c:pt>
                <c:pt idx="1444">
                  <c:v>-1.3180894258280063E-6</c:v>
                </c:pt>
                <c:pt idx="1445">
                  <c:v>-7.5429712464348819E-3</c:v>
                </c:pt>
                <c:pt idx="1446">
                  <c:v>1.261014153568718E-3</c:v>
                </c:pt>
                <c:pt idx="1447">
                  <c:v>-2.2354393331383005E-3</c:v>
                </c:pt>
                <c:pt idx="1448">
                  <c:v>-2.8970287398988326E-3</c:v>
                </c:pt>
                <c:pt idx="1449">
                  <c:v>1.6920248489797229E-2</c:v>
                </c:pt>
                <c:pt idx="1450">
                  <c:v>-1.0946788088629589E-2</c:v>
                </c:pt>
                <c:pt idx="1451">
                  <c:v>-7.6773730434063214E-3</c:v>
                </c:pt>
                <c:pt idx="1452">
                  <c:v>-1.4379148254250018E-2</c:v>
                </c:pt>
                <c:pt idx="1453">
                  <c:v>-1.0192695852502931E-2</c:v>
                </c:pt>
                <c:pt idx="1454">
                  <c:v>8.1639815874459121E-3</c:v>
                </c:pt>
                <c:pt idx="1455">
                  <c:v>1.1902186831245443E-2</c:v>
                </c:pt>
                <c:pt idx="1456">
                  <c:v>-5.7625023232876771E-3</c:v>
                </c:pt>
                <c:pt idx="1457">
                  <c:v>-4.9431677257172346E-4</c:v>
                </c:pt>
                <c:pt idx="1458">
                  <c:v>1.1356788957140651E-2</c:v>
                </c:pt>
                <c:pt idx="1459">
                  <c:v>-9.0599910590893895E-3</c:v>
                </c:pt>
                <c:pt idx="1460">
                  <c:v>-7.2719736183383121E-3</c:v>
                </c:pt>
                <c:pt idx="1461">
                  <c:v>1.6332423555422748E-2</c:v>
                </c:pt>
                <c:pt idx="1462">
                  <c:v>-3.5561325187638548E-3</c:v>
                </c:pt>
                <c:pt idx="1463">
                  <c:v>1.3663822146536275E-2</c:v>
                </c:pt>
                <c:pt idx="1464">
                  <c:v>5.9280921781570406E-3</c:v>
                </c:pt>
                <c:pt idx="1465">
                  <c:v>-1.0518611988398208E-2</c:v>
                </c:pt>
                <c:pt idx="1466">
                  <c:v>1.0263352228068845E-2</c:v>
                </c:pt>
                <c:pt idx="1467">
                  <c:v>-1.3909799954777036E-2</c:v>
                </c:pt>
                <c:pt idx="1468">
                  <c:v>-1.2931656412400239E-2</c:v>
                </c:pt>
                <c:pt idx="1469">
                  <c:v>-0.13730633442489304</c:v>
                </c:pt>
                <c:pt idx="1470">
                  <c:v>-1.0532589367174161E-2</c:v>
                </c:pt>
                <c:pt idx="1471">
                  <c:v>-2.0533242164447518E-2</c:v>
                </c:pt>
                <c:pt idx="1472">
                  <c:v>1.3766150473793592E-2</c:v>
                </c:pt>
                <c:pt idx="1473">
                  <c:v>-1.8982785656243006E-3</c:v>
                </c:pt>
                <c:pt idx="1474">
                  <c:v>2.6920054915822167E-3</c:v>
                </c:pt>
                <c:pt idx="1475">
                  <c:v>-8.03116659987968E-3</c:v>
                </c:pt>
                <c:pt idx="1476">
                  <c:v>-3.4466613982209182E-3</c:v>
                </c:pt>
                <c:pt idx="1477">
                  <c:v>-5.7374050421686862E-3</c:v>
                </c:pt>
                <c:pt idx="1478">
                  <c:v>-1.3231314676750205E-2</c:v>
                </c:pt>
                <c:pt idx="1479">
                  <c:v>1.5823243018523891E-2</c:v>
                </c:pt>
                <c:pt idx="1480">
                  <c:v>1.420702620452019E-3</c:v>
                </c:pt>
                <c:pt idx="1481">
                  <c:v>1.8825969493124428E-2</c:v>
                </c:pt>
                <c:pt idx="1482">
                  <c:v>2.7778223088472664E-3</c:v>
                </c:pt>
                <c:pt idx="1483">
                  <c:v>9.7363576564075682E-3</c:v>
                </c:pt>
                <c:pt idx="1484">
                  <c:v>6.4917984911193605E-3</c:v>
                </c:pt>
                <c:pt idx="1485">
                  <c:v>-2.0538487819995455E-2</c:v>
                </c:pt>
                <c:pt idx="1486">
                  <c:v>1.6973086812392846E-2</c:v>
                </c:pt>
                <c:pt idx="1487">
                  <c:v>-1.713968295542867E-2</c:v>
                </c:pt>
                <c:pt idx="1488">
                  <c:v>-6.8716149001211146E-3</c:v>
                </c:pt>
                <c:pt idx="1489">
                  <c:v>3.7841724294174206E-3</c:v>
                </c:pt>
                <c:pt idx="1490">
                  <c:v>2.0361096912897558E-3</c:v>
                </c:pt>
                <c:pt idx="1491">
                  <c:v>-7.2909728138261798E-3</c:v>
                </c:pt>
                <c:pt idx="1492">
                  <c:v>-2.3502461938198937E-2</c:v>
                </c:pt>
                <c:pt idx="1493">
                  <c:v>1.1906277461409598E-2</c:v>
                </c:pt>
                <c:pt idx="1494">
                  <c:v>2.6394179465182743E-2</c:v>
                </c:pt>
                <c:pt idx="1495">
                  <c:v>1.9108079962830482E-2</c:v>
                </c:pt>
                <c:pt idx="1496">
                  <c:v>-8.1676837698796412E-3</c:v>
                </c:pt>
                <c:pt idx="1497">
                  <c:v>2.8840458115420908E-2</c:v>
                </c:pt>
                <c:pt idx="1498">
                  <c:v>1.0125188502764448E-2</c:v>
                </c:pt>
                <c:pt idx="1499">
                  <c:v>-3.58777903102665E-2</c:v>
                </c:pt>
                <c:pt idx="1500">
                  <c:v>2.2803904562380906E-2</c:v>
                </c:pt>
                <c:pt idx="1501">
                  <c:v>9.6484028612858763E-3</c:v>
                </c:pt>
                <c:pt idx="1502">
                  <c:v>5.8692143673078068E-3</c:v>
                </c:pt>
                <c:pt idx="1503">
                  <c:v>1.1044611516964897E-2</c:v>
                </c:pt>
                <c:pt idx="1504">
                  <c:v>3.4995186521891153E-3</c:v>
                </c:pt>
                <c:pt idx="1505">
                  <c:v>-9.3248016991200888E-3</c:v>
                </c:pt>
                <c:pt idx="1506">
                  <c:v>1.278712277407057E-3</c:v>
                </c:pt>
                <c:pt idx="1507">
                  <c:v>-9.0957146227544916E-3</c:v>
                </c:pt>
                <c:pt idx="1508">
                  <c:v>0</c:v>
                </c:pt>
              </c:numCache>
            </c:numRef>
          </c:val>
          <c:extLst>
            <c:ext xmlns:c16="http://schemas.microsoft.com/office/drawing/2014/chart" uri="{C3380CC4-5D6E-409C-BE32-E72D297353CC}">
              <c16:uniqueId val="{00000000-D2BA-4943-AF0B-B5092F9959BA}"/>
            </c:ext>
          </c:extLst>
        </c:ser>
        <c:dLbls>
          <c:showLegendKey val="0"/>
          <c:showVal val="0"/>
          <c:showCatName val="0"/>
          <c:showSerName val="0"/>
          <c:showPercent val="0"/>
          <c:showBubbleSize val="0"/>
        </c:dLbls>
        <c:axId val="1989869088"/>
        <c:axId val="1989870048"/>
      </c:areaChart>
      <c:dateAx>
        <c:axId val="198986908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870048"/>
        <c:crosses val="autoZero"/>
        <c:auto val="1"/>
        <c:lblOffset val="100"/>
        <c:baseTimeUnit val="days"/>
      </c:dateAx>
      <c:valAx>
        <c:axId val="1989870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8690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 6 Years  Performance against NASDAQ</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lineChart>
        <c:grouping val="stacked"/>
        <c:varyColors val="0"/>
        <c:ser>
          <c:idx val="0"/>
          <c:order val="0"/>
          <c:spPr>
            <a:ln w="22225" cap="rnd" cmpd="sng" algn="ctr">
              <a:solidFill>
                <a:schemeClr val="accent1"/>
              </a:solidFill>
              <a:round/>
            </a:ln>
            <a:effectLst/>
          </c:spPr>
          <c:marker>
            <c:symbol val="none"/>
          </c:marker>
          <c:cat>
            <c:numRef>
              <c:f>'6Y STOCK PERFORMANCE'!$A$2:$A$1510</c:f>
              <c:numCache>
                <c:formatCode>m/d/yyyy</c:formatCode>
                <c:ptCount val="1509"/>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pt idx="1278">
                  <c:v>44957</c:v>
                </c:pt>
                <c:pt idx="1279">
                  <c:v>44958</c:v>
                </c:pt>
                <c:pt idx="1280">
                  <c:v>44959</c:v>
                </c:pt>
                <c:pt idx="1281">
                  <c:v>44960</c:v>
                </c:pt>
                <c:pt idx="1282">
                  <c:v>44963</c:v>
                </c:pt>
                <c:pt idx="1283">
                  <c:v>44964</c:v>
                </c:pt>
                <c:pt idx="1284">
                  <c:v>44965</c:v>
                </c:pt>
                <c:pt idx="1285">
                  <c:v>44966</c:v>
                </c:pt>
                <c:pt idx="1286">
                  <c:v>44967</c:v>
                </c:pt>
                <c:pt idx="1287">
                  <c:v>44970</c:v>
                </c:pt>
                <c:pt idx="1288">
                  <c:v>44971</c:v>
                </c:pt>
                <c:pt idx="1289">
                  <c:v>44972</c:v>
                </c:pt>
                <c:pt idx="1290">
                  <c:v>44973</c:v>
                </c:pt>
                <c:pt idx="1291">
                  <c:v>44974</c:v>
                </c:pt>
                <c:pt idx="1292">
                  <c:v>44978</c:v>
                </c:pt>
                <c:pt idx="1293">
                  <c:v>44979</c:v>
                </c:pt>
                <c:pt idx="1294">
                  <c:v>44980</c:v>
                </c:pt>
                <c:pt idx="1295">
                  <c:v>44981</c:v>
                </c:pt>
                <c:pt idx="1296">
                  <c:v>44984</c:v>
                </c:pt>
                <c:pt idx="1297">
                  <c:v>44985</c:v>
                </c:pt>
                <c:pt idx="1298">
                  <c:v>44986</c:v>
                </c:pt>
                <c:pt idx="1299">
                  <c:v>44987</c:v>
                </c:pt>
                <c:pt idx="1300">
                  <c:v>44988</c:v>
                </c:pt>
                <c:pt idx="1301">
                  <c:v>44991</c:v>
                </c:pt>
                <c:pt idx="1302">
                  <c:v>44992</c:v>
                </c:pt>
                <c:pt idx="1303">
                  <c:v>44993</c:v>
                </c:pt>
                <c:pt idx="1304">
                  <c:v>44994</c:v>
                </c:pt>
                <c:pt idx="1305">
                  <c:v>44995</c:v>
                </c:pt>
                <c:pt idx="1306">
                  <c:v>44998</c:v>
                </c:pt>
                <c:pt idx="1307">
                  <c:v>44999</c:v>
                </c:pt>
                <c:pt idx="1308">
                  <c:v>45000</c:v>
                </c:pt>
                <c:pt idx="1309">
                  <c:v>45001</c:v>
                </c:pt>
                <c:pt idx="1310">
                  <c:v>45002</c:v>
                </c:pt>
                <c:pt idx="1311">
                  <c:v>45005</c:v>
                </c:pt>
                <c:pt idx="1312">
                  <c:v>45006</c:v>
                </c:pt>
                <c:pt idx="1313">
                  <c:v>45007</c:v>
                </c:pt>
                <c:pt idx="1314">
                  <c:v>45008</c:v>
                </c:pt>
                <c:pt idx="1315">
                  <c:v>45009</c:v>
                </c:pt>
                <c:pt idx="1316">
                  <c:v>45012</c:v>
                </c:pt>
                <c:pt idx="1317">
                  <c:v>45013</c:v>
                </c:pt>
                <c:pt idx="1318">
                  <c:v>45014</c:v>
                </c:pt>
                <c:pt idx="1319">
                  <c:v>45015</c:v>
                </c:pt>
                <c:pt idx="1320">
                  <c:v>45016</c:v>
                </c:pt>
                <c:pt idx="1321">
                  <c:v>45019</c:v>
                </c:pt>
                <c:pt idx="1322">
                  <c:v>45020</c:v>
                </c:pt>
                <c:pt idx="1323">
                  <c:v>45021</c:v>
                </c:pt>
                <c:pt idx="1324">
                  <c:v>45022</c:v>
                </c:pt>
                <c:pt idx="1325">
                  <c:v>45026</c:v>
                </c:pt>
                <c:pt idx="1326">
                  <c:v>45027</c:v>
                </c:pt>
                <c:pt idx="1327">
                  <c:v>45028</c:v>
                </c:pt>
                <c:pt idx="1328">
                  <c:v>45029</c:v>
                </c:pt>
                <c:pt idx="1329">
                  <c:v>45030</c:v>
                </c:pt>
                <c:pt idx="1330">
                  <c:v>45033</c:v>
                </c:pt>
                <c:pt idx="1331">
                  <c:v>45034</c:v>
                </c:pt>
                <c:pt idx="1332">
                  <c:v>45035</c:v>
                </c:pt>
                <c:pt idx="1333">
                  <c:v>45036</c:v>
                </c:pt>
                <c:pt idx="1334">
                  <c:v>45037</c:v>
                </c:pt>
                <c:pt idx="1335">
                  <c:v>45040</c:v>
                </c:pt>
                <c:pt idx="1336">
                  <c:v>45041</c:v>
                </c:pt>
                <c:pt idx="1337">
                  <c:v>45042</c:v>
                </c:pt>
                <c:pt idx="1338">
                  <c:v>45043</c:v>
                </c:pt>
                <c:pt idx="1339">
                  <c:v>45044</c:v>
                </c:pt>
                <c:pt idx="1340">
                  <c:v>45047</c:v>
                </c:pt>
                <c:pt idx="1341">
                  <c:v>45048</c:v>
                </c:pt>
                <c:pt idx="1342">
                  <c:v>45049</c:v>
                </c:pt>
                <c:pt idx="1343">
                  <c:v>45050</c:v>
                </c:pt>
                <c:pt idx="1344">
                  <c:v>45051</c:v>
                </c:pt>
                <c:pt idx="1345">
                  <c:v>45054</c:v>
                </c:pt>
                <c:pt idx="1346">
                  <c:v>45055</c:v>
                </c:pt>
                <c:pt idx="1347">
                  <c:v>45056</c:v>
                </c:pt>
                <c:pt idx="1348">
                  <c:v>45057</c:v>
                </c:pt>
                <c:pt idx="1349">
                  <c:v>45058</c:v>
                </c:pt>
                <c:pt idx="1350">
                  <c:v>45061</c:v>
                </c:pt>
                <c:pt idx="1351">
                  <c:v>45062</c:v>
                </c:pt>
                <c:pt idx="1352">
                  <c:v>45063</c:v>
                </c:pt>
                <c:pt idx="1353">
                  <c:v>45064</c:v>
                </c:pt>
                <c:pt idx="1354">
                  <c:v>45065</c:v>
                </c:pt>
                <c:pt idx="1355">
                  <c:v>45068</c:v>
                </c:pt>
                <c:pt idx="1356">
                  <c:v>45069</c:v>
                </c:pt>
                <c:pt idx="1357">
                  <c:v>45070</c:v>
                </c:pt>
                <c:pt idx="1358">
                  <c:v>45071</c:v>
                </c:pt>
                <c:pt idx="1359">
                  <c:v>45072</c:v>
                </c:pt>
                <c:pt idx="1360">
                  <c:v>45076</c:v>
                </c:pt>
                <c:pt idx="1361">
                  <c:v>45077</c:v>
                </c:pt>
                <c:pt idx="1362">
                  <c:v>45078</c:v>
                </c:pt>
                <c:pt idx="1363">
                  <c:v>45079</c:v>
                </c:pt>
                <c:pt idx="1364">
                  <c:v>45082</c:v>
                </c:pt>
                <c:pt idx="1365">
                  <c:v>45083</c:v>
                </c:pt>
                <c:pt idx="1366">
                  <c:v>45084</c:v>
                </c:pt>
                <c:pt idx="1367">
                  <c:v>45085</c:v>
                </c:pt>
                <c:pt idx="1368">
                  <c:v>45086</c:v>
                </c:pt>
                <c:pt idx="1369">
                  <c:v>45089</c:v>
                </c:pt>
                <c:pt idx="1370">
                  <c:v>45090</c:v>
                </c:pt>
                <c:pt idx="1371">
                  <c:v>45091</c:v>
                </c:pt>
                <c:pt idx="1372">
                  <c:v>45092</c:v>
                </c:pt>
                <c:pt idx="1373">
                  <c:v>45093</c:v>
                </c:pt>
                <c:pt idx="1374">
                  <c:v>45097</c:v>
                </c:pt>
                <c:pt idx="1375">
                  <c:v>45098</c:v>
                </c:pt>
                <c:pt idx="1376">
                  <c:v>45099</c:v>
                </c:pt>
                <c:pt idx="1377">
                  <c:v>45100</c:v>
                </c:pt>
                <c:pt idx="1378">
                  <c:v>45103</c:v>
                </c:pt>
                <c:pt idx="1379">
                  <c:v>45104</c:v>
                </c:pt>
                <c:pt idx="1380">
                  <c:v>45105</c:v>
                </c:pt>
                <c:pt idx="1381">
                  <c:v>45106</c:v>
                </c:pt>
                <c:pt idx="1382">
                  <c:v>45107</c:v>
                </c:pt>
                <c:pt idx="1383">
                  <c:v>45110</c:v>
                </c:pt>
                <c:pt idx="1384">
                  <c:v>45112</c:v>
                </c:pt>
                <c:pt idx="1385">
                  <c:v>45113</c:v>
                </c:pt>
                <c:pt idx="1386">
                  <c:v>45114</c:v>
                </c:pt>
                <c:pt idx="1387">
                  <c:v>45117</c:v>
                </c:pt>
                <c:pt idx="1388">
                  <c:v>45118</c:v>
                </c:pt>
                <c:pt idx="1389">
                  <c:v>45119</c:v>
                </c:pt>
                <c:pt idx="1390">
                  <c:v>45120</c:v>
                </c:pt>
                <c:pt idx="1391">
                  <c:v>45121</c:v>
                </c:pt>
                <c:pt idx="1392">
                  <c:v>45124</c:v>
                </c:pt>
                <c:pt idx="1393">
                  <c:v>45125</c:v>
                </c:pt>
                <c:pt idx="1394">
                  <c:v>45126</c:v>
                </c:pt>
                <c:pt idx="1395">
                  <c:v>45127</c:v>
                </c:pt>
                <c:pt idx="1396">
                  <c:v>45128</c:v>
                </c:pt>
                <c:pt idx="1397">
                  <c:v>45131</c:v>
                </c:pt>
                <c:pt idx="1398">
                  <c:v>45132</c:v>
                </c:pt>
                <c:pt idx="1399">
                  <c:v>45133</c:v>
                </c:pt>
                <c:pt idx="1400">
                  <c:v>45134</c:v>
                </c:pt>
                <c:pt idx="1401">
                  <c:v>45135</c:v>
                </c:pt>
                <c:pt idx="1402">
                  <c:v>45138</c:v>
                </c:pt>
                <c:pt idx="1403">
                  <c:v>45139</c:v>
                </c:pt>
                <c:pt idx="1404">
                  <c:v>45140</c:v>
                </c:pt>
                <c:pt idx="1405">
                  <c:v>45141</c:v>
                </c:pt>
                <c:pt idx="1406">
                  <c:v>45142</c:v>
                </c:pt>
                <c:pt idx="1407">
                  <c:v>45145</c:v>
                </c:pt>
                <c:pt idx="1408">
                  <c:v>45146</c:v>
                </c:pt>
                <c:pt idx="1409">
                  <c:v>45147</c:v>
                </c:pt>
                <c:pt idx="1410">
                  <c:v>45148</c:v>
                </c:pt>
                <c:pt idx="1411">
                  <c:v>45149</c:v>
                </c:pt>
                <c:pt idx="1412">
                  <c:v>45152</c:v>
                </c:pt>
                <c:pt idx="1413">
                  <c:v>45153</c:v>
                </c:pt>
                <c:pt idx="1414">
                  <c:v>45154</c:v>
                </c:pt>
                <c:pt idx="1415">
                  <c:v>45155</c:v>
                </c:pt>
                <c:pt idx="1416">
                  <c:v>45156</c:v>
                </c:pt>
                <c:pt idx="1417">
                  <c:v>45159</c:v>
                </c:pt>
                <c:pt idx="1418">
                  <c:v>45160</c:v>
                </c:pt>
                <c:pt idx="1419">
                  <c:v>45161</c:v>
                </c:pt>
                <c:pt idx="1420">
                  <c:v>45162</c:v>
                </c:pt>
                <c:pt idx="1421">
                  <c:v>45163</c:v>
                </c:pt>
                <c:pt idx="1422">
                  <c:v>45166</c:v>
                </c:pt>
                <c:pt idx="1423">
                  <c:v>45167</c:v>
                </c:pt>
                <c:pt idx="1424">
                  <c:v>45168</c:v>
                </c:pt>
                <c:pt idx="1425">
                  <c:v>45169</c:v>
                </c:pt>
                <c:pt idx="1426">
                  <c:v>45170</c:v>
                </c:pt>
                <c:pt idx="1427">
                  <c:v>45174</c:v>
                </c:pt>
                <c:pt idx="1428">
                  <c:v>45175</c:v>
                </c:pt>
                <c:pt idx="1429">
                  <c:v>45176</c:v>
                </c:pt>
                <c:pt idx="1430">
                  <c:v>45177</c:v>
                </c:pt>
                <c:pt idx="1431">
                  <c:v>45180</c:v>
                </c:pt>
                <c:pt idx="1432">
                  <c:v>45181</c:v>
                </c:pt>
                <c:pt idx="1433">
                  <c:v>45182</c:v>
                </c:pt>
                <c:pt idx="1434">
                  <c:v>45183</c:v>
                </c:pt>
                <c:pt idx="1435">
                  <c:v>45184</c:v>
                </c:pt>
                <c:pt idx="1436">
                  <c:v>45187</c:v>
                </c:pt>
                <c:pt idx="1437">
                  <c:v>45188</c:v>
                </c:pt>
                <c:pt idx="1438">
                  <c:v>45189</c:v>
                </c:pt>
                <c:pt idx="1439">
                  <c:v>45190</c:v>
                </c:pt>
                <c:pt idx="1440">
                  <c:v>45191</c:v>
                </c:pt>
                <c:pt idx="1441">
                  <c:v>45194</c:v>
                </c:pt>
                <c:pt idx="1442">
                  <c:v>45195</c:v>
                </c:pt>
                <c:pt idx="1443">
                  <c:v>45196</c:v>
                </c:pt>
                <c:pt idx="1444">
                  <c:v>45197</c:v>
                </c:pt>
                <c:pt idx="1445">
                  <c:v>45198</c:v>
                </c:pt>
                <c:pt idx="1446">
                  <c:v>45201</c:v>
                </c:pt>
                <c:pt idx="1447">
                  <c:v>45202</c:v>
                </c:pt>
                <c:pt idx="1448">
                  <c:v>45203</c:v>
                </c:pt>
                <c:pt idx="1449">
                  <c:v>45204</c:v>
                </c:pt>
                <c:pt idx="1450">
                  <c:v>45205</c:v>
                </c:pt>
                <c:pt idx="1451">
                  <c:v>45208</c:v>
                </c:pt>
                <c:pt idx="1452">
                  <c:v>45209</c:v>
                </c:pt>
                <c:pt idx="1453">
                  <c:v>45210</c:v>
                </c:pt>
                <c:pt idx="1454">
                  <c:v>45211</c:v>
                </c:pt>
                <c:pt idx="1455">
                  <c:v>45212</c:v>
                </c:pt>
                <c:pt idx="1456">
                  <c:v>45215</c:v>
                </c:pt>
                <c:pt idx="1457">
                  <c:v>45216</c:v>
                </c:pt>
                <c:pt idx="1458">
                  <c:v>45217</c:v>
                </c:pt>
                <c:pt idx="1459">
                  <c:v>45218</c:v>
                </c:pt>
                <c:pt idx="1460">
                  <c:v>45219</c:v>
                </c:pt>
                <c:pt idx="1461">
                  <c:v>45222</c:v>
                </c:pt>
                <c:pt idx="1462">
                  <c:v>45223</c:v>
                </c:pt>
                <c:pt idx="1463">
                  <c:v>45224</c:v>
                </c:pt>
                <c:pt idx="1464">
                  <c:v>45225</c:v>
                </c:pt>
                <c:pt idx="1465">
                  <c:v>45226</c:v>
                </c:pt>
                <c:pt idx="1466">
                  <c:v>45229</c:v>
                </c:pt>
                <c:pt idx="1467">
                  <c:v>45230</c:v>
                </c:pt>
                <c:pt idx="1468">
                  <c:v>45231</c:v>
                </c:pt>
                <c:pt idx="1469">
                  <c:v>45232</c:v>
                </c:pt>
                <c:pt idx="1470">
                  <c:v>45233</c:v>
                </c:pt>
                <c:pt idx="1471">
                  <c:v>45236</c:v>
                </c:pt>
                <c:pt idx="1472">
                  <c:v>45237</c:v>
                </c:pt>
                <c:pt idx="1473">
                  <c:v>45238</c:v>
                </c:pt>
                <c:pt idx="1474">
                  <c:v>45239</c:v>
                </c:pt>
                <c:pt idx="1475">
                  <c:v>45240</c:v>
                </c:pt>
                <c:pt idx="1476">
                  <c:v>45243</c:v>
                </c:pt>
                <c:pt idx="1477">
                  <c:v>45244</c:v>
                </c:pt>
                <c:pt idx="1478">
                  <c:v>45245</c:v>
                </c:pt>
                <c:pt idx="1479">
                  <c:v>45246</c:v>
                </c:pt>
                <c:pt idx="1480">
                  <c:v>45247</c:v>
                </c:pt>
                <c:pt idx="1481">
                  <c:v>45250</c:v>
                </c:pt>
                <c:pt idx="1482">
                  <c:v>45251</c:v>
                </c:pt>
                <c:pt idx="1483">
                  <c:v>45252</c:v>
                </c:pt>
                <c:pt idx="1484">
                  <c:v>45254</c:v>
                </c:pt>
                <c:pt idx="1485">
                  <c:v>45257</c:v>
                </c:pt>
                <c:pt idx="1486">
                  <c:v>45258</c:v>
                </c:pt>
                <c:pt idx="1487">
                  <c:v>45259</c:v>
                </c:pt>
                <c:pt idx="1488">
                  <c:v>45260</c:v>
                </c:pt>
                <c:pt idx="1489">
                  <c:v>45261</c:v>
                </c:pt>
                <c:pt idx="1490">
                  <c:v>45264</c:v>
                </c:pt>
                <c:pt idx="1491">
                  <c:v>45265</c:v>
                </c:pt>
                <c:pt idx="1492">
                  <c:v>45266</c:v>
                </c:pt>
                <c:pt idx="1493">
                  <c:v>45267</c:v>
                </c:pt>
                <c:pt idx="1494">
                  <c:v>45268</c:v>
                </c:pt>
                <c:pt idx="1495">
                  <c:v>45271</c:v>
                </c:pt>
                <c:pt idx="1496">
                  <c:v>45272</c:v>
                </c:pt>
                <c:pt idx="1497">
                  <c:v>45273</c:v>
                </c:pt>
                <c:pt idx="1498">
                  <c:v>45274</c:v>
                </c:pt>
                <c:pt idx="1499">
                  <c:v>45275</c:v>
                </c:pt>
                <c:pt idx="1500">
                  <c:v>45278</c:v>
                </c:pt>
                <c:pt idx="1501">
                  <c:v>45279</c:v>
                </c:pt>
                <c:pt idx="1502">
                  <c:v>45280</c:v>
                </c:pt>
                <c:pt idx="1503">
                  <c:v>45281</c:v>
                </c:pt>
                <c:pt idx="1504">
                  <c:v>45282</c:v>
                </c:pt>
                <c:pt idx="1505">
                  <c:v>45286</c:v>
                </c:pt>
                <c:pt idx="1506">
                  <c:v>45287</c:v>
                </c:pt>
                <c:pt idx="1507">
                  <c:v>45288</c:v>
                </c:pt>
                <c:pt idx="1508">
                  <c:v>45289</c:v>
                </c:pt>
              </c:numCache>
            </c:numRef>
          </c:cat>
          <c:val>
            <c:numRef>
              <c:f>'6Y STOCK PERFORMANCE'!$I$2:$I$1510</c:f>
              <c:numCache>
                <c:formatCode>General</c:formatCode>
                <c:ptCount val="1509"/>
                <c:pt idx="0">
                  <c:v>0</c:v>
                </c:pt>
                <c:pt idx="1">
                  <c:v>0.69650960617281044</c:v>
                </c:pt>
                <c:pt idx="2">
                  <c:v>-1.8026068279304468</c:v>
                </c:pt>
                <c:pt idx="3">
                  <c:v>-2.4141639590575608</c:v>
                </c:pt>
                <c:pt idx="4">
                  <c:v>-0.68212771984757126</c:v>
                </c:pt>
                <c:pt idx="5">
                  <c:v>-2.3037229576428331</c:v>
                </c:pt>
                <c:pt idx="6">
                  <c:v>-2.6569213248265413</c:v>
                </c:pt>
                <c:pt idx="7">
                  <c:v>-3.1269005821419711</c:v>
                </c:pt>
                <c:pt idx="8">
                  <c:v>-2.296956654010728</c:v>
                </c:pt>
                <c:pt idx="9">
                  <c:v>-3.1164971300002122</c:v>
                </c:pt>
                <c:pt idx="10">
                  <c:v>-2.4899277338185613</c:v>
                </c:pt>
                <c:pt idx="11">
                  <c:v>-1.0601253416610632</c:v>
                </c:pt>
                <c:pt idx="12">
                  <c:v>-0.9592705514788662</c:v>
                </c:pt>
                <c:pt idx="13">
                  <c:v>-2.3425946341770185</c:v>
                </c:pt>
                <c:pt idx="14">
                  <c:v>-3.3139188222564684</c:v>
                </c:pt>
                <c:pt idx="15">
                  <c:v>-3.7958017993416746</c:v>
                </c:pt>
                <c:pt idx="16">
                  <c:v>-3.3793817818398395</c:v>
                </c:pt>
                <c:pt idx="17">
                  <c:v>-3.7149624490333792</c:v>
                </c:pt>
                <c:pt idx="18">
                  <c:v>-2.9291696682978881</c:v>
                </c:pt>
                <c:pt idx="19">
                  <c:v>-2.5114203695682988</c:v>
                </c:pt>
                <c:pt idx="20">
                  <c:v>-1.9634230210312467</c:v>
                </c:pt>
                <c:pt idx="21">
                  <c:v>-1.981100780688493</c:v>
                </c:pt>
                <c:pt idx="22">
                  <c:v>-2.0099557896980258</c:v>
                </c:pt>
                <c:pt idx="23">
                  <c:v>-0.61061618804480133</c:v>
                </c:pt>
                <c:pt idx="24">
                  <c:v>3.3826664221830924</c:v>
                </c:pt>
                <c:pt idx="25">
                  <c:v>1.9721951021906392</c:v>
                </c:pt>
                <c:pt idx="26">
                  <c:v>3.6169802021700974</c:v>
                </c:pt>
                <c:pt idx="27">
                  <c:v>6.8276942062500297</c:v>
                </c:pt>
                <c:pt idx="28">
                  <c:v>5.1586358019865628</c:v>
                </c:pt>
                <c:pt idx="29">
                  <c:v>8.4062269054113727</c:v>
                </c:pt>
                <c:pt idx="30">
                  <c:v>7.1355842293676517</c:v>
                </c:pt>
                <c:pt idx="31">
                  <c:v>7.5549146821287252</c:v>
                </c:pt>
                <c:pt idx="32">
                  <c:v>7.0528802429280262</c:v>
                </c:pt>
                <c:pt idx="33">
                  <c:v>7.3745547571910919</c:v>
                </c:pt>
                <c:pt idx="34">
                  <c:v>7.7167753531659429</c:v>
                </c:pt>
                <c:pt idx="35">
                  <c:v>8.0358865352019251</c:v>
                </c:pt>
                <c:pt idx="36">
                  <c:v>7.7298100272390826</c:v>
                </c:pt>
                <c:pt idx="37">
                  <c:v>7.5446530739475577</c:v>
                </c:pt>
                <c:pt idx="38">
                  <c:v>8.0106639721324626</c:v>
                </c:pt>
                <c:pt idx="39">
                  <c:v>10.001497525440428</c:v>
                </c:pt>
                <c:pt idx="40">
                  <c:v>9.1563136459918297</c:v>
                </c:pt>
                <c:pt idx="41">
                  <c:v>10.195018959033703</c:v>
                </c:pt>
                <c:pt idx="42">
                  <c:v>9.5838860237402486</c:v>
                </c:pt>
                <c:pt idx="43">
                  <c:v>11.700216974342879</c:v>
                </c:pt>
                <c:pt idx="44">
                  <c:v>12.746538546708592</c:v>
                </c:pt>
                <c:pt idx="45">
                  <c:v>15.952587280846089</c:v>
                </c:pt>
                <c:pt idx="46">
                  <c:v>14.845631819763312</c:v>
                </c:pt>
                <c:pt idx="47">
                  <c:v>14.994175898652045</c:v>
                </c:pt>
                <c:pt idx="48">
                  <c:v>15.127963177431454</c:v>
                </c:pt>
                <c:pt idx="49">
                  <c:v>15.984501516660913</c:v>
                </c:pt>
                <c:pt idx="50">
                  <c:v>15.387852872901107</c:v>
                </c:pt>
                <c:pt idx="51">
                  <c:v>14.978419659817845</c:v>
                </c:pt>
                <c:pt idx="52">
                  <c:v>15.478723255551273</c:v>
                </c:pt>
                <c:pt idx="53">
                  <c:v>16.161994719998688</c:v>
                </c:pt>
                <c:pt idx="54">
                  <c:v>18.214580547290083</c:v>
                </c:pt>
                <c:pt idx="55">
                  <c:v>18.599043979075049</c:v>
                </c:pt>
                <c:pt idx="56">
                  <c:v>19.594294828138175</c:v>
                </c:pt>
                <c:pt idx="57">
                  <c:v>20.017525507492479</c:v>
                </c:pt>
                <c:pt idx="58">
                  <c:v>20.220771662408609</c:v>
                </c:pt>
                <c:pt idx="59">
                  <c:v>18.703546024889491</c:v>
                </c:pt>
                <c:pt idx="60">
                  <c:v>20.00465619836767</c:v>
                </c:pt>
                <c:pt idx="61">
                  <c:v>20.170789754270601</c:v>
                </c:pt>
                <c:pt idx="62">
                  <c:v>21.410013422943109</c:v>
                </c:pt>
                <c:pt idx="63">
                  <c:v>21.955225363946084</c:v>
                </c:pt>
                <c:pt idx="64">
                  <c:v>22.095049543797558</c:v>
                </c:pt>
                <c:pt idx="65">
                  <c:v>23.81281705793505</c:v>
                </c:pt>
                <c:pt idx="66">
                  <c:v>23.625696651084326</c:v>
                </c:pt>
                <c:pt idx="67">
                  <c:v>25.539586584510317</c:v>
                </c:pt>
                <c:pt idx="68">
                  <c:v>22.743515589386959</c:v>
                </c:pt>
                <c:pt idx="69">
                  <c:v>24.568132202043756</c:v>
                </c:pt>
                <c:pt idx="70">
                  <c:v>24.483960909952103</c:v>
                </c:pt>
                <c:pt idx="71">
                  <c:v>25.850069071798572</c:v>
                </c:pt>
                <c:pt idx="72">
                  <c:v>26.120539704159953</c:v>
                </c:pt>
                <c:pt idx="73">
                  <c:v>25.512871366951344</c:v>
                </c:pt>
                <c:pt idx="74">
                  <c:v>26.148545640511145</c:v>
                </c:pt>
                <c:pt idx="75">
                  <c:v>26.874294336144473</c:v>
                </c:pt>
                <c:pt idx="76">
                  <c:v>26.200000480695039</c:v>
                </c:pt>
                <c:pt idx="77">
                  <c:v>26.419729344862802</c:v>
                </c:pt>
                <c:pt idx="78">
                  <c:v>23.607666151505015</c:v>
                </c:pt>
                <c:pt idx="79">
                  <c:v>23.365250060913667</c:v>
                </c:pt>
                <c:pt idx="80">
                  <c:v>22.244428113628715</c:v>
                </c:pt>
                <c:pt idx="81">
                  <c:v>23.977940861587754</c:v>
                </c:pt>
                <c:pt idx="82">
                  <c:v>23.915239318322833</c:v>
                </c:pt>
                <c:pt idx="83">
                  <c:v>24.791496433798017</c:v>
                </c:pt>
                <c:pt idx="84">
                  <c:v>25.356778950512833</c:v>
                </c:pt>
                <c:pt idx="85">
                  <c:v>20.534132763703042</c:v>
                </c:pt>
                <c:pt idx="86">
                  <c:v>21.882821309650652</c:v>
                </c:pt>
                <c:pt idx="87">
                  <c:v>24.677192389030139</c:v>
                </c:pt>
                <c:pt idx="88">
                  <c:v>28.325186205717856</c:v>
                </c:pt>
                <c:pt idx="89">
                  <c:v>29.967130772821264</c:v>
                </c:pt>
                <c:pt idx="90">
                  <c:v>30.493024427595017</c:v>
                </c:pt>
                <c:pt idx="91">
                  <c:v>28.501091524337767</c:v>
                </c:pt>
                <c:pt idx="92">
                  <c:v>28.766718984840907</c:v>
                </c:pt>
                <c:pt idx="93">
                  <c:v>26.567407766613144</c:v>
                </c:pt>
                <c:pt idx="94">
                  <c:v>26.071787350854379</c:v>
                </c:pt>
                <c:pt idx="95">
                  <c:v>26.991861524023861</c:v>
                </c:pt>
                <c:pt idx="96">
                  <c:v>28.229105810295678</c:v>
                </c:pt>
                <c:pt idx="97">
                  <c:v>27.211316996582823</c:v>
                </c:pt>
                <c:pt idx="98">
                  <c:v>27.435329501660348</c:v>
                </c:pt>
                <c:pt idx="99">
                  <c:v>30.771712555569692</c:v>
                </c:pt>
                <c:pt idx="100">
                  <c:v>30.028482182187759</c:v>
                </c:pt>
                <c:pt idx="101">
                  <c:v>29.568135765275144</c:v>
                </c:pt>
                <c:pt idx="102">
                  <c:v>31.44668942110637</c:v>
                </c:pt>
                <c:pt idx="103">
                  <c:v>31.73683311387127</c:v>
                </c:pt>
                <c:pt idx="104">
                  <c:v>31.98433620218843</c:v>
                </c:pt>
                <c:pt idx="105">
                  <c:v>32.300118121254414</c:v>
                </c:pt>
                <c:pt idx="106">
                  <c:v>33.497986542284266</c:v>
                </c:pt>
                <c:pt idx="107">
                  <c:v>32.967631312615325</c:v>
                </c:pt>
                <c:pt idx="108">
                  <c:v>29.704657790343788</c:v>
                </c:pt>
                <c:pt idx="109">
                  <c:v>31.878090786435251</c:v>
                </c:pt>
                <c:pt idx="110">
                  <c:v>33.295738241076265</c:v>
                </c:pt>
                <c:pt idx="111">
                  <c:v>34.608905649431932</c:v>
                </c:pt>
                <c:pt idx="112">
                  <c:v>36.032142067064456</c:v>
                </c:pt>
                <c:pt idx="113">
                  <c:v>37.467166364400569</c:v>
                </c:pt>
                <c:pt idx="114">
                  <c:v>36.639186777222449</c:v>
                </c:pt>
                <c:pt idx="115">
                  <c:v>38.636681075551991</c:v>
                </c:pt>
                <c:pt idx="116">
                  <c:v>34.771301432539801</c:v>
                </c:pt>
                <c:pt idx="117">
                  <c:v>35.686867638341354</c:v>
                </c:pt>
                <c:pt idx="118">
                  <c:v>35.898698314613924</c:v>
                </c:pt>
                <c:pt idx="119">
                  <c:v>34.359614130390881</c:v>
                </c:pt>
                <c:pt idx="120">
                  <c:v>32.573460684443305</c:v>
                </c:pt>
                <c:pt idx="121">
                  <c:v>33.841832882847953</c:v>
                </c:pt>
                <c:pt idx="122">
                  <c:v>33.09255574410426</c:v>
                </c:pt>
                <c:pt idx="123">
                  <c:v>33.721851592445589</c:v>
                </c:pt>
                <c:pt idx="124">
                  <c:v>33.582286026580448</c:v>
                </c:pt>
                <c:pt idx="125">
                  <c:v>36.145423611851371</c:v>
                </c:pt>
                <c:pt idx="126">
                  <c:v>36.306739069830812</c:v>
                </c:pt>
                <c:pt idx="127">
                  <c:v>36.779885331643342</c:v>
                </c:pt>
                <c:pt idx="128">
                  <c:v>36.767818249107947</c:v>
                </c:pt>
                <c:pt idx="129">
                  <c:v>35.349099186769706</c:v>
                </c:pt>
                <c:pt idx="130">
                  <c:v>36.749342954353551</c:v>
                </c:pt>
                <c:pt idx="131">
                  <c:v>37.920877142296092</c:v>
                </c:pt>
                <c:pt idx="132">
                  <c:v>39.929409952492861</c:v>
                </c:pt>
                <c:pt idx="133">
                  <c:v>38.389301223540386</c:v>
                </c:pt>
                <c:pt idx="134">
                  <c:v>37.934360431080648</c:v>
                </c:pt>
                <c:pt idx="135">
                  <c:v>38.830235898783386</c:v>
                </c:pt>
                <c:pt idx="136">
                  <c:v>38.546830730968338</c:v>
                </c:pt>
                <c:pt idx="137">
                  <c:v>40.405767175294869</c:v>
                </c:pt>
                <c:pt idx="138">
                  <c:v>41.673585870872813</c:v>
                </c:pt>
                <c:pt idx="139">
                  <c:v>41.90547413665432</c:v>
                </c:pt>
                <c:pt idx="140">
                  <c:v>38.606634592840265</c:v>
                </c:pt>
                <c:pt idx="141">
                  <c:v>41.089247892683261</c:v>
                </c:pt>
                <c:pt idx="142">
                  <c:v>42.547506193525194</c:v>
                </c:pt>
                <c:pt idx="143">
                  <c:v>37.962099046510517</c:v>
                </c:pt>
                <c:pt idx="144">
                  <c:v>32.663140697683957</c:v>
                </c:pt>
                <c:pt idx="145">
                  <c:v>32.35985117177583</c:v>
                </c:pt>
                <c:pt idx="146">
                  <c:v>35.663808636678809</c:v>
                </c:pt>
                <c:pt idx="147">
                  <c:v>54.956182220730184</c:v>
                </c:pt>
                <c:pt idx="148">
                  <c:v>54.530049834043922</c:v>
                </c:pt>
                <c:pt idx="149">
                  <c:v>53.849714581355272</c:v>
                </c:pt>
                <c:pt idx="150">
                  <c:v>52.222256778196439</c:v>
                </c:pt>
                <c:pt idx="151">
                  <c:v>52.133052270955744</c:v>
                </c:pt>
                <c:pt idx="152">
                  <c:v>55.466008612585071</c:v>
                </c:pt>
                <c:pt idx="153">
                  <c:v>57.886238144926637</c:v>
                </c:pt>
                <c:pt idx="154">
                  <c:v>57.013171137770314</c:v>
                </c:pt>
                <c:pt idx="155">
                  <c:v>59.822769805832806</c:v>
                </c:pt>
                <c:pt idx="156">
                  <c:v>60.910714189595538</c:v>
                </c:pt>
                <c:pt idx="157">
                  <c:v>61.282580361099534</c:v>
                </c:pt>
                <c:pt idx="158">
                  <c:v>60.93964739569914</c:v>
                </c:pt>
                <c:pt idx="159">
                  <c:v>61.278725850348451</c:v>
                </c:pt>
                <c:pt idx="160">
                  <c:v>60.57627211577794</c:v>
                </c:pt>
                <c:pt idx="161">
                  <c:v>62.651939118594143</c:v>
                </c:pt>
                <c:pt idx="162">
                  <c:v>65.126230294173013</c:v>
                </c:pt>
                <c:pt idx="163">
                  <c:v>67.860456447266188</c:v>
                </c:pt>
                <c:pt idx="164">
                  <c:v>66.653670487401428</c:v>
                </c:pt>
                <c:pt idx="165">
                  <c:v>67.855830611715234</c:v>
                </c:pt>
                <c:pt idx="166">
                  <c:v>70.304222712487231</c:v>
                </c:pt>
                <c:pt idx="167">
                  <c:v>71.826223204497992</c:v>
                </c:pt>
                <c:pt idx="168">
                  <c:v>73.124851391884434</c:v>
                </c:pt>
                <c:pt idx="169">
                  <c:v>78.616982966979521</c:v>
                </c:pt>
                <c:pt idx="170">
                  <c:v>74.215947564363432</c:v>
                </c:pt>
                <c:pt idx="171">
                  <c:v>78.586870845714671</c:v>
                </c:pt>
                <c:pt idx="172">
                  <c:v>80.047507148558466</c:v>
                </c:pt>
                <c:pt idx="173">
                  <c:v>84.992612105199427</c:v>
                </c:pt>
                <c:pt idx="174">
                  <c:v>82.905171117268807</c:v>
                </c:pt>
                <c:pt idx="175">
                  <c:v>86.547689391682397</c:v>
                </c:pt>
                <c:pt idx="176">
                  <c:v>88.404559296250099</c:v>
                </c:pt>
                <c:pt idx="177">
                  <c:v>89.403943409660286</c:v>
                </c:pt>
                <c:pt idx="178">
                  <c:v>86.119045876464696</c:v>
                </c:pt>
                <c:pt idx="179">
                  <c:v>85.844428950987336</c:v>
                </c:pt>
                <c:pt idx="180">
                  <c:v>80.068592378776074</c:v>
                </c:pt>
                <c:pt idx="181">
                  <c:v>78.682116290462744</c:v>
                </c:pt>
                <c:pt idx="182">
                  <c:v>78.752510726120974</c:v>
                </c:pt>
                <c:pt idx="183">
                  <c:v>82.653723428699834</c:v>
                </c:pt>
                <c:pt idx="184">
                  <c:v>87.54660246318997</c:v>
                </c:pt>
                <c:pt idx="185">
                  <c:v>87.880834137208154</c:v>
                </c:pt>
                <c:pt idx="186">
                  <c:v>92.127498536361145</c:v>
                </c:pt>
                <c:pt idx="187">
                  <c:v>93.214947459343463</c:v>
                </c:pt>
                <c:pt idx="188">
                  <c:v>93.389202604000658</c:v>
                </c:pt>
                <c:pt idx="189">
                  <c:v>91.425137369837444</c:v>
                </c:pt>
                <c:pt idx="190">
                  <c:v>91.782162933182263</c:v>
                </c:pt>
                <c:pt idx="191">
                  <c:v>88.876747613915569</c:v>
                </c:pt>
                <c:pt idx="192">
                  <c:v>82.98352736669645</c:v>
                </c:pt>
                <c:pt idx="193">
                  <c:v>78.321294474118275</c:v>
                </c:pt>
                <c:pt idx="194">
                  <c:v>75.721285183559317</c:v>
                </c:pt>
                <c:pt idx="195">
                  <c:v>73.488878812173013</c:v>
                </c:pt>
                <c:pt idx="196">
                  <c:v>69.29175911812905</c:v>
                </c:pt>
                <c:pt idx="197">
                  <c:v>73.277607196620878</c:v>
                </c:pt>
                <c:pt idx="198">
                  <c:v>74.672643847144727</c:v>
                </c:pt>
                <c:pt idx="199">
                  <c:v>77.380064048617356</c:v>
                </c:pt>
                <c:pt idx="200">
                  <c:v>75.05236178813702</c:v>
                </c:pt>
                <c:pt idx="201">
                  <c:v>77.413723931456147</c:v>
                </c:pt>
                <c:pt idx="202">
                  <c:v>76.779142552061685</c:v>
                </c:pt>
                <c:pt idx="203">
                  <c:v>80.422749207842259</c:v>
                </c:pt>
                <c:pt idx="204">
                  <c:v>81.903667384087441</c:v>
                </c:pt>
                <c:pt idx="205">
                  <c:v>76.905428973425174</c:v>
                </c:pt>
                <c:pt idx="206">
                  <c:v>78.418818918611308</c:v>
                </c:pt>
                <c:pt idx="207">
                  <c:v>74.014250557978016</c:v>
                </c:pt>
                <c:pt idx="208">
                  <c:v>74.217285389270614</c:v>
                </c:pt>
                <c:pt idx="209">
                  <c:v>75.807248076989723</c:v>
                </c:pt>
                <c:pt idx="210">
                  <c:v>81.031549175984807</c:v>
                </c:pt>
                <c:pt idx="211">
                  <c:v>82.607228324578614</c:v>
                </c:pt>
                <c:pt idx="212">
                  <c:v>58.611303809480589</c:v>
                </c:pt>
                <c:pt idx="213">
                  <c:v>64.221476969801685</c:v>
                </c:pt>
                <c:pt idx="214">
                  <c:v>63.278564776479968</c:v>
                </c:pt>
                <c:pt idx="215">
                  <c:v>67.510988673536531</c:v>
                </c:pt>
                <c:pt idx="216">
                  <c:v>68.192743054120569</c:v>
                </c:pt>
                <c:pt idx="217">
                  <c:v>62.791908302524746</c:v>
                </c:pt>
                <c:pt idx="218">
                  <c:v>63.500049579623564</c:v>
                </c:pt>
                <c:pt idx="219">
                  <c:v>62.913803283712909</c:v>
                </c:pt>
                <c:pt idx="220">
                  <c:v>63.518369357087494</c:v>
                </c:pt>
                <c:pt idx="221">
                  <c:v>60.437772314898538</c:v>
                </c:pt>
                <c:pt idx="222">
                  <c:v>62.175386295188574</c:v>
                </c:pt>
                <c:pt idx="223">
                  <c:v>52.521779215118144</c:v>
                </c:pt>
                <c:pt idx="224">
                  <c:v>52.560983676793796</c:v>
                </c:pt>
                <c:pt idx="225">
                  <c:v>55.037919958397183</c:v>
                </c:pt>
                <c:pt idx="226">
                  <c:v>54.204956897851076</c:v>
                </c:pt>
                <c:pt idx="227">
                  <c:v>58.659766874405335</c:v>
                </c:pt>
                <c:pt idx="228">
                  <c:v>58.331965152670591</c:v>
                </c:pt>
                <c:pt idx="229">
                  <c:v>61.709279268885155</c:v>
                </c:pt>
                <c:pt idx="230">
                  <c:v>62.830256516561775</c:v>
                </c:pt>
                <c:pt idx="231">
                  <c:v>61.874919819786555</c:v>
                </c:pt>
                <c:pt idx="232">
                  <c:v>63.154791724302953</c:v>
                </c:pt>
                <c:pt idx="233">
                  <c:v>63.294006827331501</c:v>
                </c:pt>
                <c:pt idx="234">
                  <c:v>67.513167265894964</c:v>
                </c:pt>
                <c:pt idx="235">
                  <c:v>62.002937544349152</c:v>
                </c:pt>
                <c:pt idx="236">
                  <c:v>68.238535896520162</c:v>
                </c:pt>
                <c:pt idx="237">
                  <c:v>67.49087643999097</c:v>
                </c:pt>
                <c:pt idx="238">
                  <c:v>68.233197691543594</c:v>
                </c:pt>
                <c:pt idx="239">
                  <c:v>67.099263507156138</c:v>
                </c:pt>
                <c:pt idx="240">
                  <c:v>65.770342575209938</c:v>
                </c:pt>
                <c:pt idx="241">
                  <c:v>57.480118309118794</c:v>
                </c:pt>
                <c:pt idx="242">
                  <c:v>61.175667854185861</c:v>
                </c:pt>
                <c:pt idx="243">
                  <c:v>63.162000615106052</c:v>
                </c:pt>
                <c:pt idx="244">
                  <c:v>64.371115728720994</c:v>
                </c:pt>
                <c:pt idx="245">
                  <c:v>58.073272980598389</c:v>
                </c:pt>
                <c:pt idx="246">
                  <c:v>59.328225986320675</c:v>
                </c:pt>
                <c:pt idx="247">
                  <c:v>61.069539197962342</c:v>
                </c:pt>
                <c:pt idx="248">
                  <c:v>64.81461149117527</c:v>
                </c:pt>
                <c:pt idx="249">
                  <c:v>64.630086020905694</c:v>
                </c:pt>
                <c:pt idx="250">
                  <c:v>64.108598604921937</c:v>
                </c:pt>
                <c:pt idx="251">
                  <c:v>61.979927639906748</c:v>
                </c:pt>
                <c:pt idx="252">
                  <c:v>60.111469757080386</c:v>
                </c:pt>
                <c:pt idx="253">
                  <c:v>54.693469047673432</c:v>
                </c:pt>
                <c:pt idx="254">
                  <c:v>60.656173234468127</c:v>
                </c:pt>
                <c:pt idx="255">
                  <c:v>62.898786337662258</c:v>
                </c:pt>
                <c:pt idx="256">
                  <c:v>65.491172870547828</c:v>
                </c:pt>
                <c:pt idx="257">
                  <c:v>65.370564603786505</c:v>
                </c:pt>
                <c:pt idx="258">
                  <c:v>65.714074133269676</c:v>
                </c:pt>
                <c:pt idx="259">
                  <c:v>64.372377785797497</c:v>
                </c:pt>
                <c:pt idx="260">
                  <c:v>68.033461195497651</c:v>
                </c:pt>
                <c:pt idx="261">
                  <c:v>62.715009305269561</c:v>
                </c:pt>
                <c:pt idx="262">
                  <c:v>62.703686867008912</c:v>
                </c:pt>
                <c:pt idx="263">
                  <c:v>56.817344526785689</c:v>
                </c:pt>
                <c:pt idx="264">
                  <c:v>57.305090745865073</c:v>
                </c:pt>
                <c:pt idx="265">
                  <c:v>60.903180645106147</c:v>
                </c:pt>
                <c:pt idx="266">
                  <c:v>62.567551832960035</c:v>
                </c:pt>
                <c:pt idx="267">
                  <c:v>63.675759492965213</c:v>
                </c:pt>
                <c:pt idx="268">
                  <c:v>65.098907168222851</c:v>
                </c:pt>
                <c:pt idx="269">
                  <c:v>64.768012613146169</c:v>
                </c:pt>
                <c:pt idx="270">
                  <c:v>66.955740327708554</c:v>
                </c:pt>
                <c:pt idx="271">
                  <c:v>68.726959499292946</c:v>
                </c:pt>
                <c:pt idx="272">
                  <c:v>74.235655129775026</c:v>
                </c:pt>
                <c:pt idx="273">
                  <c:v>75.837490609540353</c:v>
                </c:pt>
                <c:pt idx="274">
                  <c:v>79.18537404005653</c:v>
                </c:pt>
                <c:pt idx="275">
                  <c:v>77.876769058276324</c:v>
                </c:pt>
                <c:pt idx="276">
                  <c:v>74.923489654862891</c:v>
                </c:pt>
                <c:pt idx="277">
                  <c:v>78.525874623327795</c:v>
                </c:pt>
                <c:pt idx="278">
                  <c:v>79.898141380101222</c:v>
                </c:pt>
                <c:pt idx="279">
                  <c:v>81.621969083961886</c:v>
                </c:pt>
                <c:pt idx="280">
                  <c:v>79.938863570201335</c:v>
                </c:pt>
                <c:pt idx="281">
                  <c:v>81.581297750431887</c:v>
                </c:pt>
                <c:pt idx="282">
                  <c:v>80.752117501892471</c:v>
                </c:pt>
                <c:pt idx="283">
                  <c:v>82.396102615356298</c:v>
                </c:pt>
                <c:pt idx="284">
                  <c:v>82.22800293321653</c:v>
                </c:pt>
                <c:pt idx="285">
                  <c:v>84.044993428395571</c:v>
                </c:pt>
                <c:pt idx="286">
                  <c:v>88.262956554906111</c:v>
                </c:pt>
                <c:pt idx="287">
                  <c:v>88.48756826815648</c:v>
                </c:pt>
                <c:pt idx="288">
                  <c:v>88.380820448979549</c:v>
                </c:pt>
                <c:pt idx="289">
                  <c:v>90.380874043101045</c:v>
                </c:pt>
                <c:pt idx="290">
                  <c:v>88.191744661439742</c:v>
                </c:pt>
                <c:pt idx="291">
                  <c:v>87.610864782985615</c:v>
                </c:pt>
                <c:pt idx="292">
                  <c:v>80.852220045157523</c:v>
                </c:pt>
                <c:pt idx="293">
                  <c:v>80.418541069775117</c:v>
                </c:pt>
                <c:pt idx="294">
                  <c:v>79.800373822801404</c:v>
                </c:pt>
                <c:pt idx="295">
                  <c:v>80.058748262257339</c:v>
                </c:pt>
                <c:pt idx="296">
                  <c:v>76.167677048525448</c:v>
                </c:pt>
                <c:pt idx="297">
                  <c:v>78.289610169582048</c:v>
                </c:pt>
                <c:pt idx="298">
                  <c:v>77.458315890653694</c:v>
                </c:pt>
                <c:pt idx="299">
                  <c:v>79.551808097547209</c:v>
                </c:pt>
                <c:pt idx="300">
                  <c:v>81.353643383778916</c:v>
                </c:pt>
                <c:pt idx="301">
                  <c:v>78.005960969496499</c:v>
                </c:pt>
                <c:pt idx="302">
                  <c:v>80.454098275818453</c:v>
                </c:pt>
                <c:pt idx="303">
                  <c:v>82.145309692324872</c:v>
                </c:pt>
                <c:pt idx="304">
                  <c:v>82.705026107037142</c:v>
                </c:pt>
                <c:pt idx="305">
                  <c:v>87.223217070736197</c:v>
                </c:pt>
                <c:pt idx="306">
                  <c:v>83.012200643757666</c:v>
                </c:pt>
                <c:pt idx="307">
                  <c:v>82.702093497915826</c:v>
                </c:pt>
                <c:pt idx="308">
                  <c:v>81.525855737059871</c:v>
                </c:pt>
                <c:pt idx="309">
                  <c:v>75.42595904594134</c:v>
                </c:pt>
                <c:pt idx="310">
                  <c:v>76.230385311399388</c:v>
                </c:pt>
                <c:pt idx="311">
                  <c:v>79.024724115929686</c:v>
                </c:pt>
                <c:pt idx="312">
                  <c:v>80.421895406680065</c:v>
                </c:pt>
                <c:pt idx="313">
                  <c:v>81.064056553645258</c:v>
                </c:pt>
                <c:pt idx="314">
                  <c:v>84.589198332391817</c:v>
                </c:pt>
                <c:pt idx="315">
                  <c:v>75.646402509112207</c:v>
                </c:pt>
                <c:pt idx="316">
                  <c:v>76.352337198271414</c:v>
                </c:pt>
                <c:pt idx="317">
                  <c:v>80.577480749194692</c:v>
                </c:pt>
                <c:pt idx="318">
                  <c:v>83.987394351966188</c:v>
                </c:pt>
                <c:pt idx="319">
                  <c:v>88.411585307664794</c:v>
                </c:pt>
                <c:pt idx="320">
                  <c:v>88.78779518588118</c:v>
                </c:pt>
                <c:pt idx="321">
                  <c:v>95.094601178184604</c:v>
                </c:pt>
                <c:pt idx="322">
                  <c:v>100.87045635805082</c:v>
                </c:pt>
                <c:pt idx="323">
                  <c:v>97.886674925066828</c:v>
                </c:pt>
                <c:pt idx="324">
                  <c:v>94.157867725535127</c:v>
                </c:pt>
                <c:pt idx="325">
                  <c:v>91.220914192891357</c:v>
                </c:pt>
                <c:pt idx="326">
                  <c:v>92.080142709426553</c:v>
                </c:pt>
                <c:pt idx="327">
                  <c:v>91.520802973983734</c:v>
                </c:pt>
                <c:pt idx="328">
                  <c:v>92.398035309573046</c:v>
                </c:pt>
                <c:pt idx="329">
                  <c:v>93.60319056458971</c:v>
                </c:pt>
                <c:pt idx="330">
                  <c:v>93.478161287551316</c:v>
                </c:pt>
                <c:pt idx="331">
                  <c:v>93.280218590351865</c:v>
                </c:pt>
                <c:pt idx="332">
                  <c:v>95.108070365977269</c:v>
                </c:pt>
                <c:pt idx="333">
                  <c:v>92.311170020639324</c:v>
                </c:pt>
                <c:pt idx="334">
                  <c:v>91.638024622855497</c:v>
                </c:pt>
                <c:pt idx="335">
                  <c:v>77.308143800586819</c:v>
                </c:pt>
                <c:pt idx="336">
                  <c:v>75.747105575606142</c:v>
                </c:pt>
                <c:pt idx="337">
                  <c:v>70.740889892560659</c:v>
                </c:pt>
                <c:pt idx="338">
                  <c:v>70.739467615624079</c:v>
                </c:pt>
                <c:pt idx="339">
                  <c:v>71.567340323000352</c:v>
                </c:pt>
                <c:pt idx="340">
                  <c:v>73.934441309711431</c:v>
                </c:pt>
                <c:pt idx="341">
                  <c:v>70.09780238917115</c:v>
                </c:pt>
                <c:pt idx="342">
                  <c:v>72.705151868631603</c:v>
                </c:pt>
                <c:pt idx="343">
                  <c:v>71.115877595552689</c:v>
                </c:pt>
                <c:pt idx="344">
                  <c:v>74.970672709531897</c:v>
                </c:pt>
                <c:pt idx="345">
                  <c:v>74.739688641750632</c:v>
                </c:pt>
                <c:pt idx="346">
                  <c:v>73.501645922491647</c:v>
                </c:pt>
                <c:pt idx="347">
                  <c:v>75.040524847643155</c:v>
                </c:pt>
                <c:pt idx="348">
                  <c:v>74.185462346667862</c:v>
                </c:pt>
                <c:pt idx="349">
                  <c:v>65.855677772503611</c:v>
                </c:pt>
                <c:pt idx="350">
                  <c:v>66.294786590949528</c:v>
                </c:pt>
                <c:pt idx="351">
                  <c:v>65.590678862879997</c:v>
                </c:pt>
                <c:pt idx="352">
                  <c:v>63.245740742205427</c:v>
                </c:pt>
                <c:pt idx="353">
                  <c:v>63.473061657582377</c:v>
                </c:pt>
                <c:pt idx="354">
                  <c:v>57.058566005129748</c:v>
                </c:pt>
                <c:pt idx="355">
                  <c:v>52.39195759072183</c:v>
                </c:pt>
                <c:pt idx="356">
                  <c:v>55.980342950815682</c:v>
                </c:pt>
                <c:pt idx="357">
                  <c:v>56.82342264753332</c:v>
                </c:pt>
                <c:pt idx="358">
                  <c:v>57.243671869514401</c:v>
                </c:pt>
                <c:pt idx="359">
                  <c:v>55.956187499276467</c:v>
                </c:pt>
                <c:pt idx="360">
                  <c:v>56.738307490713055</c:v>
                </c:pt>
                <c:pt idx="361">
                  <c:v>59.678103352013039</c:v>
                </c:pt>
                <c:pt idx="362">
                  <c:v>62.381442022606294</c:v>
                </c:pt>
                <c:pt idx="363">
                  <c:v>60.890819766945611</c:v>
                </c:pt>
                <c:pt idx="364">
                  <c:v>59.439084403599963</c:v>
                </c:pt>
                <c:pt idx="365">
                  <c:v>56.088254907531379</c:v>
                </c:pt>
                <c:pt idx="366">
                  <c:v>55.481653681853061</c:v>
                </c:pt>
                <c:pt idx="367">
                  <c:v>59.536546304937829</c:v>
                </c:pt>
                <c:pt idx="368">
                  <c:v>58.577771890869911</c:v>
                </c:pt>
                <c:pt idx="369">
                  <c:v>57.031544914709997</c:v>
                </c:pt>
                <c:pt idx="370">
                  <c:v>56.748861963978399</c:v>
                </c:pt>
                <c:pt idx="371">
                  <c:v>56.288295035783179</c:v>
                </c:pt>
                <c:pt idx="372">
                  <c:v>56.784759119647291</c:v>
                </c:pt>
                <c:pt idx="373">
                  <c:v>59.342196408523833</c:v>
                </c:pt>
                <c:pt idx="374">
                  <c:v>58.97339774745835</c:v>
                </c:pt>
                <c:pt idx="375">
                  <c:v>58.5731704741969</c:v>
                </c:pt>
                <c:pt idx="376">
                  <c:v>60.391692624459182</c:v>
                </c:pt>
                <c:pt idx="377">
                  <c:v>61.16511892715576</c:v>
                </c:pt>
                <c:pt idx="378">
                  <c:v>61.39831294268113</c:v>
                </c:pt>
                <c:pt idx="379">
                  <c:v>61.536653000645089</c:v>
                </c:pt>
                <c:pt idx="380">
                  <c:v>65.427565094449051</c:v>
                </c:pt>
                <c:pt idx="381">
                  <c:v>65.687223320550046</c:v>
                </c:pt>
                <c:pt idx="382">
                  <c:v>72.566785368033607</c:v>
                </c:pt>
                <c:pt idx="383">
                  <c:v>73.345929723816042</c:v>
                </c:pt>
                <c:pt idx="384">
                  <c:v>73.844390387052343</c:v>
                </c:pt>
                <c:pt idx="385">
                  <c:v>73.785783620334428</c:v>
                </c:pt>
                <c:pt idx="386">
                  <c:v>78.335770037143561</c:v>
                </c:pt>
                <c:pt idx="387">
                  <c:v>77.795898953996328</c:v>
                </c:pt>
                <c:pt idx="388">
                  <c:v>80.714752776164985</c:v>
                </c:pt>
                <c:pt idx="389">
                  <c:v>80.320412286877726</c:v>
                </c:pt>
                <c:pt idx="390">
                  <c:v>79.781201352828717</c:v>
                </c:pt>
                <c:pt idx="391">
                  <c:v>76.458336341099212</c:v>
                </c:pt>
                <c:pt idx="392">
                  <c:v>74.846379301333315</c:v>
                </c:pt>
                <c:pt idx="393">
                  <c:v>73.583191122302381</c:v>
                </c:pt>
                <c:pt idx="394">
                  <c:v>68.698011932151488</c:v>
                </c:pt>
                <c:pt idx="395">
                  <c:v>67.80697381458792</c:v>
                </c:pt>
                <c:pt idx="396">
                  <c:v>64.405600417518315</c:v>
                </c:pt>
                <c:pt idx="397">
                  <c:v>62.414579314903747</c:v>
                </c:pt>
                <c:pt idx="398">
                  <c:v>79.793538043867017</c:v>
                </c:pt>
                <c:pt idx="399">
                  <c:v>72.059133532102109</c:v>
                </c:pt>
                <c:pt idx="400">
                  <c:v>73.23453230584866</c:v>
                </c:pt>
                <c:pt idx="401">
                  <c:v>71.459777254600795</c:v>
                </c:pt>
                <c:pt idx="402">
                  <c:v>75.504708082173764</c:v>
                </c:pt>
                <c:pt idx="403">
                  <c:v>74.75268745813581</c:v>
                </c:pt>
                <c:pt idx="404">
                  <c:v>73.097495318815206</c:v>
                </c:pt>
                <c:pt idx="405">
                  <c:v>74.792890898804529</c:v>
                </c:pt>
                <c:pt idx="406">
                  <c:v>71.037296587644093</c:v>
                </c:pt>
                <c:pt idx="407">
                  <c:v>69.766342666256179</c:v>
                </c:pt>
                <c:pt idx="408">
                  <c:v>69.182695771023944</c:v>
                </c:pt>
                <c:pt idx="409">
                  <c:v>68.785601008328754</c:v>
                </c:pt>
                <c:pt idx="410">
                  <c:v>66.200194781512153</c:v>
                </c:pt>
                <c:pt idx="411">
                  <c:v>70.363642726244976</c:v>
                </c:pt>
                <c:pt idx="412">
                  <c:v>70.278909404860087</c:v>
                </c:pt>
                <c:pt idx="413">
                  <c:v>70.54196727761952</c:v>
                </c:pt>
                <c:pt idx="414">
                  <c:v>70.84542328326485</c:v>
                </c:pt>
                <c:pt idx="415">
                  <c:v>70.618979431766761</c:v>
                </c:pt>
                <c:pt idx="416">
                  <c:v>63.404897790002053</c:v>
                </c:pt>
                <c:pt idx="417">
                  <c:v>62.012681474740802</c:v>
                </c:pt>
                <c:pt idx="418">
                  <c:v>64.890984310108422</c:v>
                </c:pt>
                <c:pt idx="419">
                  <c:v>63.56414513370197</c:v>
                </c:pt>
                <c:pt idx="420">
                  <c:v>62.526577066910264</c:v>
                </c:pt>
                <c:pt idx="421">
                  <c:v>65.422144211649567</c:v>
                </c:pt>
                <c:pt idx="422">
                  <c:v>64.964651308874153</c:v>
                </c:pt>
                <c:pt idx="423">
                  <c:v>62.729988137539166</c:v>
                </c:pt>
                <c:pt idx="424">
                  <c:v>63.227753934711956</c:v>
                </c:pt>
                <c:pt idx="425">
                  <c:v>63.450311888003782</c:v>
                </c:pt>
                <c:pt idx="426">
                  <c:v>59.75942739598014</c:v>
                </c:pt>
                <c:pt idx="427">
                  <c:v>59.42664220087768</c:v>
                </c:pt>
                <c:pt idx="428">
                  <c:v>63.274792915842824</c:v>
                </c:pt>
                <c:pt idx="429">
                  <c:v>62.315199686345039</c:v>
                </c:pt>
                <c:pt idx="430">
                  <c:v>61.130581299446973</c:v>
                </c:pt>
                <c:pt idx="431">
                  <c:v>60.037575704954151</c:v>
                </c:pt>
                <c:pt idx="432">
                  <c:v>60.539817648242149</c:v>
                </c:pt>
                <c:pt idx="433">
                  <c:v>62.936611273450254</c:v>
                </c:pt>
                <c:pt idx="434">
                  <c:v>64.67760472871943</c:v>
                </c:pt>
                <c:pt idx="435">
                  <c:v>63.504900596375762</c:v>
                </c:pt>
                <c:pt idx="436">
                  <c:v>63.202113463395406</c:v>
                </c:pt>
                <c:pt idx="437">
                  <c:v>58.548617286089907</c:v>
                </c:pt>
                <c:pt idx="438">
                  <c:v>58.914042970525756</c:v>
                </c:pt>
                <c:pt idx="439">
                  <c:v>60.861790860385753</c:v>
                </c:pt>
                <c:pt idx="440">
                  <c:v>59.466637688804752</c:v>
                </c:pt>
                <c:pt idx="441">
                  <c:v>62.103104817200162</c:v>
                </c:pt>
                <c:pt idx="442">
                  <c:v>60.800797088836148</c:v>
                </c:pt>
                <c:pt idx="443">
                  <c:v>61.895966038333071</c:v>
                </c:pt>
                <c:pt idx="444">
                  <c:v>60.450008787740302</c:v>
                </c:pt>
                <c:pt idx="445">
                  <c:v>62.826319280480291</c:v>
                </c:pt>
                <c:pt idx="446">
                  <c:v>61.501102292951401</c:v>
                </c:pt>
                <c:pt idx="447">
                  <c:v>63.50206051273544</c:v>
                </c:pt>
                <c:pt idx="448">
                  <c:v>63.960028040252354</c:v>
                </c:pt>
                <c:pt idx="449">
                  <c:v>61.111483054272711</c:v>
                </c:pt>
                <c:pt idx="450">
                  <c:v>59.409701446422659</c:v>
                </c:pt>
                <c:pt idx="451">
                  <c:v>61.513906601948577</c:v>
                </c:pt>
                <c:pt idx="452">
                  <c:v>57.175779786952759</c:v>
                </c:pt>
                <c:pt idx="453">
                  <c:v>55.496174939728419</c:v>
                </c:pt>
                <c:pt idx="454">
                  <c:v>58.047430345027024</c:v>
                </c:pt>
                <c:pt idx="455">
                  <c:v>60.126251815372783</c:v>
                </c:pt>
                <c:pt idx="456">
                  <c:v>65.723067385129397</c:v>
                </c:pt>
                <c:pt idx="457">
                  <c:v>63.822726168277782</c:v>
                </c:pt>
                <c:pt idx="458">
                  <c:v>62.256714111184465</c:v>
                </c:pt>
                <c:pt idx="459">
                  <c:v>63.950132596354436</c:v>
                </c:pt>
                <c:pt idx="460">
                  <c:v>67.779396781000642</c:v>
                </c:pt>
                <c:pt idx="461">
                  <c:v>65.555157243982848</c:v>
                </c:pt>
                <c:pt idx="462">
                  <c:v>83.536600258711346</c:v>
                </c:pt>
                <c:pt idx="463">
                  <c:v>86.837136368960827</c:v>
                </c:pt>
                <c:pt idx="464">
                  <c:v>86.252310811896422</c:v>
                </c:pt>
                <c:pt idx="465">
                  <c:v>89.910091628655564</c:v>
                </c:pt>
                <c:pt idx="466">
                  <c:v>91.95922475026839</c:v>
                </c:pt>
                <c:pt idx="467">
                  <c:v>96.021961529702907</c:v>
                </c:pt>
                <c:pt idx="468">
                  <c:v>95.548028901642837</c:v>
                </c:pt>
                <c:pt idx="469">
                  <c:v>104.34611278265541</c:v>
                </c:pt>
                <c:pt idx="470">
                  <c:v>103.68153601995218</c:v>
                </c:pt>
                <c:pt idx="471">
                  <c:v>104.74015168448553</c:v>
                </c:pt>
                <c:pt idx="472">
                  <c:v>107.0598217431474</c:v>
                </c:pt>
                <c:pt idx="473">
                  <c:v>112.11581206258047</c:v>
                </c:pt>
                <c:pt idx="474">
                  <c:v>114.59350421037001</c:v>
                </c:pt>
                <c:pt idx="475">
                  <c:v>109.31289767102359</c:v>
                </c:pt>
                <c:pt idx="476">
                  <c:v>110.89099385428277</c:v>
                </c:pt>
                <c:pt idx="477">
                  <c:v>112.47717597501095</c:v>
                </c:pt>
                <c:pt idx="478">
                  <c:v>113.86892189293059</c:v>
                </c:pt>
                <c:pt idx="479">
                  <c:v>111.91239361670425</c:v>
                </c:pt>
                <c:pt idx="480">
                  <c:v>113.03445097261032</c:v>
                </c:pt>
                <c:pt idx="481">
                  <c:v>113.33060063872392</c:v>
                </c:pt>
                <c:pt idx="482">
                  <c:v>112.03860337292839</c:v>
                </c:pt>
                <c:pt idx="483">
                  <c:v>112.44379733975256</c:v>
                </c:pt>
                <c:pt idx="484">
                  <c:v>111.26827283571613</c:v>
                </c:pt>
                <c:pt idx="485">
                  <c:v>114.23217079800098</c:v>
                </c:pt>
                <c:pt idx="486">
                  <c:v>110.03091020489786</c:v>
                </c:pt>
                <c:pt idx="487">
                  <c:v>111.11238542938067</c:v>
                </c:pt>
                <c:pt idx="488">
                  <c:v>110.51657288751431</c:v>
                </c:pt>
                <c:pt idx="489">
                  <c:v>111.30643125979137</c:v>
                </c:pt>
                <c:pt idx="490">
                  <c:v>110.98970322048518</c:v>
                </c:pt>
                <c:pt idx="491">
                  <c:v>113.53505303388734</c:v>
                </c:pt>
                <c:pt idx="492">
                  <c:v>116.01025240133588</c:v>
                </c:pt>
                <c:pt idx="493">
                  <c:v>113.87319521595435</c:v>
                </c:pt>
                <c:pt idx="494">
                  <c:v>117.53109212610865</c:v>
                </c:pt>
                <c:pt idx="495">
                  <c:v>120.13205000931846</c:v>
                </c:pt>
                <c:pt idx="496">
                  <c:v>113.70843622945929</c:v>
                </c:pt>
                <c:pt idx="497">
                  <c:v>115.44244397846708</c:v>
                </c:pt>
                <c:pt idx="498">
                  <c:v>115.24908209859929</c:v>
                </c:pt>
                <c:pt idx="499">
                  <c:v>115.29427818979872</c:v>
                </c:pt>
                <c:pt idx="500">
                  <c:v>113.73803944895081</c:v>
                </c:pt>
                <c:pt idx="501">
                  <c:v>113.47592768593566</c:v>
                </c:pt>
                <c:pt idx="502">
                  <c:v>112.66775650477197</c:v>
                </c:pt>
                <c:pt idx="503">
                  <c:v>117.54500700696633</c:v>
                </c:pt>
                <c:pt idx="504">
                  <c:v>122.01412902052451</c:v>
                </c:pt>
                <c:pt idx="505">
                  <c:v>123.07182816085344</c:v>
                </c:pt>
                <c:pt idx="506">
                  <c:v>122.86504836692896</c:v>
                </c:pt>
                <c:pt idx="507">
                  <c:v>126.01284549361955</c:v>
                </c:pt>
                <c:pt idx="508">
                  <c:v>126.78042830883541</c:v>
                </c:pt>
                <c:pt idx="509">
                  <c:v>126.77031120243589</c:v>
                </c:pt>
                <c:pt idx="510">
                  <c:v>130.75735997871928</c:v>
                </c:pt>
                <c:pt idx="511">
                  <c:v>131.14754321244371</c:v>
                </c:pt>
                <c:pt idx="512">
                  <c:v>131.78644051373254</c:v>
                </c:pt>
                <c:pt idx="513">
                  <c:v>134.98147203296736</c:v>
                </c:pt>
                <c:pt idx="514">
                  <c:v>130.91979874579405</c:v>
                </c:pt>
                <c:pt idx="515">
                  <c:v>131.51678242584646</c:v>
                </c:pt>
                <c:pt idx="516">
                  <c:v>131.67004890220218</c:v>
                </c:pt>
                <c:pt idx="517">
                  <c:v>134.28913042790543</c:v>
                </c:pt>
                <c:pt idx="518">
                  <c:v>133.10373268590308</c:v>
                </c:pt>
                <c:pt idx="519">
                  <c:v>127.58278581545301</c:v>
                </c:pt>
                <c:pt idx="520">
                  <c:v>132.73458807916012</c:v>
                </c:pt>
                <c:pt idx="521">
                  <c:v>132.04759094072679</c:v>
                </c:pt>
                <c:pt idx="522">
                  <c:v>134.09843833240458</c:v>
                </c:pt>
                <c:pt idx="523">
                  <c:v>129.51375964749394</c:v>
                </c:pt>
                <c:pt idx="524">
                  <c:v>130.31396680630272</c:v>
                </c:pt>
                <c:pt idx="525">
                  <c:v>135.63184797079853</c:v>
                </c:pt>
                <c:pt idx="526">
                  <c:v>134.3743968696744</c:v>
                </c:pt>
                <c:pt idx="527">
                  <c:v>136.96350766447711</c:v>
                </c:pt>
                <c:pt idx="528">
                  <c:v>128.18528600412566</c:v>
                </c:pt>
                <c:pt idx="529">
                  <c:v>130.29841788614524</c:v>
                </c:pt>
                <c:pt idx="530">
                  <c:v>126.96858954841932</c:v>
                </c:pt>
                <c:pt idx="531">
                  <c:v>125.9070477836103</c:v>
                </c:pt>
                <c:pt idx="532">
                  <c:v>129.93985866989502</c:v>
                </c:pt>
                <c:pt idx="533">
                  <c:v>129.8686281687738</c:v>
                </c:pt>
                <c:pt idx="534">
                  <c:v>130.43260289099638</c:v>
                </c:pt>
                <c:pt idx="535">
                  <c:v>128.66382358299646</c:v>
                </c:pt>
                <c:pt idx="536">
                  <c:v>126.90300158210306</c:v>
                </c:pt>
                <c:pt idx="537">
                  <c:v>121.45481838931624</c:v>
                </c:pt>
                <c:pt idx="538">
                  <c:v>113.49297486046089</c:v>
                </c:pt>
                <c:pt idx="539">
                  <c:v>108.911821990657</c:v>
                </c:pt>
                <c:pt idx="540">
                  <c:v>111.42362642959884</c:v>
                </c:pt>
                <c:pt idx="541">
                  <c:v>109.17401129570933</c:v>
                </c:pt>
                <c:pt idx="542">
                  <c:v>107.85354427356648</c:v>
                </c:pt>
                <c:pt idx="543">
                  <c:v>120.49033851277325</c:v>
                </c:pt>
                <c:pt idx="544">
                  <c:v>109.50229056819235</c:v>
                </c:pt>
                <c:pt idx="545">
                  <c:v>112.67243183927127</c:v>
                </c:pt>
                <c:pt idx="546">
                  <c:v>109.78423626039272</c:v>
                </c:pt>
                <c:pt idx="547">
                  <c:v>101.96352535044214</c:v>
                </c:pt>
                <c:pt idx="548">
                  <c:v>83.013223581897108</c:v>
                </c:pt>
                <c:pt idx="549">
                  <c:v>85.468483048744773</c:v>
                </c:pt>
                <c:pt idx="550">
                  <c:v>84.820065202485537</c:v>
                </c:pt>
                <c:pt idx="551">
                  <c:v>68.154194743313553</c:v>
                </c:pt>
                <c:pt idx="552">
                  <c:v>73.948461311021774</c:v>
                </c:pt>
                <c:pt idx="553">
                  <c:v>72.147850471545624</c:v>
                </c:pt>
                <c:pt idx="554">
                  <c:v>71.239444956635651</c:v>
                </c:pt>
                <c:pt idx="555">
                  <c:v>72.780116597914613</c:v>
                </c:pt>
                <c:pt idx="556">
                  <c:v>92.222283517138791</c:v>
                </c:pt>
                <c:pt idx="557">
                  <c:v>93.272267586851669</c:v>
                </c:pt>
                <c:pt idx="558">
                  <c:v>95.773532551410185</c:v>
                </c:pt>
                <c:pt idx="559">
                  <c:v>119.11800953583656</c:v>
                </c:pt>
                <c:pt idx="560">
                  <c:v>113.19337164500361</c:v>
                </c:pt>
                <c:pt idx="561">
                  <c:v>112.93273166223373</c:v>
                </c:pt>
                <c:pt idx="562">
                  <c:v>112.27479102421361</c:v>
                </c:pt>
                <c:pt idx="563">
                  <c:v>116.67128305220297</c:v>
                </c:pt>
                <c:pt idx="564">
                  <c:v>118.22413537542835</c:v>
                </c:pt>
                <c:pt idx="565">
                  <c:v>121.49129800658524</c:v>
                </c:pt>
                <c:pt idx="566">
                  <c:v>120.69731037432638</c:v>
                </c:pt>
                <c:pt idx="567">
                  <c:v>123.50005289208906</c:v>
                </c:pt>
                <c:pt idx="568">
                  <c:v>130.31193618281722</c:v>
                </c:pt>
                <c:pt idx="569">
                  <c:v>127.99950861041782</c:v>
                </c:pt>
                <c:pt idx="570">
                  <c:v>130.70767164494714</c:v>
                </c:pt>
                <c:pt idx="571">
                  <c:v>113.46587562717178</c:v>
                </c:pt>
                <c:pt idx="572">
                  <c:v>119.02204989323197</c:v>
                </c:pt>
                <c:pt idx="573">
                  <c:v>125.02781953536493</c:v>
                </c:pt>
                <c:pt idx="574">
                  <c:v>127.90433888977185</c:v>
                </c:pt>
                <c:pt idx="575">
                  <c:v>126.81991734640768</c:v>
                </c:pt>
                <c:pt idx="576">
                  <c:v>131.24949562529534</c:v>
                </c:pt>
                <c:pt idx="577">
                  <c:v>131.15009198452859</c:v>
                </c:pt>
                <c:pt idx="578">
                  <c:v>110.20989469460768</c:v>
                </c:pt>
                <c:pt idx="579">
                  <c:v>113.95423135073629</c:v>
                </c:pt>
                <c:pt idx="580">
                  <c:v>105.57540243013815</c:v>
                </c:pt>
                <c:pt idx="581">
                  <c:v>109.62349426002054</c:v>
                </c:pt>
                <c:pt idx="582">
                  <c:v>113.6024113039966</c:v>
                </c:pt>
                <c:pt idx="583">
                  <c:v>114.89871593809249</c:v>
                </c:pt>
                <c:pt idx="584">
                  <c:v>117.46238350520234</c:v>
                </c:pt>
                <c:pt idx="585">
                  <c:v>116.06272147885936</c:v>
                </c:pt>
                <c:pt idx="586">
                  <c:v>112.45813215261387</c:v>
                </c:pt>
                <c:pt idx="587">
                  <c:v>114.01527530222526</c:v>
                </c:pt>
                <c:pt idx="588">
                  <c:v>119.05950957370371</c:v>
                </c:pt>
                <c:pt idx="589">
                  <c:v>124.95233319300829</c:v>
                </c:pt>
                <c:pt idx="590">
                  <c:v>176.51288668236123</c:v>
                </c:pt>
                <c:pt idx="591">
                  <c:v>178.3694027427141</c:v>
                </c:pt>
                <c:pt idx="592">
                  <c:v>185.5181711612577</c:v>
                </c:pt>
                <c:pt idx="593">
                  <c:v>183.55937421424971</c:v>
                </c:pt>
                <c:pt idx="594">
                  <c:v>182.7751578960536</c:v>
                </c:pt>
                <c:pt idx="595">
                  <c:v>183.65489529562228</c:v>
                </c:pt>
                <c:pt idx="596">
                  <c:v>194.75213901127296</c:v>
                </c:pt>
                <c:pt idx="597">
                  <c:v>194.40444843527837</c:v>
                </c:pt>
                <c:pt idx="598">
                  <c:v>195.45241057678169</c:v>
                </c:pt>
                <c:pt idx="599">
                  <c:v>194.53491495161995</c:v>
                </c:pt>
                <c:pt idx="600">
                  <c:v>190.78148085691845</c:v>
                </c:pt>
                <c:pt idx="601">
                  <c:v>188.54620055688247</c:v>
                </c:pt>
                <c:pt idx="602">
                  <c:v>176.8011592511412</c:v>
                </c:pt>
                <c:pt idx="603">
                  <c:v>161.38601320690688</c:v>
                </c:pt>
                <c:pt idx="604">
                  <c:v>169.94184747270475</c:v>
                </c:pt>
                <c:pt idx="605">
                  <c:v>178.43089935584564</c:v>
                </c:pt>
                <c:pt idx="606">
                  <c:v>190.05759231174559</c:v>
                </c:pt>
                <c:pt idx="607">
                  <c:v>187.42728085663092</c:v>
                </c:pt>
                <c:pt idx="608">
                  <c:v>183.99606890859894</c:v>
                </c:pt>
                <c:pt idx="609">
                  <c:v>177.49035913640418</c:v>
                </c:pt>
                <c:pt idx="610">
                  <c:v>176.69002824948822</c:v>
                </c:pt>
                <c:pt idx="611">
                  <c:v>168.41385713151203</c:v>
                </c:pt>
                <c:pt idx="612">
                  <c:v>164.41485200846171</c:v>
                </c:pt>
                <c:pt idx="613">
                  <c:v>167.34260567633189</c:v>
                </c:pt>
                <c:pt idx="614">
                  <c:v>161.54679106496701</c:v>
                </c:pt>
                <c:pt idx="615">
                  <c:v>157.04142531599751</c:v>
                </c:pt>
                <c:pt idx="616">
                  <c:v>167.64238377352405</c:v>
                </c:pt>
                <c:pt idx="617">
                  <c:v>167.06728172855946</c:v>
                </c:pt>
                <c:pt idx="618">
                  <c:v>164.03956783161269</c:v>
                </c:pt>
                <c:pt idx="619">
                  <c:v>163.93622255916691</c:v>
                </c:pt>
                <c:pt idx="620">
                  <c:v>166.30501741686857</c:v>
                </c:pt>
                <c:pt idx="621">
                  <c:v>178.61951282327442</c:v>
                </c:pt>
                <c:pt idx="622">
                  <c:v>164.4729254650245</c:v>
                </c:pt>
                <c:pt idx="623">
                  <c:v>161.46595576595055</c:v>
                </c:pt>
                <c:pt idx="624">
                  <c:v>163.30924307863981</c:v>
                </c:pt>
                <c:pt idx="625">
                  <c:v>164.13059644679666</c:v>
                </c:pt>
                <c:pt idx="626">
                  <c:v>160.02663301365172</c:v>
                </c:pt>
                <c:pt idx="627">
                  <c:v>165.9600239928927</c:v>
                </c:pt>
                <c:pt idx="628">
                  <c:v>168.98877538870227</c:v>
                </c:pt>
                <c:pt idx="629">
                  <c:v>166.47363922487585</c:v>
                </c:pt>
                <c:pt idx="630">
                  <c:v>166.08900074432128</c:v>
                </c:pt>
                <c:pt idx="631">
                  <c:v>163.44668051748454</c:v>
                </c:pt>
                <c:pt idx="632">
                  <c:v>180.24348226452727</c:v>
                </c:pt>
                <c:pt idx="633">
                  <c:v>186.78304173051492</c:v>
                </c:pt>
                <c:pt idx="634">
                  <c:v>177.22023440657298</c:v>
                </c:pt>
                <c:pt idx="635">
                  <c:v>147.35387148347462</c:v>
                </c:pt>
                <c:pt idx="636">
                  <c:v>153.53504517103067</c:v>
                </c:pt>
                <c:pt idx="637">
                  <c:v>141.01676599929331</c:v>
                </c:pt>
                <c:pt idx="638">
                  <c:v>137.6688821349795</c:v>
                </c:pt>
                <c:pt idx="639">
                  <c:v>141.24084348786701</c:v>
                </c:pt>
                <c:pt idx="640">
                  <c:v>150.25924063766342</c:v>
                </c:pt>
                <c:pt idx="641">
                  <c:v>148.94910085175877</c:v>
                </c:pt>
                <c:pt idx="642">
                  <c:v>150.00183963303772</c:v>
                </c:pt>
                <c:pt idx="643">
                  <c:v>155.45591990669249</c:v>
                </c:pt>
                <c:pt idx="644">
                  <c:v>152.07781433656427</c:v>
                </c:pt>
                <c:pt idx="645">
                  <c:v>157.74733578596445</c:v>
                </c:pt>
                <c:pt idx="646">
                  <c:v>152.37932549630534</c:v>
                </c:pt>
                <c:pt idx="647">
                  <c:v>158.08054266192428</c:v>
                </c:pt>
                <c:pt idx="648">
                  <c:v>157.23725886348967</c:v>
                </c:pt>
                <c:pt idx="649">
                  <c:v>158.48496667206638</c:v>
                </c:pt>
                <c:pt idx="650">
                  <c:v>156.05635851586536</c:v>
                </c:pt>
                <c:pt idx="651">
                  <c:v>156.88419512885596</c:v>
                </c:pt>
                <c:pt idx="652">
                  <c:v>158.97609654482338</c:v>
                </c:pt>
                <c:pt idx="653">
                  <c:v>156.03550629746746</c:v>
                </c:pt>
                <c:pt idx="654">
                  <c:v>138.23286669991802</c:v>
                </c:pt>
                <c:pt idx="655">
                  <c:v>129.55137034237211</c:v>
                </c:pt>
                <c:pt idx="656">
                  <c:v>131.54545784677208</c:v>
                </c:pt>
                <c:pt idx="657">
                  <c:v>128.51927760709125</c:v>
                </c:pt>
                <c:pt idx="658">
                  <c:v>129.75597468861878</c:v>
                </c:pt>
                <c:pt idx="659">
                  <c:v>130.44784166893913</c:v>
                </c:pt>
                <c:pt idx="660">
                  <c:v>132.38929201998431</c:v>
                </c:pt>
                <c:pt idx="661">
                  <c:v>132.94535249806341</c:v>
                </c:pt>
                <c:pt idx="662">
                  <c:v>132.93970818847052</c:v>
                </c:pt>
                <c:pt idx="663">
                  <c:v>140.44820641222631</c:v>
                </c:pt>
                <c:pt idx="664">
                  <c:v>135.54056208145514</c:v>
                </c:pt>
                <c:pt idx="665">
                  <c:v>137.61520658429035</c:v>
                </c:pt>
                <c:pt idx="666">
                  <c:v>136.8732024059363</c:v>
                </c:pt>
                <c:pt idx="667">
                  <c:v>142.92287787407267</c:v>
                </c:pt>
                <c:pt idx="668">
                  <c:v>131.87756001457436</c:v>
                </c:pt>
                <c:pt idx="669">
                  <c:v>127.87554584029769</c:v>
                </c:pt>
                <c:pt idx="670">
                  <c:v>129.59982105457701</c:v>
                </c:pt>
                <c:pt idx="671">
                  <c:v>123.8966314430651</c:v>
                </c:pt>
                <c:pt idx="672">
                  <c:v>126.92009437567935</c:v>
                </c:pt>
                <c:pt idx="673">
                  <c:v>108.62737275419133</c:v>
                </c:pt>
                <c:pt idx="674">
                  <c:v>103.79667311116449</c:v>
                </c:pt>
                <c:pt idx="675">
                  <c:v>105.43362075954639</c:v>
                </c:pt>
                <c:pt idx="676">
                  <c:v>105.05023587810194</c:v>
                </c:pt>
                <c:pt idx="677">
                  <c:v>107.42891432372502</c:v>
                </c:pt>
                <c:pt idx="678">
                  <c:v>104.78630856567946</c:v>
                </c:pt>
                <c:pt idx="679">
                  <c:v>108.29132394574918</c:v>
                </c:pt>
                <c:pt idx="680">
                  <c:v>106.81204562558079</c:v>
                </c:pt>
                <c:pt idx="681">
                  <c:v>105.94436189468226</c:v>
                </c:pt>
                <c:pt idx="682">
                  <c:v>104.3825259072095</c:v>
                </c:pt>
                <c:pt idx="683">
                  <c:v>110.40405248024527</c:v>
                </c:pt>
                <c:pt idx="684">
                  <c:v>111.87341183116746</c:v>
                </c:pt>
                <c:pt idx="685">
                  <c:v>111.12945945146527</c:v>
                </c:pt>
                <c:pt idx="686">
                  <c:v>108.15954114051846</c:v>
                </c:pt>
                <c:pt idx="687">
                  <c:v>108.11755759532522</c:v>
                </c:pt>
                <c:pt idx="688">
                  <c:v>107.62771840929068</c:v>
                </c:pt>
                <c:pt idx="689">
                  <c:v>105.84412062442797</c:v>
                </c:pt>
                <c:pt idx="690">
                  <c:v>105.83130914045071</c:v>
                </c:pt>
                <c:pt idx="691">
                  <c:v>106.25823099985993</c:v>
                </c:pt>
                <c:pt idx="692">
                  <c:v>109.49071863830147</c:v>
                </c:pt>
                <c:pt idx="693">
                  <c:v>104.35385357060389</c:v>
                </c:pt>
                <c:pt idx="694">
                  <c:v>106.78982695321102</c:v>
                </c:pt>
                <c:pt idx="695">
                  <c:v>107.547323188023</c:v>
                </c:pt>
                <c:pt idx="696">
                  <c:v>109.93923619372626</c:v>
                </c:pt>
                <c:pt idx="697">
                  <c:v>111.27662489244128</c:v>
                </c:pt>
                <c:pt idx="698">
                  <c:v>119.24476838559568</c:v>
                </c:pt>
                <c:pt idx="699">
                  <c:v>121.10372926979232</c:v>
                </c:pt>
                <c:pt idx="700">
                  <c:v>125.18091469997142</c:v>
                </c:pt>
                <c:pt idx="701">
                  <c:v>125.47939576485086</c:v>
                </c:pt>
                <c:pt idx="702">
                  <c:v>129.89256325013008</c:v>
                </c:pt>
                <c:pt idx="703">
                  <c:v>130.02290028514545</c:v>
                </c:pt>
                <c:pt idx="704">
                  <c:v>126.63971688831879</c:v>
                </c:pt>
                <c:pt idx="705">
                  <c:v>134.44568106271683</c:v>
                </c:pt>
                <c:pt idx="706">
                  <c:v>129.17235286732091</c:v>
                </c:pt>
                <c:pt idx="707">
                  <c:v>124.76436676516781</c:v>
                </c:pt>
                <c:pt idx="708">
                  <c:v>129.16673680663837</c:v>
                </c:pt>
                <c:pt idx="709">
                  <c:v>115.63442362711749</c:v>
                </c:pt>
                <c:pt idx="710">
                  <c:v>116.96856761110092</c:v>
                </c:pt>
                <c:pt idx="711">
                  <c:v>111.1498360953631</c:v>
                </c:pt>
                <c:pt idx="712">
                  <c:v>106.42861009396884</c:v>
                </c:pt>
                <c:pt idx="713">
                  <c:v>93.134971438642253</c:v>
                </c:pt>
                <c:pt idx="714">
                  <c:v>92.974244183822947</c:v>
                </c:pt>
                <c:pt idx="715">
                  <c:v>94.181395394642948</c:v>
                </c:pt>
                <c:pt idx="716">
                  <c:v>96.67742903838743</c:v>
                </c:pt>
                <c:pt idx="717">
                  <c:v>99.766984649315276</c:v>
                </c:pt>
                <c:pt idx="718">
                  <c:v>94.519573876916667</c:v>
                </c:pt>
                <c:pt idx="719">
                  <c:v>96.883704157938269</c:v>
                </c:pt>
                <c:pt idx="720">
                  <c:v>86.065679001336946</c:v>
                </c:pt>
                <c:pt idx="721">
                  <c:v>90.164784669830169</c:v>
                </c:pt>
                <c:pt idx="722">
                  <c:v>89.029172743560991</c:v>
                </c:pt>
                <c:pt idx="723">
                  <c:v>92.55197794638363</c:v>
                </c:pt>
                <c:pt idx="724">
                  <c:v>93.002288649958558</c:v>
                </c:pt>
                <c:pt idx="725">
                  <c:v>97.189230533374996</c:v>
                </c:pt>
                <c:pt idx="726">
                  <c:v>94.660812303400462</c:v>
                </c:pt>
                <c:pt idx="727">
                  <c:v>93.978431363623486</c:v>
                </c:pt>
                <c:pt idx="728">
                  <c:v>97.146033753422842</c:v>
                </c:pt>
                <c:pt idx="729">
                  <c:v>94.434835885032015</c:v>
                </c:pt>
                <c:pt idx="730">
                  <c:v>95.610908925500325</c:v>
                </c:pt>
                <c:pt idx="731">
                  <c:v>97.652296227467275</c:v>
                </c:pt>
                <c:pt idx="732">
                  <c:v>104.92305487841969</c:v>
                </c:pt>
                <c:pt idx="733">
                  <c:v>103.76183965357791</c:v>
                </c:pt>
                <c:pt idx="734">
                  <c:v>100.1998532777306</c:v>
                </c:pt>
                <c:pt idx="735">
                  <c:v>100.82292961001829</c:v>
                </c:pt>
                <c:pt idx="736">
                  <c:v>107.66392407290508</c:v>
                </c:pt>
                <c:pt idx="737">
                  <c:v>110.277248808754</c:v>
                </c:pt>
                <c:pt idx="738">
                  <c:v>110.11337541260437</c:v>
                </c:pt>
                <c:pt idx="739">
                  <c:v>117.28901050362813</c:v>
                </c:pt>
                <c:pt idx="740">
                  <c:v>106.51843258465337</c:v>
                </c:pt>
                <c:pt idx="741">
                  <c:v>110.56985749704211</c:v>
                </c:pt>
                <c:pt idx="742">
                  <c:v>112.77245245336252</c:v>
                </c:pt>
                <c:pt idx="743">
                  <c:v>117.1388449229884</c:v>
                </c:pt>
                <c:pt idx="744">
                  <c:v>117.47437339698237</c:v>
                </c:pt>
                <c:pt idx="745">
                  <c:v>119.97812769694588</c:v>
                </c:pt>
                <c:pt idx="746">
                  <c:v>125.42465311312765</c:v>
                </c:pt>
                <c:pt idx="747">
                  <c:v>146.81735269568108</c:v>
                </c:pt>
                <c:pt idx="748">
                  <c:v>147.25261820865572</c:v>
                </c:pt>
                <c:pt idx="749">
                  <c:v>160.27641588679336</c:v>
                </c:pt>
                <c:pt idx="750">
                  <c:v>156.49509772392847</c:v>
                </c:pt>
                <c:pt idx="751">
                  <c:v>155.00062541111782</c:v>
                </c:pt>
                <c:pt idx="752">
                  <c:v>152.52185095700932</c:v>
                </c:pt>
                <c:pt idx="753">
                  <c:v>149.25559387711397</c:v>
                </c:pt>
                <c:pt idx="754">
                  <c:v>150.07813980169226</c:v>
                </c:pt>
                <c:pt idx="755">
                  <c:v>150.96718575705469</c:v>
                </c:pt>
                <c:pt idx="756">
                  <c:v>146.97964447806748</c:v>
                </c:pt>
                <c:pt idx="757">
                  <c:v>136.64646898443749</c:v>
                </c:pt>
                <c:pt idx="758">
                  <c:v>129.57719138275863</c:v>
                </c:pt>
                <c:pt idx="759">
                  <c:v>136.50440771658486</c:v>
                </c:pt>
                <c:pt idx="760">
                  <c:v>145.61080870176471</c:v>
                </c:pt>
                <c:pt idx="761">
                  <c:v>148.04114055852261</c:v>
                </c:pt>
                <c:pt idx="762">
                  <c:v>158.21507228515617</c:v>
                </c:pt>
                <c:pt idx="763">
                  <c:v>146.11191722883481</c:v>
                </c:pt>
                <c:pt idx="764">
                  <c:v>145.5104294601482</c:v>
                </c:pt>
                <c:pt idx="765">
                  <c:v>144.88459013702152</c:v>
                </c:pt>
                <c:pt idx="766">
                  <c:v>145.83715846989296</c:v>
                </c:pt>
                <c:pt idx="767">
                  <c:v>146.81549721513915</c:v>
                </c:pt>
                <c:pt idx="768">
                  <c:v>144.56919586403228</c:v>
                </c:pt>
                <c:pt idx="769">
                  <c:v>147.71035421929599</c:v>
                </c:pt>
                <c:pt idx="770">
                  <c:v>147.71440791843119</c:v>
                </c:pt>
                <c:pt idx="771">
                  <c:v>142.96323720546889</c:v>
                </c:pt>
                <c:pt idx="772">
                  <c:v>139.40037646612967</c:v>
                </c:pt>
                <c:pt idx="773">
                  <c:v>144.56093065039397</c:v>
                </c:pt>
                <c:pt idx="774">
                  <c:v>139.84079638144985</c:v>
                </c:pt>
                <c:pt idx="775">
                  <c:v>143.30005730722246</c:v>
                </c:pt>
                <c:pt idx="776">
                  <c:v>152.53267387034538</c:v>
                </c:pt>
                <c:pt idx="777">
                  <c:v>146.04830835952043</c:v>
                </c:pt>
                <c:pt idx="778">
                  <c:v>157.34867832151645</c:v>
                </c:pt>
                <c:pt idx="779">
                  <c:v>152.8227682656229</c:v>
                </c:pt>
                <c:pt idx="780">
                  <c:v>159.8547475042657</c:v>
                </c:pt>
                <c:pt idx="781">
                  <c:v>160.76350009013817</c:v>
                </c:pt>
                <c:pt idx="782">
                  <c:v>164.33194195193553</c:v>
                </c:pt>
                <c:pt idx="783">
                  <c:v>167.38274174796896</c:v>
                </c:pt>
                <c:pt idx="784">
                  <c:v>170.2662234453509</c:v>
                </c:pt>
                <c:pt idx="785">
                  <c:v>171.31161392842785</c:v>
                </c:pt>
                <c:pt idx="786">
                  <c:v>175.50342342851442</c:v>
                </c:pt>
                <c:pt idx="787">
                  <c:v>180.22443521057312</c:v>
                </c:pt>
                <c:pt idx="788">
                  <c:v>189.6549227844221</c:v>
                </c:pt>
                <c:pt idx="789">
                  <c:v>190.9648160810838</c:v>
                </c:pt>
                <c:pt idx="790">
                  <c:v>188.37059290328739</c:v>
                </c:pt>
                <c:pt idx="791">
                  <c:v>188.91092336332557</c:v>
                </c:pt>
                <c:pt idx="792">
                  <c:v>191.56908257412584</c:v>
                </c:pt>
                <c:pt idx="793">
                  <c:v>192.44499031561909</c:v>
                </c:pt>
                <c:pt idx="794">
                  <c:v>196.73019113317287</c:v>
                </c:pt>
                <c:pt idx="795">
                  <c:v>200.21614707333683</c:v>
                </c:pt>
                <c:pt idx="796">
                  <c:v>197.54469684720192</c:v>
                </c:pt>
                <c:pt idx="797">
                  <c:v>188.04309129505904</c:v>
                </c:pt>
                <c:pt idx="798">
                  <c:v>193.44358248389565</c:v>
                </c:pt>
                <c:pt idx="799">
                  <c:v>194.81541608021081</c:v>
                </c:pt>
                <c:pt idx="800">
                  <c:v>209.73974274576619</c:v>
                </c:pt>
                <c:pt idx="801">
                  <c:v>220.38593046287076</c:v>
                </c:pt>
                <c:pt idx="802">
                  <c:v>231.61996488213333</c:v>
                </c:pt>
                <c:pt idx="803">
                  <c:v>234.59360973346762</c:v>
                </c:pt>
                <c:pt idx="804">
                  <c:v>240.8953587788709</c:v>
                </c:pt>
                <c:pt idx="805">
                  <c:v>235.0665778505313</c:v>
                </c:pt>
                <c:pt idx="806">
                  <c:v>218.83334611562378</c:v>
                </c:pt>
                <c:pt idx="807">
                  <c:v>203.02486128741629</c:v>
                </c:pt>
                <c:pt idx="808">
                  <c:v>204.83530866292355</c:v>
                </c:pt>
                <c:pt idx="809">
                  <c:v>212.95873586420905</c:v>
                </c:pt>
                <c:pt idx="810">
                  <c:v>208.22007634183058</c:v>
                </c:pt>
                <c:pt idx="811">
                  <c:v>201.25824845633397</c:v>
                </c:pt>
                <c:pt idx="812">
                  <c:v>200.87506388300437</c:v>
                </c:pt>
                <c:pt idx="813">
                  <c:v>224.59692535618743</c:v>
                </c:pt>
                <c:pt idx="814">
                  <c:v>227.754844049014</c:v>
                </c:pt>
                <c:pt idx="815">
                  <c:v>222.68213015689867</c:v>
                </c:pt>
                <c:pt idx="816">
                  <c:v>226.77397804435259</c:v>
                </c:pt>
                <c:pt idx="817">
                  <c:v>227.8872063504698</c:v>
                </c:pt>
                <c:pt idx="818">
                  <c:v>235.6726446358276</c:v>
                </c:pt>
                <c:pt idx="819">
                  <c:v>243.46437258739718</c:v>
                </c:pt>
                <c:pt idx="820">
                  <c:v>239.42917249383061</c:v>
                </c:pt>
                <c:pt idx="821">
                  <c:v>245.87990615996372</c:v>
                </c:pt>
                <c:pt idx="822">
                  <c:v>247.21326175274982</c:v>
                </c:pt>
                <c:pt idx="823">
                  <c:v>246.73453371342208</c:v>
                </c:pt>
                <c:pt idx="824">
                  <c:v>251.3010882325496</c:v>
                </c:pt>
                <c:pt idx="825">
                  <c:v>251.65082155735456</c:v>
                </c:pt>
                <c:pt idx="826">
                  <c:v>263.09363639248431</c:v>
                </c:pt>
                <c:pt idx="827">
                  <c:v>263.95955525007696</c:v>
                </c:pt>
                <c:pt idx="828">
                  <c:v>266.21604404870595</c:v>
                </c:pt>
                <c:pt idx="829">
                  <c:v>260.51895543000808</c:v>
                </c:pt>
                <c:pt idx="830">
                  <c:v>256.19487146504002</c:v>
                </c:pt>
                <c:pt idx="831">
                  <c:v>256.36236475966626</c:v>
                </c:pt>
                <c:pt idx="832">
                  <c:v>254.88378425433507</c:v>
                </c:pt>
                <c:pt idx="833">
                  <c:v>257.96828801533138</c:v>
                </c:pt>
                <c:pt idx="834">
                  <c:v>252.68614337561382</c:v>
                </c:pt>
                <c:pt idx="835">
                  <c:v>245.93993049055254</c:v>
                </c:pt>
                <c:pt idx="836">
                  <c:v>239.76293110218987</c:v>
                </c:pt>
                <c:pt idx="837">
                  <c:v>261.22563587823055</c:v>
                </c:pt>
                <c:pt idx="838">
                  <c:v>259.82230148589019</c:v>
                </c:pt>
                <c:pt idx="839">
                  <c:v>271.673271387515</c:v>
                </c:pt>
                <c:pt idx="840">
                  <c:v>278.26473117598812</c:v>
                </c:pt>
                <c:pt idx="841">
                  <c:v>271.07388957634697</c:v>
                </c:pt>
                <c:pt idx="842">
                  <c:v>281.23007448696171</c:v>
                </c:pt>
                <c:pt idx="843">
                  <c:v>269.36475049926776</c:v>
                </c:pt>
                <c:pt idx="844">
                  <c:v>274.54775333410646</c:v>
                </c:pt>
                <c:pt idx="845">
                  <c:v>258.27801293072679</c:v>
                </c:pt>
                <c:pt idx="846">
                  <c:v>260.01286993899686</c:v>
                </c:pt>
                <c:pt idx="847">
                  <c:v>272.50344342521066</c:v>
                </c:pt>
                <c:pt idx="848">
                  <c:v>269.80301521581072</c:v>
                </c:pt>
                <c:pt idx="849">
                  <c:v>270.67629354659044</c:v>
                </c:pt>
                <c:pt idx="850">
                  <c:v>278.2855183639636</c:v>
                </c:pt>
                <c:pt idx="851">
                  <c:v>285.56002818613808</c:v>
                </c:pt>
                <c:pt idx="852">
                  <c:v>283.12447424986846</c:v>
                </c:pt>
                <c:pt idx="853">
                  <c:v>285.46100778971544</c:v>
                </c:pt>
                <c:pt idx="854">
                  <c:v>288.90031597330369</c:v>
                </c:pt>
                <c:pt idx="855">
                  <c:v>290.3171641378583</c:v>
                </c:pt>
                <c:pt idx="856">
                  <c:v>291.76226290193244</c:v>
                </c:pt>
                <c:pt idx="857">
                  <c:v>296.54496447282327</c:v>
                </c:pt>
                <c:pt idx="858">
                  <c:v>288.71543215215638</c:v>
                </c:pt>
                <c:pt idx="859">
                  <c:v>291.54372575866051</c:v>
                </c:pt>
                <c:pt idx="860">
                  <c:v>291.33551362937817</c:v>
                </c:pt>
                <c:pt idx="861">
                  <c:v>302.8670435588885</c:v>
                </c:pt>
                <c:pt idx="862">
                  <c:v>305.92108544390203</c:v>
                </c:pt>
                <c:pt idx="863">
                  <c:v>313.91798958223922</c:v>
                </c:pt>
                <c:pt idx="864">
                  <c:v>309.95699005092263</c:v>
                </c:pt>
                <c:pt idx="865">
                  <c:v>316.14131753551305</c:v>
                </c:pt>
                <c:pt idx="866">
                  <c:v>315.4181460926302</c:v>
                </c:pt>
                <c:pt idx="867">
                  <c:v>319.60571586692731</c:v>
                </c:pt>
                <c:pt idx="868">
                  <c:v>317.89444392876976</c:v>
                </c:pt>
                <c:pt idx="869">
                  <c:v>318.84149078662603</c:v>
                </c:pt>
                <c:pt idx="870">
                  <c:v>332.23470068218739</c:v>
                </c:pt>
                <c:pt idx="871">
                  <c:v>326.61793018582006</c:v>
                </c:pt>
                <c:pt idx="872">
                  <c:v>334.63776691453882</c:v>
                </c:pt>
                <c:pt idx="873">
                  <c:v>342.01643909236685</c:v>
                </c:pt>
                <c:pt idx="874">
                  <c:v>337.60415448218953</c:v>
                </c:pt>
                <c:pt idx="875">
                  <c:v>336.04799106985138</c:v>
                </c:pt>
                <c:pt idx="876">
                  <c:v>340.78074951629895</c:v>
                </c:pt>
                <c:pt idx="877">
                  <c:v>350.07754054543011</c:v>
                </c:pt>
                <c:pt idx="878">
                  <c:v>341.11226723869447</c:v>
                </c:pt>
                <c:pt idx="879">
                  <c:v>330.07353035873859</c:v>
                </c:pt>
                <c:pt idx="880">
                  <c:v>339.16787056876791</c:v>
                </c:pt>
                <c:pt idx="881">
                  <c:v>350.35114615027243</c:v>
                </c:pt>
                <c:pt idx="882">
                  <c:v>357.01658556641155</c:v>
                </c:pt>
                <c:pt idx="883">
                  <c:v>361.91177561722469</c:v>
                </c:pt>
                <c:pt idx="884">
                  <c:v>362.51234732143882</c:v>
                </c:pt>
                <c:pt idx="885">
                  <c:v>369.23238235216286</c:v>
                </c:pt>
                <c:pt idx="886">
                  <c:v>366.48551879747203</c:v>
                </c:pt>
                <c:pt idx="887">
                  <c:v>370.09736673472838</c:v>
                </c:pt>
                <c:pt idx="888">
                  <c:v>367.85828369383921</c:v>
                </c:pt>
                <c:pt idx="889">
                  <c:v>370.34862062897014</c:v>
                </c:pt>
                <c:pt idx="890">
                  <c:v>376.82782630260181</c:v>
                </c:pt>
                <c:pt idx="891">
                  <c:v>374.91965684774584</c:v>
                </c:pt>
                <c:pt idx="892">
                  <c:v>387.98130508105078</c:v>
                </c:pt>
                <c:pt idx="893">
                  <c:v>387.90853956940236</c:v>
                </c:pt>
                <c:pt idx="894">
                  <c:v>400.91138740549934</c:v>
                </c:pt>
                <c:pt idx="895">
                  <c:v>409.92025141852116</c:v>
                </c:pt>
                <c:pt idx="896">
                  <c:v>402.26851998032913</c:v>
                </c:pt>
                <c:pt idx="897">
                  <c:v>402.13354436203213</c:v>
                </c:pt>
                <c:pt idx="898">
                  <c:v>401.9179785812816</c:v>
                </c:pt>
                <c:pt idx="899">
                  <c:v>407.37625333016967</c:v>
                </c:pt>
                <c:pt idx="900">
                  <c:v>404.44114738072437</c:v>
                </c:pt>
                <c:pt idx="901">
                  <c:v>432.23569423505438</c:v>
                </c:pt>
                <c:pt idx="902">
                  <c:v>460.71876785478401</c:v>
                </c:pt>
                <c:pt idx="903">
                  <c:v>474.55920319292591</c:v>
                </c:pt>
                <c:pt idx="904">
                  <c:v>463.90466018317863</c:v>
                </c:pt>
                <c:pt idx="905">
                  <c:v>473.00434934986811</c:v>
                </c:pt>
                <c:pt idx="906">
                  <c:v>466.86102348560428</c:v>
                </c:pt>
                <c:pt idx="907">
                  <c:v>466.28898159740459</c:v>
                </c:pt>
                <c:pt idx="908">
                  <c:v>462.71572188051681</c:v>
                </c:pt>
                <c:pt idx="909">
                  <c:v>477.74713252127242</c:v>
                </c:pt>
                <c:pt idx="910">
                  <c:v>485.92745760277194</c:v>
                </c:pt>
                <c:pt idx="911">
                  <c:v>470.8078047146206</c:v>
                </c:pt>
                <c:pt idx="912">
                  <c:v>464.18057482809553</c:v>
                </c:pt>
                <c:pt idx="913">
                  <c:v>452.71388396115731</c:v>
                </c:pt>
                <c:pt idx="914">
                  <c:v>459.38690824916478</c:v>
                </c:pt>
                <c:pt idx="915">
                  <c:v>461.79015062527594</c:v>
                </c:pt>
                <c:pt idx="916">
                  <c:v>480.13726086886197</c:v>
                </c:pt>
                <c:pt idx="917">
                  <c:v>461.71937817371872</c:v>
                </c:pt>
                <c:pt idx="918">
                  <c:v>475.36172829406991</c:v>
                </c:pt>
                <c:pt idx="919">
                  <c:v>485.97717266021664</c:v>
                </c:pt>
                <c:pt idx="920">
                  <c:v>496.72653039459487</c:v>
                </c:pt>
                <c:pt idx="921">
                  <c:v>502.28844220265404</c:v>
                </c:pt>
                <c:pt idx="922">
                  <c:v>492.80049378497768</c:v>
                </c:pt>
                <c:pt idx="923">
                  <c:v>477.0454635204253</c:v>
                </c:pt>
                <c:pt idx="924">
                  <c:v>488.9778455274012</c:v>
                </c:pt>
                <c:pt idx="925">
                  <c:v>502.69897746113145</c:v>
                </c:pt>
                <c:pt idx="926">
                  <c:v>488.76791595307839</c:v>
                </c:pt>
                <c:pt idx="927">
                  <c:v>479.01600084601091</c:v>
                </c:pt>
                <c:pt idx="928">
                  <c:v>483.03624805755931</c:v>
                </c:pt>
                <c:pt idx="929">
                  <c:v>484.36725926715121</c:v>
                </c:pt>
                <c:pt idx="930">
                  <c:v>453.91116547864499</c:v>
                </c:pt>
                <c:pt idx="931">
                  <c:v>463.13163522582295</c:v>
                </c:pt>
                <c:pt idx="932">
                  <c:v>463.50726266953643</c:v>
                </c:pt>
                <c:pt idx="933">
                  <c:v>468.92089705526871</c:v>
                </c:pt>
                <c:pt idx="934">
                  <c:v>460.58526001672806</c:v>
                </c:pt>
                <c:pt idx="935">
                  <c:v>459.83932756927334</c:v>
                </c:pt>
                <c:pt idx="936">
                  <c:v>465.08008428913161</c:v>
                </c:pt>
                <c:pt idx="937">
                  <c:v>467.48764037855176</c:v>
                </c:pt>
                <c:pt idx="938">
                  <c:v>485.38270457892861</c:v>
                </c:pt>
                <c:pt idx="939">
                  <c:v>488.51400757418867</c:v>
                </c:pt>
                <c:pt idx="940">
                  <c:v>464.07653217897092</c:v>
                </c:pt>
                <c:pt idx="941">
                  <c:v>441.50429473660466</c:v>
                </c:pt>
                <c:pt idx="942">
                  <c:v>444.13498173343282</c:v>
                </c:pt>
                <c:pt idx="943">
                  <c:v>452.28427843942353</c:v>
                </c:pt>
                <c:pt idx="944">
                  <c:v>464.03703909504884</c:v>
                </c:pt>
                <c:pt idx="945">
                  <c:v>447.89240863821226</c:v>
                </c:pt>
                <c:pt idx="946">
                  <c:v>467.10580705885104</c:v>
                </c:pt>
                <c:pt idx="947">
                  <c:v>473.52993127857383</c:v>
                </c:pt>
                <c:pt idx="948">
                  <c:v>488.99153995061937</c:v>
                </c:pt>
                <c:pt idx="949">
                  <c:v>484.53022694878382</c:v>
                </c:pt>
                <c:pt idx="950">
                  <c:v>485.02809559545898</c:v>
                </c:pt>
                <c:pt idx="951">
                  <c:v>484.82148882218712</c:v>
                </c:pt>
                <c:pt idx="952">
                  <c:v>491.24954400526218</c:v>
                </c:pt>
                <c:pt idx="953">
                  <c:v>496.02136837736111</c:v>
                </c:pt>
                <c:pt idx="954">
                  <c:v>498.30361326433842</c:v>
                </c:pt>
                <c:pt idx="955">
                  <c:v>522.3445978483943</c:v>
                </c:pt>
                <c:pt idx="956">
                  <c:v>532.94435516066847</c:v>
                </c:pt>
                <c:pt idx="957">
                  <c:v>536.04896986172787</c:v>
                </c:pt>
                <c:pt idx="958">
                  <c:v>536.71383660310562</c:v>
                </c:pt>
                <c:pt idx="959">
                  <c:v>540.64700767846</c:v>
                </c:pt>
                <c:pt idx="960">
                  <c:v>531.07765119306146</c:v>
                </c:pt>
                <c:pt idx="961">
                  <c:v>510.02470996263344</c:v>
                </c:pt>
                <c:pt idx="962">
                  <c:v>505.46818513921835</c:v>
                </c:pt>
                <c:pt idx="963">
                  <c:v>517.70349228696716</c:v>
                </c:pt>
                <c:pt idx="964">
                  <c:v>537.18899272144608</c:v>
                </c:pt>
                <c:pt idx="965">
                  <c:v>508.22098518145953</c:v>
                </c:pt>
                <c:pt idx="966">
                  <c:v>517.19556886570297</c:v>
                </c:pt>
                <c:pt idx="967">
                  <c:v>518.24352690840669</c:v>
                </c:pt>
                <c:pt idx="968">
                  <c:v>535.52696702840797</c:v>
                </c:pt>
                <c:pt idx="969">
                  <c:v>541.37139905413733</c:v>
                </c:pt>
                <c:pt idx="970">
                  <c:v>563.76560078049488</c:v>
                </c:pt>
                <c:pt idx="971">
                  <c:v>560.33038040487622</c:v>
                </c:pt>
                <c:pt idx="972">
                  <c:v>528.24456841853544</c:v>
                </c:pt>
                <c:pt idx="973">
                  <c:v>535.46820111463444</c:v>
                </c:pt>
                <c:pt idx="974">
                  <c:v>545.15995565633352</c:v>
                </c:pt>
                <c:pt idx="975">
                  <c:v>529.38773253832096</c:v>
                </c:pt>
                <c:pt idx="976">
                  <c:v>540.93318362577918</c:v>
                </c:pt>
                <c:pt idx="977">
                  <c:v>542.44600061882261</c:v>
                </c:pt>
                <c:pt idx="978">
                  <c:v>546.28687566548342</c:v>
                </c:pt>
                <c:pt idx="979">
                  <c:v>543.12249386129736</c:v>
                </c:pt>
                <c:pt idx="980">
                  <c:v>519.61152636097552</c:v>
                </c:pt>
                <c:pt idx="981">
                  <c:v>513.26191238046169</c:v>
                </c:pt>
                <c:pt idx="982">
                  <c:v>525.24920458617885</c:v>
                </c:pt>
                <c:pt idx="983">
                  <c:v>517.10463976001552</c:v>
                </c:pt>
                <c:pt idx="984">
                  <c:v>548.82297471061599</c:v>
                </c:pt>
                <c:pt idx="985">
                  <c:v>527.09033040695067</c:v>
                </c:pt>
                <c:pt idx="986">
                  <c:v>470.59721051919234</c:v>
                </c:pt>
                <c:pt idx="987">
                  <c:v>486.48100332810884</c:v>
                </c:pt>
                <c:pt idx="988">
                  <c:v>467.50144637128926</c:v>
                </c:pt>
                <c:pt idx="989">
                  <c:v>441.20134128714267</c:v>
                </c:pt>
                <c:pt idx="990">
                  <c:v>491.43188480754412</c:v>
                </c:pt>
                <c:pt idx="991">
                  <c:v>501.72859957198625</c:v>
                </c:pt>
                <c:pt idx="992">
                  <c:v>492.00269420876919</c:v>
                </c:pt>
                <c:pt idx="993">
                  <c:v>526.93689901607604</c:v>
                </c:pt>
                <c:pt idx="994">
                  <c:v>527.71595414875947</c:v>
                </c:pt>
                <c:pt idx="995">
                  <c:v>494.5969317365259</c:v>
                </c:pt>
                <c:pt idx="996">
                  <c:v>537.22224000179631</c:v>
                </c:pt>
                <c:pt idx="997">
                  <c:v>511.46752488093671</c:v>
                </c:pt>
                <c:pt idx="998">
                  <c:v>536.22071097600656</c:v>
                </c:pt>
                <c:pt idx="999">
                  <c:v>531.47356389155493</c:v>
                </c:pt>
                <c:pt idx="1000">
                  <c:v>545.99537137134257</c:v>
                </c:pt>
                <c:pt idx="1001">
                  <c:v>563.50531221387064</c:v>
                </c:pt>
                <c:pt idx="1002">
                  <c:v>563.56795704064132</c:v>
                </c:pt>
                <c:pt idx="1003">
                  <c:v>602.51012553240832</c:v>
                </c:pt>
                <c:pt idx="1004">
                  <c:v>600.02251172606316</c:v>
                </c:pt>
                <c:pt idx="1005">
                  <c:v>601.91229751989113</c:v>
                </c:pt>
                <c:pt idx="1006">
                  <c:v>586.57090925718546</c:v>
                </c:pt>
                <c:pt idx="1007">
                  <c:v>587.09253921355901</c:v>
                </c:pt>
                <c:pt idx="1008">
                  <c:v>525.15601226118963</c:v>
                </c:pt>
                <c:pt idx="1009">
                  <c:v>503.3966003118432</c:v>
                </c:pt>
                <c:pt idx="1010">
                  <c:v>468.80239093262594</c:v>
                </c:pt>
                <c:pt idx="1011">
                  <c:v>492.77579896367411</c:v>
                </c:pt>
                <c:pt idx="1012">
                  <c:v>496.33277833466957</c:v>
                </c:pt>
                <c:pt idx="1013">
                  <c:v>518.89455854845255</c:v>
                </c:pt>
                <c:pt idx="1014">
                  <c:v>513.29561461814524</c:v>
                </c:pt>
                <c:pt idx="1015">
                  <c:v>506.55118910644148</c:v>
                </c:pt>
                <c:pt idx="1016">
                  <c:v>482.88764216578994</c:v>
                </c:pt>
                <c:pt idx="1017">
                  <c:v>492.15417833003073</c:v>
                </c:pt>
                <c:pt idx="1018">
                  <c:v>488.49816733197986</c:v>
                </c:pt>
                <c:pt idx="1019">
                  <c:v>487.92261494938452</c:v>
                </c:pt>
                <c:pt idx="1020">
                  <c:v>485.68769364042657</c:v>
                </c:pt>
                <c:pt idx="1021">
                  <c:v>454.34038919937018</c:v>
                </c:pt>
                <c:pt idx="1022">
                  <c:v>456.98829236107656</c:v>
                </c:pt>
                <c:pt idx="1023">
                  <c:v>422.2173667081413</c:v>
                </c:pt>
                <c:pt idx="1024">
                  <c:v>418.11834532228625</c:v>
                </c:pt>
                <c:pt idx="1025">
                  <c:v>417.59619280624747</c:v>
                </c:pt>
                <c:pt idx="1026">
                  <c:v>439.68323504169291</c:v>
                </c:pt>
                <c:pt idx="1027">
                  <c:v>466.98769981527408</c:v>
                </c:pt>
                <c:pt idx="1028">
                  <c:v>476.61184911195494</c:v>
                </c:pt>
                <c:pt idx="1029">
                  <c:v>492.95262014708078</c:v>
                </c:pt>
                <c:pt idx="1030">
                  <c:v>471.59946071199852</c:v>
                </c:pt>
                <c:pt idx="1031">
                  <c:v>507.54679781693733</c:v>
                </c:pt>
                <c:pt idx="1032">
                  <c:v>492.69034571336852</c:v>
                </c:pt>
                <c:pt idx="1033">
                  <c:v>507.36546219552207</c:v>
                </c:pt>
                <c:pt idx="1034">
                  <c:v>536.91899846939759</c:v>
                </c:pt>
                <c:pt idx="1035">
                  <c:v>531.1664963445088</c:v>
                </c:pt>
                <c:pt idx="1036">
                  <c:v>502.77172998160484</c:v>
                </c:pt>
                <c:pt idx="1037">
                  <c:v>502.95538939300803</c:v>
                </c:pt>
                <c:pt idx="1038">
                  <c:v>525.19221982903366</c:v>
                </c:pt>
                <c:pt idx="1039">
                  <c:v>520.77095610819799</c:v>
                </c:pt>
                <c:pt idx="1040">
                  <c:v>504.44278145209489</c:v>
                </c:pt>
                <c:pt idx="1041">
                  <c:v>494.01991739162997</c:v>
                </c:pt>
                <c:pt idx="1042">
                  <c:v>479.59865599581616</c:v>
                </c:pt>
                <c:pt idx="1043">
                  <c:v>455.44426862848968</c:v>
                </c:pt>
                <c:pt idx="1044">
                  <c:v>521.23845383479284</c:v>
                </c:pt>
                <c:pt idx="1045">
                  <c:v>537.29483794107398</c:v>
                </c:pt>
                <c:pt idx="1046">
                  <c:v>580.56561827125643</c:v>
                </c:pt>
                <c:pt idx="1047">
                  <c:v>568.60573276342302</c:v>
                </c:pt>
                <c:pt idx="1048">
                  <c:v>581.21065650027322</c:v>
                </c:pt>
                <c:pt idx="1049">
                  <c:v>565.19036691019551</c:v>
                </c:pt>
                <c:pt idx="1050">
                  <c:v>566.38765738536165</c:v>
                </c:pt>
                <c:pt idx="1051">
                  <c:v>473.85964072155872</c:v>
                </c:pt>
                <c:pt idx="1052">
                  <c:v>441.58036646162668</c:v>
                </c:pt>
                <c:pt idx="1053">
                  <c:v>458.91618641447894</c:v>
                </c:pt>
                <c:pt idx="1054">
                  <c:v>459.19786274714477</c:v>
                </c:pt>
                <c:pt idx="1055">
                  <c:v>446.07763017431307</c:v>
                </c:pt>
                <c:pt idx="1056">
                  <c:v>441.50505086341877</c:v>
                </c:pt>
                <c:pt idx="1057">
                  <c:v>454.02940140422498</c:v>
                </c:pt>
                <c:pt idx="1058">
                  <c:v>479.12895280278758</c:v>
                </c:pt>
                <c:pt idx="1059">
                  <c:v>489.9787686994332</c:v>
                </c:pt>
                <c:pt idx="1060">
                  <c:v>523.17764407301138</c:v>
                </c:pt>
                <c:pt idx="1061">
                  <c:v>511.70192654242067</c:v>
                </c:pt>
                <c:pt idx="1062">
                  <c:v>533.0069372816107</c:v>
                </c:pt>
                <c:pt idx="1063">
                  <c:v>526.05923133359829</c:v>
                </c:pt>
                <c:pt idx="1064">
                  <c:v>554.41509752703132</c:v>
                </c:pt>
                <c:pt idx="1065">
                  <c:v>548.01749487893915</c:v>
                </c:pt>
                <c:pt idx="1066">
                  <c:v>558.44650064523489</c:v>
                </c:pt>
                <c:pt idx="1067">
                  <c:v>574.84862938167407</c:v>
                </c:pt>
                <c:pt idx="1068">
                  <c:v>564.86589354365685</c:v>
                </c:pt>
                <c:pt idx="1069">
                  <c:v>567.60219811841955</c:v>
                </c:pt>
                <c:pt idx="1070">
                  <c:v>560.86178549403905</c:v>
                </c:pt>
                <c:pt idx="1071">
                  <c:v>574.31020593796416</c:v>
                </c:pt>
                <c:pt idx="1072">
                  <c:v>568.17373892438707</c:v>
                </c:pt>
                <c:pt idx="1073">
                  <c:v>550.53228008990254</c:v>
                </c:pt>
                <c:pt idx="1074">
                  <c:v>564.05274178977959</c:v>
                </c:pt>
                <c:pt idx="1075">
                  <c:v>561.54807227630715</c:v>
                </c:pt>
                <c:pt idx="1076">
                  <c:v>548.31866231266577</c:v>
                </c:pt>
                <c:pt idx="1077">
                  <c:v>553.47229581673071</c:v>
                </c:pt>
                <c:pt idx="1078">
                  <c:v>573.85169010199184</c:v>
                </c:pt>
                <c:pt idx="1079">
                  <c:v>557.50768728527555</c:v>
                </c:pt>
                <c:pt idx="1080">
                  <c:v>554.75345351184956</c:v>
                </c:pt>
                <c:pt idx="1081">
                  <c:v>561.40859430159799</c:v>
                </c:pt>
                <c:pt idx="1082">
                  <c:v>575.93937868840021</c:v>
                </c:pt>
                <c:pt idx="1083">
                  <c:v>536.35033631939041</c:v>
                </c:pt>
                <c:pt idx="1084">
                  <c:v>502.87270134212736</c:v>
                </c:pt>
                <c:pt idx="1085">
                  <c:v>543.80184840622348</c:v>
                </c:pt>
                <c:pt idx="1086">
                  <c:v>512.83014227871172</c:v>
                </c:pt>
                <c:pt idx="1087">
                  <c:v>498.921369847709</c:v>
                </c:pt>
                <c:pt idx="1088">
                  <c:v>512.24344644862595</c:v>
                </c:pt>
                <c:pt idx="1089">
                  <c:v>475.62163965700438</c:v>
                </c:pt>
                <c:pt idx="1090">
                  <c:v>479.53455282859977</c:v>
                </c:pt>
                <c:pt idx="1091">
                  <c:v>466.75985370020555</c:v>
                </c:pt>
                <c:pt idx="1092">
                  <c:v>462.92950440886528</c:v>
                </c:pt>
                <c:pt idx="1093">
                  <c:v>465.73953267789568</c:v>
                </c:pt>
                <c:pt idx="1094">
                  <c:v>427.28448255511819</c:v>
                </c:pt>
                <c:pt idx="1095">
                  <c:v>387.03702986380733</c:v>
                </c:pt>
                <c:pt idx="1096">
                  <c:v>422.76599738534497</c:v>
                </c:pt>
                <c:pt idx="1097">
                  <c:v>426.22397291846363</c:v>
                </c:pt>
                <c:pt idx="1098">
                  <c:v>438.98037580087805</c:v>
                </c:pt>
                <c:pt idx="1099">
                  <c:v>466.35976177927199</c:v>
                </c:pt>
                <c:pt idx="1100">
                  <c:v>454.90564579234967</c:v>
                </c:pt>
                <c:pt idx="1101">
                  <c:v>466.6387473049279</c:v>
                </c:pt>
                <c:pt idx="1102">
                  <c:v>447.14567765923653</c:v>
                </c:pt>
                <c:pt idx="1103">
                  <c:v>457.8957865788048</c:v>
                </c:pt>
                <c:pt idx="1104">
                  <c:v>481.19777827025268</c:v>
                </c:pt>
                <c:pt idx="1105">
                  <c:v>481.07731948652429</c:v>
                </c:pt>
                <c:pt idx="1106">
                  <c:v>483.74732925314413</c:v>
                </c:pt>
                <c:pt idx="1107">
                  <c:v>484.65411750855969</c:v>
                </c:pt>
                <c:pt idx="1108">
                  <c:v>496.02671919568576</c:v>
                </c:pt>
                <c:pt idx="1109">
                  <c:v>498.50354726085766</c:v>
                </c:pt>
                <c:pt idx="1110">
                  <c:v>490.80302539259031</c:v>
                </c:pt>
                <c:pt idx="1111">
                  <c:v>480.58932763471989</c:v>
                </c:pt>
                <c:pt idx="1112">
                  <c:v>507.91542707778245</c:v>
                </c:pt>
                <c:pt idx="1113">
                  <c:v>497.41988360130046</c:v>
                </c:pt>
                <c:pt idx="1114">
                  <c:v>497.46981823570735</c:v>
                </c:pt>
                <c:pt idx="1115">
                  <c:v>514.80763076356607</c:v>
                </c:pt>
                <c:pt idx="1116">
                  <c:v>505.1414974878943</c:v>
                </c:pt>
                <c:pt idx="1117">
                  <c:v>516.5769922786742</c:v>
                </c:pt>
                <c:pt idx="1118">
                  <c:v>488.23815944734019</c:v>
                </c:pt>
                <c:pt idx="1119">
                  <c:v>446.61386164383879</c:v>
                </c:pt>
                <c:pt idx="1120">
                  <c:v>452.51913241068701</c:v>
                </c:pt>
                <c:pt idx="1121">
                  <c:v>467.34659120591925</c:v>
                </c:pt>
                <c:pt idx="1122">
                  <c:v>442.71876118627983</c:v>
                </c:pt>
                <c:pt idx="1123">
                  <c:v>452.4061280770452</c:v>
                </c:pt>
                <c:pt idx="1124">
                  <c:v>475.64180840180438</c:v>
                </c:pt>
                <c:pt idx="1125">
                  <c:v>470.07847724281532</c:v>
                </c:pt>
                <c:pt idx="1126">
                  <c:v>480.05891259929422</c:v>
                </c:pt>
                <c:pt idx="1127">
                  <c:v>500.96925389408784</c:v>
                </c:pt>
                <c:pt idx="1128">
                  <c:v>498.99806675708862</c:v>
                </c:pt>
                <c:pt idx="1129">
                  <c:v>486.30603508259026</c:v>
                </c:pt>
                <c:pt idx="1130">
                  <c:v>485.00522632659693</c:v>
                </c:pt>
                <c:pt idx="1131">
                  <c:v>480.48224054926482</c:v>
                </c:pt>
                <c:pt idx="1132">
                  <c:v>487.97418014812092</c:v>
                </c:pt>
                <c:pt idx="1133">
                  <c:v>503.57646827077053</c:v>
                </c:pt>
                <c:pt idx="1134">
                  <c:v>512.8195080769791</c:v>
                </c:pt>
                <c:pt idx="1135">
                  <c:v>528.84544103619396</c:v>
                </c:pt>
                <c:pt idx="1136">
                  <c:v>540.82210393749176</c:v>
                </c:pt>
                <c:pt idx="1137">
                  <c:v>539.83632325813437</c:v>
                </c:pt>
                <c:pt idx="1138">
                  <c:v>511.38706881550434</c:v>
                </c:pt>
                <c:pt idx="1139">
                  <c:v>503.62733376707138</c:v>
                </c:pt>
                <c:pt idx="1140">
                  <c:v>489.25787716761977</c:v>
                </c:pt>
                <c:pt idx="1141">
                  <c:v>515.47283143435823</c:v>
                </c:pt>
                <c:pt idx="1142">
                  <c:v>491.76290613626276</c:v>
                </c:pt>
                <c:pt idx="1143">
                  <c:v>500.25233668422425</c:v>
                </c:pt>
                <c:pt idx="1144">
                  <c:v>502.57974359613246</c:v>
                </c:pt>
                <c:pt idx="1145">
                  <c:v>525.29650722901397</c:v>
                </c:pt>
                <c:pt idx="1146">
                  <c:v>521.41215842042573</c:v>
                </c:pt>
                <c:pt idx="1147">
                  <c:v>519.55329304077873</c:v>
                </c:pt>
                <c:pt idx="1148">
                  <c:v>469.25590036280477</c:v>
                </c:pt>
                <c:pt idx="1149">
                  <c:v>481.37790378873757</c:v>
                </c:pt>
                <c:pt idx="1150">
                  <c:v>496.09289564998016</c:v>
                </c:pt>
                <c:pt idx="1151">
                  <c:v>495.65601399724176</c:v>
                </c:pt>
                <c:pt idx="1152">
                  <c:v>500.58817166456265</c:v>
                </c:pt>
                <c:pt idx="1153">
                  <c:v>504.37165363602787</c:v>
                </c:pt>
                <c:pt idx="1154">
                  <c:v>528.11094101705658</c:v>
                </c:pt>
                <c:pt idx="1155">
                  <c:v>411.57927573383347</c:v>
                </c:pt>
                <c:pt idx="1156">
                  <c:v>421.27249446421308</c:v>
                </c:pt>
                <c:pt idx="1157">
                  <c:v>420.6701345190462</c:v>
                </c:pt>
                <c:pt idx="1158">
                  <c:v>410.07886560614548</c:v>
                </c:pt>
                <c:pt idx="1159">
                  <c:v>424.09439080114646</c:v>
                </c:pt>
                <c:pt idx="1160">
                  <c:v>409.71787994136952</c:v>
                </c:pt>
                <c:pt idx="1161">
                  <c:v>425.85825989360535</c:v>
                </c:pt>
                <c:pt idx="1162">
                  <c:v>422.33674274739337</c:v>
                </c:pt>
                <c:pt idx="1163">
                  <c:v>409.84832228602681</c:v>
                </c:pt>
                <c:pt idx="1164">
                  <c:v>400.80832674160297</c:v>
                </c:pt>
                <c:pt idx="1165">
                  <c:v>404.25300362409359</c:v>
                </c:pt>
                <c:pt idx="1166">
                  <c:v>396.91687304351422</c:v>
                </c:pt>
                <c:pt idx="1167">
                  <c:v>390.60013079430757</c:v>
                </c:pt>
                <c:pt idx="1168">
                  <c:v>393.64796501924366</c:v>
                </c:pt>
                <c:pt idx="1169">
                  <c:v>388.08328843328644</c:v>
                </c:pt>
                <c:pt idx="1170">
                  <c:v>393.12300650068983</c:v>
                </c:pt>
                <c:pt idx="1171">
                  <c:v>385.56786501533156</c:v>
                </c:pt>
                <c:pt idx="1172">
                  <c:v>377.41702616203844</c:v>
                </c:pt>
                <c:pt idx="1173">
                  <c:v>383.28290555810463</c:v>
                </c:pt>
                <c:pt idx="1174">
                  <c:v>380.29233092406469</c:v>
                </c:pt>
                <c:pt idx="1175">
                  <c:v>379.15740830596502</c:v>
                </c:pt>
                <c:pt idx="1176">
                  <c:v>381.92277781930864</c:v>
                </c:pt>
                <c:pt idx="1177">
                  <c:v>394.98711821724561</c:v>
                </c:pt>
                <c:pt idx="1178">
                  <c:v>400.48131809144945</c:v>
                </c:pt>
                <c:pt idx="1179">
                  <c:v>413.68419487031707</c:v>
                </c:pt>
                <c:pt idx="1180">
                  <c:v>431.30877052830033</c:v>
                </c:pt>
                <c:pt idx="1181">
                  <c:v>454.47590534158979</c:v>
                </c:pt>
                <c:pt idx="1182">
                  <c:v>418.74994776044753</c:v>
                </c:pt>
                <c:pt idx="1183">
                  <c:v>418.31019875204424</c:v>
                </c:pt>
                <c:pt idx="1184">
                  <c:v>408.07130106469833</c:v>
                </c:pt>
                <c:pt idx="1185">
                  <c:v>405.04538077563348</c:v>
                </c:pt>
                <c:pt idx="1186">
                  <c:v>407.41688890516008</c:v>
                </c:pt>
                <c:pt idx="1187">
                  <c:v>409.32454294939703</c:v>
                </c:pt>
                <c:pt idx="1188">
                  <c:v>401.31247122898208</c:v>
                </c:pt>
                <c:pt idx="1189">
                  <c:v>391.55110144902767</c:v>
                </c:pt>
                <c:pt idx="1190">
                  <c:v>392.69833407764042</c:v>
                </c:pt>
                <c:pt idx="1191">
                  <c:v>390.24395189593099</c:v>
                </c:pt>
                <c:pt idx="1192">
                  <c:v>392.23213112348583</c:v>
                </c:pt>
                <c:pt idx="1193">
                  <c:v>405.63456353840684</c:v>
                </c:pt>
                <c:pt idx="1194">
                  <c:v>406.28456704594197</c:v>
                </c:pt>
                <c:pt idx="1195">
                  <c:v>402.95802026365715</c:v>
                </c:pt>
                <c:pt idx="1196">
                  <c:v>420.16686229996463</c:v>
                </c:pt>
                <c:pt idx="1197">
                  <c:v>434.40629690334703</c:v>
                </c:pt>
                <c:pt idx="1198">
                  <c:v>445.06192720680019</c:v>
                </c:pt>
                <c:pt idx="1199">
                  <c:v>447.82812226745375</c:v>
                </c:pt>
                <c:pt idx="1200">
                  <c:v>428.2433011387983</c:v>
                </c:pt>
                <c:pt idx="1201">
                  <c:v>427.11170624557855</c:v>
                </c:pt>
                <c:pt idx="1202">
                  <c:v>398.88996005686874</c:v>
                </c:pt>
                <c:pt idx="1203">
                  <c:v>394.8483058652688</c:v>
                </c:pt>
                <c:pt idx="1204">
                  <c:v>402.69779574879374</c:v>
                </c:pt>
                <c:pt idx="1205">
                  <c:v>395.3123503943836</c:v>
                </c:pt>
                <c:pt idx="1206">
                  <c:v>416.52263200663754</c:v>
                </c:pt>
                <c:pt idx="1207">
                  <c:v>427.5453614102139</c:v>
                </c:pt>
                <c:pt idx="1208">
                  <c:v>431.44979696618873</c:v>
                </c:pt>
                <c:pt idx="1209">
                  <c:v>430.1322148290069</c:v>
                </c:pt>
                <c:pt idx="1210">
                  <c:v>450.98912171025142</c:v>
                </c:pt>
                <c:pt idx="1211">
                  <c:v>462.62848762954241</c:v>
                </c:pt>
                <c:pt idx="1212">
                  <c:v>470.6097859463988</c:v>
                </c:pt>
                <c:pt idx="1213">
                  <c:v>469.01781296518703</c:v>
                </c:pt>
                <c:pt idx="1214">
                  <c:v>477.42515742033902</c:v>
                </c:pt>
                <c:pt idx="1215">
                  <c:v>485.29269797948325</c:v>
                </c:pt>
                <c:pt idx="1216">
                  <c:v>487.60039733269662</c:v>
                </c:pt>
                <c:pt idx="1217">
                  <c:v>480.6462923799229</c:v>
                </c:pt>
                <c:pt idx="1218">
                  <c:v>449.90651755522146</c:v>
                </c:pt>
                <c:pt idx="1219">
                  <c:v>370.20207058680035</c:v>
                </c:pt>
                <c:pt idx="1220">
                  <c:v>381.50430454472712</c:v>
                </c:pt>
                <c:pt idx="1221">
                  <c:v>388.79851296710751</c:v>
                </c:pt>
                <c:pt idx="1222">
                  <c:v>418.95156371775499</c:v>
                </c:pt>
                <c:pt idx="1223">
                  <c:v>414.58821884199222</c:v>
                </c:pt>
                <c:pt idx="1224">
                  <c:v>454.57330295208158</c:v>
                </c:pt>
                <c:pt idx="1225">
                  <c:v>471.20466898399292</c:v>
                </c:pt>
                <c:pt idx="1226">
                  <c:v>466.14162217901765</c:v>
                </c:pt>
                <c:pt idx="1227">
                  <c:v>471.49319207289705</c:v>
                </c:pt>
                <c:pt idx="1228">
                  <c:v>456.9634627235564</c:v>
                </c:pt>
                <c:pt idx="1229">
                  <c:v>451.31511032291974</c:v>
                </c:pt>
                <c:pt idx="1230">
                  <c:v>428.86426613436709</c:v>
                </c:pt>
                <c:pt idx="1231">
                  <c:v>432.51553410412089</c:v>
                </c:pt>
                <c:pt idx="1232">
                  <c:v>429.92524007232316</c:v>
                </c:pt>
                <c:pt idx="1233">
                  <c:v>440.40550037999026</c:v>
                </c:pt>
                <c:pt idx="1234">
                  <c:v>436.28643038152211</c:v>
                </c:pt>
                <c:pt idx="1235">
                  <c:v>429.45315663841217</c:v>
                </c:pt>
                <c:pt idx="1236">
                  <c:v>424.86682735623731</c:v>
                </c:pt>
                <c:pt idx="1237">
                  <c:v>435.65632401188032</c:v>
                </c:pt>
                <c:pt idx="1238">
                  <c:v>460.4782949073296</c:v>
                </c:pt>
                <c:pt idx="1239">
                  <c:v>440.8223791038879</c:v>
                </c:pt>
                <c:pt idx="1240">
                  <c:v>422.11289432366539</c:v>
                </c:pt>
                <c:pt idx="1241">
                  <c:v>416.08009801836204</c:v>
                </c:pt>
                <c:pt idx="1242">
                  <c:v>425.33962834286729</c:v>
                </c:pt>
                <c:pt idx="1243">
                  <c:v>438.34669031921874</c:v>
                </c:pt>
                <c:pt idx="1244">
                  <c:v>430.65735573456584</c:v>
                </c:pt>
                <c:pt idx="1245">
                  <c:v>445.69553917730326</c:v>
                </c:pt>
                <c:pt idx="1246">
                  <c:v>456.14498443526827</c:v>
                </c:pt>
                <c:pt idx="1247">
                  <c:v>452.4106774748517</c:v>
                </c:pt>
                <c:pt idx="1248">
                  <c:v>433.87826302332502</c:v>
                </c:pt>
                <c:pt idx="1249">
                  <c:v>432.56001087275536</c:v>
                </c:pt>
                <c:pt idx="1250">
                  <c:v>412.96316256618377</c:v>
                </c:pt>
                <c:pt idx="1251">
                  <c:v>418.47200607488367</c:v>
                </c:pt>
                <c:pt idx="1252">
                  <c:v>410.97023897806315</c:v>
                </c:pt>
                <c:pt idx="1253">
                  <c:v>404.60353341907091</c:v>
                </c:pt>
                <c:pt idx="1254">
                  <c:v>399.55818004312965</c:v>
                </c:pt>
                <c:pt idx="1255">
                  <c:v>399.59297088027176</c:v>
                </c:pt>
                <c:pt idx="1256">
                  <c:v>393.81113619681861</c:v>
                </c:pt>
                <c:pt idx="1257">
                  <c:v>405.25183209139345</c:v>
                </c:pt>
                <c:pt idx="1258">
                  <c:v>401.8098540931436</c:v>
                </c:pt>
                <c:pt idx="1259">
                  <c:v>398.77309784653562</c:v>
                </c:pt>
                <c:pt idx="1260">
                  <c:v>395.26840471068704</c:v>
                </c:pt>
                <c:pt idx="1261">
                  <c:v>387.87653471905435</c:v>
                </c:pt>
                <c:pt idx="1262">
                  <c:v>398.0877921641046</c:v>
                </c:pt>
                <c:pt idx="1263">
                  <c:v>405.2579836918087</c:v>
                </c:pt>
                <c:pt idx="1264">
                  <c:v>392.56997351881733</c:v>
                </c:pt>
                <c:pt idx="1265">
                  <c:v>394.15617668318072</c:v>
                </c:pt>
                <c:pt idx="1266">
                  <c:v>388.65574359365911</c:v>
                </c:pt>
                <c:pt idx="1267">
                  <c:v>392.84042173448353</c:v>
                </c:pt>
                <c:pt idx="1268">
                  <c:v>406.479748505516</c:v>
                </c:pt>
                <c:pt idx="1269">
                  <c:v>389.05949396064784</c:v>
                </c:pt>
                <c:pt idx="1270">
                  <c:v>391.00523518994748</c:v>
                </c:pt>
                <c:pt idx="1271">
                  <c:v>396.47560475432056</c:v>
                </c:pt>
                <c:pt idx="1272">
                  <c:v>407.25871760612648</c:v>
                </c:pt>
                <c:pt idx="1273">
                  <c:v>414.22778983780506</c:v>
                </c:pt>
                <c:pt idx="1274">
                  <c:v>422.07972901421306</c:v>
                </c:pt>
                <c:pt idx="1275">
                  <c:v>435.58620721502916</c:v>
                </c:pt>
                <c:pt idx="1276">
                  <c:v>428.27661971380803</c:v>
                </c:pt>
                <c:pt idx="1277">
                  <c:v>412.92708682089051</c:v>
                </c:pt>
                <c:pt idx="1278">
                  <c:v>424.74832482515342</c:v>
                </c:pt>
                <c:pt idx="1279">
                  <c:v>429.89604599613932</c:v>
                </c:pt>
                <c:pt idx="1280">
                  <c:v>432.97678646116998</c:v>
                </c:pt>
                <c:pt idx="1281">
                  <c:v>426.16078577693258</c:v>
                </c:pt>
                <c:pt idx="1282">
                  <c:v>416.47956960532429</c:v>
                </c:pt>
                <c:pt idx="1283">
                  <c:v>433.42967820673709</c:v>
                </c:pt>
                <c:pt idx="1284">
                  <c:v>502.39607976755752</c:v>
                </c:pt>
                <c:pt idx="1285">
                  <c:v>483.60348606341324</c:v>
                </c:pt>
                <c:pt idx="1286">
                  <c:v>504.80373127697743</c:v>
                </c:pt>
                <c:pt idx="1287">
                  <c:v>508.41312277230475</c:v>
                </c:pt>
                <c:pt idx="1288">
                  <c:v>519.16239089671262</c:v>
                </c:pt>
                <c:pt idx="1289">
                  <c:v>535.85007983590742</c:v>
                </c:pt>
                <c:pt idx="1290">
                  <c:v>522.90601360453445</c:v>
                </c:pt>
                <c:pt idx="1291">
                  <c:v>515.42901753006515</c:v>
                </c:pt>
                <c:pt idx="1292">
                  <c:v>509.15393752664698</c:v>
                </c:pt>
                <c:pt idx="1293">
                  <c:v>514.58011670949998</c:v>
                </c:pt>
                <c:pt idx="1294">
                  <c:v>517.56225444093661</c:v>
                </c:pt>
                <c:pt idx="1295">
                  <c:v>500.96056962534351</c:v>
                </c:pt>
                <c:pt idx="1296">
                  <c:v>508.5006282666335</c:v>
                </c:pt>
                <c:pt idx="1297">
                  <c:v>506.63458628210992</c:v>
                </c:pt>
                <c:pt idx="1298">
                  <c:v>496.44612429477144</c:v>
                </c:pt>
                <c:pt idx="1299">
                  <c:v>508.78319916040499</c:v>
                </c:pt>
                <c:pt idx="1300">
                  <c:v>519.08614625396456</c:v>
                </c:pt>
                <c:pt idx="1301">
                  <c:v>524.57429801132037</c:v>
                </c:pt>
                <c:pt idx="1302">
                  <c:v>516.05199300017648</c:v>
                </c:pt>
                <c:pt idx="1303">
                  <c:v>531.40924974528025</c:v>
                </c:pt>
                <c:pt idx="1304">
                  <c:v>514.05682900245529</c:v>
                </c:pt>
                <c:pt idx="1305">
                  <c:v>503.48741438292473</c:v>
                </c:pt>
                <c:pt idx="1306">
                  <c:v>508.52428515091646</c:v>
                </c:pt>
                <c:pt idx="1307">
                  <c:v>523.37272836111629</c:v>
                </c:pt>
                <c:pt idx="1308">
                  <c:v>517.6515553555588</c:v>
                </c:pt>
                <c:pt idx="1309">
                  <c:v>530.40760547211676</c:v>
                </c:pt>
                <c:pt idx="1310">
                  <c:v>524.205153404577</c:v>
                </c:pt>
                <c:pt idx="1311">
                  <c:v>527.17016014730302</c:v>
                </c:pt>
                <c:pt idx="1312">
                  <c:v>534.90805792936487</c:v>
                </c:pt>
                <c:pt idx="1313">
                  <c:v>523.52937049727552</c:v>
                </c:pt>
                <c:pt idx="1314">
                  <c:v>544.85218539690777</c:v>
                </c:pt>
                <c:pt idx="1315">
                  <c:v>541.39921014903177</c:v>
                </c:pt>
                <c:pt idx="1316">
                  <c:v>553.34705863623299</c:v>
                </c:pt>
                <c:pt idx="1317">
                  <c:v>557.36944230536153</c:v>
                </c:pt>
                <c:pt idx="1318">
                  <c:v>560.45805806700378</c:v>
                </c:pt>
                <c:pt idx="1319">
                  <c:v>570.487106875466</c:v>
                </c:pt>
                <c:pt idx="1320">
                  <c:v>574.84040815162484</c:v>
                </c:pt>
                <c:pt idx="1321">
                  <c:v>573.61255444827316</c:v>
                </c:pt>
                <c:pt idx="1322">
                  <c:v>570.68027826458228</c:v>
                </c:pt>
                <c:pt idx="1323">
                  <c:v>563.28338291377202</c:v>
                </c:pt>
                <c:pt idx="1324">
                  <c:v>566.15455062656997</c:v>
                </c:pt>
                <c:pt idx="1325">
                  <c:v>581.87680276542949</c:v>
                </c:pt>
                <c:pt idx="1326">
                  <c:v>583.6404003459977</c:v>
                </c:pt>
                <c:pt idx="1327">
                  <c:v>587.24589497017564</c:v>
                </c:pt>
                <c:pt idx="1328">
                  <c:v>597.39323253290456</c:v>
                </c:pt>
                <c:pt idx="1329">
                  <c:v>594.39639332816114</c:v>
                </c:pt>
                <c:pt idx="1330">
                  <c:v>589.84895791737495</c:v>
                </c:pt>
                <c:pt idx="1331">
                  <c:v>591.15060476694805</c:v>
                </c:pt>
                <c:pt idx="1332">
                  <c:v>585.45910396438285</c:v>
                </c:pt>
                <c:pt idx="1333">
                  <c:v>582.11798709696336</c:v>
                </c:pt>
                <c:pt idx="1334">
                  <c:v>580.58097143805048</c:v>
                </c:pt>
                <c:pt idx="1335">
                  <c:v>575.10900274724941</c:v>
                </c:pt>
                <c:pt idx="1336">
                  <c:v>543.78241694882558</c:v>
                </c:pt>
                <c:pt idx="1337">
                  <c:v>545.58782059716623</c:v>
                </c:pt>
                <c:pt idx="1338">
                  <c:v>537.64600009974959</c:v>
                </c:pt>
                <c:pt idx="1339">
                  <c:v>536.32956798861846</c:v>
                </c:pt>
                <c:pt idx="1340">
                  <c:v>533.8233666302915</c:v>
                </c:pt>
                <c:pt idx="1341">
                  <c:v>520.26315374352487</c:v>
                </c:pt>
                <c:pt idx="1342">
                  <c:v>510.34043371576547</c:v>
                </c:pt>
                <c:pt idx="1343">
                  <c:v>518.96047245463797</c:v>
                </c:pt>
                <c:pt idx="1344">
                  <c:v>553.56540979680744</c:v>
                </c:pt>
                <c:pt idx="1345">
                  <c:v>570.0566883340864</c:v>
                </c:pt>
                <c:pt idx="1346">
                  <c:v>574.76855021005144</c:v>
                </c:pt>
                <c:pt idx="1347">
                  <c:v>579.83473287490165</c:v>
                </c:pt>
                <c:pt idx="1348">
                  <c:v>585.04398210447846</c:v>
                </c:pt>
                <c:pt idx="1349">
                  <c:v>588.71257601779166</c:v>
                </c:pt>
                <c:pt idx="1350">
                  <c:v>596.47057710084368</c:v>
                </c:pt>
                <c:pt idx="1351">
                  <c:v>593.96834969597148</c:v>
                </c:pt>
                <c:pt idx="1352">
                  <c:v>593.07317849888989</c:v>
                </c:pt>
                <c:pt idx="1353">
                  <c:v>587.11680432108449</c:v>
                </c:pt>
                <c:pt idx="1354">
                  <c:v>604.35653356557043</c:v>
                </c:pt>
                <c:pt idx="1355">
                  <c:v>602.21899190778947</c:v>
                </c:pt>
                <c:pt idx="1356">
                  <c:v>588.38826087209748</c:v>
                </c:pt>
                <c:pt idx="1357">
                  <c:v>572.56325228435401</c:v>
                </c:pt>
                <c:pt idx="1358">
                  <c:v>576.04903924149392</c:v>
                </c:pt>
                <c:pt idx="1359">
                  <c:v>578.85157893002975</c:v>
                </c:pt>
                <c:pt idx="1360">
                  <c:v>586.93688628017162</c:v>
                </c:pt>
                <c:pt idx="1361">
                  <c:v>585.74163361196327</c:v>
                </c:pt>
                <c:pt idx="1362">
                  <c:v>586.87185757484315</c:v>
                </c:pt>
                <c:pt idx="1363">
                  <c:v>579.12709515067058</c:v>
                </c:pt>
                <c:pt idx="1364">
                  <c:v>614.68915244931668</c:v>
                </c:pt>
                <c:pt idx="1365">
                  <c:v>594.51462645598099</c:v>
                </c:pt>
                <c:pt idx="1366">
                  <c:v>569.00304065046248</c:v>
                </c:pt>
                <c:pt idx="1367">
                  <c:v>588.96758017548132</c:v>
                </c:pt>
                <c:pt idx="1368">
                  <c:v>577.5121035000775</c:v>
                </c:pt>
                <c:pt idx="1369">
                  <c:v>595.24937157289503</c:v>
                </c:pt>
                <c:pt idx="1370">
                  <c:v>600.98759400412894</c:v>
                </c:pt>
                <c:pt idx="1371">
                  <c:v>611.39019069568701</c:v>
                </c:pt>
                <c:pt idx="1372">
                  <c:v>632.94693445755479</c:v>
                </c:pt>
                <c:pt idx="1373">
                  <c:v>625.14588762180961</c:v>
                </c:pt>
                <c:pt idx="1374">
                  <c:v>612.83708668077679</c:v>
                </c:pt>
                <c:pt idx="1375">
                  <c:v>608.99247968481484</c:v>
                </c:pt>
                <c:pt idx="1376">
                  <c:v>615.61532327802809</c:v>
                </c:pt>
                <c:pt idx="1377">
                  <c:v>614.54209004089694</c:v>
                </c:pt>
                <c:pt idx="1378">
                  <c:v>610.80383374617099</c:v>
                </c:pt>
                <c:pt idx="1379">
                  <c:v>636.97800416882308</c:v>
                </c:pt>
                <c:pt idx="1380">
                  <c:v>644.01661279096652</c:v>
                </c:pt>
                <c:pt idx="1381">
                  <c:v>652.59075138927778</c:v>
                </c:pt>
                <c:pt idx="1382">
                  <c:v>655.42206924299035</c:v>
                </c:pt>
                <c:pt idx="1383">
                  <c:v>644.52564008983518</c:v>
                </c:pt>
                <c:pt idx="1384">
                  <c:v>640.93817772339287</c:v>
                </c:pt>
                <c:pt idx="1385">
                  <c:v>646.37850308827478</c:v>
                </c:pt>
                <c:pt idx="1386">
                  <c:v>646.9781690730299</c:v>
                </c:pt>
                <c:pt idx="1387">
                  <c:v>682.4759801766287</c:v>
                </c:pt>
                <c:pt idx="1388">
                  <c:v>686.58848085126328</c:v>
                </c:pt>
                <c:pt idx="1389">
                  <c:v>666.29153890209091</c:v>
                </c:pt>
                <c:pt idx="1390">
                  <c:v>680.40647846241427</c:v>
                </c:pt>
                <c:pt idx="1391">
                  <c:v>688.31494673949737</c:v>
                </c:pt>
                <c:pt idx="1392">
                  <c:v>701.77438192274747</c:v>
                </c:pt>
                <c:pt idx="1393">
                  <c:v>699.7722358318988</c:v>
                </c:pt>
                <c:pt idx="1394">
                  <c:v>682.23514547795969</c:v>
                </c:pt>
                <c:pt idx="1395">
                  <c:v>675.27986226388816</c:v>
                </c:pt>
                <c:pt idx="1396">
                  <c:v>680.90124354069553</c:v>
                </c:pt>
                <c:pt idx="1397">
                  <c:v>670.49541548907348</c:v>
                </c:pt>
                <c:pt idx="1398">
                  <c:v>681.33561676173963</c:v>
                </c:pt>
                <c:pt idx="1399">
                  <c:v>669.40641226375078</c:v>
                </c:pt>
                <c:pt idx="1400">
                  <c:v>662.84145971852149</c:v>
                </c:pt>
                <c:pt idx="1401">
                  <c:v>661.51763944219294</c:v>
                </c:pt>
                <c:pt idx="1402">
                  <c:v>671.47065289114289</c:v>
                </c:pt>
                <c:pt idx="1403">
                  <c:v>675.85195518912656</c:v>
                </c:pt>
                <c:pt idx="1404">
                  <c:v>638.4563587941675</c:v>
                </c:pt>
                <c:pt idx="1405">
                  <c:v>654.88684123612461</c:v>
                </c:pt>
                <c:pt idx="1406">
                  <c:v>441.51479858127561</c:v>
                </c:pt>
                <c:pt idx="1407">
                  <c:v>450.78420665040966</c:v>
                </c:pt>
                <c:pt idx="1408">
                  <c:v>462.16356144914323</c:v>
                </c:pt>
                <c:pt idx="1409">
                  <c:v>478.12133887805453</c:v>
                </c:pt>
                <c:pt idx="1410">
                  <c:v>486.68712658723064</c:v>
                </c:pt>
                <c:pt idx="1411">
                  <c:v>478.09530221262077</c:v>
                </c:pt>
                <c:pt idx="1412">
                  <c:v>475.82211534468138</c:v>
                </c:pt>
                <c:pt idx="1413">
                  <c:v>472.54250584088356</c:v>
                </c:pt>
                <c:pt idx="1414">
                  <c:v>463.61368205805604</c:v>
                </c:pt>
                <c:pt idx="1415">
                  <c:v>457.18337124782511</c:v>
                </c:pt>
                <c:pt idx="1416">
                  <c:v>454.7380771211229</c:v>
                </c:pt>
                <c:pt idx="1417">
                  <c:v>465.65352631919131</c:v>
                </c:pt>
                <c:pt idx="1418">
                  <c:v>464.74617961118588</c:v>
                </c:pt>
                <c:pt idx="1419">
                  <c:v>471.483820686191</c:v>
                </c:pt>
                <c:pt idx="1420">
                  <c:v>463.42761508504526</c:v>
                </c:pt>
                <c:pt idx="1421">
                  <c:v>469.06048350209426</c:v>
                </c:pt>
                <c:pt idx="1422">
                  <c:v>466.18653044848702</c:v>
                </c:pt>
                <c:pt idx="1423">
                  <c:v>484.53963010251516</c:v>
                </c:pt>
                <c:pt idx="1424">
                  <c:v>490.11304651022039</c:v>
                </c:pt>
                <c:pt idx="1425">
                  <c:v>478.502829331425</c:v>
                </c:pt>
                <c:pt idx="1426">
                  <c:v>485.9887400656487</c:v>
                </c:pt>
                <c:pt idx="1427">
                  <c:v>497.86864714744786</c:v>
                </c:pt>
                <c:pt idx="1428">
                  <c:v>503.59537083896009</c:v>
                </c:pt>
                <c:pt idx="1429">
                  <c:v>515.95741660562248</c:v>
                </c:pt>
                <c:pt idx="1430">
                  <c:v>525.9227426815346</c:v>
                </c:pt>
                <c:pt idx="1431">
                  <c:v>534.96519422478718</c:v>
                </c:pt>
                <c:pt idx="1432">
                  <c:v>519.32418785121899</c:v>
                </c:pt>
                <c:pt idx="1433">
                  <c:v>508.83252019294861</c:v>
                </c:pt>
                <c:pt idx="1434">
                  <c:v>512.63902570575556</c:v>
                </c:pt>
                <c:pt idx="1435">
                  <c:v>492.29643589727073</c:v>
                </c:pt>
                <c:pt idx="1436">
                  <c:v>485.8430225991126</c:v>
                </c:pt>
                <c:pt idx="1437">
                  <c:v>486.18766243220261</c:v>
                </c:pt>
                <c:pt idx="1438">
                  <c:v>485.90188576687092</c:v>
                </c:pt>
                <c:pt idx="1439">
                  <c:v>473.95521912577976</c:v>
                </c:pt>
                <c:pt idx="1440">
                  <c:v>468.04101362926099</c:v>
                </c:pt>
                <c:pt idx="1441">
                  <c:v>465.72607084932929</c:v>
                </c:pt>
                <c:pt idx="1442">
                  <c:v>461.02413962425373</c:v>
                </c:pt>
                <c:pt idx="1443">
                  <c:v>468.61134663095652</c:v>
                </c:pt>
                <c:pt idx="1444">
                  <c:v>472.24987253839214</c:v>
                </c:pt>
                <c:pt idx="1445">
                  <c:v>472.89434870168543</c:v>
                </c:pt>
                <c:pt idx="1446">
                  <c:v>471.06834343526037</c:v>
                </c:pt>
                <c:pt idx="1447">
                  <c:v>463.11254891678277</c:v>
                </c:pt>
                <c:pt idx="1448">
                  <c:v>467.92107829139809</c:v>
                </c:pt>
                <c:pt idx="1449">
                  <c:v>465.44626340612854</c:v>
                </c:pt>
                <c:pt idx="1450">
                  <c:v>483.96092748473188</c:v>
                </c:pt>
                <c:pt idx="1451">
                  <c:v>478.47086736708934</c:v>
                </c:pt>
                <c:pt idx="1452">
                  <c:v>476.109022332027</c:v>
                </c:pt>
                <c:pt idx="1453">
                  <c:v>469.87915321228729</c:v>
                </c:pt>
                <c:pt idx="1454">
                  <c:v>460.16305523594485</c:v>
                </c:pt>
                <c:pt idx="1455">
                  <c:v>459.84049825324996</c:v>
                </c:pt>
                <c:pt idx="1456">
                  <c:v>473.10440416519305</c:v>
                </c:pt>
                <c:pt idx="1457">
                  <c:v>468.06871432681635</c:v>
                </c:pt>
                <c:pt idx="1458">
                  <c:v>460.15211398242303</c:v>
                </c:pt>
                <c:pt idx="1459">
                  <c:v>463.10802056697213</c:v>
                </c:pt>
                <c:pt idx="1460">
                  <c:v>450.09989730694497</c:v>
                </c:pt>
                <c:pt idx="1461">
                  <c:v>446.67597983197226</c:v>
                </c:pt>
                <c:pt idx="1462">
                  <c:v>461.17592937496147</c:v>
                </c:pt>
                <c:pt idx="1463">
                  <c:v>447.6852376856462</c:v>
                </c:pt>
                <c:pt idx="1464">
                  <c:v>448.42481361969448</c:v>
                </c:pt>
                <c:pt idx="1465">
                  <c:v>453.83625018678674</c:v>
                </c:pt>
                <c:pt idx="1466">
                  <c:v>452.42232497782709</c:v>
                </c:pt>
                <c:pt idx="1467">
                  <c:v>461.12375792745638</c:v>
                </c:pt>
                <c:pt idx="1468">
                  <c:v>459.70182703336644</c:v>
                </c:pt>
                <c:pt idx="1469">
                  <c:v>459.53721365730632</c:v>
                </c:pt>
                <c:pt idx="1470">
                  <c:v>376.75210512729274</c:v>
                </c:pt>
                <c:pt idx="1471">
                  <c:v>371.88998761761769</c:v>
                </c:pt>
                <c:pt idx="1472">
                  <c:v>363.62310264487564</c:v>
                </c:pt>
                <c:pt idx="1473">
                  <c:v>371.58980258076065</c:v>
                </c:pt>
                <c:pt idx="1474">
                  <c:v>367.00407835441194</c:v>
                </c:pt>
                <c:pt idx="1475">
                  <c:v>376.02075044602975</c:v>
                </c:pt>
                <c:pt idx="1476">
                  <c:v>370.59171907023091</c:v>
                </c:pt>
                <c:pt idx="1477">
                  <c:v>377.42947501470542</c:v>
                </c:pt>
                <c:pt idx="1478">
                  <c:v>374.36325581804596</c:v>
                </c:pt>
                <c:pt idx="1479">
                  <c:v>367.00759561534278</c:v>
                </c:pt>
                <c:pt idx="1480">
                  <c:v>376.3091655187693</c:v>
                </c:pt>
                <c:pt idx="1481">
                  <c:v>381.36735234614707</c:v>
                </c:pt>
                <c:pt idx="1482">
                  <c:v>390.12759104625059</c:v>
                </c:pt>
                <c:pt idx="1483">
                  <c:v>393.58421310052307</c:v>
                </c:pt>
                <c:pt idx="1484">
                  <c:v>398.9844511484265</c:v>
                </c:pt>
                <c:pt idx="1485">
                  <c:v>402.61968479743859</c:v>
                </c:pt>
                <c:pt idx="1486">
                  <c:v>391.3279865246534</c:v>
                </c:pt>
                <c:pt idx="1487">
                  <c:v>400.79195894623467</c:v>
                </c:pt>
                <c:pt idx="1488">
                  <c:v>389.52762932169156</c:v>
                </c:pt>
                <c:pt idx="1489">
                  <c:v>387.61369946820821</c:v>
                </c:pt>
                <c:pt idx="1490">
                  <c:v>386.61396399843193</c:v>
                </c:pt>
                <c:pt idx="1491">
                  <c:v>389.02399219915822</c:v>
                </c:pt>
                <c:pt idx="1492">
                  <c:v>382.43238093596517</c:v>
                </c:pt>
                <c:pt idx="1493">
                  <c:v>373.92421084673367</c:v>
                </c:pt>
                <c:pt idx="1494">
                  <c:v>382.48124399296944</c:v>
                </c:pt>
                <c:pt idx="1495">
                  <c:v>398.75966103096266</c:v>
                </c:pt>
                <c:pt idx="1496">
                  <c:v>413.10306435950832</c:v>
                </c:pt>
                <c:pt idx="1497">
                  <c:v>413.73564826600125</c:v>
                </c:pt>
                <c:pt idx="1498">
                  <c:v>432.50749241028552</c:v>
                </c:pt>
                <c:pt idx="1499">
                  <c:v>440.55393991274178</c:v>
                </c:pt>
                <c:pt idx="1500">
                  <c:v>419.86557463409235</c:v>
                </c:pt>
                <c:pt idx="1501">
                  <c:v>437.06310339880577</c:v>
                </c:pt>
                <c:pt idx="1502">
                  <c:v>436.78331069679734</c:v>
                </c:pt>
                <c:pt idx="1503">
                  <c:v>446.08015510064183</c:v>
                </c:pt>
                <c:pt idx="1504">
                  <c:v>454.23308739111781</c:v>
                </c:pt>
                <c:pt idx="1505">
                  <c:v>459.04369626576101</c:v>
                </c:pt>
                <c:pt idx="1506">
                  <c:v>453.50646992137456</c:v>
                </c:pt>
                <c:pt idx="1507">
                  <c:v>454.2405808522941</c:v>
                </c:pt>
                <c:pt idx="1508">
                  <c:v>445.628028868652</c:v>
                </c:pt>
              </c:numCache>
            </c:numRef>
          </c:val>
          <c:smooth val="0"/>
          <c:extLst>
            <c:ext xmlns:c16="http://schemas.microsoft.com/office/drawing/2014/chart" uri="{C3380CC4-5D6E-409C-BE32-E72D297353CC}">
              <c16:uniqueId val="{00000000-FE7B-4219-A2C2-51F50F9986F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77600015"/>
        <c:axId val="177580815"/>
      </c:lineChart>
      <c:dateAx>
        <c:axId val="177600015"/>
        <c:scaling>
          <c:orientation val="minMax"/>
        </c:scaling>
        <c:delete val="0"/>
        <c:axPos val="b"/>
        <c:numFmt formatCode="m/d/yy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177580815"/>
        <c:crosses val="autoZero"/>
        <c:auto val="1"/>
        <c:lblOffset val="100"/>
        <c:baseTimeUnit val="days"/>
      </c:dateAx>
      <c:valAx>
        <c:axId val="177580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17760001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600" b="1"/>
              <a:t>Debt - in million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fr-FR"/>
        </a:p>
      </c:txPr>
    </c:title>
    <c:autoTitleDeleted val="0"/>
    <c:plotArea>
      <c:layout/>
      <c:barChart>
        <c:barDir val="col"/>
        <c:grouping val="clustered"/>
        <c:varyColors val="0"/>
        <c:ser>
          <c:idx val="0"/>
          <c:order val="0"/>
          <c:tx>
            <c:strRef>
              <c:f>APPENDIX!$B$243</c:f>
              <c:strCache>
                <c:ptCount val="1"/>
                <c:pt idx="0">
                  <c:v>Total Debt</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APPENDIX!$D$242:$F$242</c:f>
              <c:strCache>
                <c:ptCount val="3"/>
                <c:pt idx="0">
                  <c:v> 2021 </c:v>
                </c:pt>
                <c:pt idx="1">
                  <c:v> 2022 </c:v>
                </c:pt>
                <c:pt idx="2">
                  <c:v> 2023 </c:v>
                </c:pt>
              </c:strCache>
            </c:strRef>
          </c:cat>
          <c:val>
            <c:numRef>
              <c:f>APPENDIX!$D$243:$F$243</c:f>
              <c:numCache>
                <c:formatCode>[$$-45D]#\ ##0</c:formatCode>
                <c:ptCount val="3"/>
                <c:pt idx="0">
                  <c:v>20879</c:v>
                </c:pt>
                <c:pt idx="1">
                  <c:v>20264</c:v>
                </c:pt>
                <c:pt idx="2">
                  <c:v>20579</c:v>
                </c:pt>
              </c:numCache>
            </c:numRef>
          </c:val>
          <c:extLst>
            <c:ext xmlns:c16="http://schemas.microsoft.com/office/drawing/2014/chart" uri="{C3380CC4-5D6E-409C-BE32-E72D297353CC}">
              <c16:uniqueId val="{00000000-706A-49B1-B534-A4A74B30E2EA}"/>
            </c:ext>
          </c:extLst>
        </c:ser>
        <c:ser>
          <c:idx val="1"/>
          <c:order val="1"/>
          <c:tx>
            <c:strRef>
              <c:f>APPENDIX!$B$245</c:f>
              <c:strCache>
                <c:ptCount val="1"/>
                <c:pt idx="0">
                  <c:v>Long-term Debt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APPENDIX!$D$242:$F$242</c:f>
              <c:strCache>
                <c:ptCount val="3"/>
                <c:pt idx="0">
                  <c:v> 2021 </c:v>
                </c:pt>
                <c:pt idx="1">
                  <c:v> 2022 </c:v>
                </c:pt>
                <c:pt idx="2">
                  <c:v> 2023 </c:v>
                </c:pt>
              </c:strCache>
            </c:strRef>
          </c:cat>
          <c:val>
            <c:numRef>
              <c:f>APPENDIX!$D$245:$F$245</c:f>
              <c:numCache>
                <c:formatCode>[$$-45D]#\ ##0</c:formatCode>
                <c:ptCount val="3"/>
                <c:pt idx="0">
                  <c:v>20733</c:v>
                </c:pt>
                <c:pt idx="1">
                  <c:v>20182</c:v>
                </c:pt>
                <c:pt idx="2">
                  <c:v>20453</c:v>
                </c:pt>
              </c:numCache>
            </c:numRef>
          </c:val>
          <c:extLst>
            <c:ext xmlns:c16="http://schemas.microsoft.com/office/drawing/2014/chart" uri="{C3380CC4-5D6E-409C-BE32-E72D297353CC}">
              <c16:uniqueId val="{00000001-706A-49B1-B534-A4A74B30E2EA}"/>
            </c:ext>
          </c:extLst>
        </c:ser>
        <c:dLbls>
          <c:dLblPos val="outEnd"/>
          <c:showLegendKey val="0"/>
          <c:showVal val="1"/>
          <c:showCatName val="0"/>
          <c:showSerName val="0"/>
          <c:showPercent val="0"/>
          <c:showBubbleSize val="0"/>
        </c:dLbls>
        <c:gapWidth val="219"/>
        <c:overlap val="-27"/>
        <c:axId val="1704365247"/>
        <c:axId val="1704344815"/>
      </c:barChart>
      <c:catAx>
        <c:axId val="17043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704344815"/>
        <c:crosses val="autoZero"/>
        <c:auto val="1"/>
        <c:lblAlgn val="ctr"/>
        <c:lblOffset val="100"/>
        <c:noMultiLvlLbl val="0"/>
      </c:catAx>
      <c:valAx>
        <c:axId val="1704344815"/>
        <c:scaling>
          <c:orientation val="minMax"/>
        </c:scaling>
        <c:delete val="0"/>
        <c:axPos val="l"/>
        <c:majorGridlines>
          <c:spPr>
            <a:ln w="9525" cap="flat" cmpd="sng" algn="ctr">
              <a:solidFill>
                <a:schemeClr val="tx1">
                  <a:lumMod val="15000"/>
                  <a:lumOff val="85000"/>
                </a:schemeClr>
              </a:solidFill>
              <a:round/>
            </a:ln>
            <a:effectLst/>
          </c:spPr>
        </c:majorGridlines>
        <c:numFmt formatCode="[$$-45D]#\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70436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GB" sz="1200" b="1"/>
              <a:t>Debt-to-Asset</a:t>
            </a:r>
          </a:p>
          <a:p>
            <a:pPr>
              <a:defRPr sz="1200" b="1"/>
            </a:pPr>
            <a:r>
              <a:rPr lang="en-GB" sz="1200" b="1"/>
              <a:t>Debt-to-Equity</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APPENDIX!$B$280</c:f>
              <c:strCache>
                <c:ptCount val="1"/>
                <c:pt idx="0">
                  <c:v>Debt-to-Asset</c:v>
                </c:pt>
              </c:strCache>
            </c:strRef>
          </c:tx>
          <c:spPr>
            <a:ln w="28575" cap="rnd">
              <a:solidFill>
                <a:srgbClr val="7030A0"/>
              </a:solidFill>
              <a:round/>
            </a:ln>
            <a:effectLst/>
          </c:spPr>
          <c:marker>
            <c:symbol val="circle"/>
            <c:size val="5"/>
            <c:spPr>
              <a:solidFill>
                <a:srgbClr val="7030A0"/>
              </a:solidFill>
              <a:ln w="9525">
                <a:solidFill>
                  <a:schemeClr val="accent1"/>
                </a:solidFill>
              </a:ln>
              <a:effectLst/>
            </c:spPr>
          </c:marker>
          <c:cat>
            <c:strRef>
              <c:f>APPENDIX!$C$279:$L$279</c:f>
              <c:strCache>
                <c:ptCount val="10"/>
                <c:pt idx="0">
                  <c:v> 2019 </c:v>
                </c:pt>
                <c:pt idx="1">
                  <c:v> 2020 </c:v>
                </c:pt>
                <c:pt idx="2">
                  <c:v> 2021 </c:v>
                </c:pt>
                <c:pt idx="3">
                  <c:v> 2022 </c:v>
                </c:pt>
                <c:pt idx="4">
                  <c:v> 2023 </c:v>
                </c:pt>
                <c:pt idx="5">
                  <c:v> 2024E </c:v>
                </c:pt>
                <c:pt idx="6">
                  <c:v> 2025E </c:v>
                </c:pt>
                <c:pt idx="7">
                  <c:v> 2026E </c:v>
                </c:pt>
                <c:pt idx="8">
                  <c:v> 2027E </c:v>
                </c:pt>
                <c:pt idx="9">
                  <c:v> 2028E </c:v>
                </c:pt>
              </c:strCache>
            </c:strRef>
          </c:cat>
          <c:val>
            <c:numRef>
              <c:f>APPENDIX!$C$280:$L$280</c:f>
              <c:numCache>
                <c:formatCode>0.0%</c:formatCode>
                <c:ptCount val="10"/>
                <c:pt idx="0">
                  <c:v>0.32316232560704372</c:v>
                </c:pt>
                <c:pt idx="1">
                  <c:v>0.29920992153609749</c:v>
                </c:pt>
                <c:pt idx="2">
                  <c:v>0.2522319001655049</c:v>
                </c:pt>
                <c:pt idx="3">
                  <c:v>0.2356443472800428</c:v>
                </c:pt>
                <c:pt idx="4">
                  <c:v>0.23615207188184936</c:v>
                </c:pt>
                <c:pt idx="5">
                  <c:v>0.23578865915491953</c:v>
                </c:pt>
                <c:pt idx="6">
                  <c:v>0.236360149590193</c:v>
                </c:pt>
                <c:pt idx="7">
                  <c:v>0.23780098656822257</c:v>
                </c:pt>
                <c:pt idx="8">
                  <c:v>0.24006703551303796</c:v>
                </c:pt>
                <c:pt idx="9">
                  <c:v>0.24313182570467853</c:v>
                </c:pt>
              </c:numCache>
            </c:numRef>
          </c:val>
          <c:smooth val="0"/>
          <c:extLst>
            <c:ext xmlns:c16="http://schemas.microsoft.com/office/drawing/2014/chart" uri="{C3380CC4-5D6E-409C-BE32-E72D297353CC}">
              <c16:uniqueId val="{00000000-7B25-4D7D-BDBF-1BE88A3EAB9D}"/>
            </c:ext>
          </c:extLst>
        </c:ser>
        <c:ser>
          <c:idx val="1"/>
          <c:order val="1"/>
          <c:tx>
            <c:strRef>
              <c:f>APPENDIX!$B$281</c:f>
              <c:strCache>
                <c:ptCount val="1"/>
                <c:pt idx="0">
                  <c:v>Debt-to-Equity</c:v>
                </c:pt>
              </c:strCache>
            </c:strRef>
          </c:tx>
          <c:spPr>
            <a:ln w="28575" cap="rnd">
              <a:solidFill>
                <a:schemeClr val="accent2"/>
              </a:solidFill>
              <a:round/>
            </a:ln>
            <a:effectLst/>
          </c:spPr>
          <c:marker>
            <c:symbol val="circle"/>
            <c:size val="5"/>
            <c:spPr>
              <a:solidFill>
                <a:schemeClr val="accent6"/>
              </a:solidFill>
              <a:ln w="9525">
                <a:solidFill>
                  <a:schemeClr val="accent2"/>
                </a:solidFill>
              </a:ln>
              <a:effectLst/>
            </c:spPr>
          </c:marker>
          <c:cat>
            <c:strRef>
              <c:f>APPENDIX!$C$279:$L$279</c:f>
              <c:strCache>
                <c:ptCount val="10"/>
                <c:pt idx="0">
                  <c:v> 2019 </c:v>
                </c:pt>
                <c:pt idx="1">
                  <c:v> 2020 </c:v>
                </c:pt>
                <c:pt idx="2">
                  <c:v> 2021 </c:v>
                </c:pt>
                <c:pt idx="3">
                  <c:v> 2022 </c:v>
                </c:pt>
                <c:pt idx="4">
                  <c:v> 2023 </c:v>
                </c:pt>
                <c:pt idx="5">
                  <c:v> 2024E </c:v>
                </c:pt>
                <c:pt idx="6">
                  <c:v> 2025E </c:v>
                </c:pt>
                <c:pt idx="7">
                  <c:v> 2026E </c:v>
                </c:pt>
                <c:pt idx="8">
                  <c:v> 2027E </c:v>
                </c:pt>
                <c:pt idx="9">
                  <c:v> 2028E </c:v>
                </c:pt>
              </c:strCache>
            </c:strRef>
          </c:cat>
          <c:val>
            <c:numRef>
              <c:f>APPENDIX!$C$281:$L$281</c:f>
              <c:numCache>
                <c:formatCode>0.0%</c:formatCode>
                <c:ptCount val="10"/>
                <c:pt idx="0">
                  <c:v>0.93579996621050854</c:v>
                </c:pt>
                <c:pt idx="1">
                  <c:v>1.1998906805138017</c:v>
                </c:pt>
                <c:pt idx="2">
                  <c:v>0.85786991062562068</c:v>
                </c:pt>
                <c:pt idx="3">
                  <c:v>0.80925458117807447</c:v>
                </c:pt>
                <c:pt idx="4">
                  <c:v>0.78400030665440046</c:v>
                </c:pt>
                <c:pt idx="5">
                  <c:v>0.77998466449780357</c:v>
                </c:pt>
                <c:pt idx="6">
                  <c:v>0.78631257504484353</c:v>
                </c:pt>
                <c:pt idx="7">
                  <c:v>0.80258990244925599</c:v>
                </c:pt>
                <c:pt idx="8">
                  <c:v>0.82916816986495923</c:v>
                </c:pt>
                <c:pt idx="9">
                  <c:v>0.86715499605912261</c:v>
                </c:pt>
              </c:numCache>
            </c:numRef>
          </c:val>
          <c:smooth val="0"/>
          <c:extLst>
            <c:ext xmlns:c16="http://schemas.microsoft.com/office/drawing/2014/chart" uri="{C3380CC4-5D6E-409C-BE32-E72D297353CC}">
              <c16:uniqueId val="{00000001-7B25-4D7D-BDBF-1BE88A3EAB9D}"/>
            </c:ext>
          </c:extLst>
        </c:ser>
        <c:dLbls>
          <c:showLegendKey val="0"/>
          <c:showVal val="0"/>
          <c:showCatName val="0"/>
          <c:showSerName val="0"/>
          <c:showPercent val="0"/>
          <c:showBubbleSize val="0"/>
        </c:dLbls>
        <c:marker val="1"/>
        <c:smooth val="0"/>
        <c:axId val="1413500000"/>
        <c:axId val="551806176"/>
      </c:lineChart>
      <c:catAx>
        <c:axId val="1413500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51806176"/>
        <c:crosses val="autoZero"/>
        <c:auto val="1"/>
        <c:lblAlgn val="ctr"/>
        <c:lblOffset val="100"/>
        <c:noMultiLvlLbl val="0"/>
      </c:catAx>
      <c:valAx>
        <c:axId val="5518061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1350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b="1">
                <a:solidFill>
                  <a:schemeClr val="tx1"/>
                </a:solidFill>
              </a:rPr>
              <a:t>Revenue</a:t>
            </a:r>
            <a:r>
              <a:rPr lang="en-GB"/>
              <a:t>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barChart>
        <c:barDir val="col"/>
        <c:grouping val="clustered"/>
        <c:varyColors val="0"/>
        <c:ser>
          <c:idx val="0"/>
          <c:order val="0"/>
          <c:tx>
            <c:strRef>
              <c:f>[1]Quarterly!$C$55</c:f>
              <c:strCache>
                <c:ptCount val="1"/>
                <c:pt idx="0">
                  <c:v>1Q2023</c:v>
                </c:pt>
              </c:strCache>
            </c:strRef>
          </c:tx>
          <c:spPr>
            <a:solidFill>
              <a:schemeClr val="accent4"/>
            </a:solidFill>
            <a:ln w="9525" cap="flat" cmpd="sng" algn="ctr">
              <a:solidFill>
                <a:srgbClr val="7030A0"/>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[1]Quarterly!$B$56:$B$59</c:f>
              <c:strCache>
                <c:ptCount val="4"/>
                <c:pt idx="0">
                  <c:v>FedEx Express segment </c:v>
                </c:pt>
                <c:pt idx="1">
                  <c:v>FedEx Ground segment </c:v>
                </c:pt>
                <c:pt idx="2">
                  <c:v>FedEx Freight segment </c:v>
                </c:pt>
                <c:pt idx="3">
                  <c:v>FedEx Services segment &amp; Others</c:v>
                </c:pt>
              </c:strCache>
            </c:strRef>
          </c:cat>
          <c:val>
            <c:numRef>
              <c:f>[1]Quarterly!$C$56:$C$59</c:f>
              <c:numCache>
                <c:formatCode>General</c:formatCode>
                <c:ptCount val="4"/>
                <c:pt idx="0">
                  <c:v>11127</c:v>
                </c:pt>
                <c:pt idx="1">
                  <c:v>8160</c:v>
                </c:pt>
                <c:pt idx="2">
                  <c:v>2723</c:v>
                </c:pt>
                <c:pt idx="3">
                  <c:v>1232</c:v>
                </c:pt>
              </c:numCache>
            </c:numRef>
          </c:val>
          <c:extLst>
            <c:ext xmlns:c16="http://schemas.microsoft.com/office/drawing/2014/chart" uri="{C3380CC4-5D6E-409C-BE32-E72D297353CC}">
              <c16:uniqueId val="{00000000-5560-4D99-9057-C93F8D7E4D8B}"/>
            </c:ext>
          </c:extLst>
        </c:ser>
        <c:ser>
          <c:idx val="1"/>
          <c:order val="1"/>
          <c:tx>
            <c:strRef>
              <c:f>[1]Quarterly!$D$55</c:f>
              <c:strCache>
                <c:ptCount val="1"/>
                <c:pt idx="0">
                  <c:v>1Q2024</c:v>
                </c:pt>
              </c:strCache>
            </c:strRef>
          </c:tx>
          <c:spPr>
            <a:solidFill>
              <a:schemeClr val="accent6"/>
            </a:solidFill>
            <a:ln w="9525" cap="flat" cmpd="sng" algn="ctr">
              <a:solidFill>
                <a:schemeClr val="accent6"/>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fr-FR"/>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[1]Quarterly!$B$56:$B$59</c:f>
              <c:strCache>
                <c:ptCount val="4"/>
                <c:pt idx="0">
                  <c:v>FedEx Express segment </c:v>
                </c:pt>
                <c:pt idx="1">
                  <c:v>FedEx Ground segment </c:v>
                </c:pt>
                <c:pt idx="2">
                  <c:v>FedEx Freight segment </c:v>
                </c:pt>
                <c:pt idx="3">
                  <c:v>FedEx Services segment &amp; Others</c:v>
                </c:pt>
              </c:strCache>
            </c:strRef>
          </c:cat>
          <c:val>
            <c:numRef>
              <c:f>[1]Quarterly!$D$56:$D$59</c:f>
              <c:numCache>
                <c:formatCode>General</c:formatCode>
                <c:ptCount val="4"/>
                <c:pt idx="0">
                  <c:v>10085</c:v>
                </c:pt>
                <c:pt idx="1">
                  <c:v>8420</c:v>
                </c:pt>
                <c:pt idx="2">
                  <c:v>2291</c:v>
                </c:pt>
                <c:pt idx="3">
                  <c:v>885</c:v>
                </c:pt>
              </c:numCache>
            </c:numRef>
          </c:val>
          <c:extLst>
            <c:ext xmlns:c16="http://schemas.microsoft.com/office/drawing/2014/chart" uri="{C3380CC4-5D6E-409C-BE32-E72D297353CC}">
              <c16:uniqueId val="{00000001-5560-4D99-9057-C93F8D7E4D8B}"/>
            </c:ext>
          </c:extLst>
        </c:ser>
        <c:dLbls>
          <c:showLegendKey val="0"/>
          <c:showVal val="1"/>
          <c:showCatName val="0"/>
          <c:showSerName val="0"/>
          <c:showPercent val="0"/>
          <c:showBubbleSize val="0"/>
        </c:dLbls>
        <c:gapWidth val="100"/>
        <c:axId val="2143966128"/>
        <c:axId val="2143533360"/>
      </c:barChart>
      <c:catAx>
        <c:axId val="21439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2143533360"/>
        <c:crosses val="autoZero"/>
        <c:auto val="1"/>
        <c:lblAlgn val="ctr"/>
        <c:lblOffset val="100"/>
        <c:noMultiLvlLbl val="0"/>
      </c:catAx>
      <c:valAx>
        <c:axId val="21435333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2143966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Historial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fr-FR"/>
        </a:p>
      </c:txPr>
    </c:title>
    <c:autoTitleDeleted val="0"/>
    <c:plotArea>
      <c:layout/>
      <c:barChart>
        <c:barDir val="col"/>
        <c:grouping val="clustered"/>
        <c:varyColors val="0"/>
        <c:ser>
          <c:idx val="0"/>
          <c:order val="0"/>
          <c:tx>
            <c:strRef>
              <c:f>APPENDIX!$B$191</c:f>
              <c:strCache>
                <c:ptCount val="1"/>
                <c:pt idx="0">
                  <c:v>Segment 1 (change name)</c:v>
                </c:pt>
              </c:strCache>
            </c:strRef>
          </c:tx>
          <c:spPr>
            <a:solidFill>
              <a:srgbClr val="7030A0"/>
            </a:solidFill>
            <a:ln>
              <a:noFill/>
            </a:ln>
            <a:effectLst/>
          </c:spPr>
          <c:invertIfNegative val="0"/>
          <c:cat>
            <c:strRef>
              <c:f>APPENDIX!$C$189:$E$189</c:f>
              <c:strCache>
                <c:ptCount val="3"/>
                <c:pt idx="0">
                  <c:v> 2021 </c:v>
                </c:pt>
                <c:pt idx="1">
                  <c:v> 2022 </c:v>
                </c:pt>
                <c:pt idx="2">
                  <c:v> 2023 </c:v>
                </c:pt>
              </c:strCache>
            </c:strRef>
          </c:cat>
          <c:val>
            <c:numRef>
              <c:f>APPENDIX!$C$191:$E$191</c:f>
              <c:numCache>
                <c:formatCode>[$$-409]#\ ##0</c:formatCode>
                <c:ptCount val="3"/>
                <c:pt idx="0">
                  <c:v>42078</c:v>
                </c:pt>
                <c:pt idx="1">
                  <c:v>45814</c:v>
                </c:pt>
                <c:pt idx="2">
                  <c:v>42743</c:v>
                </c:pt>
              </c:numCache>
            </c:numRef>
          </c:val>
          <c:extLst>
            <c:ext xmlns:c16="http://schemas.microsoft.com/office/drawing/2014/chart" uri="{C3380CC4-5D6E-409C-BE32-E72D297353CC}">
              <c16:uniqueId val="{00000000-2FE2-4B98-8D48-F14DCC3060A4}"/>
            </c:ext>
          </c:extLst>
        </c:ser>
        <c:ser>
          <c:idx val="1"/>
          <c:order val="1"/>
          <c:tx>
            <c:strRef>
              <c:f>APPENDIX!$B$192</c:f>
              <c:strCache>
                <c:ptCount val="1"/>
                <c:pt idx="0">
                  <c:v>Segment 2 (change name)</c:v>
                </c:pt>
              </c:strCache>
            </c:strRef>
          </c:tx>
          <c:spPr>
            <a:solidFill>
              <a:srgbClr val="A6E9E4"/>
            </a:solidFill>
            <a:ln>
              <a:noFill/>
            </a:ln>
            <a:effectLst/>
          </c:spPr>
          <c:invertIfNegative val="0"/>
          <c:cat>
            <c:strRef>
              <c:f>APPENDIX!$C$189:$E$189</c:f>
              <c:strCache>
                <c:ptCount val="3"/>
                <c:pt idx="0">
                  <c:v> 2021 </c:v>
                </c:pt>
                <c:pt idx="1">
                  <c:v> 2022 </c:v>
                </c:pt>
                <c:pt idx="2">
                  <c:v> 2023 </c:v>
                </c:pt>
              </c:strCache>
            </c:strRef>
          </c:cat>
          <c:val>
            <c:numRef>
              <c:f>APPENDIX!$C$192:$E$192</c:f>
              <c:numCache>
                <c:formatCode>[$$-409]#\ ##0</c:formatCode>
                <c:ptCount val="3"/>
                <c:pt idx="0">
                  <c:v>30496</c:v>
                </c:pt>
                <c:pt idx="1">
                  <c:v>33232</c:v>
                </c:pt>
                <c:pt idx="2">
                  <c:v>33507</c:v>
                </c:pt>
              </c:numCache>
            </c:numRef>
          </c:val>
          <c:extLst>
            <c:ext xmlns:c16="http://schemas.microsoft.com/office/drawing/2014/chart" uri="{C3380CC4-5D6E-409C-BE32-E72D297353CC}">
              <c16:uniqueId val="{00000001-2FE2-4B98-8D48-F14DCC3060A4}"/>
            </c:ext>
          </c:extLst>
        </c:ser>
        <c:ser>
          <c:idx val="2"/>
          <c:order val="2"/>
          <c:tx>
            <c:strRef>
              <c:f>APPENDIX!$B$193</c:f>
              <c:strCache>
                <c:ptCount val="1"/>
                <c:pt idx="0">
                  <c:v>Segment 3 (change name)</c:v>
                </c:pt>
              </c:strCache>
            </c:strRef>
          </c:tx>
          <c:spPr>
            <a:solidFill>
              <a:schemeClr val="accent6"/>
            </a:solidFill>
            <a:ln>
              <a:noFill/>
            </a:ln>
            <a:effectLst/>
          </c:spPr>
          <c:invertIfNegative val="0"/>
          <c:cat>
            <c:strRef>
              <c:f>APPENDIX!$C$189:$E$189</c:f>
              <c:strCache>
                <c:ptCount val="3"/>
                <c:pt idx="0">
                  <c:v> 2021 </c:v>
                </c:pt>
                <c:pt idx="1">
                  <c:v> 2022 </c:v>
                </c:pt>
                <c:pt idx="2">
                  <c:v> 2023 </c:v>
                </c:pt>
              </c:strCache>
            </c:strRef>
          </c:cat>
          <c:val>
            <c:numRef>
              <c:f>APPENDIX!$C$193:$E$193</c:f>
              <c:numCache>
                <c:formatCode>[$$-409]#\ ##0</c:formatCode>
                <c:ptCount val="3"/>
                <c:pt idx="0">
                  <c:v>7883</c:v>
                </c:pt>
                <c:pt idx="1">
                  <c:v>9532</c:v>
                </c:pt>
                <c:pt idx="2">
                  <c:v>9632</c:v>
                </c:pt>
              </c:numCache>
            </c:numRef>
          </c:val>
          <c:extLst>
            <c:ext xmlns:c16="http://schemas.microsoft.com/office/drawing/2014/chart" uri="{C3380CC4-5D6E-409C-BE32-E72D297353CC}">
              <c16:uniqueId val="{00000002-2FE2-4B98-8D48-F14DCC3060A4}"/>
            </c:ext>
          </c:extLst>
        </c:ser>
        <c:ser>
          <c:idx val="3"/>
          <c:order val="3"/>
          <c:tx>
            <c:strRef>
              <c:f>APPENDIX!$B$194</c:f>
              <c:strCache>
                <c:ptCount val="1"/>
                <c:pt idx="0">
                  <c:v>Segment 4 (change name)</c:v>
                </c:pt>
              </c:strCache>
            </c:strRef>
          </c:tx>
          <c:spPr>
            <a:solidFill>
              <a:schemeClr val="accent3"/>
            </a:solidFill>
            <a:ln>
              <a:noFill/>
            </a:ln>
            <a:effectLst/>
          </c:spPr>
          <c:invertIfNegative val="0"/>
          <c:cat>
            <c:strRef>
              <c:f>APPENDIX!$C$189:$E$189</c:f>
              <c:strCache>
                <c:ptCount val="3"/>
                <c:pt idx="0">
                  <c:v> 2021 </c:v>
                </c:pt>
                <c:pt idx="1">
                  <c:v> 2022 </c:v>
                </c:pt>
                <c:pt idx="2">
                  <c:v> 2023 </c:v>
                </c:pt>
              </c:strCache>
            </c:strRef>
          </c:cat>
          <c:val>
            <c:numRef>
              <c:f>APPENDIX!$C$194:$E$194</c:f>
              <c:numCache>
                <c:formatCode>[$$-409]#\ ##0</c:formatCode>
                <c:ptCount val="3"/>
                <c:pt idx="0">
                  <c:v>3502</c:v>
                </c:pt>
                <c:pt idx="1">
                  <c:v>4934</c:v>
                </c:pt>
                <c:pt idx="2">
                  <c:v>4273</c:v>
                </c:pt>
              </c:numCache>
            </c:numRef>
          </c:val>
          <c:extLst>
            <c:ext xmlns:c16="http://schemas.microsoft.com/office/drawing/2014/chart" uri="{C3380CC4-5D6E-409C-BE32-E72D297353CC}">
              <c16:uniqueId val="{00000003-2FE2-4B98-8D48-F14DCC3060A4}"/>
            </c:ext>
          </c:extLst>
        </c:ser>
        <c:dLbls>
          <c:showLegendKey val="0"/>
          <c:showVal val="0"/>
          <c:showCatName val="0"/>
          <c:showSerName val="0"/>
          <c:showPercent val="0"/>
          <c:showBubbleSize val="0"/>
        </c:dLbls>
        <c:gapWidth val="219"/>
        <c:overlap val="-27"/>
        <c:axId val="57047263"/>
        <c:axId val="922366400"/>
      </c:barChart>
      <c:catAx>
        <c:axId val="5704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22366400"/>
        <c:crosses val="autoZero"/>
        <c:auto val="1"/>
        <c:lblAlgn val="ctr"/>
        <c:lblOffset val="100"/>
        <c:noMultiLvlLbl val="0"/>
      </c:catAx>
      <c:valAx>
        <c:axId val="922366400"/>
        <c:scaling>
          <c:orientation val="minMax"/>
        </c:scaling>
        <c:delete val="0"/>
        <c:axPos val="l"/>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047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Forecase Revenue - in million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1"/>
          <c:order val="0"/>
          <c:tx>
            <c:strRef>
              <c:f>'Table &amp; Charts 1'!$B$9</c:f>
              <c:strCache>
                <c:ptCount val="1"/>
                <c:pt idx="0">
                  <c:v>Americas:</c:v>
                </c:pt>
              </c:strCache>
            </c:strRef>
          </c:tx>
          <c:spPr>
            <a:ln w="28575" cap="rnd">
              <a:solidFill>
                <a:srgbClr val="A6E9E4"/>
              </a:solidFill>
              <a:round/>
            </a:ln>
            <a:effectLst/>
          </c:spPr>
          <c:marker>
            <c:symbol val="circle"/>
            <c:size val="5"/>
            <c:spPr>
              <a:solidFill>
                <a:srgbClr val="A6E9E4"/>
              </a:solidFill>
              <a:ln w="9525">
                <a:solidFill>
                  <a:srgbClr val="A6E9E4"/>
                </a:solidFill>
              </a:ln>
              <a:effectLst/>
            </c:spPr>
          </c:marker>
          <c:cat>
            <c:strRef>
              <c:f>'Table &amp; Charts 1'!$C$7:$J$7</c:f>
              <c:strCache>
                <c:ptCount val="8"/>
                <c:pt idx="0">
                  <c:v> 2021 </c:v>
                </c:pt>
                <c:pt idx="1">
                  <c:v> 2022 </c:v>
                </c:pt>
                <c:pt idx="2">
                  <c:v> 2023 </c:v>
                </c:pt>
                <c:pt idx="3">
                  <c:v> 2024E </c:v>
                </c:pt>
                <c:pt idx="4">
                  <c:v> 2025E </c:v>
                </c:pt>
                <c:pt idx="5">
                  <c:v> 2026E </c:v>
                </c:pt>
                <c:pt idx="6">
                  <c:v> 2027E </c:v>
                </c:pt>
                <c:pt idx="7">
                  <c:v> 2028E </c:v>
                </c:pt>
              </c:strCache>
            </c:strRef>
          </c:cat>
          <c:val>
            <c:numRef>
              <c:f>'Table &amp; Charts 1'!$C$9:$J$9</c:f>
              <c:numCache>
                <c:formatCode>[$$-409]#\ ##0.00</c:formatCode>
                <c:ptCount val="8"/>
                <c:pt idx="0">
                  <c:v>1358.8</c:v>
                </c:pt>
                <c:pt idx="1">
                  <c:v>1785</c:v>
                </c:pt>
                <c:pt idx="2">
                  <c:v>2175.1999999999998</c:v>
                </c:pt>
                <c:pt idx="3">
                  <c:v>2392.7199999999998</c:v>
                </c:pt>
                <c:pt idx="4">
                  <c:v>2703.7735999999995</c:v>
                </c:pt>
                <c:pt idx="5">
                  <c:v>3109.3396399999992</c:v>
                </c:pt>
                <c:pt idx="6">
                  <c:v>3637.9273787999987</c:v>
                </c:pt>
                <c:pt idx="7">
                  <c:v>4329.1335807719979</c:v>
                </c:pt>
              </c:numCache>
            </c:numRef>
          </c:val>
          <c:smooth val="0"/>
          <c:extLst>
            <c:ext xmlns:c16="http://schemas.microsoft.com/office/drawing/2014/chart" uri="{C3380CC4-5D6E-409C-BE32-E72D297353CC}">
              <c16:uniqueId val="{00000000-4B6E-4E8F-BD05-36B77E8AB24A}"/>
            </c:ext>
          </c:extLst>
        </c:ser>
        <c:ser>
          <c:idx val="2"/>
          <c:order val="1"/>
          <c:tx>
            <c:strRef>
              <c:f>'Table &amp; Charts 1'!$B$10</c:f>
              <c:strCache>
                <c:ptCount val="1"/>
                <c:pt idx="0">
                  <c:v>Europe, Middle East and Africa</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'Table &amp; Charts 1'!$C$7:$J$7</c:f>
              <c:strCache>
                <c:ptCount val="8"/>
                <c:pt idx="0">
                  <c:v> 2021 </c:v>
                </c:pt>
                <c:pt idx="1">
                  <c:v> 2022 </c:v>
                </c:pt>
                <c:pt idx="2">
                  <c:v> 2023 </c:v>
                </c:pt>
                <c:pt idx="3">
                  <c:v> 2024E </c:v>
                </c:pt>
                <c:pt idx="4">
                  <c:v> 2025E </c:v>
                </c:pt>
                <c:pt idx="5">
                  <c:v> 2026E </c:v>
                </c:pt>
                <c:pt idx="6">
                  <c:v> 2027E </c:v>
                </c:pt>
                <c:pt idx="7">
                  <c:v> 2028E </c:v>
                </c:pt>
              </c:strCache>
            </c:strRef>
          </c:cat>
          <c:val>
            <c:numRef>
              <c:f>'Table &amp; Charts 1'!$C$10:$J$10</c:f>
              <c:numCache>
                <c:formatCode>[$$-409]#\ ##0.00</c:formatCode>
                <c:ptCount val="8"/>
                <c:pt idx="0">
                  <c:v>1275.9000000000001</c:v>
                </c:pt>
                <c:pt idx="1">
                  <c:v>1691</c:v>
                </c:pt>
                <c:pt idx="2">
                  <c:v>2072.9</c:v>
                </c:pt>
                <c:pt idx="3">
                  <c:v>2363.1060000000002</c:v>
                </c:pt>
                <c:pt idx="4">
                  <c:v>2741.2029600000001</c:v>
                </c:pt>
                <c:pt idx="5">
                  <c:v>3234.6194928</c:v>
                </c:pt>
                <c:pt idx="6">
                  <c:v>3881.54339136</c:v>
                </c:pt>
                <c:pt idx="7">
                  <c:v>4735.4829374592</c:v>
                </c:pt>
              </c:numCache>
            </c:numRef>
          </c:val>
          <c:smooth val="0"/>
          <c:extLst>
            <c:ext xmlns:c16="http://schemas.microsoft.com/office/drawing/2014/chart" uri="{C3380CC4-5D6E-409C-BE32-E72D297353CC}">
              <c16:uniqueId val="{00000001-4B6E-4E8F-BD05-36B77E8AB24A}"/>
            </c:ext>
          </c:extLst>
        </c:ser>
        <c:ser>
          <c:idx val="3"/>
          <c:order val="2"/>
          <c:tx>
            <c:strRef>
              <c:f>'Table &amp; Charts 1'!$B$11</c:f>
              <c:strCache>
                <c:ptCount val="1"/>
                <c:pt idx="0">
                  <c:v>Asia Pacific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'Table &amp; Charts 1'!$C$7:$J$7</c:f>
              <c:strCache>
                <c:ptCount val="8"/>
                <c:pt idx="0">
                  <c:v> 2021 </c:v>
                </c:pt>
                <c:pt idx="1">
                  <c:v> 2022 </c:v>
                </c:pt>
                <c:pt idx="2">
                  <c:v> 2023 </c:v>
                </c:pt>
                <c:pt idx="3">
                  <c:v> 2024E </c:v>
                </c:pt>
                <c:pt idx="4">
                  <c:v> 2025E </c:v>
                </c:pt>
                <c:pt idx="5">
                  <c:v> 2026E </c:v>
                </c:pt>
                <c:pt idx="6">
                  <c:v> 2027E </c:v>
                </c:pt>
                <c:pt idx="7">
                  <c:v> 2028E </c:v>
                </c:pt>
              </c:strCache>
            </c:strRef>
          </c:cat>
          <c:val>
            <c:numRef>
              <c:f>'Table &amp; Charts 1'!$C$11:$J$11</c:f>
              <c:numCache>
                <c:formatCode>[$$-409]#\ ##0.00</c:formatCode>
                <c:ptCount val="8"/>
                <c:pt idx="0">
                  <c:v>707.5</c:v>
                </c:pt>
                <c:pt idx="1">
                  <c:v>940.6</c:v>
                </c:pt>
                <c:pt idx="2">
                  <c:v>1056.7</c:v>
                </c:pt>
                <c:pt idx="3">
                  <c:v>1162.3700000000001</c:v>
                </c:pt>
                <c:pt idx="4">
                  <c:v>1301.8544000000002</c:v>
                </c:pt>
                <c:pt idx="5">
                  <c:v>1484.1140160000004</c:v>
                </c:pt>
                <c:pt idx="6">
                  <c:v>1721.5722585600004</c:v>
                </c:pt>
                <c:pt idx="7">
                  <c:v>2031.4552651008003</c:v>
                </c:pt>
              </c:numCache>
            </c:numRef>
          </c:val>
          <c:smooth val="0"/>
          <c:extLst>
            <c:ext xmlns:c16="http://schemas.microsoft.com/office/drawing/2014/chart" uri="{C3380CC4-5D6E-409C-BE32-E72D297353CC}">
              <c16:uniqueId val="{00000002-4B6E-4E8F-BD05-36B77E8AB24A}"/>
            </c:ext>
          </c:extLst>
        </c:ser>
        <c:dLbls>
          <c:showLegendKey val="0"/>
          <c:showVal val="0"/>
          <c:showCatName val="0"/>
          <c:showSerName val="0"/>
          <c:showPercent val="0"/>
          <c:showBubbleSize val="0"/>
        </c:dLbls>
        <c:marker val="1"/>
        <c:smooth val="0"/>
        <c:axId val="1913505056"/>
        <c:axId val="1541969776"/>
        <c:extLst>
          <c:ext xmlns:c15="http://schemas.microsoft.com/office/drawing/2012/chart" uri="{02D57815-91ED-43cb-92C2-25804820EDAC}">
            <c15:filteredLineSeries>
              <c15:ser>
                <c:idx val="4"/>
                <c:order val="3"/>
                <c:tx>
                  <c:strRef>
                    <c:extLst>
                      <c:ext uri="{02D57815-91ED-43cb-92C2-25804820EDAC}">
                        <c15:formulaRef>
                          <c15:sqref>'Table &amp; Charts 1'!#REF!</c15:sqref>
                        </c15:formulaRef>
                      </c:ext>
                    </c:extLst>
                    <c:strCache>
                      <c:ptCount val="1"/>
                      <c:pt idx="0">
                        <c:v>#REF!</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strRef>
                    <c:extLst>
                      <c:ext uri="{02D57815-91ED-43cb-92C2-25804820EDAC}">
                        <c15:formulaRef>
                          <c15:sqref>'Table &amp; Charts 1'!$C$7:$J$7</c15:sqref>
                        </c15:formulaRef>
                      </c:ext>
                    </c:extLst>
                    <c:strCache>
                      <c:ptCount val="8"/>
                      <c:pt idx="0">
                        <c:v> 2021 </c:v>
                      </c:pt>
                      <c:pt idx="1">
                        <c:v> 2022 </c:v>
                      </c:pt>
                      <c:pt idx="2">
                        <c:v> 2023 </c:v>
                      </c:pt>
                      <c:pt idx="3">
                        <c:v> 2024E </c:v>
                      </c:pt>
                      <c:pt idx="4">
                        <c:v> 2025E </c:v>
                      </c:pt>
                      <c:pt idx="5">
                        <c:v> 2026E </c:v>
                      </c:pt>
                      <c:pt idx="6">
                        <c:v> 2027E </c:v>
                      </c:pt>
                      <c:pt idx="7">
                        <c:v> 2028E </c:v>
                      </c:pt>
                    </c:strCache>
                  </c:strRef>
                </c:cat>
                <c:val>
                  <c:numRef>
                    <c:extLst>
                      <c:ext uri="{02D57815-91ED-43cb-92C2-25804820EDAC}">
                        <c15:formulaRef>
                          <c15:sqref>'Table &amp; Charts 1'!#REF!</c15:sqref>
                        </c15:formulaRef>
                      </c:ext>
                    </c:extLst>
                    <c:numCache>
                      <c:formatCode>General</c:formatCode>
                      <c:ptCount val="1"/>
                      <c:pt idx="0">
                        <c:v>1</c:v>
                      </c:pt>
                    </c:numCache>
                  </c:numRef>
                </c:val>
                <c:smooth val="0"/>
                <c:extLst>
                  <c:ext xmlns:c16="http://schemas.microsoft.com/office/drawing/2014/chart" uri="{C3380CC4-5D6E-409C-BE32-E72D297353CC}">
                    <c16:uniqueId val="{00000003-4B6E-4E8F-BD05-36B77E8AB24A}"/>
                  </c:ext>
                </c:extLst>
              </c15:ser>
            </c15:filteredLineSeries>
          </c:ext>
        </c:extLst>
      </c:lineChart>
      <c:catAx>
        <c:axId val="1913505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41969776"/>
        <c:crosses val="autoZero"/>
        <c:auto val="1"/>
        <c:lblAlgn val="ctr"/>
        <c:lblOffset val="100"/>
        <c:noMultiLvlLbl val="0"/>
      </c:catAx>
      <c:valAx>
        <c:axId val="1541969776"/>
        <c:scaling>
          <c:orientation val="minMax"/>
        </c:scaling>
        <c:delete val="0"/>
        <c:axPos val="l"/>
        <c:majorGridlines>
          <c:spPr>
            <a:ln w="9525" cap="flat" cmpd="sng" algn="ctr">
              <a:solidFill>
                <a:schemeClr val="tx1">
                  <a:lumMod val="15000"/>
                  <a:lumOff val="85000"/>
                </a:schemeClr>
              </a:solidFill>
              <a:round/>
            </a:ln>
            <a:effectLst/>
          </c:spPr>
        </c:majorGridlines>
        <c:numFmt formatCode="[$$-4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1350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Forecase Revenue - in million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6221831717851395"/>
          <c:y val="0.20658156270943956"/>
          <c:w val="0.83056013211280399"/>
          <c:h val="0.5045938639484705"/>
        </c:manualLayout>
      </c:layout>
      <c:lineChart>
        <c:grouping val="standard"/>
        <c:varyColors val="0"/>
        <c:ser>
          <c:idx val="0"/>
          <c:order val="0"/>
          <c:tx>
            <c:strRef>
              <c:f>APPENDIX!$B$191</c:f>
              <c:strCache>
                <c:ptCount val="1"/>
                <c:pt idx="0">
                  <c:v>Segment 1 (change name)</c:v>
                </c:pt>
              </c:strCache>
            </c:strRef>
          </c:tx>
          <c:spPr>
            <a:ln w="28575" cap="rnd">
              <a:solidFill>
                <a:srgbClr val="A6E9E4"/>
              </a:solidFill>
              <a:round/>
            </a:ln>
            <a:effectLst/>
          </c:spPr>
          <c:marker>
            <c:symbol val="circle"/>
            <c:size val="5"/>
            <c:spPr>
              <a:solidFill>
                <a:srgbClr val="A6E9E4"/>
              </a:solidFill>
              <a:ln w="9525">
                <a:solidFill>
                  <a:srgbClr val="A6E9E4"/>
                </a:solidFill>
              </a:ln>
              <a:effectLst/>
            </c:spPr>
          </c:marker>
          <c:cat>
            <c:strRef>
              <c:f>APPENDIX!$C$189:$J$189</c:f>
              <c:strCache>
                <c:ptCount val="8"/>
                <c:pt idx="0">
                  <c:v> 2021 </c:v>
                </c:pt>
                <c:pt idx="1">
                  <c:v> 2022 </c:v>
                </c:pt>
                <c:pt idx="2">
                  <c:v> 2023 </c:v>
                </c:pt>
                <c:pt idx="3">
                  <c:v> 2024E </c:v>
                </c:pt>
                <c:pt idx="4">
                  <c:v> 2025E </c:v>
                </c:pt>
                <c:pt idx="5">
                  <c:v> 2026E </c:v>
                </c:pt>
                <c:pt idx="6">
                  <c:v> 2027E </c:v>
                </c:pt>
                <c:pt idx="7">
                  <c:v> 2028E </c:v>
                </c:pt>
              </c:strCache>
            </c:strRef>
          </c:cat>
          <c:val>
            <c:numRef>
              <c:f>APPENDIX!$C$191:$J$191</c:f>
              <c:numCache>
                <c:formatCode>[$$-409]#\ ##0</c:formatCode>
                <c:ptCount val="8"/>
                <c:pt idx="0">
                  <c:v>42078</c:v>
                </c:pt>
                <c:pt idx="1">
                  <c:v>45814</c:v>
                </c:pt>
                <c:pt idx="2">
                  <c:v>42743</c:v>
                </c:pt>
                <c:pt idx="3">
                  <c:v>43084.944000000003</c:v>
                </c:pt>
                <c:pt idx="4">
                  <c:v>43429.623552000005</c:v>
                </c:pt>
                <c:pt idx="5">
                  <c:v>43777.060540416001</c:v>
                </c:pt>
                <c:pt idx="6">
                  <c:v>44127.277024739327</c:v>
                </c:pt>
                <c:pt idx="7">
                  <c:v>44480.295240937245</c:v>
                </c:pt>
              </c:numCache>
            </c:numRef>
          </c:val>
          <c:smooth val="0"/>
          <c:extLst>
            <c:ext xmlns:c16="http://schemas.microsoft.com/office/drawing/2014/chart" uri="{C3380CC4-5D6E-409C-BE32-E72D297353CC}">
              <c16:uniqueId val="{00000000-1EEE-41FB-B3F6-92F206E9B5F0}"/>
            </c:ext>
          </c:extLst>
        </c:ser>
        <c:ser>
          <c:idx val="1"/>
          <c:order val="1"/>
          <c:tx>
            <c:strRef>
              <c:f>APPENDIX!$B$192</c:f>
              <c:strCache>
                <c:ptCount val="1"/>
                <c:pt idx="0">
                  <c:v>Segment 2 (change name)</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APPENDIX!$C$189:$J$189</c:f>
              <c:strCache>
                <c:ptCount val="8"/>
                <c:pt idx="0">
                  <c:v> 2021 </c:v>
                </c:pt>
                <c:pt idx="1">
                  <c:v> 2022 </c:v>
                </c:pt>
                <c:pt idx="2">
                  <c:v> 2023 </c:v>
                </c:pt>
                <c:pt idx="3">
                  <c:v> 2024E </c:v>
                </c:pt>
                <c:pt idx="4">
                  <c:v> 2025E </c:v>
                </c:pt>
                <c:pt idx="5">
                  <c:v> 2026E </c:v>
                </c:pt>
                <c:pt idx="6">
                  <c:v> 2027E </c:v>
                </c:pt>
                <c:pt idx="7">
                  <c:v> 2028E </c:v>
                </c:pt>
              </c:strCache>
            </c:strRef>
          </c:cat>
          <c:val>
            <c:numRef>
              <c:f>APPENDIX!$C$192:$J$192</c:f>
              <c:numCache>
                <c:formatCode>[$$-409]#\ ##0</c:formatCode>
                <c:ptCount val="8"/>
                <c:pt idx="0">
                  <c:v>30496</c:v>
                </c:pt>
                <c:pt idx="1">
                  <c:v>33232</c:v>
                </c:pt>
                <c:pt idx="2">
                  <c:v>33507</c:v>
                </c:pt>
                <c:pt idx="3">
                  <c:v>35115.336000000003</c:v>
                </c:pt>
                <c:pt idx="4">
                  <c:v>36800.872128000003</c:v>
                </c:pt>
                <c:pt idx="5">
                  <c:v>38567.313990144001</c:v>
                </c:pt>
                <c:pt idx="6">
                  <c:v>40418.545061670913</c:v>
                </c:pt>
                <c:pt idx="7">
                  <c:v>42358.635224631122</c:v>
                </c:pt>
              </c:numCache>
            </c:numRef>
          </c:val>
          <c:smooth val="0"/>
          <c:extLst>
            <c:ext xmlns:c16="http://schemas.microsoft.com/office/drawing/2014/chart" uri="{C3380CC4-5D6E-409C-BE32-E72D297353CC}">
              <c16:uniqueId val="{00000001-1EEE-41FB-B3F6-92F206E9B5F0}"/>
            </c:ext>
          </c:extLst>
        </c:ser>
        <c:ser>
          <c:idx val="2"/>
          <c:order val="2"/>
          <c:tx>
            <c:strRef>
              <c:f>APPENDIX!$B$193</c:f>
              <c:strCache>
                <c:ptCount val="1"/>
                <c:pt idx="0">
                  <c:v>Segment 3 (change name)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APPENDIX!$C$189:$J$189</c:f>
              <c:strCache>
                <c:ptCount val="8"/>
                <c:pt idx="0">
                  <c:v> 2021 </c:v>
                </c:pt>
                <c:pt idx="1">
                  <c:v> 2022 </c:v>
                </c:pt>
                <c:pt idx="2">
                  <c:v> 2023 </c:v>
                </c:pt>
                <c:pt idx="3">
                  <c:v> 2024E </c:v>
                </c:pt>
                <c:pt idx="4">
                  <c:v> 2025E </c:v>
                </c:pt>
                <c:pt idx="5">
                  <c:v> 2026E </c:v>
                </c:pt>
                <c:pt idx="6">
                  <c:v> 2027E </c:v>
                </c:pt>
                <c:pt idx="7">
                  <c:v> 2028E </c:v>
                </c:pt>
              </c:strCache>
            </c:strRef>
          </c:cat>
          <c:val>
            <c:numRef>
              <c:f>APPENDIX!$C$193:$J$193</c:f>
              <c:numCache>
                <c:formatCode>[$$-409]#\ ##0</c:formatCode>
                <c:ptCount val="8"/>
                <c:pt idx="0">
                  <c:v>7883</c:v>
                </c:pt>
                <c:pt idx="1">
                  <c:v>9532</c:v>
                </c:pt>
                <c:pt idx="2">
                  <c:v>9632</c:v>
                </c:pt>
                <c:pt idx="3">
                  <c:v>10643.36</c:v>
                </c:pt>
                <c:pt idx="4">
                  <c:v>11760.9128</c:v>
                </c:pt>
                <c:pt idx="5">
                  <c:v>12995.808644000001</c:v>
                </c:pt>
                <c:pt idx="6">
                  <c:v>14360.36855162</c:v>
                </c:pt>
                <c:pt idx="7">
                  <c:v>15868.207249540101</c:v>
                </c:pt>
              </c:numCache>
            </c:numRef>
          </c:val>
          <c:smooth val="0"/>
          <c:extLst>
            <c:ext xmlns:c16="http://schemas.microsoft.com/office/drawing/2014/chart" uri="{C3380CC4-5D6E-409C-BE32-E72D297353CC}">
              <c16:uniqueId val="{00000002-1EEE-41FB-B3F6-92F206E9B5F0}"/>
            </c:ext>
          </c:extLst>
        </c:ser>
        <c:ser>
          <c:idx val="3"/>
          <c:order val="3"/>
          <c:tx>
            <c:strRef>
              <c:f>APPENDIX!$B$194</c:f>
              <c:strCache>
                <c:ptCount val="1"/>
                <c:pt idx="0">
                  <c:v>Segment 4 (change name)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APPENDIX!$C$189:$J$189</c:f>
              <c:strCache>
                <c:ptCount val="8"/>
                <c:pt idx="0">
                  <c:v> 2021 </c:v>
                </c:pt>
                <c:pt idx="1">
                  <c:v> 2022 </c:v>
                </c:pt>
                <c:pt idx="2">
                  <c:v> 2023 </c:v>
                </c:pt>
                <c:pt idx="3">
                  <c:v> 2024E </c:v>
                </c:pt>
                <c:pt idx="4">
                  <c:v> 2025E </c:v>
                </c:pt>
                <c:pt idx="5">
                  <c:v> 2026E </c:v>
                </c:pt>
                <c:pt idx="6">
                  <c:v> 2027E </c:v>
                </c:pt>
                <c:pt idx="7">
                  <c:v> 2028E </c:v>
                </c:pt>
              </c:strCache>
            </c:strRef>
          </c:cat>
          <c:val>
            <c:numRef>
              <c:f>APPENDIX!$C$194:$J$194</c:f>
              <c:numCache>
                <c:formatCode>[$$-409]#\ ##0</c:formatCode>
                <c:ptCount val="8"/>
                <c:pt idx="0">
                  <c:v>3502</c:v>
                </c:pt>
                <c:pt idx="1">
                  <c:v>4934</c:v>
                </c:pt>
                <c:pt idx="2">
                  <c:v>4273</c:v>
                </c:pt>
                <c:pt idx="3">
                  <c:v>4721.665</c:v>
                </c:pt>
                <c:pt idx="4">
                  <c:v>5217.4398249999995</c:v>
                </c:pt>
                <c:pt idx="5">
                  <c:v>5765.2710066249992</c:v>
                </c:pt>
                <c:pt idx="6">
                  <c:v>6370.6244623206239</c:v>
                </c:pt>
                <c:pt idx="7">
                  <c:v>7039.5400308642893</c:v>
                </c:pt>
              </c:numCache>
            </c:numRef>
          </c:val>
          <c:smooth val="0"/>
          <c:extLst>
            <c:ext xmlns:c16="http://schemas.microsoft.com/office/drawing/2014/chart" uri="{C3380CC4-5D6E-409C-BE32-E72D297353CC}">
              <c16:uniqueId val="{00000003-1EEE-41FB-B3F6-92F206E9B5F0}"/>
            </c:ext>
          </c:extLst>
        </c:ser>
        <c:dLbls>
          <c:showLegendKey val="0"/>
          <c:showVal val="0"/>
          <c:showCatName val="0"/>
          <c:showSerName val="0"/>
          <c:showPercent val="0"/>
          <c:showBubbleSize val="0"/>
        </c:dLbls>
        <c:marker val="1"/>
        <c:smooth val="0"/>
        <c:axId val="1913505056"/>
        <c:axId val="1541969776"/>
      </c:lineChart>
      <c:catAx>
        <c:axId val="1913505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41969776"/>
        <c:crosses val="autoZero"/>
        <c:auto val="1"/>
        <c:lblAlgn val="ctr"/>
        <c:lblOffset val="100"/>
        <c:noMultiLvlLbl val="0"/>
      </c:catAx>
      <c:valAx>
        <c:axId val="1541969776"/>
        <c:scaling>
          <c:orientation val="minMax"/>
        </c:scaling>
        <c:delete val="0"/>
        <c:axPos val="l"/>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1350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600" b="1"/>
              <a:t>Debt - in million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fr-FR"/>
        </a:p>
      </c:txPr>
    </c:title>
    <c:autoTitleDeleted val="0"/>
    <c:plotArea>
      <c:layout/>
      <c:barChart>
        <c:barDir val="col"/>
        <c:grouping val="clustered"/>
        <c:varyColors val="0"/>
        <c:ser>
          <c:idx val="0"/>
          <c:order val="0"/>
          <c:tx>
            <c:strRef>
              <c:f>'Table &amp; Charts 1'!$B$116</c:f>
              <c:strCache>
                <c:ptCount val="1"/>
                <c:pt idx="0">
                  <c:v>Total Debt</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&amp; Charts 1'!$C$115:$E$115</c:f>
              <c:strCache>
                <c:ptCount val="3"/>
                <c:pt idx="0">
                  <c:v> 2021 </c:v>
                </c:pt>
                <c:pt idx="1">
                  <c:v> 2022 </c:v>
                </c:pt>
                <c:pt idx="2">
                  <c:v> 2023 </c:v>
                </c:pt>
              </c:strCache>
            </c:strRef>
          </c:cat>
          <c:val>
            <c:numRef>
              <c:f>'Table &amp; Charts 1'!$C$116:$E$116</c:f>
              <c:numCache>
                <c:formatCode>[$$-45D]#\ ##0.0</c:formatCode>
                <c:ptCount val="3"/>
                <c:pt idx="0">
                  <c:v>988.4</c:v>
                </c:pt>
                <c:pt idx="1">
                  <c:v>990.4</c:v>
                </c:pt>
                <c:pt idx="2">
                  <c:v>992.3</c:v>
                </c:pt>
              </c:numCache>
            </c:numRef>
          </c:val>
          <c:extLst>
            <c:ext xmlns:c16="http://schemas.microsoft.com/office/drawing/2014/chart" uri="{C3380CC4-5D6E-409C-BE32-E72D297353CC}">
              <c16:uniqueId val="{00000000-DC03-456C-80AA-26E4B8075C75}"/>
            </c:ext>
          </c:extLst>
        </c:ser>
        <c:ser>
          <c:idx val="1"/>
          <c:order val="1"/>
          <c:tx>
            <c:strRef>
              <c:f>'Table &amp; Charts 1'!$B$117</c:f>
              <c:strCache>
                <c:ptCount val="1"/>
                <c:pt idx="0">
                  <c:v>Long-term Debt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&amp; Charts 1'!$C$115:$E$115</c:f>
              <c:strCache>
                <c:ptCount val="3"/>
                <c:pt idx="0">
                  <c:v> 2021 </c:v>
                </c:pt>
                <c:pt idx="1">
                  <c:v> 2022 </c:v>
                </c:pt>
                <c:pt idx="2">
                  <c:v> 2023 </c:v>
                </c:pt>
              </c:strCache>
            </c:strRef>
          </c:cat>
          <c:val>
            <c:numRef>
              <c:f>'Table &amp; Charts 1'!$C$117:$E$117</c:f>
              <c:numCache>
                <c:formatCode>[$$-45D]#\ ##0.0</c:formatCode>
                <c:ptCount val="3"/>
                <c:pt idx="0">
                  <c:v>988.4</c:v>
                </c:pt>
                <c:pt idx="1">
                  <c:v>990.4</c:v>
                </c:pt>
                <c:pt idx="2">
                  <c:v>992.3</c:v>
                </c:pt>
              </c:numCache>
            </c:numRef>
          </c:val>
          <c:extLst>
            <c:ext xmlns:c16="http://schemas.microsoft.com/office/drawing/2014/chart" uri="{C3380CC4-5D6E-409C-BE32-E72D297353CC}">
              <c16:uniqueId val="{00000001-DC03-456C-80AA-26E4B8075C75}"/>
            </c:ext>
          </c:extLst>
        </c:ser>
        <c:dLbls>
          <c:dLblPos val="outEnd"/>
          <c:showLegendKey val="0"/>
          <c:showVal val="1"/>
          <c:showCatName val="0"/>
          <c:showSerName val="0"/>
          <c:showPercent val="0"/>
          <c:showBubbleSize val="0"/>
        </c:dLbls>
        <c:gapWidth val="219"/>
        <c:overlap val="-27"/>
        <c:axId val="1704365247"/>
        <c:axId val="1704344815"/>
      </c:barChart>
      <c:catAx>
        <c:axId val="17043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704344815"/>
        <c:crosses val="autoZero"/>
        <c:auto val="1"/>
        <c:lblAlgn val="ctr"/>
        <c:lblOffset val="100"/>
        <c:noMultiLvlLbl val="0"/>
      </c:catAx>
      <c:valAx>
        <c:axId val="1704344815"/>
        <c:scaling>
          <c:orientation val="minMax"/>
        </c:scaling>
        <c:delete val="0"/>
        <c:axPos val="l"/>
        <c:majorGridlines>
          <c:spPr>
            <a:ln w="9525" cap="flat" cmpd="sng" algn="ctr">
              <a:solidFill>
                <a:schemeClr val="tx1">
                  <a:lumMod val="15000"/>
                  <a:lumOff val="85000"/>
                </a:schemeClr>
              </a:solidFill>
              <a:round/>
            </a:ln>
            <a:effectLst/>
          </c:spPr>
        </c:majorGridlines>
        <c:numFmt formatCode="[$$-45D]#\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70436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GB" sz="1200" b="1"/>
              <a:t>Debt-to-Asset</a:t>
            </a:r>
          </a:p>
          <a:p>
            <a:pPr>
              <a:defRPr sz="1200" b="1"/>
            </a:pPr>
            <a:r>
              <a:rPr lang="en-GB" sz="1200" b="1"/>
              <a:t>Debt-to-Equity</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'Table &amp; Charts 1'!$B$148</c:f>
              <c:strCache>
                <c:ptCount val="1"/>
                <c:pt idx="0">
                  <c:v>Debt-to-Asset</c:v>
                </c:pt>
              </c:strCache>
            </c:strRef>
          </c:tx>
          <c:spPr>
            <a:ln w="28575" cap="rnd">
              <a:solidFill>
                <a:srgbClr val="7030A0"/>
              </a:solidFill>
              <a:round/>
            </a:ln>
            <a:effectLst/>
          </c:spPr>
          <c:marker>
            <c:symbol val="circle"/>
            <c:size val="5"/>
            <c:spPr>
              <a:solidFill>
                <a:srgbClr val="7030A0"/>
              </a:solidFill>
              <a:ln w="9525">
                <a:solidFill>
                  <a:schemeClr val="accent1"/>
                </a:solidFill>
              </a:ln>
              <a:effectLst/>
            </c:spPr>
          </c:marker>
          <c:cat>
            <c:strRef>
              <c:f>'Table &amp; Charts 1'!$C$147:$L$147</c:f>
              <c:strCache>
                <c:ptCount val="10"/>
                <c:pt idx="0">
                  <c:v> 2019 </c:v>
                </c:pt>
                <c:pt idx="1">
                  <c:v> 2020 </c:v>
                </c:pt>
                <c:pt idx="2">
                  <c:v> 2021 </c:v>
                </c:pt>
                <c:pt idx="3">
                  <c:v> 2022 </c:v>
                </c:pt>
                <c:pt idx="4">
                  <c:v> 2023 </c:v>
                </c:pt>
                <c:pt idx="5">
                  <c:v> Year +1 </c:v>
                </c:pt>
                <c:pt idx="6">
                  <c:v> Year +2 </c:v>
                </c:pt>
                <c:pt idx="7">
                  <c:v> Year +3 </c:v>
                </c:pt>
                <c:pt idx="8">
                  <c:v> Year +4 </c:v>
                </c:pt>
                <c:pt idx="9">
                  <c:v> Year +5 </c:v>
                </c:pt>
              </c:strCache>
            </c:strRef>
          </c:cat>
          <c:val>
            <c:numRef>
              <c:f>'Table &amp; Charts 1'!$C$148:$L$148</c:f>
              <c:numCache>
                <c:formatCode>0.00</c:formatCode>
                <c:ptCount val="10"/>
                <c:pt idx="0">
                  <c:v>0</c:v>
                </c:pt>
                <c:pt idx="1">
                  <c:v>0</c:v>
                </c:pt>
                <c:pt idx="2">
                  <c:v>0.16698484566910504</c:v>
                </c:pt>
                <c:pt idx="3">
                  <c:v>0.15902376364804113</c:v>
                </c:pt>
                <c:pt idx="4">
                  <c:v>0.1367011530672691</c:v>
                </c:pt>
                <c:pt idx="5">
                  <c:v>0.13909128384165273</c:v>
                </c:pt>
                <c:pt idx="6">
                  <c:v>0.14229567114846534</c:v>
                </c:pt>
                <c:pt idx="7">
                  <c:v>0.1461771439136029</c:v>
                </c:pt>
                <c:pt idx="8">
                  <c:v>0.15063537734184296</c:v>
                </c:pt>
                <c:pt idx="9">
                  <c:v>0.16425688059383603</c:v>
                </c:pt>
              </c:numCache>
            </c:numRef>
          </c:val>
          <c:smooth val="0"/>
          <c:extLst>
            <c:ext xmlns:c16="http://schemas.microsoft.com/office/drawing/2014/chart" uri="{C3380CC4-5D6E-409C-BE32-E72D297353CC}">
              <c16:uniqueId val="{00000000-FF7E-462B-A8BC-6C1107D83299}"/>
            </c:ext>
          </c:extLst>
        </c:ser>
        <c:ser>
          <c:idx val="1"/>
          <c:order val="1"/>
          <c:tx>
            <c:strRef>
              <c:f>'Table &amp; Charts 1'!$B$149</c:f>
              <c:strCache>
                <c:ptCount val="1"/>
                <c:pt idx="0">
                  <c:v>Debt-to-Equity</c:v>
                </c:pt>
              </c:strCache>
            </c:strRef>
          </c:tx>
          <c:spPr>
            <a:ln w="28575" cap="rnd">
              <a:solidFill>
                <a:schemeClr val="accent2"/>
              </a:solidFill>
              <a:round/>
            </a:ln>
            <a:effectLst/>
          </c:spPr>
          <c:marker>
            <c:symbol val="circle"/>
            <c:size val="5"/>
            <c:spPr>
              <a:solidFill>
                <a:schemeClr val="accent6"/>
              </a:solidFill>
              <a:ln w="9525">
                <a:solidFill>
                  <a:schemeClr val="accent2"/>
                </a:solidFill>
              </a:ln>
              <a:effectLst/>
            </c:spPr>
          </c:marker>
          <c:cat>
            <c:strRef>
              <c:f>'Table &amp; Charts 1'!$C$147:$L$147</c:f>
              <c:strCache>
                <c:ptCount val="10"/>
                <c:pt idx="0">
                  <c:v> 2019 </c:v>
                </c:pt>
                <c:pt idx="1">
                  <c:v> 2020 </c:v>
                </c:pt>
                <c:pt idx="2">
                  <c:v> 2021 </c:v>
                </c:pt>
                <c:pt idx="3">
                  <c:v> 2022 </c:v>
                </c:pt>
                <c:pt idx="4">
                  <c:v> 2023 </c:v>
                </c:pt>
                <c:pt idx="5">
                  <c:v> Year +1 </c:v>
                </c:pt>
                <c:pt idx="6">
                  <c:v> Year +2 </c:v>
                </c:pt>
                <c:pt idx="7">
                  <c:v> Year +3 </c:v>
                </c:pt>
                <c:pt idx="8">
                  <c:v> Year +4 </c:v>
                </c:pt>
                <c:pt idx="9">
                  <c:v> Year +5 </c:v>
                </c:pt>
              </c:strCache>
            </c:strRef>
          </c:cat>
          <c:val>
            <c:numRef>
              <c:f>'Table &amp; Charts 1'!$C$149:$L$149</c:f>
              <c:numCache>
                <c:formatCode>0.00</c:formatCode>
                <c:ptCount val="10"/>
                <c:pt idx="0">
                  <c:v>0</c:v>
                </c:pt>
                <c:pt idx="1">
                  <c:v>0</c:v>
                </c:pt>
                <c:pt idx="2">
                  <c:v>1.2379759519038076</c:v>
                </c:pt>
                <c:pt idx="3">
                  <c:v>-3.5170454545454533</c:v>
                </c:pt>
                <c:pt idx="4">
                  <c:v>-2.1413465688390159</c:v>
                </c:pt>
                <c:pt idx="5">
                  <c:v>-2.6537963129583284</c:v>
                </c:pt>
                <c:pt idx="6">
                  <c:v>-3.0204162783287374</c:v>
                </c:pt>
                <c:pt idx="7">
                  <c:v>-3.1453262989360553</c:v>
                </c:pt>
                <c:pt idx="8">
                  <c:v>-3.0469656089002579</c:v>
                </c:pt>
                <c:pt idx="9">
                  <c:v>-1.4414626921643201</c:v>
                </c:pt>
              </c:numCache>
            </c:numRef>
          </c:val>
          <c:smooth val="0"/>
          <c:extLst>
            <c:ext xmlns:c16="http://schemas.microsoft.com/office/drawing/2014/chart" uri="{C3380CC4-5D6E-409C-BE32-E72D297353CC}">
              <c16:uniqueId val="{00000001-FF7E-462B-A8BC-6C1107D83299}"/>
            </c:ext>
          </c:extLst>
        </c:ser>
        <c:dLbls>
          <c:showLegendKey val="0"/>
          <c:showVal val="0"/>
          <c:showCatName val="0"/>
          <c:showSerName val="0"/>
          <c:showPercent val="0"/>
          <c:showBubbleSize val="0"/>
        </c:dLbls>
        <c:marker val="1"/>
        <c:smooth val="0"/>
        <c:axId val="1413500000"/>
        <c:axId val="551806176"/>
      </c:lineChart>
      <c:catAx>
        <c:axId val="1413500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51806176"/>
        <c:crosses val="autoZero"/>
        <c:auto val="1"/>
        <c:lblAlgn val="ctr"/>
        <c:lblOffset val="100"/>
        <c:noMultiLvlLbl val="0"/>
      </c:catAx>
      <c:valAx>
        <c:axId val="551806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1350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
            </a:r>
            <a:r>
              <a:rPr lang="en-US" altLang="zh-CN"/>
              <a:t>evenue</a:t>
            </a:r>
            <a:r>
              <a:rPr lang="en-US"/>
              <a:t> Structure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'Table &amp; Charts 1'!$B$193</c:f>
              <c:strCache>
                <c:ptCount val="1"/>
                <c:pt idx="0">
                  <c:v>Product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&amp; Charts 1'!$C$192:$E$192</c:f>
              <c:numCache>
                <c:formatCode>General</c:formatCode>
                <c:ptCount val="3"/>
                <c:pt idx="0">
                  <c:v>2021</c:v>
                </c:pt>
                <c:pt idx="1">
                  <c:v>2022</c:v>
                </c:pt>
                <c:pt idx="2">
                  <c:v>2023</c:v>
                </c:pt>
              </c:numCache>
            </c:numRef>
          </c:cat>
          <c:val>
            <c:numRef>
              <c:f>'Table &amp; Charts 1'!$C$193:$E$193</c:f>
              <c:numCache>
                <c:formatCode>General</c:formatCode>
                <c:ptCount val="3"/>
                <c:pt idx="0">
                  <c:v>1255</c:v>
                </c:pt>
                <c:pt idx="1">
                  <c:v>1780.5</c:v>
                </c:pt>
                <c:pt idx="2">
                  <c:v>1927.3</c:v>
                </c:pt>
              </c:numCache>
            </c:numRef>
          </c:val>
          <c:extLst>
            <c:ext xmlns:c16="http://schemas.microsoft.com/office/drawing/2014/chart" uri="{C3380CC4-5D6E-409C-BE32-E72D297353CC}">
              <c16:uniqueId val="{00000000-E51D-4407-AC48-85A60C682C07}"/>
            </c:ext>
          </c:extLst>
        </c:ser>
        <c:ser>
          <c:idx val="1"/>
          <c:order val="1"/>
          <c:tx>
            <c:strRef>
              <c:f>'Table &amp; Charts 1'!$B$194</c:f>
              <c:strCache>
                <c:ptCount val="1"/>
                <c:pt idx="0">
                  <c:v>Total Service 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&amp; Charts 1'!$C$192:$E$192</c:f>
              <c:numCache>
                <c:formatCode>General</c:formatCode>
                <c:ptCount val="3"/>
                <c:pt idx="0">
                  <c:v>2021</c:v>
                </c:pt>
                <c:pt idx="1">
                  <c:v>2022</c:v>
                </c:pt>
                <c:pt idx="2">
                  <c:v>2023</c:v>
                </c:pt>
              </c:numCache>
            </c:numRef>
          </c:cat>
          <c:val>
            <c:numRef>
              <c:f>'Table &amp; Charts 1'!$C$194:$E$194</c:f>
              <c:numCache>
                <c:formatCode>General</c:formatCode>
                <c:ptCount val="3"/>
                <c:pt idx="0">
                  <c:v>2087.1999999999998</c:v>
                </c:pt>
                <c:pt idx="1">
                  <c:v>2636.9</c:v>
                </c:pt>
                <c:pt idx="2">
                  <c:v>3377.5</c:v>
                </c:pt>
              </c:numCache>
            </c:numRef>
          </c:val>
          <c:extLst>
            <c:ext xmlns:c16="http://schemas.microsoft.com/office/drawing/2014/chart" uri="{C3380CC4-5D6E-409C-BE32-E72D297353CC}">
              <c16:uniqueId val="{00000001-E51D-4407-AC48-85A60C682C07}"/>
            </c:ext>
          </c:extLst>
        </c:ser>
        <c:dLbls>
          <c:dLblPos val="outEnd"/>
          <c:showLegendKey val="0"/>
          <c:showVal val="1"/>
          <c:showCatName val="0"/>
          <c:showSerName val="0"/>
          <c:showPercent val="0"/>
          <c:showBubbleSize val="0"/>
        </c:dLbls>
        <c:gapWidth val="219"/>
        <c:overlap val="-27"/>
        <c:axId val="1896461023"/>
        <c:axId val="1896477343"/>
      </c:barChart>
      <c:catAx>
        <c:axId val="189646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477343"/>
        <c:crosses val="autoZero"/>
        <c:auto val="1"/>
        <c:lblAlgn val="ctr"/>
        <c:lblOffset val="100"/>
        <c:noMultiLvlLbl val="0"/>
      </c:catAx>
      <c:valAx>
        <c:axId val="189647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461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dPt>
            <c:idx val="0"/>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1-94E3-4546-AA4F-E17AAF579BC8}"/>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94E3-4546-AA4F-E17AAF579BC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4E3-4546-AA4F-E17AAF579BC8}"/>
              </c:ext>
            </c:extLst>
          </c:dPt>
          <c:dPt>
            <c:idx val="3"/>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7-94E3-4546-AA4F-E17AAF579BC8}"/>
              </c:ext>
            </c:extLst>
          </c:dPt>
          <c:dPt>
            <c:idx val="4"/>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9-94E3-4546-AA4F-E17AAF579BC8}"/>
              </c:ext>
            </c:extLst>
          </c:dPt>
          <c:dLbls>
            <c:dLbl>
              <c:idx val="4"/>
              <c:layout>
                <c:manualLayout>
                  <c:x val="1.2030047968141912E-2"/>
                  <c:y val="3.47222222222222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4E3-4546-AA4F-E17AAF579BC8}"/>
                </c:ext>
              </c:extLst>
            </c:dLbl>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Charts!$A$11:$A$15</c:f>
              <c:strCache>
                <c:ptCount val="5"/>
                <c:pt idx="0">
                  <c:v>Fortinet</c:v>
                </c:pt>
                <c:pt idx="1">
                  <c:v>Gen Digital</c:v>
                </c:pt>
                <c:pt idx="2">
                  <c:v>Check point</c:v>
                </c:pt>
                <c:pt idx="3">
                  <c:v>CrowdStrike</c:v>
                </c:pt>
                <c:pt idx="4">
                  <c:v>Okta</c:v>
                </c:pt>
              </c:strCache>
            </c:strRef>
          </c:cat>
          <c:val>
            <c:numRef>
              <c:f>Charts!$L$11:$L$15</c:f>
              <c:numCache>
                <c:formatCode>General</c:formatCode>
                <c:ptCount val="5"/>
              </c:numCache>
            </c:numRef>
          </c:val>
          <c:extLst>
            <c:ext xmlns:c16="http://schemas.microsoft.com/office/drawing/2014/chart" uri="{C3380CC4-5D6E-409C-BE32-E72D297353CC}">
              <c16:uniqueId val="{0000000A-94E3-4546-AA4F-E17AAF579BC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0.13375702198039868"/>
          <c:y val="0.22807008542218324"/>
          <c:w val="0.82219894786157877"/>
          <c:h val="0.67036778151371268"/>
        </c:manualLayout>
      </c:layout>
      <c:barChart>
        <c:barDir val="col"/>
        <c:grouping val="clustered"/>
        <c:varyColors val="0"/>
        <c:ser>
          <c:idx val="0"/>
          <c:order val="0"/>
          <c:tx>
            <c:strRef>
              <c:f>Charts!$A$42</c:f>
              <c:strCache>
                <c:ptCount val="1"/>
                <c:pt idx="0">
                  <c:v> Revenues per quarter</c:v>
                </c:pt>
              </c:strCache>
            </c:strRef>
          </c:tx>
          <c:spPr>
            <a:solidFill>
              <a:schemeClr val="accent5">
                <a:lumMod val="20000"/>
                <a:lumOff val="80000"/>
              </a:schemeClr>
            </a:solidFill>
            <a:ln>
              <a:noFill/>
            </a:ln>
            <a:effectLst/>
          </c:spPr>
          <c:invertIfNegative val="0"/>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C3C6-4C69-824C-2A43DF2F51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Charts!$B$41:$E$41</c:f>
              <c:strCache>
                <c:ptCount val="1"/>
                <c:pt idx="0">
                  <c:v>Q4 Est.</c:v>
                </c:pt>
              </c:strCache>
            </c:strRef>
          </c:cat>
          <c:val>
            <c:numRef>
              <c:f>Charts!$B$42:$E$42</c:f>
              <c:numCache>
                <c:formatCode>#,##0</c:formatCode>
                <c:ptCount val="1"/>
                <c:pt idx="0">
                  <c:v>4078</c:v>
                </c:pt>
              </c:numCache>
            </c:numRef>
          </c:val>
          <c:extLst>
            <c:ext xmlns:c16="http://schemas.microsoft.com/office/drawing/2014/chart" uri="{C3380CC4-5D6E-409C-BE32-E72D297353CC}">
              <c16:uniqueId val="{00000002-C3C6-4C69-824C-2A43DF2F51B5}"/>
            </c:ext>
          </c:extLst>
        </c:ser>
        <c:dLbls>
          <c:showLegendKey val="0"/>
          <c:showVal val="0"/>
          <c:showCatName val="0"/>
          <c:showSerName val="0"/>
          <c:showPercent val="0"/>
          <c:showBubbleSize val="0"/>
        </c:dLbls>
        <c:gapWidth val="219"/>
        <c:overlap val="-27"/>
        <c:axId val="670741184"/>
        <c:axId val="670740792"/>
      </c:barChart>
      <c:catAx>
        <c:axId val="67074118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670740792"/>
        <c:crosses val="autoZero"/>
        <c:auto val="1"/>
        <c:lblAlgn val="ctr"/>
        <c:lblOffset val="100"/>
        <c:noMultiLvlLbl val="0"/>
      </c:catAx>
      <c:valAx>
        <c:axId val="670740792"/>
        <c:scaling>
          <c:orientation val="minMax"/>
          <c:max val="4200"/>
        </c:scaling>
        <c:delete val="0"/>
        <c:axPos val="l"/>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6707411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Charts!$A$66:$A$70</c:f>
              <c:strCache>
                <c:ptCount val="5"/>
                <c:pt idx="0">
                  <c:v>Market</c:v>
                </c:pt>
                <c:pt idx="1">
                  <c:v>Sector</c:v>
                </c:pt>
                <c:pt idx="2">
                  <c:v>Macro</c:v>
                </c:pt>
                <c:pt idx="3">
                  <c:v>Style</c:v>
                </c:pt>
                <c:pt idx="4">
                  <c:v>Idiosyncratic</c:v>
                </c:pt>
              </c:strCache>
            </c:strRef>
          </c:cat>
          <c:val>
            <c:numRef>
              <c:f>Charts!$B$66:$B$70</c:f>
            </c:numRef>
          </c:val>
          <c:extLst>
            <c:ext xmlns:c16="http://schemas.microsoft.com/office/drawing/2014/chart" uri="{C3380CC4-5D6E-409C-BE32-E72D297353CC}">
              <c16:uniqueId val="{00000000-C390-4E08-9FD4-81FD6C5C2E58}"/>
            </c:ext>
          </c:extLst>
        </c:ser>
        <c:dLbls>
          <c:showLegendKey val="0"/>
          <c:showVal val="0"/>
          <c:showCatName val="0"/>
          <c:showSerName val="0"/>
          <c:showPercent val="0"/>
          <c:showBubbleSize val="0"/>
        </c:dLbls>
        <c:gapWidth val="182"/>
        <c:axId val="670746672"/>
        <c:axId val="670747064"/>
      </c:barChart>
      <c:catAx>
        <c:axId val="670746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670747064"/>
        <c:crosses val="autoZero"/>
        <c:auto val="1"/>
        <c:lblAlgn val="ctr"/>
        <c:lblOffset val="100"/>
        <c:noMultiLvlLbl val="0"/>
      </c:catAx>
      <c:valAx>
        <c:axId val="670747064"/>
        <c:scaling>
          <c:orientation val="minMax"/>
        </c:scaling>
        <c:delete val="1"/>
        <c:axPos val="b"/>
        <c:numFmt formatCode="0%" sourceLinked="1"/>
        <c:majorTickMark val="out"/>
        <c:minorTickMark val="none"/>
        <c:tickLblPos val="nextTo"/>
        <c:crossAx val="6707466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tx>
            <c:strRef>
              <c:f>Charts!$A$77</c:f>
              <c:strCache>
                <c:ptCount val="1"/>
                <c:pt idx="0">
                  <c:v>Revenues</c:v>
                </c:pt>
              </c:strCache>
            </c:strRef>
          </c:tx>
          <c:spPr>
            <a:solidFill>
              <a:schemeClr val="accent5">
                <a:shade val="58000"/>
              </a:schemeClr>
            </a:solidFill>
            <a:ln>
              <a:noFill/>
            </a:ln>
            <a:effectLst/>
          </c:spPr>
          <c:invertIfNegative val="0"/>
          <c:cat>
            <c:strRef>
              <c:extLst>
                <c:ext xmlns:c15="http://schemas.microsoft.com/office/drawing/2012/chart" uri="{02D57815-91ED-43cb-92C2-25804820EDAC}">
                  <c15:fullRef>
                    <c15:sqref>Charts!$B$76:$L$76</c15:sqref>
                  </c15:fullRef>
                </c:ext>
              </c:extLst>
              <c:f>Charts!$E$76:$I$76</c:f>
              <c:strCache>
                <c:ptCount val="5"/>
                <c:pt idx="1">
                  <c:v>FY 2025E</c:v>
                </c:pt>
                <c:pt idx="2">
                  <c:v>FY 2026E</c:v>
                </c:pt>
                <c:pt idx="4">
                  <c:v>FY 2027E</c:v>
                </c:pt>
              </c:strCache>
            </c:strRef>
          </c:cat>
          <c:val>
            <c:numRef>
              <c:extLst>
                <c:ext xmlns:c15="http://schemas.microsoft.com/office/drawing/2012/chart" uri="{02D57815-91ED-43cb-92C2-25804820EDAC}">
                  <c15:fullRef>
                    <c15:sqref>Charts!$B$77:$L$77</c15:sqref>
                  </c15:fullRef>
                </c:ext>
              </c:extLst>
              <c:f>Charts!$E$77:$I$77</c:f>
              <c:numCache>
                <c:formatCode>#,##0</c:formatCode>
                <c:ptCount val="5"/>
                <c:pt idx="0">
                  <c:v>13665.2</c:v>
                </c:pt>
                <c:pt idx="1">
                  <c:v>15883.5</c:v>
                </c:pt>
                <c:pt idx="2">
                  <c:v>13100.2</c:v>
                </c:pt>
                <c:pt idx="3">
                  <c:v>16100.851999999999</c:v>
                </c:pt>
                <c:pt idx="4">
                  <c:v>19138.79336</c:v>
                </c:pt>
              </c:numCache>
            </c:numRef>
          </c:val>
          <c:extLst>
            <c:ext xmlns:c16="http://schemas.microsoft.com/office/drawing/2014/chart" uri="{C3380CC4-5D6E-409C-BE32-E72D297353CC}">
              <c16:uniqueId val="{00000000-AF44-4A9A-BAC9-379B2A245607}"/>
            </c:ext>
          </c:extLst>
        </c:ser>
        <c:ser>
          <c:idx val="1"/>
          <c:order val="1"/>
          <c:tx>
            <c:strRef>
              <c:f>Charts!$A$78</c:f>
              <c:strCache>
                <c:ptCount val="1"/>
                <c:pt idx="0">
                  <c:v>Cash and cash equivalents</c:v>
                </c:pt>
              </c:strCache>
            </c:strRef>
          </c:tx>
          <c:spPr>
            <a:solidFill>
              <a:schemeClr val="accent5">
                <a:shade val="86000"/>
              </a:schemeClr>
            </a:solidFill>
            <a:ln>
              <a:noFill/>
            </a:ln>
            <a:effectLst/>
          </c:spPr>
          <c:invertIfNegative val="0"/>
          <c:cat>
            <c:strRef>
              <c:extLst>
                <c:ext xmlns:c15="http://schemas.microsoft.com/office/drawing/2012/chart" uri="{02D57815-91ED-43cb-92C2-25804820EDAC}">
                  <c15:fullRef>
                    <c15:sqref>Charts!$B$76:$L$76</c15:sqref>
                  </c15:fullRef>
                </c:ext>
              </c:extLst>
              <c:f>Charts!$E$76:$I$76</c:f>
              <c:strCache>
                <c:ptCount val="5"/>
                <c:pt idx="1">
                  <c:v>FY 2025E</c:v>
                </c:pt>
                <c:pt idx="2">
                  <c:v>FY 2026E</c:v>
                </c:pt>
                <c:pt idx="4">
                  <c:v>FY 2027E</c:v>
                </c:pt>
              </c:strCache>
            </c:strRef>
          </c:cat>
          <c:val>
            <c:numRef>
              <c:extLst>
                <c:ext xmlns:c15="http://schemas.microsoft.com/office/drawing/2012/chart" uri="{02D57815-91ED-43cb-92C2-25804820EDAC}">
                  <c15:fullRef>
                    <c15:sqref>Charts!$B$78:$L$78</c15:sqref>
                  </c15:fullRef>
                </c:ext>
              </c:extLst>
              <c:f>Charts!$E$78:$I$78</c:f>
              <c:numCache>
                <c:formatCode>#,##0</c:formatCode>
                <c:ptCount val="5"/>
                <c:pt idx="0">
                  <c:v>2216.6</c:v>
                </c:pt>
                <c:pt idx="1">
                  <c:v>2285.9</c:v>
                </c:pt>
                <c:pt idx="2">
                  <c:v>3442.8</c:v>
                </c:pt>
                <c:pt idx="3">
                  <c:v>4121.0316000000003</c:v>
                </c:pt>
                <c:pt idx="4">
                  <c:v>5357.3410800000001</c:v>
                </c:pt>
              </c:numCache>
            </c:numRef>
          </c:val>
          <c:extLst>
            <c:ext xmlns:c16="http://schemas.microsoft.com/office/drawing/2014/chart" uri="{C3380CC4-5D6E-409C-BE32-E72D297353CC}">
              <c16:uniqueId val="{00000001-AF44-4A9A-BAC9-379B2A245607}"/>
            </c:ext>
          </c:extLst>
        </c:ser>
        <c:dLbls>
          <c:showLegendKey val="0"/>
          <c:showVal val="0"/>
          <c:showCatName val="0"/>
          <c:showSerName val="0"/>
          <c:showPercent val="0"/>
          <c:showBubbleSize val="0"/>
        </c:dLbls>
        <c:gapWidth val="219"/>
        <c:axId val="674694936"/>
        <c:axId val="674695328"/>
      </c:barChart>
      <c:lineChart>
        <c:grouping val="standard"/>
        <c:varyColors val="0"/>
        <c:ser>
          <c:idx val="2"/>
          <c:order val="2"/>
          <c:tx>
            <c:strRef>
              <c:f>Charts!$A$79</c:f>
              <c:strCache>
                <c:ptCount val="1"/>
                <c:pt idx="0">
                  <c:v>% growth of C&amp;CE</c:v>
                </c:pt>
              </c:strCache>
            </c:strRef>
          </c:tx>
          <c:spPr>
            <a:ln w="28575" cap="rnd">
              <a:solidFill>
                <a:schemeClr val="accent5">
                  <a:tint val="86000"/>
                </a:schemeClr>
              </a:solidFill>
              <a:round/>
            </a:ln>
            <a:effectLst/>
          </c:spPr>
          <c:marker>
            <c:symbol val="none"/>
          </c:marker>
          <c:cat>
            <c:strRef>
              <c:extLst>
                <c:ext xmlns:c15="http://schemas.microsoft.com/office/drawing/2012/chart" uri="{02D57815-91ED-43cb-92C2-25804820EDAC}">
                  <c15:fullRef>
                    <c15:sqref>Charts!$B$76:$L$76</c15:sqref>
                  </c15:fullRef>
                </c:ext>
              </c:extLst>
              <c:f>Charts!$E$76:$I$76</c:f>
              <c:strCache>
                <c:ptCount val="5"/>
                <c:pt idx="1">
                  <c:v>FY 2025E</c:v>
                </c:pt>
                <c:pt idx="2">
                  <c:v>FY 2026E</c:v>
                </c:pt>
                <c:pt idx="4">
                  <c:v>FY 2027E</c:v>
                </c:pt>
              </c:strCache>
            </c:strRef>
          </c:cat>
          <c:val>
            <c:numRef>
              <c:extLst>
                <c:ext xmlns:c15="http://schemas.microsoft.com/office/drawing/2012/chart" uri="{02D57815-91ED-43cb-92C2-25804820EDAC}">
                  <c15:fullRef>
                    <c15:sqref>Charts!$B$79:$L$79</c15:sqref>
                  </c15:fullRef>
                </c:ext>
              </c:extLst>
              <c:f>Charts!$E$79:$I$79</c:f>
              <c:numCache>
                <c:formatCode>0%</c:formatCode>
                <c:ptCount val="5"/>
                <c:pt idx="0">
                  <c:v>3.7442665917813353E-2</c:v>
                </c:pt>
                <c:pt idx="1">
                  <c:v>3.1264098168366047E-2</c:v>
                </c:pt>
                <c:pt idx="2">
                  <c:v>0.50610262916138071</c:v>
                </c:pt>
                <c:pt idx="3">
                  <c:v>0.19700000000000001</c:v>
                </c:pt>
                <c:pt idx="4">
                  <c:v>0.29999999999999993</c:v>
                </c:pt>
              </c:numCache>
            </c:numRef>
          </c:val>
          <c:smooth val="0"/>
          <c:extLst>
            <c:ext xmlns:c16="http://schemas.microsoft.com/office/drawing/2014/chart" uri="{C3380CC4-5D6E-409C-BE32-E72D297353CC}">
              <c16:uniqueId val="{00000002-AF44-4A9A-BAC9-379B2A245607}"/>
            </c:ext>
          </c:extLst>
        </c:ser>
        <c:ser>
          <c:idx val="3"/>
          <c:order val="3"/>
          <c:tx>
            <c:strRef>
              <c:f>Charts!$A$80</c:f>
              <c:strCache>
                <c:ptCount val="1"/>
                <c:pt idx="0">
                  <c:v>% of revenues </c:v>
                </c:pt>
              </c:strCache>
            </c:strRef>
          </c:tx>
          <c:spPr>
            <a:ln w="28575" cap="rnd">
              <a:solidFill>
                <a:schemeClr val="bg2">
                  <a:lumMod val="50000"/>
                </a:schemeClr>
              </a:solidFill>
              <a:round/>
            </a:ln>
            <a:effectLst/>
          </c:spPr>
          <c:marker>
            <c:symbol val="none"/>
          </c:marker>
          <c:dLbls>
            <c:dLbl>
              <c:idx val="32"/>
              <c:layout>
                <c:manualLayout>
                  <c:x val="-1.291168966018777E-2"/>
                  <c:y val="-3.84295803905276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44-4A9A-BAC9-379B2A245607}"/>
                </c:ext>
              </c:extLst>
            </c:dLbl>
            <c:dLbl>
              <c:idx val="33"/>
              <c:layout>
                <c:manualLayout>
                  <c:x val="-8.0185630582426549E-3"/>
                  <c:y val="-5.65300178652743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F44-4A9A-BAC9-379B2A245607}"/>
                </c:ext>
              </c:extLst>
            </c:dLbl>
            <c:dLbl>
              <c:idx val="34"/>
              <c:layout>
                <c:manualLayout>
                  <c:x val="-8.0185630582426549E-3"/>
                  <c:y val="-4.29546897592143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44-4A9A-BAC9-379B2A2456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Charts!$B$76:$L$76</c15:sqref>
                  </c15:fullRef>
                </c:ext>
              </c:extLst>
              <c:f>Charts!$E$76:$I$76</c:f>
              <c:strCache>
                <c:ptCount val="5"/>
                <c:pt idx="1">
                  <c:v>FY 2025E</c:v>
                </c:pt>
                <c:pt idx="2">
                  <c:v>FY 2026E</c:v>
                </c:pt>
                <c:pt idx="4">
                  <c:v>FY 2027E</c:v>
                </c:pt>
              </c:strCache>
            </c:strRef>
          </c:cat>
          <c:val>
            <c:numRef>
              <c:extLst>
                <c:ext xmlns:c15="http://schemas.microsoft.com/office/drawing/2012/chart" uri="{02D57815-91ED-43cb-92C2-25804820EDAC}">
                  <c15:fullRef>
                    <c15:sqref>Charts!$B$80:$L$80</c15:sqref>
                  </c15:fullRef>
                </c:ext>
              </c:extLst>
              <c:f>Charts!$E$80:$I$80</c:f>
              <c:numCache>
                <c:formatCode>0%</c:formatCode>
                <c:ptCount val="5"/>
                <c:pt idx="0">
                  <c:v>0.16220765155284955</c:v>
                </c:pt>
                <c:pt idx="1">
                  <c:v>0.14391664305726068</c:v>
                </c:pt>
                <c:pt idx="2">
                  <c:v>0.26280514801300742</c:v>
                </c:pt>
                <c:pt idx="3">
                  <c:v>0.25595115090803894</c:v>
                </c:pt>
                <c:pt idx="4">
                  <c:v>0.27992052472841999</c:v>
                </c:pt>
              </c:numCache>
            </c:numRef>
          </c:val>
          <c:smooth val="0"/>
          <c:extLst>
            <c:ext xmlns:c16="http://schemas.microsoft.com/office/drawing/2014/chart" uri="{C3380CC4-5D6E-409C-BE32-E72D297353CC}">
              <c16:uniqueId val="{00000008-AF44-4A9A-BAC9-379B2A245607}"/>
            </c:ext>
          </c:extLst>
        </c:ser>
        <c:dLbls>
          <c:showLegendKey val="0"/>
          <c:showVal val="0"/>
          <c:showCatName val="0"/>
          <c:showSerName val="0"/>
          <c:showPercent val="0"/>
          <c:showBubbleSize val="0"/>
        </c:dLbls>
        <c:marker val="1"/>
        <c:smooth val="0"/>
        <c:axId val="674696112"/>
        <c:axId val="674695720"/>
      </c:lineChart>
      <c:catAx>
        <c:axId val="67469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674695328"/>
        <c:crosses val="autoZero"/>
        <c:auto val="1"/>
        <c:lblAlgn val="ctr"/>
        <c:lblOffset val="100"/>
        <c:noMultiLvlLbl val="0"/>
      </c:catAx>
      <c:valAx>
        <c:axId val="674695328"/>
        <c:scaling>
          <c:orientation val="minMax"/>
        </c:scaling>
        <c:delete val="0"/>
        <c:axPos val="l"/>
        <c:numFmt formatCode="#,##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674694936"/>
        <c:crosses val="autoZero"/>
        <c:crossBetween val="between"/>
      </c:valAx>
      <c:valAx>
        <c:axId val="674695720"/>
        <c:scaling>
          <c:orientation val="minMax"/>
        </c:scaling>
        <c:delete val="0"/>
        <c:axPos val="r"/>
        <c:numFmt formatCode="0%" sourceLinked="1"/>
        <c:majorTickMark val="out"/>
        <c:minorTickMark val="none"/>
        <c:tickLblPos val="nextTo"/>
        <c:spPr>
          <a:solidFill>
            <a:schemeClr val="bg1"/>
          </a:solid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674696112"/>
        <c:crosses val="max"/>
        <c:crossBetween val="between"/>
      </c:valAx>
      <c:catAx>
        <c:axId val="674696112"/>
        <c:scaling>
          <c:orientation val="minMax"/>
        </c:scaling>
        <c:delete val="1"/>
        <c:axPos val="b"/>
        <c:numFmt formatCode="General" sourceLinked="1"/>
        <c:majorTickMark val="out"/>
        <c:minorTickMark val="none"/>
        <c:tickLblPos val="nextTo"/>
        <c:crossAx val="674695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_xlchart.v1.0</cx:f>
      </cx:numDim>
    </cx:data>
  </cx:chartData>
  <cx:chart>
    <cx:title pos="t" align="ctr" overlay="0">
      <cx:tx>
        <cx:txData>
          <cx:v>Evolution of YOUR Company share price, % year on year</cx:v>
        </cx:txData>
      </cx:tx>
      <cx:txPr>
        <a:bodyPr spcFirstLastPara="1" vertOverflow="ellipsis" horzOverflow="overflow" wrap="square" lIns="0" tIns="0" rIns="0" bIns="0" anchor="ctr" anchorCtr="1"/>
        <a:lstStyle/>
        <a:p>
          <a:pPr algn="ctr" rtl="0">
            <a:defRPr>
              <a:solidFill>
                <a:schemeClr val="tx1"/>
              </a:solidFill>
            </a:defRPr>
          </a:pPr>
          <a:r>
            <a:rPr lang="en-US" sz="1100" b="0" i="0" u="none" strike="noStrike" baseline="0">
              <a:solidFill>
                <a:schemeClr val="tx1"/>
              </a:solidFill>
              <a:latin typeface="Calibri" panose="020F0502020204030204"/>
            </a:rPr>
            <a:t>Evolution of YOUR Company share price, % year on year</a:t>
          </a:r>
        </a:p>
      </cx:txPr>
    </cx:title>
    <cx:plotArea>
      <cx:plotAreaRegion>
        <cx:plotSurface>
          <cx:spPr>
            <a:ln>
              <a:noFill/>
            </a:ln>
          </cx:spPr>
        </cx:plotSurface>
        <cx:series layoutId="waterfall" uniqueId="{80FA4F0A-AF02-8E47-8618-8B2B5C0E561F}">
          <cx:dataLabels pos="outEnd">
            <cx:txPr>
              <a:bodyPr spcFirstLastPara="1" vertOverflow="ellipsis" horzOverflow="overflow" wrap="square" lIns="0" tIns="0" rIns="0" bIns="0" anchor="ctr" anchorCtr="1"/>
              <a:lstStyle/>
              <a:p>
                <a:pPr algn="ctr" rtl="0">
                  <a:defRPr>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900" b="0" i="0" u="none" strike="noStrike" baseline="0">
                  <a:solidFill>
                    <a:schemeClr val="tx1"/>
                  </a:solidFill>
                  <a:latin typeface="Arial" panose="020B0604020202020204" pitchFamily="34" charset="0"/>
                  <a:cs typeface="Arial" panose="020B0604020202020204" pitchFamily="34" charset="0"/>
                </a:endParaRPr>
              </a:p>
            </cx:txPr>
            <cx:visibility seriesName="0" categoryName="0" value="1"/>
          </cx:dataLabels>
          <cx:dataId val="0"/>
          <cx:layoutPr>
            <cx:subtotals/>
          </cx:layoutPr>
        </cx:series>
      </cx:plotAreaRegion>
      <cx:axis id="0">
        <cx:catScaling gapWidth="0.5"/>
        <cx:tickLabels/>
        <cx:spPr>
          <a:ln>
            <a:solidFill>
              <a:schemeClr val="tx1"/>
            </a:solidFill>
          </a:ln>
        </cx:spPr>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axis id="1">
        <cx:valScaling/>
        <cx:majorGridlines>
          <cx:spPr>
            <a:ln>
              <a:noFill/>
            </a:ln>
          </cx:spPr>
        </cx:majorGridlines>
        <cx:tickLabels/>
        <cx:spPr>
          <a:ln>
            <a:solidFill>
              <a:schemeClr val="tx1"/>
            </a:solidFill>
          </a:ln>
        </cx:spPr>
        <cx:txPr>
          <a:bodyPr spcFirstLastPara="1" vertOverflow="ellipsis" horzOverflow="overflow" wrap="square" lIns="0" tIns="0" rIns="0" bIns="0" anchor="ctr" anchorCtr="1"/>
          <a:lstStyle/>
          <a:p>
            <a:pPr algn="ctr" rtl="0">
              <a:defRPr sz="800">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800" b="0" i="0" u="none" strike="noStrike" baseline="0">
              <a:solidFill>
                <a:schemeClr val="tx1"/>
              </a:solidFill>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1.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6</xdr:col>
      <xdr:colOff>102721</xdr:colOff>
      <xdr:row>107</xdr:row>
      <xdr:rowOff>362160</xdr:rowOff>
    </xdr:from>
    <xdr:to>
      <xdr:col>10</xdr:col>
      <xdr:colOff>702644</xdr:colOff>
      <xdr:row>110</xdr:row>
      <xdr:rowOff>61566</xdr:rowOff>
    </xdr:to>
    <xdr:pic>
      <xdr:nvPicPr>
        <xdr:cNvPr id="2" name="Picture 1">
          <a:extLst>
            <a:ext uri="{FF2B5EF4-FFF2-40B4-BE49-F238E27FC236}">
              <a16:creationId xmlns:a16="http://schemas.microsoft.com/office/drawing/2014/main" id="{4AD0260C-E8EB-DF56-A985-F878207BFF1E}"/>
            </a:ext>
          </a:extLst>
        </xdr:cNvPr>
        <xdr:cNvPicPr>
          <a:picLocks noChangeAspect="1"/>
        </xdr:cNvPicPr>
      </xdr:nvPicPr>
      <xdr:blipFill>
        <a:blip xmlns:r="http://schemas.openxmlformats.org/officeDocument/2006/relationships" r:embed="rId1"/>
        <a:stretch>
          <a:fillRect/>
        </a:stretch>
      </xdr:blipFill>
      <xdr:spPr>
        <a:xfrm>
          <a:off x="6284633" y="17376425"/>
          <a:ext cx="3587008" cy="661243"/>
        </a:xfrm>
        <a:prstGeom prst="rect">
          <a:avLst/>
        </a:prstGeom>
      </xdr:spPr>
    </xdr:pic>
    <xdr:clientData/>
  </xdr:twoCellAnchor>
  <xdr:twoCellAnchor editAs="oneCell">
    <xdr:from>
      <xdr:col>10</xdr:col>
      <xdr:colOff>623434</xdr:colOff>
      <xdr:row>42</xdr:row>
      <xdr:rowOff>62254</xdr:rowOff>
    </xdr:from>
    <xdr:to>
      <xdr:col>11</xdr:col>
      <xdr:colOff>462981</xdr:colOff>
      <xdr:row>50</xdr:row>
      <xdr:rowOff>103917</xdr:rowOff>
    </xdr:to>
    <xdr:pic>
      <xdr:nvPicPr>
        <xdr:cNvPr id="3" name="Picture 2">
          <a:extLst>
            <a:ext uri="{FF2B5EF4-FFF2-40B4-BE49-F238E27FC236}">
              <a16:creationId xmlns:a16="http://schemas.microsoft.com/office/drawing/2014/main" id="{3A9ACFD4-F801-2712-A7A7-EB231EF31938}"/>
            </a:ext>
          </a:extLst>
        </xdr:cNvPr>
        <xdr:cNvPicPr>
          <a:picLocks noChangeAspect="1"/>
        </xdr:cNvPicPr>
      </xdr:nvPicPr>
      <xdr:blipFill>
        <a:blip xmlns:r="http://schemas.openxmlformats.org/officeDocument/2006/relationships" r:embed="rId2"/>
        <a:stretch>
          <a:fillRect/>
        </a:stretch>
      </xdr:blipFill>
      <xdr:spPr>
        <a:xfrm>
          <a:off x="10192012" y="7109509"/>
          <a:ext cx="2153136" cy="13896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1678534</xdr:colOff>
      <xdr:row>13</xdr:row>
      <xdr:rowOff>135645</xdr:rowOff>
    </xdr:from>
    <xdr:to>
      <xdr:col>7</xdr:col>
      <xdr:colOff>614615</xdr:colOff>
      <xdr:row>31</xdr:row>
      <xdr:rowOff>152508</xdr:rowOff>
    </xdr:to>
    <xdr:graphicFrame macro="">
      <xdr:nvGraphicFramePr>
        <xdr:cNvPr id="2" name="Chart 1">
          <a:extLst>
            <a:ext uri="{FF2B5EF4-FFF2-40B4-BE49-F238E27FC236}">
              <a16:creationId xmlns:a16="http://schemas.microsoft.com/office/drawing/2014/main" id="{18883FCD-BFCD-4764-90A1-6483E0953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22306</xdr:colOff>
      <xdr:row>33</xdr:row>
      <xdr:rowOff>48239</xdr:rowOff>
    </xdr:from>
    <xdr:to>
      <xdr:col>7</xdr:col>
      <xdr:colOff>682705</xdr:colOff>
      <xdr:row>51</xdr:row>
      <xdr:rowOff>144824</xdr:rowOff>
    </xdr:to>
    <xdr:graphicFrame macro="">
      <xdr:nvGraphicFramePr>
        <xdr:cNvPr id="3" name="Chart 2">
          <a:extLst>
            <a:ext uri="{FF2B5EF4-FFF2-40B4-BE49-F238E27FC236}">
              <a16:creationId xmlns:a16="http://schemas.microsoft.com/office/drawing/2014/main" id="{89875CFF-677C-43ED-8E03-ADC4448F5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576302</xdr:colOff>
      <xdr:row>111</xdr:row>
      <xdr:rowOff>106722</xdr:rowOff>
    </xdr:from>
    <xdr:to>
      <xdr:col>10</xdr:col>
      <xdr:colOff>522941</xdr:colOff>
      <xdr:row>129</xdr:row>
      <xdr:rowOff>138738</xdr:rowOff>
    </xdr:to>
    <xdr:graphicFrame macro="">
      <xdr:nvGraphicFramePr>
        <xdr:cNvPr id="4" name="Chart 3">
          <a:extLst>
            <a:ext uri="{FF2B5EF4-FFF2-40B4-BE49-F238E27FC236}">
              <a16:creationId xmlns:a16="http://schemas.microsoft.com/office/drawing/2014/main" id="{1149936E-ED7E-4BE1-9A62-59CE0E675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490924</xdr:colOff>
      <xdr:row>153</xdr:row>
      <xdr:rowOff>74707</xdr:rowOff>
    </xdr:from>
    <xdr:to>
      <xdr:col>9</xdr:col>
      <xdr:colOff>10671</xdr:colOff>
      <xdr:row>173</xdr:row>
      <xdr:rowOff>46907</xdr:rowOff>
    </xdr:to>
    <xdr:graphicFrame macro="">
      <xdr:nvGraphicFramePr>
        <xdr:cNvPr id="6" name="Chart 5">
          <a:extLst>
            <a:ext uri="{FF2B5EF4-FFF2-40B4-BE49-F238E27FC236}">
              <a16:creationId xmlns:a16="http://schemas.microsoft.com/office/drawing/2014/main" id="{1A0E9516-B0A5-4F7F-A26F-6F6A8F10E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497518</xdr:colOff>
      <xdr:row>178</xdr:row>
      <xdr:rowOff>30951</xdr:rowOff>
    </xdr:from>
    <xdr:to>
      <xdr:col>15</xdr:col>
      <xdr:colOff>42229</xdr:colOff>
      <xdr:row>198</xdr:row>
      <xdr:rowOff>138592</xdr:rowOff>
    </xdr:to>
    <xdr:graphicFrame macro="">
      <xdr:nvGraphicFramePr>
        <xdr:cNvPr id="9" name="Chart 8">
          <a:extLst>
            <a:ext uri="{FF2B5EF4-FFF2-40B4-BE49-F238E27FC236}">
              <a16:creationId xmlns:a16="http://schemas.microsoft.com/office/drawing/2014/main" id="{DE09EA3E-B25B-D372-006A-53050EAE4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528637</xdr:colOff>
      <xdr:row>18</xdr:row>
      <xdr:rowOff>71437</xdr:rowOff>
    </xdr:from>
    <xdr:to>
      <xdr:col>14</xdr:col>
      <xdr:colOff>223837</xdr:colOff>
      <xdr:row>35</xdr:row>
      <xdr:rowOff>61912</xdr:rowOff>
    </xdr:to>
    <xdr:graphicFrame macro="">
      <xdr:nvGraphicFramePr>
        <xdr:cNvPr id="3" name="Chart 2">
          <a:extLst>
            <a:ext uri="{FF2B5EF4-FFF2-40B4-BE49-F238E27FC236}">
              <a16:creationId xmlns:a16="http://schemas.microsoft.com/office/drawing/2014/main" id="{778196B9-6601-4E57-A9F4-42F831CC803E}"/>
            </a:ext>
            <a:ext uri="{147F2762-F138-4A5C-976F-8EAC2B608ADB}">
              <a16:predDERef xmlns:a16="http://schemas.microsoft.com/office/drawing/2014/main" pre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657224</xdr:colOff>
      <xdr:row>44</xdr:row>
      <xdr:rowOff>28574</xdr:rowOff>
    </xdr:from>
    <xdr:to>
      <xdr:col>4</xdr:col>
      <xdr:colOff>457200</xdr:colOff>
      <xdr:row>59</xdr:row>
      <xdr:rowOff>133350</xdr:rowOff>
    </xdr:to>
    <xdr:graphicFrame macro="">
      <xdr:nvGraphicFramePr>
        <xdr:cNvPr id="4" name="Chart 3">
          <a:extLst>
            <a:ext uri="{FF2B5EF4-FFF2-40B4-BE49-F238E27FC236}">
              <a16:creationId xmlns:a16="http://schemas.microsoft.com/office/drawing/2014/main" id="{781EE980-F971-4A3C-AF22-0A0815E6CFD8}"/>
            </a:ext>
            <a:ext uri="{147F2762-F138-4A5C-976F-8EAC2B608ADB}">
              <a16:predDERef xmlns:a16="http://schemas.microsoft.com/office/drawing/2014/main" pre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123824</xdr:colOff>
      <xdr:row>62</xdr:row>
      <xdr:rowOff>47625</xdr:rowOff>
    </xdr:from>
    <xdr:to>
      <xdr:col>9</xdr:col>
      <xdr:colOff>323850</xdr:colOff>
      <xdr:row>73</xdr:row>
      <xdr:rowOff>91188</xdr:rowOff>
    </xdr:to>
    <xdr:graphicFrame macro="">
      <xdr:nvGraphicFramePr>
        <xdr:cNvPr id="5" name="Chart 4">
          <a:extLst>
            <a:ext uri="{FF2B5EF4-FFF2-40B4-BE49-F238E27FC236}">
              <a16:creationId xmlns:a16="http://schemas.microsoft.com/office/drawing/2014/main" id="{CC044410-7381-4824-91F4-C92869B2D68C}"/>
            </a:ext>
            <a:ext uri="{147F2762-F138-4A5C-976F-8EAC2B608ADB}">
              <a16:predDERef xmlns:a16="http://schemas.microsoft.com/office/drawing/2014/main" pred="{00000000-0008-0000-0700-00000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80</xdr:row>
      <xdr:rowOff>109537</xdr:rowOff>
    </xdr:from>
    <xdr:to>
      <xdr:col>8</xdr:col>
      <xdr:colOff>171450</xdr:colOff>
      <xdr:row>97</xdr:row>
      <xdr:rowOff>100012</xdr:rowOff>
    </xdr:to>
    <xdr:graphicFrame macro="">
      <xdr:nvGraphicFramePr>
        <xdr:cNvPr id="6" name="Chart 5">
          <a:extLst>
            <a:ext uri="{FF2B5EF4-FFF2-40B4-BE49-F238E27FC236}">
              <a16:creationId xmlns:a16="http://schemas.microsoft.com/office/drawing/2014/main" id="{CBAE34BF-4E39-484E-A2F2-8430AB8A4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526939</xdr:colOff>
      <xdr:row>106</xdr:row>
      <xdr:rowOff>20944</xdr:rowOff>
    </xdr:from>
    <xdr:to>
      <xdr:col>8</xdr:col>
      <xdr:colOff>52360</xdr:colOff>
      <xdr:row>122</xdr:row>
      <xdr:rowOff>90460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3E829CB-95DB-46EC-BC1E-42F60D8B7B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38225" y="17518369"/>
              <a:ext cx="2500285" cy="2660316"/>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126</xdr:row>
      <xdr:rowOff>152401</xdr:rowOff>
    </xdr:from>
    <xdr:to>
      <xdr:col>10</xdr:col>
      <xdr:colOff>402349</xdr:colOff>
      <xdr:row>144</xdr:row>
      <xdr:rowOff>123168</xdr:rowOff>
    </xdr:to>
    <xdr:graphicFrame macro="">
      <xdr:nvGraphicFramePr>
        <xdr:cNvPr id="8" name="Chart 7">
          <a:extLst>
            <a:ext uri="{FF2B5EF4-FFF2-40B4-BE49-F238E27FC236}">
              <a16:creationId xmlns:a16="http://schemas.microsoft.com/office/drawing/2014/main" id="{2FE9D12A-E219-40B2-A308-51B83FE2A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338125</xdr:colOff>
      <xdr:row>153</xdr:row>
      <xdr:rowOff>69362</xdr:rowOff>
    </xdr:from>
    <xdr:to>
      <xdr:col>7</xdr:col>
      <xdr:colOff>500403</xdr:colOff>
      <xdr:row>170</xdr:row>
      <xdr:rowOff>44613</xdr:rowOff>
    </xdr:to>
    <xdr:graphicFrame macro="">
      <xdr:nvGraphicFramePr>
        <xdr:cNvPr id="9" name="Chart 8">
          <a:extLst>
            <a:ext uri="{FF2B5EF4-FFF2-40B4-BE49-F238E27FC236}">
              <a16:creationId xmlns:a16="http://schemas.microsoft.com/office/drawing/2014/main" id="{305023E8-B492-43A6-85D7-4ED73227F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76091</xdr:colOff>
      <xdr:row>6</xdr:row>
      <xdr:rowOff>139262</xdr:rowOff>
    </xdr:from>
    <xdr:to>
      <xdr:col>17</xdr:col>
      <xdr:colOff>318047</xdr:colOff>
      <xdr:row>23</xdr:row>
      <xdr:rowOff>134445</xdr:rowOff>
    </xdr:to>
    <xdr:graphicFrame macro="">
      <xdr:nvGraphicFramePr>
        <xdr:cNvPr id="11" name="Chart 10">
          <a:extLst>
            <a:ext uri="{FF2B5EF4-FFF2-40B4-BE49-F238E27FC236}">
              <a16:creationId xmlns:a16="http://schemas.microsoft.com/office/drawing/2014/main" id="{B97EB90D-5E3C-844D-4648-77AADA6D8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64286</xdr:colOff>
      <xdr:row>5</xdr:row>
      <xdr:rowOff>74590</xdr:rowOff>
    </xdr:from>
    <xdr:to>
      <xdr:col>21</xdr:col>
      <xdr:colOff>275594</xdr:colOff>
      <xdr:row>16</xdr:row>
      <xdr:rowOff>122058</xdr:rowOff>
    </xdr:to>
    <xdr:graphicFrame macro="">
      <xdr:nvGraphicFramePr>
        <xdr:cNvPr id="5" name="Chart 4">
          <a:extLst>
            <a:ext uri="{FF2B5EF4-FFF2-40B4-BE49-F238E27FC236}">
              <a16:creationId xmlns:a16="http://schemas.microsoft.com/office/drawing/2014/main" id="{8593E059-770B-6B86-2053-E1CBC0C64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560294</xdr:colOff>
      <xdr:row>17</xdr:row>
      <xdr:rowOff>0</xdr:rowOff>
    </xdr:from>
    <xdr:to>
      <xdr:col>21</xdr:col>
      <xdr:colOff>218516</xdr:colOff>
      <xdr:row>34</xdr:row>
      <xdr:rowOff>71717</xdr:rowOff>
    </xdr:to>
    <xdr:graphicFrame macro="">
      <xdr:nvGraphicFramePr>
        <xdr:cNvPr id="6" name="Chart 5">
          <a:extLst>
            <a:ext uri="{FF2B5EF4-FFF2-40B4-BE49-F238E27FC236}">
              <a16:creationId xmlns:a16="http://schemas.microsoft.com/office/drawing/2014/main" id="{E04EF8AD-185A-47CB-8D25-D38D5903F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366059</xdr:colOff>
      <xdr:row>1472</xdr:row>
      <xdr:rowOff>113178</xdr:rowOff>
    </xdr:from>
    <xdr:to>
      <xdr:col>28</xdr:col>
      <xdr:colOff>32683</xdr:colOff>
      <xdr:row>1487</xdr:row>
      <xdr:rowOff>130734</xdr:rowOff>
    </xdr:to>
    <xdr:graphicFrame macro="">
      <xdr:nvGraphicFramePr>
        <xdr:cNvPr id="2" name="Chart 1">
          <a:extLst>
            <a:ext uri="{FF2B5EF4-FFF2-40B4-BE49-F238E27FC236}">
              <a16:creationId xmlns:a16="http://schemas.microsoft.com/office/drawing/2014/main" id="{78C0E708-3D35-AAAF-7DCC-CABD0EE3F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328705</xdr:colOff>
      <xdr:row>237</xdr:row>
      <xdr:rowOff>66487</xdr:rowOff>
    </xdr:from>
    <xdr:to>
      <xdr:col>13</xdr:col>
      <xdr:colOff>156881</xdr:colOff>
      <xdr:row>253</xdr:row>
      <xdr:rowOff>120276</xdr:rowOff>
    </xdr:to>
    <xdr:graphicFrame macro="">
      <xdr:nvGraphicFramePr>
        <xdr:cNvPr id="2" name="Chart 1">
          <a:extLst>
            <a:ext uri="{FF2B5EF4-FFF2-40B4-BE49-F238E27FC236}">
              <a16:creationId xmlns:a16="http://schemas.microsoft.com/office/drawing/2014/main" id="{44631EAA-E0A8-4B3F-8661-ED21661A7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473449</xdr:colOff>
      <xdr:row>286</xdr:row>
      <xdr:rowOff>57149</xdr:rowOff>
    </xdr:from>
    <xdr:to>
      <xdr:col>9</xdr:col>
      <xdr:colOff>513603</xdr:colOff>
      <xdr:row>304</xdr:row>
      <xdr:rowOff>0</xdr:rowOff>
    </xdr:to>
    <xdr:graphicFrame macro="">
      <xdr:nvGraphicFramePr>
        <xdr:cNvPr id="3" name="Chart 2">
          <a:extLst>
            <a:ext uri="{FF2B5EF4-FFF2-40B4-BE49-F238E27FC236}">
              <a16:creationId xmlns:a16="http://schemas.microsoft.com/office/drawing/2014/main" id="{5D33E43A-E6F6-4B4E-8F35-876472B93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158749</xdr:colOff>
      <xdr:row>305</xdr:row>
      <xdr:rowOff>102720</xdr:rowOff>
    </xdr:from>
    <xdr:to>
      <xdr:col>10</xdr:col>
      <xdr:colOff>527338</xdr:colOff>
      <xdr:row>325</xdr:row>
      <xdr:rowOff>27013</xdr:rowOff>
    </xdr:to>
    <xdr:graphicFrame macro="">
      <xdr:nvGraphicFramePr>
        <xdr:cNvPr id="4" name="Chart 3">
          <a:extLst>
            <a:ext uri="{FF2B5EF4-FFF2-40B4-BE49-F238E27FC236}">
              <a16:creationId xmlns:a16="http://schemas.microsoft.com/office/drawing/2014/main" id="{31E5B300-78F7-48FF-B262-2691BCAB7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179292</xdr:colOff>
      <xdr:row>182</xdr:row>
      <xdr:rowOff>78157</xdr:rowOff>
    </xdr:from>
    <xdr:to>
      <xdr:col>16</xdr:col>
      <xdr:colOff>528075</xdr:colOff>
      <xdr:row>199</xdr:row>
      <xdr:rowOff>113269</xdr:rowOff>
    </xdr:to>
    <xdr:graphicFrame macro="">
      <xdr:nvGraphicFramePr>
        <xdr:cNvPr id="5" name="Chart 4">
          <a:extLst>
            <a:ext uri="{FF2B5EF4-FFF2-40B4-BE49-F238E27FC236}">
              <a16:creationId xmlns:a16="http://schemas.microsoft.com/office/drawing/2014/main" id="{90207523-965B-4028-ACE9-CED4AACA4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667216</xdr:colOff>
      <xdr:row>201</xdr:row>
      <xdr:rowOff>103841</xdr:rowOff>
    </xdr:from>
    <xdr:to>
      <xdr:col>16</xdr:col>
      <xdr:colOff>68168</xdr:colOff>
      <xdr:row>217</xdr:row>
      <xdr:rowOff>52575</xdr:rowOff>
    </xdr:to>
    <xdr:graphicFrame macro="">
      <xdr:nvGraphicFramePr>
        <xdr:cNvPr id="6" name="Chart 5">
          <a:extLst>
            <a:ext uri="{FF2B5EF4-FFF2-40B4-BE49-F238E27FC236}">
              <a16:creationId xmlns:a16="http://schemas.microsoft.com/office/drawing/2014/main" id="{85F5ACAF-BBE4-48DE-B0C7-76C653DC9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Business%20School%20etc\Business%20School%20Lecturing\1.%20SKEMA\1N.%20CFM%20Paris%202024\Excel%20Models%20for%20CFM%202024\alumi%20models\FedEx%20Valuation%20model%20-%20NGUYEN%20Thi%20Mong%20Tho%20-22106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20SOMMER(I)\All%20files%20T%20Sommer%2011.2019\Business%20School%20Lecturing\1.%20SKEMA\1k.%20FMI%20FALL%202021%20VALUATION\Valuation%20and%20Excel%20modeling%20Fall%202020%20FMI%20Skema%20Paris%20v.4.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Business%20School%20etc\Business%20School%20Lecturing\1.%20SKEMA\1N.%20CFM%20Paris%202024\Excel%20Models%20for%20CFM%202024\alumi%20models\Kering%20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orecast Development"/>
      <sheetName val="Forecasts"/>
      <sheetName val="Valuation"/>
      <sheetName val="Quarterly"/>
      <sheetName val="BETA"/>
      <sheetName val="Porter"/>
      <sheetName val="COMP SHEET "/>
      <sheetName val="Table&amp;Chart"/>
      <sheetName val="5Y STOCK PERFORMANCE"/>
      <sheetName val="APPENDIX"/>
      <sheetName val="OUTPUT SHEET"/>
      <sheetName val="Default"/>
      <sheetName val="Stockmarket return"/>
    </sheetNames>
    <sheetDataSet>
      <sheetData sheetId="0">
        <row r="33">
          <cell r="C33">
            <v>54403</v>
          </cell>
          <cell r="D33">
            <v>73537</v>
          </cell>
          <cell r="E33">
            <v>82777</v>
          </cell>
          <cell r="F33">
            <v>85994</v>
          </cell>
          <cell r="G33">
            <v>87143</v>
          </cell>
        </row>
        <row r="38">
          <cell r="C38">
            <v>0</v>
          </cell>
          <cell r="D38">
            <v>0</v>
          </cell>
          <cell r="E38">
            <v>0</v>
          </cell>
          <cell r="F38">
            <v>0</v>
          </cell>
          <cell r="G38">
            <v>0</v>
          </cell>
        </row>
        <row r="39">
          <cell r="C39">
            <v>964</v>
          </cell>
          <cell r="D39">
            <v>51</v>
          </cell>
          <cell r="E39">
            <v>146</v>
          </cell>
          <cell r="F39">
            <v>82</v>
          </cell>
          <cell r="G39">
            <v>126</v>
          </cell>
        </row>
        <row r="45">
          <cell r="C45">
            <v>16617</v>
          </cell>
          <cell r="D45">
            <v>21952</v>
          </cell>
          <cell r="E45">
            <v>20733</v>
          </cell>
          <cell r="F45">
            <v>20182</v>
          </cell>
          <cell r="G45">
            <v>20453</v>
          </cell>
        </row>
        <row r="60">
          <cell r="C60">
            <v>17757</v>
          </cell>
          <cell r="D60">
            <v>18295</v>
          </cell>
          <cell r="E60">
            <v>24168</v>
          </cell>
          <cell r="F60">
            <v>24939</v>
          </cell>
          <cell r="G60">
            <v>26088</v>
          </cell>
        </row>
      </sheetData>
      <sheetData sheetId="1" refreshError="1"/>
      <sheetData sheetId="2" refreshError="1"/>
      <sheetData sheetId="3">
        <row r="178">
          <cell r="E178">
            <v>89895.629738805248</v>
          </cell>
          <cell r="F178">
            <v>92368.621097309791</v>
          </cell>
          <cell r="G178">
            <v>94563.228090513643</v>
          </cell>
          <cell r="H178">
            <v>96480.742353866779</v>
          </cell>
          <cell r="I178">
            <v>98122.494271882693</v>
          </cell>
        </row>
        <row r="189">
          <cell r="E189">
            <v>0</v>
          </cell>
          <cell r="F189">
            <v>0</v>
          </cell>
          <cell r="G189">
            <v>0</v>
          </cell>
          <cell r="H189">
            <v>0</v>
          </cell>
          <cell r="I189">
            <v>0</v>
          </cell>
        </row>
        <row r="192">
          <cell r="E192">
            <v>129.78</v>
          </cell>
          <cell r="F192">
            <v>133.67340000000002</v>
          </cell>
          <cell r="G192">
            <v>137.68360200000001</v>
          </cell>
          <cell r="H192">
            <v>141.81411006000002</v>
          </cell>
          <cell r="I192">
            <v>146.06853336180004</v>
          </cell>
        </row>
        <row r="210">
          <cell r="E210">
            <v>21066.59</v>
          </cell>
          <cell r="F210">
            <v>21698.5877</v>
          </cell>
          <cell r="G210">
            <v>22349.545331000001</v>
          </cell>
          <cell r="H210">
            <v>23020.031690930002</v>
          </cell>
          <cell r="I210">
            <v>23710.632641657903</v>
          </cell>
        </row>
        <row r="255">
          <cell r="E255">
            <v>27008.979738805268</v>
          </cell>
          <cell r="F255">
            <v>27595.371597309793</v>
          </cell>
          <cell r="G255">
            <v>27846.78110551367</v>
          </cell>
          <cell r="H255">
            <v>27762.801959316785</v>
          </cell>
          <cell r="I255">
            <v>27343.015665496219</v>
          </cell>
        </row>
      </sheetData>
      <sheetData sheetId="4" refreshError="1"/>
      <sheetData sheetId="5">
        <row r="55">
          <cell r="C55" t="str">
            <v>1Q2023</v>
          </cell>
          <cell r="D55" t="str">
            <v>1Q2024</v>
          </cell>
        </row>
        <row r="56">
          <cell r="B56" t="str">
            <v xml:space="preserve">FedEx Express segment </v>
          </cell>
          <cell r="C56">
            <v>11127</v>
          </cell>
          <cell r="D56">
            <v>10085</v>
          </cell>
        </row>
        <row r="57">
          <cell r="B57" t="str">
            <v xml:space="preserve">FedEx Ground segment </v>
          </cell>
          <cell r="C57">
            <v>8160</v>
          </cell>
          <cell r="D57">
            <v>8420</v>
          </cell>
        </row>
        <row r="58">
          <cell r="B58" t="str">
            <v xml:space="preserve">FedEx Freight segment </v>
          </cell>
          <cell r="C58">
            <v>2723</v>
          </cell>
          <cell r="D58">
            <v>2291</v>
          </cell>
        </row>
        <row r="59">
          <cell r="B59" t="str">
            <v>FedEx Services segment &amp; Others</v>
          </cell>
          <cell r="C59">
            <v>1232</v>
          </cell>
          <cell r="D59">
            <v>885</v>
          </cell>
        </row>
      </sheetData>
      <sheetData sheetId="6" refreshError="1"/>
      <sheetData sheetId="7" refreshError="1"/>
      <sheetData sheetId="8" refreshError="1"/>
      <sheetData sheetId="9" refreshError="1"/>
      <sheetData sheetId="10" refreshError="1"/>
      <sheetData sheetId="11">
        <row r="273">
          <cell r="D273">
            <v>61055</v>
          </cell>
        </row>
      </sheetData>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 do today"/>
      <sheetName val="Data"/>
      <sheetName val="Analysis"/>
      <sheetName val="Forecast Development"/>
      <sheetName val="Forecasts"/>
      <sheetName val="Valuation"/>
      <sheetName val="Share price 2y"/>
      <sheetName val="beta 2"/>
      <sheetName val="Comp Sheet"/>
      <sheetName val="OUTPUT SHEET"/>
      <sheetName val="PORTER"/>
      <sheetName val="Charts and Tables for report"/>
      <sheetName val="source"/>
    </sheetNames>
    <sheetDataSet>
      <sheetData sheetId="0" refreshError="1"/>
      <sheetData sheetId="1" refreshError="1"/>
      <sheetData sheetId="2" refreshError="1"/>
      <sheetData sheetId="3" refreshError="1">
        <row r="19">
          <cell r="B19">
            <v>2019</v>
          </cell>
          <cell r="C19">
            <v>2020</v>
          </cell>
          <cell r="D19">
            <v>2021</v>
          </cell>
          <cell r="E19">
            <v>2020</v>
          </cell>
          <cell r="F19">
            <v>2021</v>
          </cell>
          <cell r="G19">
            <v>2022</v>
          </cell>
          <cell r="H19">
            <v>2023</v>
          </cell>
          <cell r="I19">
            <v>2024</v>
          </cell>
        </row>
        <row r="27">
          <cell r="A27" t="str">
            <v>adsl/fiber optics</v>
          </cell>
          <cell r="B27">
            <v>12573</v>
          </cell>
          <cell r="C27">
            <v>13322</v>
          </cell>
          <cell r="D27">
            <v>13574</v>
          </cell>
          <cell r="E27">
            <v>14103.385999999999</v>
          </cell>
          <cell r="F27">
            <v>15795.79232</v>
          </cell>
          <cell r="G27">
            <v>17375.371552000001</v>
          </cell>
          <cell r="H27">
            <v>19112.908707200004</v>
          </cell>
          <cell r="I27">
            <v>20164.118686096004</v>
          </cell>
          <cell r="J27">
            <v>3.9045257974350767E-2</v>
          </cell>
        </row>
        <row r="28">
          <cell r="A28" t="str">
            <v>tablets</v>
          </cell>
          <cell r="B28">
            <v>2656</v>
          </cell>
          <cell r="C28">
            <v>2656</v>
          </cell>
          <cell r="D28">
            <v>2636</v>
          </cell>
          <cell r="E28">
            <v>2662.36</v>
          </cell>
          <cell r="F28">
            <v>2688.9836</v>
          </cell>
          <cell r="G28">
            <v>2715.8734359999999</v>
          </cell>
          <cell r="H28">
            <v>2743.0321703599998</v>
          </cell>
          <cell r="I28">
            <v>2770.4624920635997</v>
          </cell>
          <cell r="J28">
            <v>-3.7721748926743404E-3</v>
          </cell>
        </row>
        <row r="29">
          <cell r="A29" t="str">
            <v>PC</v>
          </cell>
          <cell r="B29">
            <v>6315</v>
          </cell>
          <cell r="C29">
            <v>7156</v>
          </cell>
          <cell r="D29">
            <v>7780</v>
          </cell>
          <cell r="E29">
            <v>8458.4125209614303</v>
          </cell>
          <cell r="F29">
            <v>9195.98231038009</v>
          </cell>
          <cell r="G29">
            <v>9997.8678556116683</v>
          </cell>
          <cell r="H29">
            <v>11497.548033953417</v>
          </cell>
          <cell r="I29">
            <v>13222.180239046429</v>
          </cell>
          <cell r="J29">
            <v>0.10994924737566358</v>
          </cell>
        </row>
        <row r="30">
          <cell r="A30" t="str">
            <v>Software</v>
          </cell>
          <cell r="B30">
            <v>20401</v>
          </cell>
          <cell r="C30">
            <v>22418</v>
          </cell>
          <cell r="D30">
            <v>21408</v>
          </cell>
          <cell r="E30">
            <v>22050.240000000002</v>
          </cell>
          <cell r="F30">
            <v>22711.747200000002</v>
          </cell>
          <cell r="G30">
            <v>23393.099616000003</v>
          </cell>
          <cell r="H30">
            <v>24094.892604480003</v>
          </cell>
          <cell r="I30">
            <v>24817.739382614403</v>
          </cell>
          <cell r="J30">
            <v>2.4382899834940241E-2</v>
          </cell>
        </row>
        <row r="31">
          <cell r="A31" t="str">
            <v>trading</v>
          </cell>
          <cell r="B31">
            <v>9602</v>
          </cell>
          <cell r="C31">
            <v>13560</v>
          </cell>
          <cell r="D31">
            <v>13441</v>
          </cell>
          <cell r="E31">
            <v>14516.28</v>
          </cell>
          <cell r="F31">
            <v>15677.582400000001</v>
          </cell>
          <cell r="G31">
            <v>16931.788992000002</v>
          </cell>
          <cell r="H31">
            <v>18286.332111360003</v>
          </cell>
          <cell r="I31">
            <v>19749.238680268805</v>
          </cell>
          <cell r="J31">
            <v>0.18313673726005297</v>
          </cell>
        </row>
      </sheetData>
      <sheetData sheetId="4" refreshError="1">
        <row r="283">
          <cell r="A283" t="str">
            <v>Net Income</v>
          </cell>
          <cell r="C283">
            <v>6462</v>
          </cell>
          <cell r="D283">
            <v>6214</v>
          </cell>
          <cell r="E283">
            <v>7207.3484175811373</v>
          </cell>
          <cell r="F283">
            <v>7786.3967760169544</v>
          </cell>
          <cell r="G283">
            <v>8351.045736656446</v>
          </cell>
          <cell r="H283">
            <v>9031.1409259775392</v>
          </cell>
        </row>
        <row r="284">
          <cell r="A284" t="str">
            <v>Add back depreciation expense (net)</v>
          </cell>
          <cell r="C284">
            <v>1459</v>
          </cell>
          <cell r="D284">
            <v>1584</v>
          </cell>
          <cell r="E284">
            <v>2580.5284003253764</v>
          </cell>
          <cell r="F284">
            <v>2636.3809710807545</v>
          </cell>
          <cell r="G284">
            <v>2692.2335418361326</v>
          </cell>
          <cell r="H284">
            <v>2748.0861125915108</v>
          </cell>
        </row>
        <row r="285">
          <cell r="A285" t="str">
            <v>Add back amortization expense (net)</v>
          </cell>
          <cell r="C285">
            <v>133</v>
          </cell>
          <cell r="D285">
            <v>119</v>
          </cell>
          <cell r="E285">
            <v>110</v>
          </cell>
          <cell r="F285">
            <v>95</v>
          </cell>
          <cell r="G285">
            <v>86</v>
          </cell>
          <cell r="H285">
            <v>78</v>
          </cell>
        </row>
        <row r="286">
          <cell r="A286" t="str">
            <v>&lt;Increase&gt; Decrease in receivables - net</v>
          </cell>
          <cell r="C286">
            <v>-589</v>
          </cell>
          <cell r="D286">
            <v>-129</v>
          </cell>
          <cell r="E286">
            <v>-303.46709999999985</v>
          </cell>
          <cell r="F286">
            <v>-316.54653200999928</v>
          </cell>
          <cell r="G286">
            <v>-330.18968753963054</v>
          </cell>
          <cell r="H286">
            <v>-344.42086307258796</v>
          </cell>
        </row>
        <row r="287">
          <cell r="A287" t="str">
            <v>&lt;Increase&gt; Decrease in inventories</v>
          </cell>
          <cell r="C287">
            <v>-455</v>
          </cell>
          <cell r="D287">
            <v>246</v>
          </cell>
          <cell r="E287">
            <v>-154.34109999999964</v>
          </cell>
          <cell r="F287">
            <v>-160.99320140999953</v>
          </cell>
          <cell r="G287">
            <v>-167.93200839077053</v>
          </cell>
          <cell r="H287">
            <v>-175.16987795241312</v>
          </cell>
        </row>
        <row r="288">
          <cell r="A288" t="str">
            <v>&lt;Increase&gt; Decrease in prepaid expenses</v>
          </cell>
          <cell r="C288">
            <v>-772</v>
          </cell>
          <cell r="D288">
            <v>798</v>
          </cell>
          <cell r="E288">
            <v>-63.744899999999916</v>
          </cell>
          <cell r="F288">
            <v>-66.492305189999797</v>
          </cell>
          <cell r="G288">
            <v>-69.358123543688862</v>
          </cell>
          <cell r="H288">
            <v>-72.34745866842195</v>
          </cell>
        </row>
        <row r="289">
          <cell r="A289" t="str">
            <v>&lt;Increase&gt; Decrease in other current assets (1)</v>
          </cell>
          <cell r="C289">
            <v>0</v>
          </cell>
          <cell r="D289">
            <v>0</v>
          </cell>
          <cell r="E289">
            <v>0</v>
          </cell>
          <cell r="F289">
            <v>0</v>
          </cell>
          <cell r="G289">
            <v>0</v>
          </cell>
          <cell r="H289">
            <v>0</v>
          </cell>
        </row>
        <row r="290">
          <cell r="A290" t="str">
            <v>&lt;Increase&gt; Decrease in other current assets (2)</v>
          </cell>
          <cell r="C290">
            <v>0</v>
          </cell>
          <cell r="D290">
            <v>0</v>
          </cell>
          <cell r="E290">
            <v>0</v>
          </cell>
          <cell r="F290">
            <v>0</v>
          </cell>
          <cell r="G290">
            <v>0</v>
          </cell>
          <cell r="H290">
            <v>0</v>
          </cell>
        </row>
        <row r="291">
          <cell r="A291" t="str">
            <v>Increase &lt;Decrease&gt; in accounts payable - trade</v>
          </cell>
          <cell r="C291">
            <v>218</v>
          </cell>
          <cell r="D291">
            <v>368</v>
          </cell>
          <cell r="E291">
            <v>191.83809999999994</v>
          </cell>
          <cell r="F291">
            <v>200.10632210999938</v>
          </cell>
          <cell r="G291">
            <v>208.73090459294053</v>
          </cell>
          <cell r="H291">
            <v>217.72720658089656</v>
          </cell>
        </row>
        <row r="292">
          <cell r="A292" t="str">
            <v>Increase &lt;Decrease&gt; in current accrued liabilities</v>
          </cell>
          <cell r="C292">
            <v>616</v>
          </cell>
          <cell r="D292">
            <v>-222</v>
          </cell>
          <cell r="E292">
            <v>321.18119999999908</v>
          </cell>
          <cell r="F292">
            <v>335.02410971999961</v>
          </cell>
          <cell r="G292">
            <v>349.46364884893046</v>
          </cell>
          <cell r="H292">
            <v>364.5255321143195</v>
          </cell>
        </row>
        <row r="293">
          <cell r="A293" t="str">
            <v>Increase &lt;Decrease&gt; in income taxes payable</v>
          </cell>
          <cell r="C293">
            <v>121</v>
          </cell>
          <cell r="D293">
            <v>179</v>
          </cell>
          <cell r="E293">
            <v>15.990099999999984</v>
          </cell>
          <cell r="F293">
            <v>16.679273309999985</v>
          </cell>
          <cell r="G293">
            <v>17.398149989660965</v>
          </cell>
          <cell r="H293">
            <v>18.148010254215365</v>
          </cell>
        </row>
        <row r="294">
          <cell r="A294" t="str">
            <v>Increase &lt;Decrease&gt; in other current liabilities (1)</v>
          </cell>
          <cell r="C294">
            <v>0</v>
          </cell>
          <cell r="D294">
            <v>0</v>
          </cell>
          <cell r="E294">
            <v>0</v>
          </cell>
          <cell r="F294">
            <v>0</v>
          </cell>
          <cell r="G294">
            <v>0</v>
          </cell>
          <cell r="H294">
            <v>0</v>
          </cell>
        </row>
        <row r="295">
          <cell r="A295" t="str">
            <v>Increase &lt;Decrease&gt; in other current liabilities (2)</v>
          </cell>
          <cell r="C295">
            <v>0</v>
          </cell>
          <cell r="D295">
            <v>0</v>
          </cell>
          <cell r="E295">
            <v>0</v>
          </cell>
          <cell r="F295">
            <v>0</v>
          </cell>
          <cell r="G295">
            <v>0</v>
          </cell>
          <cell r="H295">
            <v>0</v>
          </cell>
        </row>
        <row r="296">
          <cell r="A296" t="str">
            <v>Net change in deferred tax assets and liabilities</v>
          </cell>
          <cell r="C296">
            <v>938</v>
          </cell>
          <cell r="D296">
            <v>68</v>
          </cell>
          <cell r="E296">
            <v>369.98417477787461</v>
          </cell>
          <cell r="F296">
            <v>-49.378389864892597</v>
          </cell>
          <cell r="G296">
            <v>-49.922507929389212</v>
          </cell>
          <cell r="H296">
            <v>-50.32638476810007</v>
          </cell>
        </row>
        <row r="297">
          <cell r="A297" t="str">
            <v>Increase &lt;Decrease&gt; in long-term accrued liabilities</v>
          </cell>
          <cell r="C297">
            <v>1537</v>
          </cell>
          <cell r="D297">
            <v>-1723</v>
          </cell>
          <cell r="E297">
            <v>282.0032999999994</v>
          </cell>
          <cell r="F297">
            <v>294.15764222999951</v>
          </cell>
          <cell r="G297">
            <v>306.83583661011198</v>
          </cell>
          <cell r="H297">
            <v>320.06046116800826</v>
          </cell>
        </row>
        <row r="298">
          <cell r="A298" t="str">
            <v>Increase &lt;Decrease&gt; in other noncurrent liabilities (1)</v>
          </cell>
          <cell r="C298">
            <v>0</v>
          </cell>
          <cell r="D298">
            <v>0</v>
          </cell>
          <cell r="E298">
            <v>0</v>
          </cell>
          <cell r="F298">
            <v>0</v>
          </cell>
          <cell r="G298">
            <v>0</v>
          </cell>
          <cell r="H298">
            <v>0</v>
          </cell>
        </row>
        <row r="299">
          <cell r="A299" t="str">
            <v>Increase &lt;Decrease&gt; in other noncurrent liabilities (2)</v>
          </cell>
          <cell r="C299">
            <v>0</v>
          </cell>
          <cell r="D299">
            <v>0</v>
          </cell>
          <cell r="E299">
            <v>0</v>
          </cell>
          <cell r="F299">
            <v>0</v>
          </cell>
          <cell r="G299">
            <v>0</v>
          </cell>
          <cell r="H299">
            <v>0</v>
          </cell>
        </row>
        <row r="300">
          <cell r="A300" t="str">
            <v xml:space="preserve">  Net Cash Flows from Operations</v>
          </cell>
          <cell r="C300">
            <v>9668</v>
          </cell>
          <cell r="D300">
            <v>7502</v>
          </cell>
          <cell r="E300">
            <v>10557.320592684388</v>
          </cell>
          <cell r="F300">
            <v>10770.334665992814</v>
          </cell>
          <cell r="G300">
            <v>11394.305491130744</v>
          </cell>
          <cell r="H300">
            <v>12135.423664224965</v>
          </cell>
        </row>
        <row r="301">
          <cell r="A301" t="str">
            <v>&lt;Increase&gt; Decrease in property, plant, &amp; equip. at cost</v>
          </cell>
          <cell r="C301">
            <v>-2099</v>
          </cell>
          <cell r="D301">
            <v>-1022</v>
          </cell>
          <cell r="E301">
            <v>-800</v>
          </cell>
          <cell r="F301">
            <v>-800</v>
          </cell>
          <cell r="G301">
            <v>-800</v>
          </cell>
          <cell r="H301">
            <v>-800</v>
          </cell>
        </row>
        <row r="302">
          <cell r="A302" t="str">
            <v>&lt;Increase&gt; Decrease in marketable securities</v>
          </cell>
          <cell r="C302">
            <v>68</v>
          </cell>
          <cell r="D302">
            <v>36</v>
          </cell>
          <cell r="E302">
            <v>-6246.4006999999992</v>
          </cell>
          <cell r="F302">
            <v>-283.09807016999912</v>
          </cell>
          <cell r="G302">
            <v>-295.29959699432675</v>
          </cell>
          <cell r="H302">
            <v>-308.02700962478139</v>
          </cell>
        </row>
        <row r="303">
          <cell r="A303" t="str">
            <v>&lt;Increase&gt; Decrease in investment securities</v>
          </cell>
          <cell r="C303">
            <v>-109</v>
          </cell>
          <cell r="D303">
            <v>-156</v>
          </cell>
          <cell r="E303">
            <v>0</v>
          </cell>
          <cell r="F303">
            <v>0</v>
          </cell>
          <cell r="G303">
            <v>0</v>
          </cell>
          <cell r="H303">
            <v>0</v>
          </cell>
        </row>
        <row r="304">
          <cell r="A304" t="str">
            <v>&lt;Increase&gt; Decrease in amortizable intangible assets (net)</v>
          </cell>
          <cell r="C304">
            <v>4</v>
          </cell>
          <cell r="D304">
            <v>-12</v>
          </cell>
          <cell r="E304">
            <v>-110</v>
          </cell>
          <cell r="F304">
            <v>-95</v>
          </cell>
          <cell r="G304">
            <v>-86</v>
          </cell>
          <cell r="H304">
            <v>-78</v>
          </cell>
        </row>
        <row r="305">
          <cell r="A305" t="str">
            <v>&lt;Increase&gt; Decrease in goodwill and nonamort. intangibles</v>
          </cell>
          <cell r="C305">
            <v>-4913</v>
          </cell>
          <cell r="D305">
            <v>-358</v>
          </cell>
          <cell r="E305">
            <v>0</v>
          </cell>
          <cell r="F305">
            <v>0</v>
          </cell>
          <cell r="G305">
            <v>0</v>
          </cell>
          <cell r="H305">
            <v>0</v>
          </cell>
        </row>
        <row r="306">
          <cell r="A306" t="str">
            <v>&lt;Increase&gt; Decrease in other noncurrent assets (1)</v>
          </cell>
          <cell r="C306">
            <v>0</v>
          </cell>
          <cell r="D306">
            <v>0</v>
          </cell>
          <cell r="E306">
            <v>0</v>
          </cell>
          <cell r="F306">
            <v>0</v>
          </cell>
          <cell r="G306">
            <v>0</v>
          </cell>
          <cell r="H306">
            <v>0</v>
          </cell>
        </row>
        <row r="307">
          <cell r="A307" t="str">
            <v>&lt;Increase&gt; Decrease in other noncurrent assets (2)</v>
          </cell>
          <cell r="C307">
            <v>668</v>
          </cell>
          <cell r="D307">
            <v>-632</v>
          </cell>
          <cell r="E307">
            <v>0</v>
          </cell>
          <cell r="F307">
            <v>0</v>
          </cell>
          <cell r="G307">
            <v>0</v>
          </cell>
          <cell r="H307">
            <v>0</v>
          </cell>
        </row>
        <row r="308">
          <cell r="A308" t="str">
            <v xml:space="preserve">  Net Cash Flows from Investing Activities</v>
          </cell>
          <cell r="C308">
            <v>-6381</v>
          </cell>
          <cell r="D308">
            <v>-2144</v>
          </cell>
          <cell r="E308">
            <v>-7156.4006999999992</v>
          </cell>
          <cell r="F308">
            <v>-1178.0980701699991</v>
          </cell>
          <cell r="G308">
            <v>-1181.2995969943267</v>
          </cell>
          <cell r="H308">
            <v>-1186.0270096247814</v>
          </cell>
        </row>
        <row r="309">
          <cell r="A309" t="str">
            <v>Increase &lt;Decrease&gt; in short-term debt</v>
          </cell>
          <cell r="C309">
            <v>1307</v>
          </cell>
          <cell r="D309">
            <v>-1390</v>
          </cell>
          <cell r="E309">
            <v>207.52649999999994</v>
          </cell>
          <cell r="F309">
            <v>216.4708921499996</v>
          </cell>
          <cell r="G309">
            <v>225.80078760166452</v>
          </cell>
          <cell r="H309">
            <v>235.532801547296</v>
          </cell>
        </row>
        <row r="310">
          <cell r="A310" t="str">
            <v>Increase &lt;Decrease&gt; in long-term debt</v>
          </cell>
          <cell r="C310">
            <v>569</v>
          </cell>
          <cell r="D310">
            <v>2976</v>
          </cell>
          <cell r="E310">
            <v>235.43999999999869</v>
          </cell>
          <cell r="F310">
            <v>21.671838012814987</v>
          </cell>
          <cell r="G310">
            <v>17.301942795369541</v>
          </cell>
          <cell r="H310">
            <v>13.443635935484053</v>
          </cell>
        </row>
        <row r="311">
          <cell r="A311" t="str">
            <v>Increase &lt;Decrease&gt; in preferred stock</v>
          </cell>
          <cell r="C311">
            <v>-7</v>
          </cell>
          <cell r="D311">
            <v>-7</v>
          </cell>
          <cell r="E311">
            <v>123</v>
          </cell>
          <cell r="F311">
            <v>0</v>
          </cell>
          <cell r="G311">
            <v>0</v>
          </cell>
          <cell r="H311">
            <v>0</v>
          </cell>
        </row>
        <row r="312">
          <cell r="A312" t="str">
            <v>Increase &lt;Decrease&gt; in common stock + paid in capital</v>
          </cell>
        </row>
      </sheetData>
      <sheetData sheetId="5" refreshError="1">
        <row r="26">
          <cell r="F26">
            <v>162146.25</v>
          </cell>
        </row>
        <row r="60">
          <cell r="F60">
            <v>5.1678561294477704E-2</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orecast Development"/>
      <sheetName val="Forecasts"/>
      <sheetName val="Valuation"/>
      <sheetName val="Consolidated Statements"/>
      <sheetName val="Charts"/>
      <sheetName val="Beta"/>
      <sheetName val="Share Price 2y"/>
      <sheetName val="Comp Sheet"/>
      <sheetName val="OutputSheet"/>
    </sheetNames>
    <sheetDataSet>
      <sheetData sheetId="0"/>
      <sheetData sheetId="1"/>
      <sheetData sheetId="2"/>
      <sheetData sheetId="3">
        <row r="198">
          <cell r="A198" t="str">
            <v xml:space="preserve">Long-term debt </v>
          </cell>
          <cell r="B198">
            <v>3171.6</v>
          </cell>
          <cell r="C198">
            <v>6720.8</v>
          </cell>
          <cell r="D198">
            <v>7361.1</v>
          </cell>
          <cell r="E198">
            <v>6624.9900000000007</v>
          </cell>
          <cell r="F198">
            <v>6028.7409000000007</v>
          </cell>
          <cell r="G198">
            <v>5486.1542190000009</v>
          </cell>
          <cell r="H198">
            <v>4992.4003392900013</v>
          </cell>
          <cell r="I198">
            <v>4543.0843087539015</v>
          </cell>
        </row>
        <row r="277">
          <cell r="B277"/>
          <cell r="C277">
            <v>2019</v>
          </cell>
          <cell r="D277">
            <v>2020</v>
          </cell>
          <cell r="E277" t="str">
            <v>2021E</v>
          </cell>
          <cell r="F277" t="str">
            <v>2022E</v>
          </cell>
          <cell r="G277" t="str">
            <v>2023E</v>
          </cell>
          <cell r="H277" t="str">
            <v>2024E</v>
          </cell>
          <cell r="I277" t="str">
            <v>2025E</v>
          </cell>
          <cell r="J277" t="str">
            <v>2026E</v>
          </cell>
        </row>
        <row r="369">
          <cell r="A369" t="str">
            <v>Interest Coverage Ratio</v>
          </cell>
          <cell r="B369">
            <v>17.95176073323686</v>
          </cell>
          <cell r="C369">
            <v>14.894345718901457</v>
          </cell>
          <cell r="D369">
            <v>9.6523266022827059</v>
          </cell>
          <cell r="E369">
            <v>60.672448738550123</v>
          </cell>
          <cell r="F369">
            <v>79.994041736547061</v>
          </cell>
          <cell r="G369">
            <v>97.219886609306798</v>
          </cell>
          <cell r="H369">
            <v>118.08349109743331</v>
          </cell>
          <cell r="I369">
            <v>143.32856016894388</v>
          </cell>
        </row>
      </sheetData>
      <sheetData sheetId="4">
        <row r="85">
          <cell r="E85">
            <v>97973.711315664652</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finance.yahoo.com/quote/PANW/" TargetMode="External"/><Relationship Id="rId13" Type="http://schemas.openxmlformats.org/officeDocument/2006/relationships/hyperlink" Target="https://finbox.com/NASDAQGS:FTNT" TargetMode="External"/><Relationship Id="rId3" Type="http://schemas.openxmlformats.org/officeDocument/2006/relationships/hyperlink" Target="https://www.fortinet.com/products/fortinet-acquires-opaq" TargetMode="External"/><Relationship Id="rId7" Type="http://schemas.openxmlformats.org/officeDocument/2006/relationships/hyperlink" Target="https://finance.yahoo.com/quote/PANW/" TargetMode="External"/><Relationship Id="rId12" Type="http://schemas.openxmlformats.org/officeDocument/2006/relationships/hyperlink" Target="https://finance.yahoo.com/quote/CHKP/" TargetMode="External"/><Relationship Id="rId2" Type="http://schemas.openxmlformats.org/officeDocument/2006/relationships/hyperlink" Target="https://www.fortinet.com/products/fortinet-acquires-cybersponse" TargetMode="External"/><Relationship Id="rId1" Type="http://schemas.openxmlformats.org/officeDocument/2006/relationships/hyperlink" Target="https://www.fortinet.com/products/fortinet-acquires-zonefox" TargetMode="External"/><Relationship Id="rId6" Type="http://schemas.openxmlformats.org/officeDocument/2006/relationships/hyperlink" Target="https://www.fortinet.com/corporate/about-us/newsroom/press-releases/2024/fortinet-to-acquire-lacework" TargetMode="External"/><Relationship Id="rId11" Type="http://schemas.openxmlformats.org/officeDocument/2006/relationships/hyperlink" Target="https://finance.yahoo.com/quote/CRWD/" TargetMode="External"/><Relationship Id="rId5" Type="http://schemas.openxmlformats.org/officeDocument/2006/relationships/hyperlink" Target="https://www.fortinet.com/products/fortinet-acquires-ensilo" TargetMode="External"/><Relationship Id="rId15" Type="http://schemas.openxmlformats.org/officeDocument/2006/relationships/hyperlink" Target="https://disclosure.spglobal.com/ratings/en/regulatory/article/-/view/type/HTML/id/2598719" TargetMode="External"/><Relationship Id="rId10" Type="http://schemas.openxmlformats.org/officeDocument/2006/relationships/hyperlink" Target="https://finance.yahoo.com/quote/FTNT/" TargetMode="External"/><Relationship Id="rId4" Type="http://schemas.openxmlformats.org/officeDocument/2006/relationships/hyperlink" Target="https://www.fortinet.com/products/fortinet-acquires-panopta" TargetMode="External"/><Relationship Id="rId9" Type="http://schemas.openxmlformats.org/officeDocument/2006/relationships/hyperlink" Target="https://finance.yahoo.com/quote/CSCO/" TargetMode="External"/><Relationship Id="rId14" Type="http://schemas.openxmlformats.org/officeDocument/2006/relationships/hyperlink" Target="https://finbox.com/NASDAQGS:FTNT/explorer/interest_coverag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61"/>
  <sheetViews>
    <sheetView topLeftCell="A85" zoomScaleNormal="100" workbookViewId="0">
      <selection activeCell="A91" sqref="A91"/>
    </sheetView>
  </sheetViews>
  <sheetFormatPr defaultColWidth="9.140625" defaultRowHeight="12.75"/>
  <cols>
    <col min="1" max="1" width="74.42578125" style="4" customWidth="1"/>
    <col min="2" max="7" width="10.7109375" style="4" customWidth="1"/>
    <col min="8" max="8" width="7.85546875" style="4" customWidth="1"/>
    <col min="9" max="10" width="9.140625" style="4"/>
    <col min="11" max="11" width="10.28515625" style="4" bestFit="1" customWidth="1"/>
    <col min="12" max="13" width="9.140625" style="4"/>
    <col min="14" max="14" width="10.28515625" style="4" bestFit="1" customWidth="1"/>
    <col min="15" max="15" width="10.5703125" style="4" bestFit="1" customWidth="1"/>
    <col min="16" max="16384" width="9.140625" style="4"/>
  </cols>
  <sheetData>
    <row r="1" spans="1:19">
      <c r="A1" s="1" t="s">
        <v>741</v>
      </c>
      <c r="B1" s="2"/>
      <c r="C1" s="2"/>
      <c r="D1" s="2"/>
      <c r="E1" s="2"/>
      <c r="F1" s="2"/>
      <c r="G1" s="3"/>
      <c r="I1" s="5"/>
      <c r="J1" s="6"/>
      <c r="K1" s="6"/>
      <c r="L1" s="6"/>
      <c r="M1" s="7"/>
      <c r="N1" s="8"/>
    </row>
    <row r="2" spans="1:19">
      <c r="A2" s="9" t="s">
        <v>742</v>
      </c>
      <c r="B2" s="10"/>
      <c r="C2" s="10"/>
      <c r="D2" s="10"/>
      <c r="E2" s="10"/>
      <c r="F2" s="10"/>
      <c r="G2" s="11"/>
      <c r="I2" s="9" t="s">
        <v>403</v>
      </c>
      <c r="J2" s="10"/>
      <c r="K2" s="10"/>
      <c r="L2" s="10"/>
      <c r="M2" s="11"/>
      <c r="N2" s="8"/>
    </row>
    <row r="3" spans="1:19" ht="13.5" thickBot="1">
      <c r="A3" s="12" t="s">
        <v>743</v>
      </c>
      <c r="B3" s="13"/>
      <c r="C3" s="13"/>
      <c r="D3" s="13"/>
      <c r="E3" s="13"/>
      <c r="F3" s="13"/>
      <c r="G3" s="14"/>
      <c r="I3" s="364"/>
      <c r="J3" s="10"/>
      <c r="K3" s="10"/>
      <c r="L3" s="10"/>
      <c r="M3" s="11"/>
      <c r="N3" s="365"/>
      <c r="O3" s="366"/>
    </row>
    <row r="4" spans="1:19">
      <c r="A4" s="16"/>
      <c r="B4" s="16"/>
      <c r="C4" s="16"/>
      <c r="D4" s="16"/>
      <c r="E4" s="16"/>
      <c r="F4" s="16"/>
      <c r="G4" s="16"/>
      <c r="I4" s="24" t="s">
        <v>535</v>
      </c>
      <c r="J4" s="24"/>
      <c r="K4" s="24"/>
      <c r="L4" s="24"/>
      <c r="M4" s="24"/>
      <c r="N4" s="24"/>
      <c r="O4" s="24"/>
      <c r="P4" s="24"/>
    </row>
    <row r="5" spans="1:19">
      <c r="A5" s="16"/>
      <c r="B5" s="16"/>
      <c r="C5" s="16"/>
      <c r="D5" s="16"/>
      <c r="E5" s="16"/>
      <c r="F5" s="16"/>
      <c r="G5" s="16"/>
      <c r="Q5" s="27"/>
      <c r="R5" s="27"/>
      <c r="S5" s="27"/>
    </row>
    <row r="6" spans="1:19">
      <c r="A6" s="18" t="s">
        <v>519</v>
      </c>
      <c r="B6" s="16"/>
      <c r="C6" s="16"/>
      <c r="D6" s="16"/>
      <c r="E6" s="16"/>
      <c r="F6" s="16"/>
      <c r="G6" s="16"/>
      <c r="I6" s="4" t="s">
        <v>400</v>
      </c>
    </row>
    <row r="7" spans="1:19">
      <c r="A7" s="16"/>
      <c r="B7" s="16"/>
      <c r="C7" s="16"/>
      <c r="D7" s="16"/>
      <c r="E7" s="16"/>
      <c r="F7" s="16"/>
      <c r="G7" s="16"/>
      <c r="I7" s="4" t="s">
        <v>401</v>
      </c>
    </row>
    <row r="8" spans="1:19">
      <c r="A8" s="19"/>
      <c r="B8" s="19"/>
      <c r="C8" s="19"/>
      <c r="D8" s="19"/>
      <c r="E8" s="19"/>
      <c r="F8" s="19"/>
      <c r="G8" s="19"/>
      <c r="I8" s="4" t="s">
        <v>524</v>
      </c>
    </row>
    <row r="9" spans="1:19">
      <c r="A9" s="20" t="s">
        <v>414</v>
      </c>
      <c r="B9" s="1250" t="s">
        <v>777</v>
      </c>
      <c r="C9" s="1251"/>
      <c r="D9" s="1251"/>
      <c r="E9" s="1251"/>
      <c r="F9" s="1251"/>
      <c r="G9" s="1252"/>
      <c r="I9" s="4" t="s">
        <v>259</v>
      </c>
    </row>
    <row r="10" spans="1:19">
      <c r="A10" s="20" t="s">
        <v>415</v>
      </c>
      <c r="B10" s="1250" t="s">
        <v>778</v>
      </c>
      <c r="C10" s="1251"/>
      <c r="D10" s="1251"/>
      <c r="E10" s="1251"/>
      <c r="F10" s="1251"/>
      <c r="G10" s="1252"/>
      <c r="I10" s="4" t="s">
        <v>260</v>
      </c>
    </row>
    <row r="11" spans="1:19">
      <c r="A11" s="20" t="s">
        <v>423</v>
      </c>
      <c r="B11" s="21">
        <v>2018</v>
      </c>
      <c r="C11" s="21">
        <v>2019</v>
      </c>
      <c r="D11" s="21">
        <v>2020</v>
      </c>
      <c r="E11" s="21">
        <v>2021</v>
      </c>
      <c r="F11" s="21">
        <v>2022</v>
      </c>
      <c r="G11" s="21">
        <v>2023</v>
      </c>
      <c r="I11" s="4" t="s">
        <v>402</v>
      </c>
    </row>
    <row r="12" spans="1:19" ht="12.95" customHeight="1">
      <c r="A12" s="1235"/>
      <c r="B12" s="1236"/>
      <c r="C12" s="1236"/>
      <c r="D12" s="1236"/>
      <c r="E12" s="1236"/>
      <c r="F12" s="1236"/>
      <c r="G12" s="1237"/>
    </row>
    <row r="13" spans="1:19" ht="12.95" customHeight="1">
      <c r="A13" s="1238"/>
      <c r="B13" s="1239"/>
      <c r="C13" s="1239"/>
      <c r="D13" s="1239"/>
      <c r="E13" s="1239"/>
      <c r="F13" s="1239"/>
      <c r="G13" s="1240"/>
    </row>
    <row r="14" spans="1:19">
      <c r="A14" s="1247" t="s">
        <v>779</v>
      </c>
      <c r="B14" s="1248"/>
      <c r="C14" s="1248"/>
      <c r="D14" s="1248"/>
      <c r="E14" s="1248"/>
      <c r="F14" s="1248"/>
      <c r="G14" s="1249"/>
      <c r="I14" s="22" t="s">
        <v>484</v>
      </c>
    </row>
    <row r="15" spans="1:19">
      <c r="A15" s="520" t="s">
        <v>349</v>
      </c>
      <c r="B15" s="527">
        <v>2018</v>
      </c>
      <c r="C15" s="527">
        <v>2019</v>
      </c>
      <c r="D15" s="527">
        <v>2020</v>
      </c>
      <c r="E15" s="531">
        <v>2021</v>
      </c>
      <c r="F15" s="531">
        <v>2022</v>
      </c>
      <c r="G15" s="531">
        <v>2023</v>
      </c>
    </row>
    <row r="16" spans="1:19">
      <c r="A16" s="525" t="s">
        <v>554</v>
      </c>
      <c r="B16" s="522">
        <v>1112.4000000000001</v>
      </c>
      <c r="C16" s="522">
        <v>1222.5</v>
      </c>
      <c r="D16" s="522">
        <v>1061.8</v>
      </c>
      <c r="E16" s="548">
        <v>1319.1</v>
      </c>
      <c r="F16" s="548">
        <v>1682.9</v>
      </c>
      <c r="G16" s="548">
        <v>1397.9</v>
      </c>
    </row>
    <row r="17" spans="1:10">
      <c r="A17" s="524" t="s">
        <v>739</v>
      </c>
      <c r="B17" s="522">
        <v>537.20000000000005</v>
      </c>
      <c r="C17" s="522">
        <v>843.1</v>
      </c>
      <c r="D17" s="522">
        <v>775.5</v>
      </c>
      <c r="E17" s="548">
        <v>1194</v>
      </c>
      <c r="F17" s="548">
        <v>502.6</v>
      </c>
      <c r="G17" s="548">
        <v>1021.5</v>
      </c>
      <c r="J17" s="463"/>
    </row>
    <row r="18" spans="1:10">
      <c r="A18" s="525" t="s">
        <v>637</v>
      </c>
      <c r="B18" s="522">
        <v>444.5</v>
      </c>
      <c r="C18" s="522">
        <v>544.29999999999995</v>
      </c>
      <c r="D18" s="522">
        <v>720</v>
      </c>
      <c r="E18" s="548">
        <v>807.7</v>
      </c>
      <c r="F18" s="548">
        <v>1261.7</v>
      </c>
      <c r="G18" s="548">
        <v>1402</v>
      </c>
    </row>
    <row r="19" spans="1:10">
      <c r="A19" s="521" t="s">
        <v>416</v>
      </c>
      <c r="B19" s="522">
        <v>90</v>
      </c>
      <c r="C19" s="522">
        <v>117.9</v>
      </c>
      <c r="D19" s="522">
        <v>139.80000000000001</v>
      </c>
      <c r="E19" s="548">
        <v>175.8</v>
      </c>
      <c r="F19" s="548">
        <v>264.60000000000002</v>
      </c>
      <c r="G19" s="548">
        <v>484.8</v>
      </c>
    </row>
    <row r="20" spans="1:10">
      <c r="A20" s="525" t="s">
        <v>555</v>
      </c>
      <c r="B20" s="522">
        <v>36.799999999999997</v>
      </c>
      <c r="C20" s="522">
        <v>41.2</v>
      </c>
      <c r="D20" s="522">
        <v>43.3</v>
      </c>
      <c r="E20" s="548">
        <v>65.400000000000006</v>
      </c>
      <c r="F20" s="548">
        <v>73.099999999999994</v>
      </c>
      <c r="G20" s="548">
        <v>101.1</v>
      </c>
    </row>
    <row r="21" spans="1:10">
      <c r="A21" s="524" t="s">
        <v>806</v>
      </c>
      <c r="B21" s="528"/>
      <c r="C21" s="532"/>
      <c r="D21" s="532"/>
      <c r="E21" s="548">
        <v>38.6</v>
      </c>
      <c r="F21" s="548">
        <v>25.5</v>
      </c>
      <c r="G21" s="533">
        <v>21</v>
      </c>
    </row>
    <row r="22" spans="1:10">
      <c r="A22" s="524" t="s">
        <v>556</v>
      </c>
      <c r="B22" s="528"/>
      <c r="C22" s="551"/>
      <c r="D22" s="551"/>
      <c r="E22" s="556"/>
      <c r="F22" s="556"/>
      <c r="G22" s="554"/>
      <c r="I22" s="458" t="s">
        <v>756</v>
      </c>
    </row>
    <row r="23" spans="1:10">
      <c r="A23" s="524" t="s">
        <v>755</v>
      </c>
      <c r="B23" s="528"/>
      <c r="C23" s="552"/>
      <c r="D23" s="552"/>
      <c r="E23" s="557"/>
      <c r="F23" s="557"/>
      <c r="G23" s="555"/>
    </row>
    <row r="24" spans="1:10">
      <c r="A24" s="520" t="s">
        <v>405</v>
      </c>
      <c r="B24" s="526">
        <f t="shared" ref="B24:G24" si="0">SUM(B16:B23)</f>
        <v>2220.9000000000005</v>
      </c>
      <c r="C24" s="522">
        <f t="shared" si="0"/>
        <v>2768.9999999999995</v>
      </c>
      <c r="D24" s="526">
        <f t="shared" si="0"/>
        <v>2740.4000000000005</v>
      </c>
      <c r="E24" s="517">
        <f t="shared" si="0"/>
        <v>3600.6000000000004</v>
      </c>
      <c r="F24" s="517">
        <f t="shared" si="0"/>
        <v>3810.3999999999996</v>
      </c>
      <c r="G24" s="517">
        <f t="shared" si="0"/>
        <v>4428.3</v>
      </c>
      <c r="I24" s="4" t="s">
        <v>261</v>
      </c>
    </row>
    <row r="25" spans="1:10">
      <c r="A25" s="524" t="s">
        <v>689</v>
      </c>
      <c r="B25" s="522">
        <v>67</v>
      </c>
      <c r="C25" s="522">
        <v>144.30000000000001</v>
      </c>
      <c r="D25" s="530">
        <v>118.3</v>
      </c>
      <c r="E25" s="556">
        <v>440.8</v>
      </c>
      <c r="F25" s="556">
        <v>45.5</v>
      </c>
      <c r="G25" s="556"/>
    </row>
    <row r="26" spans="1:10">
      <c r="A26" s="525" t="s">
        <v>713</v>
      </c>
      <c r="B26" s="528"/>
      <c r="C26" s="522"/>
      <c r="D26" s="522"/>
      <c r="E26" s="548"/>
      <c r="F26" s="548"/>
      <c r="G26" s="548"/>
    </row>
    <row r="27" spans="1:10">
      <c r="A27" s="525" t="s">
        <v>557</v>
      </c>
      <c r="B27" s="522">
        <v>382.2</v>
      </c>
      <c r="C27" s="522">
        <v>481.3</v>
      </c>
      <c r="D27" s="522">
        <v>620.5</v>
      </c>
      <c r="E27" s="548">
        <v>899.3</v>
      </c>
      <c r="F27" s="548">
        <v>1178.7</v>
      </c>
      <c r="G27" s="548">
        <v>1397.4</v>
      </c>
    </row>
    <row r="28" spans="1:10">
      <c r="A28" s="525" t="s">
        <v>558</v>
      </c>
      <c r="B28" s="522">
        <v>-110.8</v>
      </c>
      <c r="C28" s="522">
        <v>-137</v>
      </c>
      <c r="D28" s="522">
        <v>-172.5</v>
      </c>
      <c r="E28" s="548">
        <v>-211.7</v>
      </c>
      <c r="F28" s="548">
        <v>-280.2</v>
      </c>
      <c r="G28" s="548">
        <v>-353</v>
      </c>
      <c r="I28" s="499"/>
    </row>
    <row r="29" spans="1:10">
      <c r="A29" s="524" t="s">
        <v>804</v>
      </c>
      <c r="B29" s="522">
        <v>255</v>
      </c>
      <c r="C29" s="522">
        <v>226.3</v>
      </c>
      <c r="D29" s="522">
        <v>245.2</v>
      </c>
      <c r="E29" s="548">
        <v>342.3</v>
      </c>
      <c r="F29" s="548">
        <v>569.4</v>
      </c>
      <c r="G29" s="548">
        <v>868.8</v>
      </c>
    </row>
    <row r="30" spans="1:10">
      <c r="A30" s="525" t="s">
        <v>714</v>
      </c>
      <c r="B30" s="522">
        <f>20.8+182.6</f>
        <v>203.4</v>
      </c>
      <c r="C30" s="522">
        <f>60+237</f>
        <v>297</v>
      </c>
      <c r="D30" s="522">
        <f>63.2+304.8</f>
        <v>368</v>
      </c>
      <c r="E30" s="548">
        <f>423.3+235.8</f>
        <v>659.1</v>
      </c>
      <c r="F30" s="548">
        <f>202+518.2</f>
        <v>720.2</v>
      </c>
      <c r="G30" s="548">
        <f>605.6+150</f>
        <v>755.6</v>
      </c>
    </row>
    <row r="31" spans="1:10">
      <c r="A31" s="524" t="s">
        <v>805</v>
      </c>
      <c r="B31" s="522">
        <v>22.1</v>
      </c>
      <c r="C31" s="522">
        <v>31.1</v>
      </c>
      <c r="D31" s="522">
        <v>31.6</v>
      </c>
      <c r="E31" s="548">
        <v>63.6</v>
      </c>
      <c r="F31" s="548">
        <v>56</v>
      </c>
      <c r="G31" s="548">
        <v>35.299999999999997</v>
      </c>
    </row>
    <row r="32" spans="1:10">
      <c r="A32" s="525" t="s">
        <v>712</v>
      </c>
      <c r="B32" s="522">
        <v>38.200000000000003</v>
      </c>
      <c r="C32" s="522">
        <v>67.2</v>
      </c>
      <c r="D32" s="522">
        <v>93</v>
      </c>
      <c r="E32" s="548">
        <v>125.1</v>
      </c>
      <c r="F32" s="548">
        <v>128</v>
      </c>
      <c r="G32" s="548">
        <v>126.5</v>
      </c>
    </row>
    <row r="33" spans="1:14">
      <c r="A33" s="520" t="s">
        <v>406</v>
      </c>
      <c r="B33" s="526">
        <f>SUM(B24:B32)</f>
        <v>3078</v>
      </c>
      <c r="C33" s="522">
        <f t="shared" ref="C33:G33" si="1">SUM(C24:C32)</f>
        <v>3879.2</v>
      </c>
      <c r="D33" s="526">
        <f t="shared" si="1"/>
        <v>4044.5000000000005</v>
      </c>
      <c r="E33" s="517">
        <f t="shared" si="1"/>
        <v>5919.1000000000022</v>
      </c>
      <c r="F33" s="517">
        <f t="shared" si="1"/>
        <v>6227.9999999999991</v>
      </c>
      <c r="G33" s="517">
        <f t="shared" si="1"/>
        <v>7258.9000000000015</v>
      </c>
      <c r="I33" s="4" t="s">
        <v>262</v>
      </c>
    </row>
    <row r="34" spans="1:14" s="65" customFormat="1">
      <c r="A34" s="1247"/>
      <c r="B34" s="1248"/>
      <c r="C34" s="1248"/>
      <c r="D34" s="1248"/>
      <c r="E34" s="1248"/>
      <c r="F34" s="1248"/>
      <c r="G34" s="1249"/>
    </row>
    <row r="35" spans="1:14" s="65" customFormat="1">
      <c r="A35" s="520" t="s">
        <v>350</v>
      </c>
      <c r="B35" s="526"/>
      <c r="C35" s="526"/>
      <c r="D35" s="526"/>
      <c r="E35" s="517"/>
      <c r="F35" s="517"/>
      <c r="G35" s="517"/>
    </row>
    <row r="36" spans="1:14">
      <c r="A36" s="525" t="s">
        <v>645</v>
      </c>
      <c r="B36" s="522">
        <v>86.4</v>
      </c>
      <c r="C36" s="522">
        <v>96.4</v>
      </c>
      <c r="D36" s="522">
        <v>141.6</v>
      </c>
      <c r="E36" s="548">
        <v>148.4</v>
      </c>
      <c r="F36" s="548">
        <v>243.4</v>
      </c>
      <c r="G36" s="548">
        <v>204.3</v>
      </c>
    </row>
    <row r="37" spans="1:14">
      <c r="A37" s="525" t="s">
        <v>715</v>
      </c>
      <c r="B37" s="522">
        <v>77.5</v>
      </c>
      <c r="C37" s="522">
        <v>101.8</v>
      </c>
      <c r="D37" s="522">
        <v>149.19999999999999</v>
      </c>
      <c r="E37" s="548">
        <v>197.3</v>
      </c>
      <c r="F37" s="548">
        <v>266.3</v>
      </c>
      <c r="G37" s="548">
        <v>423.7</v>
      </c>
    </row>
    <row r="38" spans="1:14">
      <c r="A38" s="525" t="s">
        <v>559</v>
      </c>
      <c r="B38" s="528"/>
      <c r="C38" s="522"/>
      <c r="D38" s="522"/>
      <c r="E38" s="548"/>
      <c r="F38" s="548"/>
      <c r="G38" s="548"/>
      <c r="I38" s="26"/>
      <c r="J38" s="26"/>
      <c r="K38" s="26"/>
      <c r="L38" s="26"/>
      <c r="M38" s="26"/>
      <c r="N38" s="26"/>
    </row>
    <row r="39" spans="1:14">
      <c r="A39" s="525" t="s">
        <v>560</v>
      </c>
      <c r="B39" s="528"/>
      <c r="C39" s="522"/>
      <c r="D39" s="522"/>
      <c r="E39" s="548"/>
      <c r="F39" s="548"/>
      <c r="G39" s="548"/>
    </row>
    <row r="40" spans="1:14">
      <c r="A40" s="524" t="s">
        <v>561</v>
      </c>
      <c r="B40" s="528"/>
      <c r="C40" s="522"/>
      <c r="D40" s="522"/>
      <c r="E40" s="548"/>
      <c r="F40" s="548"/>
      <c r="G40" s="548"/>
    </row>
    <row r="41" spans="1:14">
      <c r="A41" s="524" t="s">
        <v>780</v>
      </c>
      <c r="B41" s="529">
        <v>98.4</v>
      </c>
      <c r="C41" s="529">
        <v>101.8</v>
      </c>
      <c r="D41" s="529">
        <v>145.9</v>
      </c>
      <c r="E41" s="557">
        <v>195</v>
      </c>
      <c r="F41" s="557">
        <v>219.4</v>
      </c>
      <c r="G41" s="557">
        <v>242.3</v>
      </c>
      <c r="I41" s="458" t="s">
        <v>757</v>
      </c>
    </row>
    <row r="42" spans="1:14">
      <c r="A42" s="524" t="s">
        <v>781</v>
      </c>
      <c r="B42" s="530">
        <v>28.2</v>
      </c>
      <c r="C42" s="530"/>
      <c r="D42" s="530"/>
      <c r="E42" s="556"/>
      <c r="F42" s="556"/>
      <c r="G42" s="556"/>
      <c r="I42" s="371"/>
    </row>
    <row r="43" spans="1:14">
      <c r="A43" s="524" t="s">
        <v>782</v>
      </c>
      <c r="B43" s="529">
        <v>965.9</v>
      </c>
      <c r="C43" s="529">
        <v>1155.8</v>
      </c>
      <c r="D43" s="529">
        <v>1392.8</v>
      </c>
      <c r="E43" s="557">
        <v>1777.4</v>
      </c>
      <c r="F43" s="557">
        <v>2349.3000000000002</v>
      </c>
      <c r="G43" s="557">
        <v>2848.7</v>
      </c>
    </row>
    <row r="44" spans="1:14">
      <c r="A44" s="520" t="s">
        <v>407</v>
      </c>
      <c r="B44" s="526">
        <f t="shared" ref="B44:G44" si="2">SUM(B36:B43)</f>
        <v>1256.4000000000001</v>
      </c>
      <c r="C44" s="526">
        <f t="shared" si="2"/>
        <v>1455.8</v>
      </c>
      <c r="D44" s="526">
        <f t="shared" si="2"/>
        <v>1829.5</v>
      </c>
      <c r="E44" s="517">
        <f t="shared" si="2"/>
        <v>2318.1000000000004</v>
      </c>
      <c r="F44" s="517">
        <f t="shared" si="2"/>
        <v>3078.4</v>
      </c>
      <c r="G44" s="517">
        <f t="shared" si="2"/>
        <v>3719</v>
      </c>
      <c r="I44" s="4" t="s">
        <v>263</v>
      </c>
    </row>
    <row r="45" spans="1:14">
      <c r="A45" s="525" t="s">
        <v>716</v>
      </c>
      <c r="B45" s="528"/>
      <c r="C45" s="522"/>
      <c r="D45" s="522"/>
      <c r="E45" s="548">
        <v>988.4</v>
      </c>
      <c r="F45" s="548">
        <v>990.4</v>
      </c>
      <c r="G45" s="548">
        <v>992.3</v>
      </c>
    </row>
    <row r="46" spans="1:14">
      <c r="A46" s="525" t="s">
        <v>562</v>
      </c>
      <c r="B46" s="528"/>
      <c r="C46" s="522"/>
      <c r="D46" s="522"/>
      <c r="E46" s="548"/>
      <c r="F46" s="548"/>
      <c r="G46" s="548"/>
    </row>
    <row r="47" spans="1:14">
      <c r="A47" s="524" t="s">
        <v>784</v>
      </c>
      <c r="B47" s="522">
        <v>77.5</v>
      </c>
      <c r="C47" s="522">
        <v>82.8</v>
      </c>
      <c r="D47" s="522">
        <v>90.3</v>
      </c>
      <c r="E47" s="548">
        <v>79.5</v>
      </c>
      <c r="F47" s="548">
        <v>67.8</v>
      </c>
      <c r="G47" s="548"/>
    </row>
    <row r="48" spans="1:14">
      <c r="A48" s="525" t="s">
        <v>636</v>
      </c>
      <c r="B48" s="522">
        <v>13</v>
      </c>
      <c r="C48" s="522">
        <v>44.9</v>
      </c>
      <c r="D48" s="522">
        <v>56.2</v>
      </c>
      <c r="E48" s="548">
        <v>59.2</v>
      </c>
      <c r="F48" s="548">
        <v>82</v>
      </c>
      <c r="G48" s="548">
        <v>124.7</v>
      </c>
      <c r="I48" s="371" t="s">
        <v>591</v>
      </c>
    </row>
    <row r="49" spans="1:9">
      <c r="A49" s="524" t="s">
        <v>783</v>
      </c>
      <c r="B49" s="522">
        <v>720.9</v>
      </c>
      <c r="C49" s="522">
        <v>953.3</v>
      </c>
      <c r="D49" s="522">
        <v>1212.5</v>
      </c>
      <c r="E49" s="548">
        <v>1675.5</v>
      </c>
      <c r="F49" s="548">
        <v>2291</v>
      </c>
      <c r="G49" s="548">
        <v>2886.3</v>
      </c>
    </row>
    <row r="50" spans="1:9">
      <c r="A50" s="520" t="s">
        <v>408</v>
      </c>
      <c r="B50" s="526">
        <f t="shared" ref="B50:G50" si="3">SUM(B44:B49)</f>
        <v>2067.8000000000002</v>
      </c>
      <c r="C50" s="526">
        <f t="shared" si="3"/>
        <v>2536.8000000000002</v>
      </c>
      <c r="D50" s="526">
        <f t="shared" si="3"/>
        <v>3188.5</v>
      </c>
      <c r="E50" s="517">
        <f t="shared" si="3"/>
        <v>5120.7000000000007</v>
      </c>
      <c r="F50" s="517">
        <f t="shared" si="3"/>
        <v>6509.6</v>
      </c>
      <c r="G50" s="517">
        <f t="shared" si="3"/>
        <v>7722.3</v>
      </c>
      <c r="I50" s="4" t="s">
        <v>264</v>
      </c>
    </row>
    <row r="51" spans="1:9" ht="12.95" customHeight="1">
      <c r="A51" s="1244"/>
      <c r="B51" s="1245"/>
      <c r="C51" s="1245"/>
      <c r="D51" s="1245"/>
      <c r="E51" s="1245"/>
      <c r="F51" s="1245"/>
      <c r="G51" s="1246"/>
    </row>
    <row r="52" spans="1:9">
      <c r="A52" s="525" t="s">
        <v>563</v>
      </c>
      <c r="B52" s="528"/>
      <c r="C52" s="523"/>
      <c r="D52" s="523"/>
      <c r="E52" s="24"/>
      <c r="F52" s="24"/>
      <c r="G52" s="24"/>
    </row>
    <row r="53" spans="1:9">
      <c r="A53" s="524" t="s">
        <v>564</v>
      </c>
      <c r="B53" s="522">
        <f>1068.3+0.2</f>
        <v>1068.5</v>
      </c>
      <c r="C53" s="522">
        <f>1180.3+0.2</f>
        <v>1180.5</v>
      </c>
      <c r="D53" s="522">
        <f>1207.2+0.2</f>
        <v>1207.4000000000001</v>
      </c>
      <c r="E53" s="548">
        <f>1253.6+0.8</f>
        <v>1254.3999999999999</v>
      </c>
      <c r="F53" s="548">
        <f>1284.2+0.8</f>
        <v>1285</v>
      </c>
      <c r="G53" s="548">
        <f>1416.4+0.8</f>
        <v>1417.2</v>
      </c>
    </row>
    <row r="54" spans="1:9">
      <c r="A54" s="524" t="s">
        <v>807</v>
      </c>
      <c r="B54" s="522">
        <v>-57.5</v>
      </c>
      <c r="C54" s="522">
        <v>160.80000000000001</v>
      </c>
      <c r="D54" s="522">
        <v>-352.1</v>
      </c>
      <c r="E54" s="548">
        <f>-467.9</f>
        <v>-467.9</v>
      </c>
      <c r="F54" s="548">
        <v>-1546.4</v>
      </c>
      <c r="G54" s="548">
        <v>-1861.7</v>
      </c>
    </row>
    <row r="55" spans="1:9">
      <c r="A55" s="525" t="s">
        <v>565</v>
      </c>
      <c r="B55" s="522">
        <v>-0.8</v>
      </c>
      <c r="C55" s="522">
        <v>1.1000000000000001</v>
      </c>
      <c r="D55" s="522">
        <v>0.7</v>
      </c>
      <c r="E55" s="548">
        <v>-4.8</v>
      </c>
      <c r="F55" s="548">
        <v>-20.2</v>
      </c>
      <c r="G55" s="548">
        <v>-18.899999999999999</v>
      </c>
      <c r="I55" s="4" t="s">
        <v>265</v>
      </c>
    </row>
    <row r="56" spans="1:9">
      <c r="A56" s="525" t="s">
        <v>671</v>
      </c>
      <c r="B56" s="522"/>
      <c r="C56" s="522"/>
      <c r="D56" s="522"/>
      <c r="E56" s="548"/>
      <c r="F56" s="548"/>
      <c r="G56" s="548"/>
      <c r="I56" s="371" t="s">
        <v>672</v>
      </c>
    </row>
    <row r="57" spans="1:9">
      <c r="A57" s="520" t="s">
        <v>640</v>
      </c>
      <c r="B57" s="526">
        <f>SUM(B53:B56)</f>
        <v>1010.2</v>
      </c>
      <c r="C57" s="526">
        <f t="shared" ref="C57:G57" si="4">SUM(C53:C56)</f>
        <v>1342.3999999999999</v>
      </c>
      <c r="D57" s="526">
        <f t="shared" si="4"/>
        <v>856.00000000000011</v>
      </c>
      <c r="E57" s="517">
        <f t="shared" si="4"/>
        <v>781.69999999999993</v>
      </c>
      <c r="F57" s="517">
        <f t="shared" si="4"/>
        <v>-281.60000000000008</v>
      </c>
      <c r="G57" s="517">
        <f t="shared" si="4"/>
        <v>-463.4</v>
      </c>
      <c r="I57" s="4" t="s">
        <v>266</v>
      </c>
    </row>
    <row r="58" spans="1:9">
      <c r="A58" s="525" t="s">
        <v>638</v>
      </c>
      <c r="B58" s="522"/>
      <c r="C58" s="522"/>
      <c r="D58" s="522"/>
      <c r="E58" s="548">
        <v>16.7</v>
      </c>
      <c r="F58" s="548"/>
      <c r="G58" s="548"/>
    </row>
    <row r="59" spans="1:9">
      <c r="A59" s="520" t="s">
        <v>639</v>
      </c>
      <c r="B59" s="526">
        <f>B52+B57+B58</f>
        <v>1010.2</v>
      </c>
      <c r="C59" s="526">
        <f t="shared" ref="C59:G59" si="5">C52+C57+C58</f>
        <v>1342.3999999999999</v>
      </c>
      <c r="D59" s="526">
        <f t="shared" si="5"/>
        <v>856.00000000000011</v>
      </c>
      <c r="E59" s="517">
        <f t="shared" si="5"/>
        <v>798.4</v>
      </c>
      <c r="F59" s="517">
        <f t="shared" si="5"/>
        <v>-281.60000000000008</v>
      </c>
      <c r="G59" s="517">
        <f t="shared" si="5"/>
        <v>-463.4</v>
      </c>
    </row>
    <row r="60" spans="1:9">
      <c r="A60" s="520" t="s">
        <v>409</v>
      </c>
      <c r="B60" s="526">
        <f t="shared" ref="B60:G60" si="6">B50+B59</f>
        <v>3078</v>
      </c>
      <c r="C60" s="526">
        <f t="shared" si="6"/>
        <v>3879.2</v>
      </c>
      <c r="D60" s="526">
        <f t="shared" si="6"/>
        <v>4044.5</v>
      </c>
      <c r="E60" s="517">
        <f t="shared" si="6"/>
        <v>5919.1</v>
      </c>
      <c r="F60" s="517">
        <f t="shared" si="6"/>
        <v>6228</v>
      </c>
      <c r="G60" s="517">
        <f t="shared" si="6"/>
        <v>7258.9000000000005</v>
      </c>
      <c r="I60" s="4" t="s">
        <v>267</v>
      </c>
    </row>
    <row r="61" spans="1:9">
      <c r="A61" s="598"/>
      <c r="B61" s="601">
        <f>B60-B33</f>
        <v>0</v>
      </c>
      <c r="C61" s="601">
        <f t="shared" ref="C61:G61" si="7">C60-C33</f>
        <v>0</v>
      </c>
      <c r="D61" s="601">
        <f t="shared" si="7"/>
        <v>0</v>
      </c>
      <c r="E61" s="601">
        <f t="shared" si="7"/>
        <v>0</v>
      </c>
      <c r="F61" s="601">
        <f t="shared" si="7"/>
        <v>0</v>
      </c>
      <c r="G61" s="601">
        <f t="shared" si="7"/>
        <v>0</v>
      </c>
    </row>
    <row r="62" spans="1:9">
      <c r="A62" s="599"/>
      <c r="B62" s="19"/>
      <c r="C62" s="19"/>
      <c r="D62" s="19"/>
      <c r="E62" s="19"/>
      <c r="F62" s="19"/>
      <c r="G62" s="600"/>
      <c r="H62" s="26"/>
    </row>
    <row r="63" spans="1:9">
      <c r="A63" s="534" t="s">
        <v>418</v>
      </c>
      <c r="B63" s="535">
        <f t="shared" ref="B63:G63" si="8">B11</f>
        <v>2018</v>
      </c>
      <c r="C63" s="535">
        <f t="shared" si="8"/>
        <v>2019</v>
      </c>
      <c r="D63" s="535">
        <f t="shared" si="8"/>
        <v>2020</v>
      </c>
      <c r="E63" s="535">
        <f t="shared" si="8"/>
        <v>2021</v>
      </c>
      <c r="F63" s="535">
        <f t="shared" si="8"/>
        <v>2022</v>
      </c>
      <c r="G63" s="535">
        <f t="shared" si="8"/>
        <v>2023</v>
      </c>
      <c r="I63" s="22" t="s">
        <v>485</v>
      </c>
    </row>
    <row r="64" spans="1:9">
      <c r="A64" s="1253"/>
      <c r="B64" s="1254"/>
      <c r="C64" s="1254"/>
      <c r="D64" s="1254"/>
      <c r="E64" s="1254"/>
      <c r="F64" s="1254"/>
      <c r="G64" s="1255"/>
      <c r="I64" s="4" t="s">
        <v>268</v>
      </c>
    </row>
    <row r="65" spans="1:27">
      <c r="A65" s="536" t="s">
        <v>17</v>
      </c>
      <c r="B65" s="537">
        <v>1804.6</v>
      </c>
      <c r="C65" s="537">
        <v>2163</v>
      </c>
      <c r="D65" s="537">
        <v>2594.4</v>
      </c>
      <c r="E65" s="542">
        <v>3342.2</v>
      </c>
      <c r="F65" s="542">
        <v>4417.3999999999996</v>
      </c>
      <c r="G65" s="542">
        <v>5304.8</v>
      </c>
      <c r="H65" s="29"/>
    </row>
    <row r="66" spans="1:27">
      <c r="A66" s="538" t="s">
        <v>758</v>
      </c>
      <c r="B66" s="537">
        <v>-450.4</v>
      </c>
      <c r="C66" s="537">
        <v>-505.9</v>
      </c>
      <c r="D66" s="537">
        <v>-570</v>
      </c>
      <c r="E66" s="542">
        <v>-783</v>
      </c>
      <c r="F66" s="542">
        <v>-1084.9000000000001</v>
      </c>
      <c r="G66" s="542">
        <v>-1237.2</v>
      </c>
      <c r="I66" s="4" t="s">
        <v>269</v>
      </c>
    </row>
    <row r="67" spans="1:27">
      <c r="A67" s="534" t="s">
        <v>419</v>
      </c>
      <c r="B67" s="539">
        <f t="shared" ref="B67:G67" si="9">B65+B66</f>
        <v>1354.1999999999998</v>
      </c>
      <c r="C67" s="539">
        <f t="shared" si="9"/>
        <v>1657.1</v>
      </c>
      <c r="D67" s="539">
        <f t="shared" si="9"/>
        <v>2024.4</v>
      </c>
      <c r="E67" s="543">
        <f t="shared" si="9"/>
        <v>2559.1999999999998</v>
      </c>
      <c r="F67" s="543">
        <f t="shared" si="9"/>
        <v>3332.4999999999995</v>
      </c>
      <c r="G67" s="543">
        <f t="shared" si="9"/>
        <v>4067.6000000000004</v>
      </c>
    </row>
    <row r="68" spans="1:27">
      <c r="A68" s="538" t="s">
        <v>785</v>
      </c>
      <c r="B68" s="537">
        <f>-244.5-I70</f>
        <v>-225.93333333333334</v>
      </c>
      <c r="C68" s="537">
        <f>-277.1-J70</f>
        <v>-256.56666666666666</v>
      </c>
      <c r="D68" s="537">
        <f>-341.4-K70</f>
        <v>-318.46666666666664</v>
      </c>
      <c r="E68" s="542">
        <f>-424.2-L70</f>
        <v>-396.06666666666666</v>
      </c>
      <c r="F68" s="542">
        <f>-512.4-M70</f>
        <v>-477.63333333333333</v>
      </c>
      <c r="G68" s="542">
        <f>-613.8-$N$70</f>
        <v>-576</v>
      </c>
      <c r="I68" s="561" t="s">
        <v>823</v>
      </c>
      <c r="K68" s="26"/>
      <c r="L68" s="26"/>
    </row>
    <row r="69" spans="1:27">
      <c r="A69" s="538" t="s">
        <v>786</v>
      </c>
      <c r="B69" s="537">
        <f>-782.3-I70</f>
        <v>-763.73333333333323</v>
      </c>
      <c r="C69" s="537">
        <f>-926.9-J70</f>
        <v>-906.36666666666667</v>
      </c>
      <c r="D69" s="537">
        <f>-1071.9-K70</f>
        <v>-1048.9666666666667</v>
      </c>
      <c r="E69" s="542">
        <f>-1345.7-L70</f>
        <v>-1317.5666666666666</v>
      </c>
      <c r="F69" s="542">
        <f>-1686.1-M70</f>
        <v>-1651.3333333333333</v>
      </c>
      <c r="G69" s="542">
        <f>-2006-N70</f>
        <v>-1968.2</v>
      </c>
      <c r="I69" s="521">
        <f>B11</f>
        <v>2018</v>
      </c>
      <c r="J69" s="521">
        <f t="shared" ref="J69:N69" si="10">C11</f>
        <v>2019</v>
      </c>
      <c r="K69" s="521">
        <f t="shared" si="10"/>
        <v>2020</v>
      </c>
      <c r="L69" s="521">
        <f t="shared" si="10"/>
        <v>2021</v>
      </c>
      <c r="M69" s="521">
        <f t="shared" si="10"/>
        <v>2022</v>
      </c>
      <c r="N69" s="521">
        <f t="shared" si="10"/>
        <v>2023</v>
      </c>
    </row>
    <row r="70" spans="1:27">
      <c r="A70" s="538" t="s">
        <v>690</v>
      </c>
      <c r="B70" s="537">
        <f t="shared" ref="B70:F70" si="11">-(B98)</f>
        <v>-55.7</v>
      </c>
      <c r="C70" s="537">
        <f t="shared" si="11"/>
        <v>-61.6</v>
      </c>
      <c r="D70" s="537">
        <f t="shared" si="11"/>
        <v>-68.8</v>
      </c>
      <c r="E70" s="542">
        <f t="shared" si="11"/>
        <v>-84.4</v>
      </c>
      <c r="F70" s="542">
        <f t="shared" si="11"/>
        <v>-104.3</v>
      </c>
      <c r="G70" s="542">
        <f>-(G98)</f>
        <v>-113.4</v>
      </c>
      <c r="I70" s="562">
        <f>B70/3</f>
        <v>-18.566666666666666</v>
      </c>
      <c r="J70" s="562">
        <f t="shared" ref="J70:N70" si="12">C70/3</f>
        <v>-20.533333333333335</v>
      </c>
      <c r="K70" s="562">
        <f t="shared" si="12"/>
        <v>-22.933333333333334</v>
      </c>
      <c r="L70" s="562">
        <f t="shared" si="12"/>
        <v>-28.133333333333336</v>
      </c>
      <c r="M70" s="562">
        <f t="shared" si="12"/>
        <v>-34.766666666666666</v>
      </c>
      <c r="N70" s="562">
        <f t="shared" si="12"/>
        <v>-37.800000000000004</v>
      </c>
      <c r="P70" s="30"/>
      <c r="Q70" s="30"/>
      <c r="R70" s="30"/>
      <c r="S70" s="30"/>
      <c r="T70" s="30"/>
      <c r="U70" s="30"/>
      <c r="V70" s="30"/>
      <c r="W70" s="30"/>
      <c r="X70" s="30"/>
      <c r="Y70" s="30"/>
      <c r="Z70" s="30"/>
      <c r="AA70" s="30"/>
    </row>
    <row r="71" spans="1:27">
      <c r="A71" s="538" t="s">
        <v>759</v>
      </c>
      <c r="B71" s="537">
        <f>-93-I70</f>
        <v>-74.433333333333337</v>
      </c>
      <c r="C71" s="537">
        <f>-102.1-J70</f>
        <v>-81.566666666666663</v>
      </c>
      <c r="D71" s="537">
        <f>-119.5-K70</f>
        <v>-96.566666666666663</v>
      </c>
      <c r="E71" s="542">
        <f>-143.5-L70</f>
        <v>-115.36666666666666</v>
      </c>
      <c r="F71" s="542">
        <f>-169-M70</f>
        <v>-134.23333333333335</v>
      </c>
      <c r="G71" s="542">
        <f>-211.3-N70</f>
        <v>-173.5</v>
      </c>
      <c r="I71" s="30"/>
      <c r="J71" s="30"/>
      <c r="K71" s="30"/>
      <c r="L71" s="30"/>
      <c r="M71" s="30"/>
      <c r="N71" s="30"/>
      <c r="O71" s="30"/>
    </row>
    <row r="72" spans="1:27">
      <c r="A72" s="540" t="s">
        <v>717</v>
      </c>
      <c r="B72" s="537"/>
      <c r="C72" s="537"/>
      <c r="D72" s="537"/>
      <c r="E72" s="542"/>
      <c r="F72" s="542"/>
      <c r="G72" s="542"/>
      <c r="I72" s="371" t="s">
        <v>592</v>
      </c>
    </row>
    <row r="73" spans="1:27">
      <c r="A73" s="540" t="s">
        <v>718</v>
      </c>
      <c r="B73" s="537"/>
      <c r="C73" s="537"/>
      <c r="D73" s="537"/>
      <c r="E73" s="542"/>
      <c r="F73" s="542"/>
      <c r="G73" s="542"/>
      <c r="I73" s="371" t="s">
        <v>593</v>
      </c>
    </row>
    <row r="74" spans="1:27">
      <c r="A74" s="538" t="s">
        <v>761</v>
      </c>
      <c r="B74" s="544"/>
      <c r="C74" s="537"/>
      <c r="D74" s="537"/>
      <c r="E74" s="542"/>
      <c r="F74" s="542"/>
      <c r="G74" s="542"/>
    </row>
    <row r="75" spans="1:27">
      <c r="A75" s="538" t="s">
        <v>790</v>
      </c>
      <c r="B75" s="544"/>
      <c r="C75" s="537"/>
      <c r="D75" s="537">
        <v>40.200000000000003</v>
      </c>
      <c r="E75" s="542">
        <v>4.5999999999999996</v>
      </c>
      <c r="F75" s="542">
        <v>4.5999999999999996</v>
      </c>
      <c r="G75" s="542">
        <v>4.5999999999999996</v>
      </c>
      <c r="I75" s="4" t="s">
        <v>382</v>
      </c>
    </row>
    <row r="76" spans="1:27">
      <c r="A76" s="534" t="s">
        <v>787</v>
      </c>
      <c r="B76" s="541">
        <f>SUM(B67:B75)</f>
        <v>234.39999999999986</v>
      </c>
      <c r="C76" s="541">
        <f t="shared" ref="C76:G76" si="13">SUM(C67:C75)</f>
        <v>350.99999999999994</v>
      </c>
      <c r="D76" s="541">
        <f t="shared" si="13"/>
        <v>531.80000000000007</v>
      </c>
      <c r="E76" s="545">
        <f t="shared" si="13"/>
        <v>650.4</v>
      </c>
      <c r="F76" s="545">
        <f t="shared" si="13"/>
        <v>969.5999999999998</v>
      </c>
      <c r="G76" s="545">
        <f t="shared" si="13"/>
        <v>1241.1000000000001</v>
      </c>
      <c r="I76" s="4" t="s">
        <v>270</v>
      </c>
    </row>
    <row r="77" spans="1:27">
      <c r="A77" s="538" t="s">
        <v>788</v>
      </c>
      <c r="B77" s="537">
        <v>26.5</v>
      </c>
      <c r="C77" s="537">
        <v>42.5</v>
      </c>
      <c r="D77" s="537">
        <v>17.7</v>
      </c>
      <c r="E77" s="542">
        <v>-10.4</v>
      </c>
      <c r="F77" s="542">
        <v>-0.6</v>
      </c>
      <c r="G77" s="542">
        <v>98.7</v>
      </c>
      <c r="J77" s="26"/>
      <c r="K77" s="26"/>
      <c r="L77" s="26"/>
      <c r="M77" s="26"/>
      <c r="N77" s="476"/>
    </row>
    <row r="78" spans="1:27">
      <c r="A78" s="538" t="s">
        <v>789</v>
      </c>
      <c r="B78" s="537">
        <v>-6.6</v>
      </c>
      <c r="C78" s="537">
        <v>-7.5</v>
      </c>
      <c r="D78" s="537">
        <v>-7.8</v>
      </c>
      <c r="E78" s="542">
        <v>-11.6</v>
      </c>
      <c r="F78" s="542">
        <v>-13.5</v>
      </c>
      <c r="G78" s="542">
        <v>-6.1</v>
      </c>
      <c r="I78" s="36"/>
      <c r="J78" s="36"/>
      <c r="K78" s="36"/>
      <c r="L78" s="36"/>
      <c r="M78" s="36"/>
      <c r="N78" s="36"/>
      <c r="O78" s="565"/>
    </row>
    <row r="79" spans="1:27">
      <c r="A79" s="540" t="s">
        <v>566</v>
      </c>
      <c r="B79" s="537"/>
      <c r="C79" s="537"/>
      <c r="D79" s="537"/>
      <c r="E79" s="542"/>
      <c r="F79" s="542"/>
      <c r="G79" s="542"/>
      <c r="I79" s="4" t="s">
        <v>374</v>
      </c>
    </row>
    <row r="80" spans="1:27">
      <c r="A80" s="540" t="s">
        <v>665</v>
      </c>
      <c r="B80" s="537"/>
      <c r="C80" s="537"/>
      <c r="D80" s="537"/>
      <c r="E80" s="542"/>
      <c r="F80" s="542"/>
      <c r="G80" s="542"/>
      <c r="I80" s="371" t="s">
        <v>666</v>
      </c>
    </row>
    <row r="81" spans="1:9">
      <c r="A81" s="534" t="s">
        <v>420</v>
      </c>
      <c r="B81" s="541">
        <f t="shared" ref="B81:G81" si="14">SUM(B76:B80)</f>
        <v>254.29999999999987</v>
      </c>
      <c r="C81" s="541">
        <f t="shared" si="14"/>
        <v>385.99999999999994</v>
      </c>
      <c r="D81" s="541">
        <f t="shared" si="14"/>
        <v>541.70000000000016</v>
      </c>
      <c r="E81" s="545">
        <f t="shared" si="14"/>
        <v>628.4</v>
      </c>
      <c r="F81" s="545">
        <f t="shared" si="14"/>
        <v>955.49999999999977</v>
      </c>
      <c r="G81" s="545">
        <f t="shared" si="14"/>
        <v>1333.7000000000003</v>
      </c>
      <c r="I81" s="4" t="s">
        <v>271</v>
      </c>
    </row>
    <row r="82" spans="1:9">
      <c r="A82" s="538" t="s">
        <v>808</v>
      </c>
      <c r="B82" s="537">
        <v>80.599999999999994</v>
      </c>
      <c r="C82" s="537">
        <v>-54.3</v>
      </c>
      <c r="D82" s="537">
        <v>-53.2</v>
      </c>
      <c r="E82" s="542">
        <v>-14.1</v>
      </c>
      <c r="F82" s="542">
        <v>-30.8</v>
      </c>
      <c r="G82" s="542">
        <v>-143.80000000000001</v>
      </c>
      <c r="I82" s="4" t="s">
        <v>272</v>
      </c>
    </row>
    <row r="83" spans="1:9">
      <c r="A83" s="538" t="s">
        <v>809</v>
      </c>
      <c r="B83" s="537"/>
      <c r="C83" s="537"/>
      <c r="D83" s="537"/>
      <c r="E83" s="542">
        <v>-7.6</v>
      </c>
      <c r="F83" s="542">
        <v>-68.099999999999994</v>
      </c>
      <c r="G83" s="542">
        <v>-42.1</v>
      </c>
      <c r="I83" s="4" t="s">
        <v>375</v>
      </c>
    </row>
    <row r="84" spans="1:9">
      <c r="A84" s="540" t="s">
        <v>567</v>
      </c>
      <c r="B84" s="537"/>
      <c r="C84" s="537"/>
      <c r="D84" s="537"/>
      <c r="E84" s="542"/>
      <c r="F84" s="542"/>
      <c r="G84" s="542"/>
      <c r="I84" s="4" t="s">
        <v>376</v>
      </c>
    </row>
    <row r="85" spans="1:9">
      <c r="A85" s="540" t="s">
        <v>568</v>
      </c>
      <c r="B85" s="537"/>
      <c r="C85" s="537"/>
      <c r="D85" s="537"/>
      <c r="E85" s="542"/>
      <c r="F85" s="542"/>
      <c r="G85" s="542"/>
      <c r="I85" s="4" t="s">
        <v>377</v>
      </c>
    </row>
    <row r="86" spans="1:9">
      <c r="A86" s="534" t="s">
        <v>641</v>
      </c>
      <c r="B86" s="541">
        <f t="shared" ref="B86:G86" si="15">SUM(B81:B85)</f>
        <v>334.89999999999986</v>
      </c>
      <c r="C86" s="541">
        <f t="shared" si="15"/>
        <v>331.69999999999993</v>
      </c>
      <c r="D86" s="541">
        <f t="shared" si="15"/>
        <v>488.50000000000017</v>
      </c>
      <c r="E86" s="546">
        <f t="shared" si="15"/>
        <v>606.69999999999993</v>
      </c>
      <c r="F86" s="546">
        <f t="shared" si="15"/>
        <v>856.5999999999998</v>
      </c>
      <c r="G86" s="546">
        <f t="shared" si="15"/>
        <v>1147.8000000000004</v>
      </c>
      <c r="I86" s="4" t="s">
        <v>273</v>
      </c>
    </row>
    <row r="87" spans="1:9">
      <c r="A87" s="538" t="s">
        <v>810</v>
      </c>
      <c r="B87" s="537"/>
      <c r="C87" s="537"/>
      <c r="D87" s="537"/>
      <c r="E87" s="542">
        <v>0.1</v>
      </c>
      <c r="F87" s="542">
        <v>0.7</v>
      </c>
      <c r="G87" s="542"/>
      <c r="I87" s="371" t="s">
        <v>643</v>
      </c>
    </row>
    <row r="88" spans="1:9">
      <c r="A88" s="534" t="s">
        <v>642</v>
      </c>
      <c r="B88" s="541">
        <f t="shared" ref="B88:G88" si="16">B86+B87</f>
        <v>334.89999999999986</v>
      </c>
      <c r="C88" s="541">
        <f t="shared" si="16"/>
        <v>331.69999999999993</v>
      </c>
      <c r="D88" s="541">
        <f t="shared" si="16"/>
        <v>488.50000000000017</v>
      </c>
      <c r="E88" s="546">
        <f t="shared" si="16"/>
        <v>606.79999999999995</v>
      </c>
      <c r="F88" s="546">
        <f t="shared" si="16"/>
        <v>857.29999999999984</v>
      </c>
      <c r="G88" s="546">
        <f t="shared" si="16"/>
        <v>1147.8000000000004</v>
      </c>
    </row>
    <row r="89" spans="1:9">
      <c r="A89" s="538" t="s">
        <v>836</v>
      </c>
      <c r="B89" s="541">
        <v>334.9</v>
      </c>
      <c r="C89" s="541">
        <v>331.7</v>
      </c>
      <c r="D89" s="541">
        <v>488.5</v>
      </c>
      <c r="E89" s="546">
        <v>606.79999999999995</v>
      </c>
      <c r="F89" s="546">
        <v>857.3</v>
      </c>
      <c r="G89" s="546">
        <v>1147.8</v>
      </c>
      <c r="I89" s="4" t="s">
        <v>373</v>
      </c>
    </row>
    <row r="90" spans="1:9">
      <c r="A90" s="538"/>
      <c r="B90" s="537"/>
      <c r="C90" s="537"/>
      <c r="D90" s="537"/>
      <c r="E90" s="542"/>
      <c r="F90" s="542"/>
      <c r="G90" s="542"/>
    </row>
    <row r="91" spans="1:9">
      <c r="A91" s="538" t="s">
        <v>791</v>
      </c>
      <c r="B91" s="537"/>
      <c r="C91" s="537">
        <v>2</v>
      </c>
      <c r="D91" s="537">
        <v>-0.4</v>
      </c>
      <c r="E91" s="542">
        <f>-6.5+1.1</f>
        <v>-5.4</v>
      </c>
      <c r="F91" s="542">
        <f>-14.5+-0.2</f>
        <v>-14.7</v>
      </c>
      <c r="G91" s="542">
        <v>1.3</v>
      </c>
      <c r="I91" s="371" t="s">
        <v>644</v>
      </c>
    </row>
    <row r="92" spans="1:9">
      <c r="A92" s="534" t="s">
        <v>410</v>
      </c>
      <c r="B92" s="546">
        <f t="shared" ref="B92:G92" si="17">B86+SUM(B90:B91)</f>
        <v>334.89999999999986</v>
      </c>
      <c r="C92" s="546">
        <f t="shared" si="17"/>
        <v>333.69999999999993</v>
      </c>
      <c r="D92" s="546">
        <f t="shared" si="17"/>
        <v>488.10000000000019</v>
      </c>
      <c r="E92" s="546">
        <f t="shared" si="17"/>
        <v>601.29999999999995</v>
      </c>
      <c r="F92" s="546">
        <f t="shared" si="17"/>
        <v>841.89999999999975</v>
      </c>
      <c r="G92" s="546">
        <f t="shared" si="17"/>
        <v>1149.1000000000004</v>
      </c>
      <c r="I92" s="4" t="s">
        <v>274</v>
      </c>
    </row>
    <row r="93" spans="1:9">
      <c r="A93" s="1235"/>
      <c r="B93" s="1236"/>
      <c r="C93" s="1236"/>
      <c r="D93" s="1236"/>
      <c r="E93" s="1236"/>
      <c r="F93" s="1236"/>
      <c r="G93" s="1237"/>
    </row>
    <row r="94" spans="1:9">
      <c r="A94" s="1238"/>
      <c r="B94" s="1239"/>
      <c r="C94" s="1239"/>
      <c r="D94" s="1239"/>
      <c r="E94" s="1239"/>
      <c r="F94" s="1239"/>
      <c r="G94" s="1240"/>
    </row>
    <row r="95" spans="1:9">
      <c r="I95" s="22" t="s">
        <v>486</v>
      </c>
    </row>
    <row r="96" spans="1:9">
      <c r="A96" s="22" t="s">
        <v>422</v>
      </c>
      <c r="B96" s="509">
        <f t="shared" ref="B96:G96" si="18">B11</f>
        <v>2018</v>
      </c>
      <c r="C96" s="509">
        <f t="shared" si="18"/>
        <v>2019</v>
      </c>
      <c r="D96" s="509">
        <f t="shared" si="18"/>
        <v>2020</v>
      </c>
      <c r="E96" s="28">
        <f t="shared" si="18"/>
        <v>2021</v>
      </c>
      <c r="F96" s="28">
        <f t="shared" si="18"/>
        <v>2022</v>
      </c>
      <c r="G96" s="28">
        <f t="shared" si="18"/>
        <v>2023</v>
      </c>
      <c r="I96" s="458" t="s">
        <v>381</v>
      </c>
    </row>
    <row r="97" spans="1:12">
      <c r="A97" s="25" t="s">
        <v>411</v>
      </c>
      <c r="B97" s="517">
        <f t="shared" ref="B97:G97" si="19">B86</f>
        <v>334.89999999999986</v>
      </c>
      <c r="C97" s="517">
        <f t="shared" si="19"/>
        <v>331.69999999999993</v>
      </c>
      <c r="D97" s="517">
        <f t="shared" si="19"/>
        <v>488.50000000000017</v>
      </c>
      <c r="E97" s="517">
        <f t="shared" si="19"/>
        <v>606.69999999999993</v>
      </c>
      <c r="F97" s="517">
        <f t="shared" si="19"/>
        <v>856.5999999999998</v>
      </c>
      <c r="G97" s="517">
        <f t="shared" si="19"/>
        <v>1147.8000000000004</v>
      </c>
      <c r="I97" s="4" t="s">
        <v>378</v>
      </c>
    </row>
    <row r="98" spans="1:12">
      <c r="A98" s="458" t="s">
        <v>794</v>
      </c>
      <c r="B98" s="516">
        <v>55.7</v>
      </c>
      <c r="C98" s="516">
        <v>61.6</v>
      </c>
      <c r="D98" s="516">
        <v>68.8</v>
      </c>
      <c r="E98" s="548">
        <v>84.4</v>
      </c>
      <c r="F98" s="548">
        <v>104.3</v>
      </c>
      <c r="G98" s="548">
        <v>113.4</v>
      </c>
    </row>
    <row r="99" spans="1:12">
      <c r="A99" s="458" t="s">
        <v>795</v>
      </c>
      <c r="B99" s="516">
        <v>162.9</v>
      </c>
      <c r="C99" s="516">
        <v>174.1</v>
      </c>
      <c r="D99" s="516">
        <v>191.7</v>
      </c>
      <c r="E99" s="548">
        <v>207.9</v>
      </c>
      <c r="F99" s="548">
        <v>217.3</v>
      </c>
      <c r="G99" s="548">
        <v>249</v>
      </c>
    </row>
    <row r="100" spans="1:12">
      <c r="A100" s="458" t="s">
        <v>792</v>
      </c>
      <c r="B100" s="516">
        <v>90.9</v>
      </c>
      <c r="C100" s="516">
        <v>107.9</v>
      </c>
      <c r="D100" s="516">
        <v>137.4</v>
      </c>
      <c r="E100" s="548">
        <v>175.9</v>
      </c>
      <c r="F100" s="548">
        <v>223.3</v>
      </c>
      <c r="G100" s="548">
        <v>266.3</v>
      </c>
    </row>
    <row r="101" spans="1:12">
      <c r="A101" s="458" t="s">
        <v>793</v>
      </c>
      <c r="B101" s="516">
        <v>-0.6</v>
      </c>
      <c r="C101" s="516">
        <v>-6</v>
      </c>
      <c r="D101" s="516">
        <v>1.3</v>
      </c>
      <c r="E101" s="548">
        <v>6.9</v>
      </c>
      <c r="F101" s="548">
        <v>4.4000000000000004</v>
      </c>
      <c r="G101" s="548">
        <v>-27.7</v>
      </c>
    </row>
    <row r="102" spans="1:12">
      <c r="A102" s="458" t="s">
        <v>812</v>
      </c>
      <c r="B102" s="516">
        <v>-0.9</v>
      </c>
      <c r="C102" s="516">
        <v>5.7</v>
      </c>
      <c r="D102" s="516">
        <v>6</v>
      </c>
      <c r="E102" s="548">
        <f>7.9+7.6</f>
        <v>15.5</v>
      </c>
      <c r="F102" s="548">
        <f>23.6+68.1</f>
        <v>91.699999999999989</v>
      </c>
      <c r="G102" s="548">
        <f>18.5+42.1</f>
        <v>60.6</v>
      </c>
      <c r="J102" s="30"/>
      <c r="K102" s="30"/>
      <c r="L102" s="30"/>
    </row>
    <row r="103" spans="1:12">
      <c r="A103" s="371" t="s">
        <v>569</v>
      </c>
      <c r="B103" s="516">
        <v>-82</v>
      </c>
      <c r="C103" s="516">
        <v>-96.7</v>
      </c>
      <c r="D103" s="516">
        <v>-176.4</v>
      </c>
      <c r="E103" s="548">
        <v>-72.5</v>
      </c>
      <c r="F103" s="548">
        <v>-456.7</v>
      </c>
      <c r="G103" s="548">
        <v>-146.4</v>
      </c>
      <c r="L103" s="26"/>
    </row>
    <row r="104" spans="1:12">
      <c r="A104" s="371" t="s">
        <v>570</v>
      </c>
      <c r="B104" s="516">
        <v>-33.4</v>
      </c>
      <c r="C104" s="516">
        <v>-48.5</v>
      </c>
      <c r="D104" s="516">
        <v>-42.2</v>
      </c>
      <c r="E104" s="548">
        <v>-19.399999999999999</v>
      </c>
      <c r="F104" s="548">
        <v>-109.1</v>
      </c>
      <c r="G104" s="548">
        <v>-253.5</v>
      </c>
    </row>
    <row r="105" spans="1:12">
      <c r="A105" s="458" t="s">
        <v>571</v>
      </c>
      <c r="B105" s="516">
        <v>4.2</v>
      </c>
      <c r="C105" s="516">
        <v>-2.1</v>
      </c>
      <c r="D105" s="516">
        <v>-2.8</v>
      </c>
      <c r="E105" s="548">
        <v>-17.7</v>
      </c>
      <c r="F105" s="548">
        <v>-7.7</v>
      </c>
      <c r="G105" s="548">
        <v>-27.6</v>
      </c>
    </row>
    <row r="106" spans="1:12">
      <c r="A106" s="458" t="s">
        <v>796</v>
      </c>
      <c r="B106" s="516">
        <v>-3.8</v>
      </c>
      <c r="C106" s="516">
        <v>-1.3</v>
      </c>
      <c r="D106" s="516">
        <v>-4.5999999999999996</v>
      </c>
      <c r="E106" s="548">
        <v>-19</v>
      </c>
      <c r="F106" s="548">
        <v>-35.299999999999997</v>
      </c>
      <c r="G106" s="548">
        <v>17.7</v>
      </c>
    </row>
    <row r="107" spans="1:12">
      <c r="A107" s="458" t="s">
        <v>797</v>
      </c>
      <c r="B107" s="516">
        <v>-136.4</v>
      </c>
      <c r="C107" s="516">
        <v>-162.30000000000001</v>
      </c>
      <c r="D107" s="516">
        <v>-205.1</v>
      </c>
      <c r="E107" s="548">
        <v>-294.5</v>
      </c>
      <c r="F107" s="548">
        <v>-318.2</v>
      </c>
      <c r="G107" s="548">
        <v>-353.5</v>
      </c>
    </row>
    <row r="108" spans="1:12">
      <c r="A108" s="458" t="s">
        <v>811</v>
      </c>
      <c r="B108" s="516">
        <v>-127.1</v>
      </c>
      <c r="C108" s="516">
        <v>19.399999999999999</v>
      </c>
      <c r="D108" s="516">
        <v>-10.5</v>
      </c>
      <c r="E108" s="548">
        <v>-94</v>
      </c>
      <c r="F108" s="548">
        <v>-226.4</v>
      </c>
      <c r="G108" s="548">
        <v>-301.89999999999998</v>
      </c>
    </row>
    <row r="109" spans="1:12">
      <c r="A109" s="371" t="s">
        <v>574</v>
      </c>
      <c r="B109" s="516">
        <v>14.6</v>
      </c>
      <c r="C109" s="516">
        <v>7.7</v>
      </c>
      <c r="D109" s="516">
        <v>37.4</v>
      </c>
      <c r="E109" s="548">
        <v>-13.1</v>
      </c>
      <c r="F109" s="548">
        <v>105.2</v>
      </c>
      <c r="G109" s="548">
        <v>-43.1</v>
      </c>
      <c r="I109" s="458" t="s">
        <v>842</v>
      </c>
    </row>
    <row r="110" spans="1:12">
      <c r="A110" s="458" t="s">
        <v>798</v>
      </c>
      <c r="B110" s="516">
        <v>7.7</v>
      </c>
      <c r="C110" s="516">
        <v>-20.399999999999999</v>
      </c>
      <c r="D110" s="516">
        <v>55.5</v>
      </c>
      <c r="E110" s="548">
        <f>49.9-0.7</f>
        <v>49.199999999999996</v>
      </c>
      <c r="F110" s="548">
        <f>55.2+23.5</f>
        <v>78.7</v>
      </c>
      <c r="G110" s="548">
        <f>137.4-21.7</f>
        <v>115.7</v>
      </c>
    </row>
    <row r="111" spans="1:12">
      <c r="A111" s="458" t="s">
        <v>799</v>
      </c>
      <c r="B111" s="516">
        <v>3.5</v>
      </c>
      <c r="C111" s="516">
        <v>-2.7</v>
      </c>
      <c r="D111" s="516">
        <v>43.1</v>
      </c>
      <c r="E111" s="548">
        <v>44</v>
      </c>
      <c r="F111" s="548">
        <v>25</v>
      </c>
      <c r="G111" s="548">
        <v>23.4</v>
      </c>
    </row>
    <row r="112" spans="1:12">
      <c r="A112" s="371" t="s">
        <v>691</v>
      </c>
      <c r="B112" s="516">
        <v>348.7</v>
      </c>
      <c r="C112" s="516">
        <v>439.9</v>
      </c>
      <c r="D112" s="516">
        <v>495.6</v>
      </c>
      <c r="E112" s="548">
        <v>839.4</v>
      </c>
      <c r="F112" s="548">
        <v>1177.5</v>
      </c>
      <c r="G112" s="548">
        <v>1095.3</v>
      </c>
    </row>
    <row r="113" spans="1:15">
      <c r="A113" s="25" t="s">
        <v>646</v>
      </c>
      <c r="B113" s="517">
        <f>SUM(B97:B112)</f>
        <v>638.9</v>
      </c>
      <c r="C113" s="517">
        <f>SUM(C97:C112)</f>
        <v>808</v>
      </c>
      <c r="D113" s="517">
        <f>SUM(D97:D112)</f>
        <v>1083.7000000000003</v>
      </c>
      <c r="E113" s="517">
        <f t="shared" ref="E113:G113" si="20">SUM(E97:E112)</f>
        <v>1499.6999999999998</v>
      </c>
      <c r="F113" s="517">
        <f>SUM(F97:F112)</f>
        <v>1730.6</v>
      </c>
      <c r="G113" s="517">
        <f t="shared" si="20"/>
        <v>1935.5000000000005</v>
      </c>
      <c r="I113" s="4" t="s">
        <v>275</v>
      </c>
    </row>
    <row r="114" spans="1:15">
      <c r="A114" s="371" t="s">
        <v>578</v>
      </c>
      <c r="E114" s="548"/>
      <c r="F114" s="548"/>
      <c r="G114" s="548"/>
    </row>
    <row r="115" spans="1:15">
      <c r="A115" s="458" t="s">
        <v>579</v>
      </c>
      <c r="B115" s="516">
        <v>-53</v>
      </c>
      <c r="C115" s="516">
        <v>-92.2</v>
      </c>
      <c r="D115" s="516">
        <v>-125.9</v>
      </c>
      <c r="E115" s="548">
        <v>-295.89999999999998</v>
      </c>
      <c r="F115" s="548">
        <v>-281.2</v>
      </c>
      <c r="G115" s="548">
        <v>-204.1</v>
      </c>
      <c r="H115" s="4">
        <f>AVERAGE(B115:G115)</f>
        <v>-175.38333333333333</v>
      </c>
    </row>
    <row r="116" spans="1:15">
      <c r="A116" s="458" t="s">
        <v>800</v>
      </c>
      <c r="B116" s="516">
        <v>578.79999999999995</v>
      </c>
      <c r="C116" s="516">
        <v>925.5</v>
      </c>
      <c r="D116" s="516">
        <v>1018.8</v>
      </c>
      <c r="E116" s="548">
        <v>1470.3</v>
      </c>
      <c r="F116" s="548">
        <v>1462</v>
      </c>
      <c r="G116" s="548">
        <v>1414.8</v>
      </c>
    </row>
    <row r="117" spans="1:15">
      <c r="A117" s="458" t="s">
        <v>813</v>
      </c>
      <c r="B117" s="516">
        <v>42.8</v>
      </c>
      <c r="C117" s="516">
        <v>31.3</v>
      </c>
      <c r="D117" s="516">
        <v>152.19999999999999</v>
      </c>
      <c r="E117" s="548">
        <v>85.5</v>
      </c>
      <c r="F117" s="548">
        <v>3</v>
      </c>
      <c r="G117" s="548">
        <v>4</v>
      </c>
    </row>
    <row r="118" spans="1:15">
      <c r="A118" s="458" t="s">
        <v>814</v>
      </c>
      <c r="B118" s="516">
        <v>-681.8</v>
      </c>
      <c r="C118" s="516">
        <v>-1332.3</v>
      </c>
      <c r="D118" s="516">
        <v>-1079</v>
      </c>
      <c r="E118" s="548">
        <f>-2308-160</f>
        <v>-2468</v>
      </c>
      <c r="F118" s="548">
        <v>-389.1</v>
      </c>
      <c r="G118" s="548">
        <f>-1855.8-8.5</f>
        <v>-1864.3</v>
      </c>
    </row>
    <row r="119" spans="1:15">
      <c r="A119" s="458" t="s">
        <v>801</v>
      </c>
      <c r="B119" s="516">
        <v>-21.7</v>
      </c>
      <c r="C119" s="516">
        <v>-34.6</v>
      </c>
      <c r="D119" s="516">
        <v>-40.200000000000003</v>
      </c>
      <c r="E119" s="548">
        <v>-74.900000000000006</v>
      </c>
      <c r="F119" s="548">
        <v>-30.8</v>
      </c>
      <c r="G119" s="548"/>
    </row>
    <row r="120" spans="1:15">
      <c r="A120" s="458" t="s">
        <v>760</v>
      </c>
      <c r="B120" s="516"/>
      <c r="C120" s="516"/>
      <c r="D120" s="516">
        <v>1.3</v>
      </c>
      <c r="E120" s="548">
        <v>-42.1</v>
      </c>
      <c r="F120" s="548"/>
      <c r="G120" s="548">
        <v>0.3</v>
      </c>
    </row>
    <row r="121" spans="1:15">
      <c r="A121" s="25" t="s">
        <v>412</v>
      </c>
      <c r="B121" s="517">
        <f>SUM(B115:B120)</f>
        <v>-134.90000000000003</v>
      </c>
      <c r="C121" s="517">
        <f>SUM(C115:C120)</f>
        <v>-502.30000000000007</v>
      </c>
      <c r="D121" s="517">
        <f>SUM(D115:D120)</f>
        <v>-72.800000000000097</v>
      </c>
      <c r="E121" s="517">
        <f t="shared" ref="E121:G121" si="21">SUM(E114:E120)</f>
        <v>-1325.1</v>
      </c>
      <c r="F121" s="517">
        <f t="shared" si="21"/>
        <v>763.9</v>
      </c>
      <c r="G121" s="517">
        <f t="shared" si="21"/>
        <v>-649.29999999999995</v>
      </c>
      <c r="I121" s="4" t="s">
        <v>276</v>
      </c>
    </row>
    <row r="122" spans="1:15">
      <c r="A122" s="458" t="s">
        <v>815</v>
      </c>
      <c r="B122" s="516"/>
      <c r="C122" s="516"/>
      <c r="D122" s="516"/>
      <c r="E122" s="548"/>
      <c r="F122" s="548"/>
      <c r="G122" s="548"/>
    </row>
    <row r="123" spans="1:15">
      <c r="A123" s="458" t="s">
        <v>816</v>
      </c>
      <c r="B123" s="516"/>
      <c r="C123" s="516"/>
      <c r="D123" s="516"/>
      <c r="E123" s="548"/>
      <c r="F123" s="548"/>
      <c r="G123" s="548"/>
    </row>
    <row r="124" spans="1:15">
      <c r="A124" s="458" t="s">
        <v>834</v>
      </c>
      <c r="B124" s="516"/>
      <c r="C124" s="516"/>
      <c r="D124" s="516"/>
      <c r="E124" s="548">
        <v>-2.4</v>
      </c>
      <c r="F124" s="548"/>
      <c r="G124" s="548"/>
    </row>
    <row r="125" spans="1:15">
      <c r="A125" s="458" t="s">
        <v>817</v>
      </c>
      <c r="B125" s="516"/>
      <c r="C125" s="516"/>
      <c r="D125" s="516"/>
      <c r="E125" s="548">
        <v>989.4</v>
      </c>
      <c r="F125" s="548"/>
      <c r="G125" s="548"/>
    </row>
    <row r="126" spans="1:15">
      <c r="A126" s="371" t="s">
        <v>580</v>
      </c>
      <c r="B126" s="516">
        <v>86.5</v>
      </c>
      <c r="C126" s="516">
        <v>49.5</v>
      </c>
      <c r="D126" s="516">
        <v>22.1</v>
      </c>
      <c r="E126" s="548">
        <v>26</v>
      </c>
      <c r="F126" s="548">
        <v>26.1</v>
      </c>
      <c r="G126" s="548">
        <v>43.8</v>
      </c>
    </row>
    <row r="127" spans="1:15">
      <c r="A127" s="458" t="s">
        <v>803</v>
      </c>
      <c r="B127" s="516">
        <v>-10.1</v>
      </c>
      <c r="C127" s="516">
        <v>-3.7</v>
      </c>
      <c r="D127" s="516">
        <v>-4.0999999999999996</v>
      </c>
      <c r="E127" s="548">
        <v>-19.5</v>
      </c>
      <c r="F127" s="548"/>
      <c r="G127" s="548"/>
    </row>
    <row r="128" spans="1:15">
      <c r="A128" s="371" t="s">
        <v>719</v>
      </c>
      <c r="B128" s="516">
        <v>-211.8</v>
      </c>
      <c r="C128" s="516">
        <v>-145.1</v>
      </c>
      <c r="D128" s="516">
        <v>-1080.0999999999999</v>
      </c>
      <c r="E128" s="548">
        <v>-741.8</v>
      </c>
      <c r="F128" s="548">
        <v>-1991.2</v>
      </c>
      <c r="G128" s="548">
        <v>-1500.5</v>
      </c>
      <c r="I128" s="26"/>
      <c r="J128" s="26"/>
      <c r="K128" s="26"/>
      <c r="L128" s="26"/>
      <c r="M128" s="26"/>
      <c r="N128" s="26"/>
      <c r="O128" s="26"/>
    </row>
    <row r="129" spans="1:15">
      <c r="A129" s="458" t="s">
        <v>581</v>
      </c>
      <c r="B129" s="516"/>
      <c r="C129" s="516"/>
      <c r="D129" s="516"/>
      <c r="E129" s="548"/>
      <c r="F129" s="548"/>
      <c r="G129" s="548"/>
      <c r="I129" s="26"/>
      <c r="J129" s="26"/>
      <c r="K129" s="488"/>
      <c r="L129" s="26"/>
      <c r="M129" s="26"/>
      <c r="N129" s="26"/>
      <c r="O129" s="26"/>
    </row>
    <row r="130" spans="1:15">
      <c r="A130" s="458" t="s">
        <v>802</v>
      </c>
      <c r="B130" s="516">
        <v>-67.2</v>
      </c>
      <c r="C130" s="516">
        <v>-96</v>
      </c>
      <c r="D130" s="516">
        <v>-108.2</v>
      </c>
      <c r="E130" s="548">
        <v>-167.9</v>
      </c>
      <c r="F130" s="548">
        <v>-160.4</v>
      </c>
      <c r="G130" s="548">
        <v>-112.5</v>
      </c>
      <c r="I130" s="26"/>
      <c r="J130" s="26"/>
      <c r="K130" s="26"/>
      <c r="L130" s="26"/>
      <c r="M130" s="26"/>
      <c r="N130" s="26"/>
      <c r="O130" s="26"/>
    </row>
    <row r="131" spans="1:15">
      <c r="A131" s="458" t="s">
        <v>601</v>
      </c>
      <c r="B131" s="516"/>
      <c r="C131" s="516">
        <v>-0.3</v>
      </c>
      <c r="D131" s="516">
        <v>-1.3</v>
      </c>
      <c r="E131" s="548">
        <v>-1</v>
      </c>
      <c r="F131" s="548">
        <v>-4.8</v>
      </c>
      <c r="G131" s="548">
        <v>-1.2</v>
      </c>
    </row>
    <row r="132" spans="1:15">
      <c r="A132" s="25" t="s">
        <v>413</v>
      </c>
      <c r="B132" s="517">
        <f t="shared" ref="B132:G132" si="22">SUM(B122:B131)</f>
        <v>-202.60000000000002</v>
      </c>
      <c r="C132" s="517">
        <f t="shared" si="22"/>
        <v>-195.60000000000002</v>
      </c>
      <c r="D132" s="517">
        <f t="shared" si="22"/>
        <v>-1171.5999999999999</v>
      </c>
      <c r="E132" s="517">
        <f t="shared" si="22"/>
        <v>82.80000000000004</v>
      </c>
      <c r="F132" s="517">
        <f t="shared" si="22"/>
        <v>-2130.3000000000002</v>
      </c>
      <c r="G132" s="517">
        <f t="shared" si="22"/>
        <v>-1570.4</v>
      </c>
      <c r="I132" s="4" t="s">
        <v>277</v>
      </c>
    </row>
    <row r="133" spans="1:15">
      <c r="A133" s="4" t="s">
        <v>34</v>
      </c>
      <c r="B133" s="548"/>
      <c r="C133" s="548"/>
      <c r="D133" s="548"/>
      <c r="E133" s="548">
        <v>-0.1</v>
      </c>
      <c r="F133" s="548">
        <v>-0.4</v>
      </c>
      <c r="G133" s="548">
        <v>-0.8</v>
      </c>
    </row>
    <row r="134" spans="1:15">
      <c r="A134" s="25" t="s">
        <v>361</v>
      </c>
      <c r="B134" s="517">
        <f t="shared" ref="B134:G134" si="23">B113+B121+B132+B133</f>
        <v>301.39999999999992</v>
      </c>
      <c r="C134" s="517">
        <f t="shared" si="23"/>
        <v>110.09999999999991</v>
      </c>
      <c r="D134" s="517">
        <f t="shared" si="23"/>
        <v>-160.6999999999997</v>
      </c>
      <c r="E134" s="517">
        <f t="shared" si="23"/>
        <v>257.29999999999995</v>
      </c>
      <c r="F134" s="517">
        <f t="shared" si="23"/>
        <v>363.79999999999984</v>
      </c>
      <c r="G134" s="517">
        <f t="shared" si="23"/>
        <v>-284.9999999999996</v>
      </c>
      <c r="I134" s="4" t="s">
        <v>379</v>
      </c>
    </row>
    <row r="135" spans="1:15">
      <c r="A135" s="371" t="s">
        <v>582</v>
      </c>
      <c r="B135" s="516">
        <v>811</v>
      </c>
      <c r="C135" s="549">
        <f>B16</f>
        <v>1112.4000000000001</v>
      </c>
      <c r="D135" s="549">
        <f>C16</f>
        <v>1222.5</v>
      </c>
      <c r="E135" s="550">
        <f>D16</f>
        <v>1061.8</v>
      </c>
      <c r="F135" s="550">
        <f>E16</f>
        <v>1319.1</v>
      </c>
      <c r="G135" s="550">
        <f>F16</f>
        <v>1682.9</v>
      </c>
      <c r="I135" s="458" t="s">
        <v>750</v>
      </c>
    </row>
    <row r="136" spans="1:15">
      <c r="A136" s="371" t="s">
        <v>583</v>
      </c>
      <c r="B136" s="549">
        <f t="shared" ref="B136:G136" si="24">B16</f>
        <v>1112.4000000000001</v>
      </c>
      <c r="C136" s="549">
        <f t="shared" si="24"/>
        <v>1222.5</v>
      </c>
      <c r="D136" s="549">
        <f t="shared" si="24"/>
        <v>1061.8</v>
      </c>
      <c r="E136" s="550">
        <f t="shared" si="24"/>
        <v>1319.1</v>
      </c>
      <c r="F136" s="550">
        <f t="shared" si="24"/>
        <v>1682.9</v>
      </c>
      <c r="G136" s="550">
        <f t="shared" si="24"/>
        <v>1397.9</v>
      </c>
    </row>
    <row r="137" spans="1:15">
      <c r="A137" s="1235"/>
      <c r="B137" s="1236"/>
      <c r="C137" s="1236"/>
      <c r="D137" s="1236"/>
      <c r="E137" s="1236"/>
      <c r="F137" s="1236"/>
      <c r="G137" s="1237"/>
    </row>
    <row r="138" spans="1:15">
      <c r="A138" s="1241"/>
      <c r="B138" s="1242"/>
      <c r="C138" s="1242"/>
      <c r="D138" s="1242"/>
      <c r="E138" s="1242"/>
      <c r="F138" s="1242"/>
      <c r="G138" s="1243"/>
    </row>
    <row r="139" spans="1:15">
      <c r="A139" s="1238"/>
      <c r="B139" s="1239"/>
      <c r="C139" s="1239"/>
      <c r="D139" s="1239"/>
      <c r="E139" s="1239"/>
      <c r="F139" s="1239"/>
      <c r="G139" s="1240"/>
    </row>
    <row r="140" spans="1:15">
      <c r="A140" s="22" t="s">
        <v>163</v>
      </c>
      <c r="B140" s="509">
        <f t="shared" ref="B140:G140" si="25">B11</f>
        <v>2018</v>
      </c>
      <c r="C140" s="509">
        <f t="shared" si="25"/>
        <v>2019</v>
      </c>
      <c r="D140" s="509">
        <f t="shared" si="25"/>
        <v>2020</v>
      </c>
      <c r="E140" s="28">
        <f t="shared" si="25"/>
        <v>2021</v>
      </c>
      <c r="F140" s="28">
        <f t="shared" si="25"/>
        <v>2022</v>
      </c>
      <c r="G140" s="28">
        <f t="shared" si="25"/>
        <v>2023</v>
      </c>
      <c r="I140" s="22" t="s">
        <v>487</v>
      </c>
    </row>
    <row r="141" spans="1:15">
      <c r="A141" s="22"/>
      <c r="B141" s="509"/>
      <c r="C141" s="509"/>
      <c r="D141" s="509"/>
      <c r="E141" s="28"/>
      <c r="F141" s="28"/>
      <c r="G141" s="28"/>
    </row>
    <row r="142" spans="1:15">
      <c r="A142" s="371" t="s">
        <v>584</v>
      </c>
      <c r="B142" s="511">
        <v>0.35</v>
      </c>
      <c r="C142" s="511">
        <v>0.35</v>
      </c>
      <c r="D142" s="511">
        <v>0.35</v>
      </c>
      <c r="E142" s="31">
        <v>0.35</v>
      </c>
      <c r="F142" s="31">
        <v>0.35</v>
      </c>
      <c r="G142" s="31">
        <v>0.35</v>
      </c>
      <c r="I142" s="4" t="s">
        <v>278</v>
      </c>
    </row>
    <row r="143" spans="1:15">
      <c r="A143" s="371" t="s">
        <v>585</v>
      </c>
      <c r="B143" s="512">
        <f t="shared" ref="B143:G143" si="26">-B82/B81</f>
        <v>-0.31694848604011022</v>
      </c>
      <c r="C143" s="512">
        <f t="shared" si="26"/>
        <v>0.14067357512953368</v>
      </c>
      <c r="D143" s="512">
        <f t="shared" si="26"/>
        <v>9.8209340963632985E-2</v>
      </c>
      <c r="E143" s="32">
        <f t="shared" si="26"/>
        <v>2.2437937619350732E-2</v>
      </c>
      <c r="F143" s="32">
        <f t="shared" si="26"/>
        <v>3.2234432234432245E-2</v>
      </c>
      <c r="G143" s="32">
        <f t="shared" si="26"/>
        <v>0.10782034940391391</v>
      </c>
      <c r="H143" s="26"/>
      <c r="I143" s="4" t="s">
        <v>380</v>
      </c>
    </row>
    <row r="144" spans="1:15">
      <c r="A144" s="372" t="s">
        <v>586</v>
      </c>
      <c r="B144" s="510">
        <f>(B72+B78+B80)*(1-B142)+B83+B84+B85</f>
        <v>-4.29</v>
      </c>
      <c r="C144" s="510">
        <f t="shared" ref="C144:G144" si="27">(C72+C75+C80)*(1-C142)+C83+C84+C85</f>
        <v>0</v>
      </c>
      <c r="D144" s="510">
        <f t="shared" si="27"/>
        <v>26.130000000000003</v>
      </c>
      <c r="E144" s="33">
        <f t="shared" si="27"/>
        <v>-4.6099999999999994</v>
      </c>
      <c r="F144" s="33">
        <f t="shared" si="27"/>
        <v>-65.11</v>
      </c>
      <c r="G144" s="33">
        <f t="shared" si="27"/>
        <v>-39.11</v>
      </c>
      <c r="I144" s="4" t="s">
        <v>393</v>
      </c>
    </row>
    <row r="145" spans="1:9">
      <c r="A145" s="372" t="s">
        <v>587</v>
      </c>
      <c r="B145" s="516">
        <f>B98</f>
        <v>55.7</v>
      </c>
      <c r="C145" s="516">
        <f t="shared" ref="C145:G145" si="28">C98</f>
        <v>61.6</v>
      </c>
      <c r="D145" s="516">
        <f t="shared" si="28"/>
        <v>68.8</v>
      </c>
      <c r="E145" s="516">
        <f t="shared" si="28"/>
        <v>84.4</v>
      </c>
      <c r="F145" s="516">
        <f t="shared" si="28"/>
        <v>104.3</v>
      </c>
      <c r="G145" s="516">
        <f t="shared" si="28"/>
        <v>113.4</v>
      </c>
      <c r="I145" s="4" t="s">
        <v>169</v>
      </c>
    </row>
    <row r="146" spans="1:9">
      <c r="A146" s="371" t="s">
        <v>588</v>
      </c>
      <c r="B146" s="516"/>
      <c r="C146" s="516"/>
      <c r="D146" s="516"/>
      <c r="E146" s="548"/>
      <c r="F146" s="548"/>
      <c r="G146" s="548"/>
      <c r="I146" s="4" t="s">
        <v>279</v>
      </c>
    </row>
    <row r="147" spans="1:9">
      <c r="A147" s="458" t="s">
        <v>1199</v>
      </c>
      <c r="B147" s="516"/>
      <c r="C147" s="516">
        <v>170.63300000000001</v>
      </c>
      <c r="D147" s="516">
        <v>172.51400000000001</v>
      </c>
      <c r="E147" s="548">
        <v>163.19</v>
      </c>
      <c r="F147" s="548">
        <v>784.06600000000003</v>
      </c>
      <c r="G147" s="548">
        <v>763.03</v>
      </c>
      <c r="I147" s="4" t="s">
        <v>394</v>
      </c>
    </row>
    <row r="148" spans="1:9">
      <c r="A148" s="371" t="s">
        <v>589</v>
      </c>
      <c r="B148" s="518">
        <v>1.98</v>
      </c>
      <c r="C148" s="518">
        <v>1.94</v>
      </c>
      <c r="D148" s="518">
        <v>2.98</v>
      </c>
      <c r="E148" s="547">
        <v>0.74</v>
      </c>
      <c r="F148" s="547">
        <v>1.08</v>
      </c>
      <c r="G148" s="547">
        <v>1.47</v>
      </c>
      <c r="I148" s="4" t="s">
        <v>280</v>
      </c>
    </row>
    <row r="149" spans="1:9">
      <c r="A149" s="371" t="s">
        <v>590</v>
      </c>
      <c r="B149" s="519"/>
      <c r="C149" s="519">
        <f t="shared" ref="C149:G149" si="29">-C129/C147</f>
        <v>0</v>
      </c>
      <c r="D149" s="519">
        <f t="shared" si="29"/>
        <v>0</v>
      </c>
      <c r="E149" s="553">
        <f t="shared" si="29"/>
        <v>0</v>
      </c>
      <c r="F149" s="380">
        <f t="shared" si="29"/>
        <v>0</v>
      </c>
      <c r="G149" s="380">
        <f t="shared" si="29"/>
        <v>0</v>
      </c>
      <c r="I149" s="4" t="s">
        <v>281</v>
      </c>
    </row>
    <row r="150" spans="1:9">
      <c r="A150" s="458" t="s">
        <v>677</v>
      </c>
      <c r="B150" s="518">
        <v>21.35</v>
      </c>
      <c r="C150" s="518">
        <v>29.71</v>
      </c>
      <c r="D150" s="518">
        <v>48.89</v>
      </c>
      <c r="E150" s="547">
        <v>71.88</v>
      </c>
      <c r="F150" s="547">
        <v>58.53</v>
      </c>
      <c r="G150" s="547">
        <v>77.459999999999994</v>
      </c>
      <c r="H150" s="379"/>
      <c r="I150" s="4" t="s">
        <v>395</v>
      </c>
    </row>
    <row r="151" spans="1:9">
      <c r="B151" s="513"/>
      <c r="C151" s="513"/>
      <c r="D151" s="513"/>
      <c r="G151" s="371"/>
    </row>
    <row r="152" spans="1:9">
      <c r="B152" s="514"/>
      <c r="C152" s="514"/>
      <c r="D152" s="514"/>
      <c r="E152" s="23"/>
      <c r="F152" s="23"/>
      <c r="G152" s="23"/>
    </row>
    <row r="153" spans="1:9">
      <c r="A153" s="34" t="s">
        <v>417</v>
      </c>
      <c r="B153" s="35"/>
      <c r="C153" s="35"/>
      <c r="D153" s="35"/>
      <c r="E153" s="35"/>
      <c r="F153" s="35"/>
      <c r="G153" s="35"/>
    </row>
    <row r="154" spans="1:9">
      <c r="A154" s="35" t="s">
        <v>160</v>
      </c>
      <c r="B154" s="515">
        <f t="shared" ref="B154:G154" si="30">B33-B60</f>
        <v>0</v>
      </c>
      <c r="C154" s="515">
        <f t="shared" si="30"/>
        <v>0</v>
      </c>
      <c r="D154" s="515">
        <f t="shared" si="30"/>
        <v>0</v>
      </c>
      <c r="E154" s="515">
        <f t="shared" si="30"/>
        <v>0</v>
      </c>
      <c r="F154" s="35">
        <f t="shared" si="30"/>
        <v>0</v>
      </c>
      <c r="G154" s="35">
        <f t="shared" si="30"/>
        <v>0</v>
      </c>
      <c r="I154" s="4" t="s">
        <v>396</v>
      </c>
    </row>
    <row r="155" spans="1:9">
      <c r="A155" s="35" t="s">
        <v>161</v>
      </c>
      <c r="B155" s="35">
        <f t="shared" ref="B155:F155" si="31">B88-B89</f>
        <v>0</v>
      </c>
      <c r="C155" s="35">
        <f t="shared" si="31"/>
        <v>0</v>
      </c>
      <c r="D155" s="35">
        <f t="shared" si="31"/>
        <v>0</v>
      </c>
      <c r="E155" s="35">
        <f t="shared" si="31"/>
        <v>0</v>
      </c>
      <c r="F155" s="35">
        <f t="shared" si="31"/>
        <v>0</v>
      </c>
      <c r="G155" s="35">
        <f>G88-G89</f>
        <v>0</v>
      </c>
      <c r="I155" s="4" t="s">
        <v>397</v>
      </c>
    </row>
    <row r="156" spans="1:9">
      <c r="A156" s="35" t="s">
        <v>162</v>
      </c>
      <c r="B156" s="515"/>
      <c r="C156" s="515">
        <f>C134-(C16-B16)</f>
        <v>0</v>
      </c>
      <c r="D156" s="515">
        <f>D134-(D16-C16)</f>
        <v>3.4106051316484809E-13</v>
      </c>
      <c r="E156" s="35">
        <f>E134-(E16-D16)</f>
        <v>0</v>
      </c>
      <c r="F156" s="35">
        <f>F134-(F16-E16)</f>
        <v>0</v>
      </c>
      <c r="G156" s="35">
        <f>G134-(G16-F16)</f>
        <v>0</v>
      </c>
      <c r="I156" s="4" t="s">
        <v>398</v>
      </c>
    </row>
    <row r="159" spans="1:9">
      <c r="B159" s="36"/>
      <c r="C159" s="36"/>
      <c r="D159" s="36"/>
      <c r="E159" s="36"/>
      <c r="F159" s="36"/>
      <c r="G159" s="36"/>
    </row>
    <row r="160" spans="1:9">
      <c r="C160" s="36"/>
      <c r="D160" s="36"/>
      <c r="E160" s="36"/>
      <c r="F160" s="36"/>
      <c r="G160" s="36"/>
    </row>
    <row r="161" spans="3:7">
      <c r="C161" s="36"/>
      <c r="D161" s="36"/>
      <c r="E161" s="36"/>
      <c r="F161" s="36"/>
      <c r="G161" s="36"/>
    </row>
  </sheetData>
  <mergeCells count="9">
    <mergeCell ref="A93:G94"/>
    <mergeCell ref="A137:G139"/>
    <mergeCell ref="A51:G51"/>
    <mergeCell ref="A34:G34"/>
    <mergeCell ref="B9:G9"/>
    <mergeCell ref="B10:G10"/>
    <mergeCell ref="A14:G14"/>
    <mergeCell ref="A12:G13"/>
    <mergeCell ref="A64:G64"/>
  </mergeCells>
  <phoneticPr fontId="0" type="noConversion"/>
  <pageMargins left="0.75" right="0.75" top="1" bottom="1" header="0.5" footer="0.5"/>
  <pageSetup scale="83" orientation="portrait" r:id="rId1"/>
  <headerFooter alignWithMargins="0"/>
  <rowBreaks count="3" manualBreakCount="3">
    <brk id="60" max="6" man="1"/>
    <brk id="93" max="6" man="1"/>
    <brk id="138" max="6" man="1"/>
  </rowBreaks>
  <colBreaks count="1" manualBreakCount="1">
    <brk id="7" max="1048575" man="1"/>
  </col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1044-1969-4583-A171-703BF1B5CF0D}">
  <sheetPr>
    <tabColor theme="5" tint="-0.249977111117893"/>
  </sheetPr>
  <dimension ref="A1:Q231"/>
  <sheetViews>
    <sheetView tabSelected="1" topLeftCell="A121" zoomScale="103" zoomScaleNormal="119" workbookViewId="0">
      <selection activeCell="B148" sqref="B148"/>
    </sheetView>
  </sheetViews>
  <sheetFormatPr defaultColWidth="11.42578125" defaultRowHeight="12.75"/>
  <cols>
    <col min="1" max="1" width="11.42578125" style="604"/>
    <col min="2" max="2" width="41.42578125" style="604" customWidth="1"/>
    <col min="3" max="7" width="19.28515625" style="604" customWidth="1"/>
    <col min="8" max="10" width="8.85546875" style="604" customWidth="1"/>
    <col min="11" max="11" width="17.5703125" style="604" customWidth="1"/>
    <col min="12" max="14" width="11" style="604" customWidth="1"/>
    <col min="15" max="16384" width="11.42578125" style="604"/>
  </cols>
  <sheetData>
    <row r="1" spans="1:15">
      <c r="D1" s="1374" t="s">
        <v>928</v>
      </c>
      <c r="E1" s="1375"/>
      <c r="F1" s="1375"/>
      <c r="G1" s="1375"/>
      <c r="H1" s="1375"/>
      <c r="I1" s="1375"/>
      <c r="J1" s="1375"/>
      <c r="K1" s="1376"/>
    </row>
    <row r="2" spans="1:15">
      <c r="D2" s="1377"/>
      <c r="E2" s="1378"/>
      <c r="F2" s="1378"/>
      <c r="G2" s="1378"/>
      <c r="H2" s="1378"/>
      <c r="I2" s="1378"/>
      <c r="J2" s="1378"/>
      <c r="K2" s="1379"/>
    </row>
    <row r="3" spans="1:15" ht="13.5" thickBot="1">
      <c r="D3" s="1380"/>
      <c r="E3" s="1381"/>
      <c r="F3" s="1381"/>
      <c r="G3" s="1381"/>
      <c r="H3" s="1381"/>
      <c r="I3" s="1381"/>
      <c r="J3" s="1381"/>
      <c r="K3" s="1382"/>
    </row>
    <row r="4" spans="1:15" ht="15.75" customHeight="1">
      <c r="A4" s="636" t="s">
        <v>929</v>
      </c>
    </row>
    <row r="5" spans="1:15">
      <c r="C5" s="637" t="s">
        <v>469</v>
      </c>
      <c r="D5" s="638"/>
      <c r="E5" s="638"/>
      <c r="F5" s="639" t="s">
        <v>470</v>
      </c>
      <c r="G5" s="640"/>
      <c r="H5" s="640"/>
      <c r="I5" s="640"/>
      <c r="J5" s="640"/>
    </row>
    <row r="6" spans="1:15">
      <c r="C6" s="641"/>
      <c r="D6" s="641"/>
      <c r="E6" s="641"/>
      <c r="F6" s="641" t="s">
        <v>471</v>
      </c>
      <c r="G6" s="641" t="s">
        <v>472</v>
      </c>
      <c r="H6" s="641" t="s">
        <v>473</v>
      </c>
      <c r="I6" s="641" t="s">
        <v>474</v>
      </c>
      <c r="J6" s="641" t="s">
        <v>475</v>
      </c>
    </row>
    <row r="7" spans="1:15" s="642" customFormat="1">
      <c r="B7" s="643" t="s">
        <v>18</v>
      </c>
      <c r="C7" s="644" t="s">
        <v>872</v>
      </c>
      <c r="D7" s="644" t="s">
        <v>871</v>
      </c>
      <c r="E7" s="644" t="s">
        <v>870</v>
      </c>
      <c r="F7" s="645" t="s">
        <v>930</v>
      </c>
      <c r="G7" s="645" t="s">
        <v>931</v>
      </c>
      <c r="H7" s="645" t="s">
        <v>932</v>
      </c>
      <c r="I7" s="645" t="s">
        <v>933</v>
      </c>
      <c r="J7" s="645" t="s">
        <v>934</v>
      </c>
    </row>
    <row r="8" spans="1:15" ht="13.5" thickBot="1">
      <c r="B8" s="646" t="s">
        <v>935</v>
      </c>
      <c r="C8" s="647"/>
      <c r="D8" s="647"/>
      <c r="E8" s="647"/>
      <c r="F8" s="647"/>
      <c r="G8" s="647"/>
      <c r="H8" s="647"/>
      <c r="I8" s="647"/>
      <c r="J8" s="647"/>
      <c r="K8" s="648" t="s">
        <v>936</v>
      </c>
    </row>
    <row r="9" spans="1:15" ht="15" customHeight="1">
      <c r="B9" s="649" t="str">
        <f>'Forecast Development'!A22</f>
        <v>Americas:</v>
      </c>
      <c r="C9" s="682">
        <f>'Forecast Development'!B22</f>
        <v>1358.8</v>
      </c>
      <c r="D9" s="682">
        <f>'Forecast Development'!C22</f>
        <v>1785</v>
      </c>
      <c r="E9" s="682">
        <f>'Forecast Development'!D22</f>
        <v>2175.1999999999998</v>
      </c>
      <c r="F9" s="682">
        <f>'Forecast Development'!E22</f>
        <v>2392.7199999999998</v>
      </c>
      <c r="G9" s="682">
        <f>'Forecast Development'!F22</f>
        <v>2703.7735999999995</v>
      </c>
      <c r="H9" s="682">
        <f>'Forecast Development'!G22</f>
        <v>3109.3396399999992</v>
      </c>
      <c r="I9" s="682">
        <f>'Forecast Development'!H22</f>
        <v>3637.9273787999987</v>
      </c>
      <c r="J9" s="682">
        <f>'Forecast Development'!I22</f>
        <v>4329.1335807719979</v>
      </c>
      <c r="K9" s="650">
        <f>(J9/C9)^(1/7)-1</f>
        <v>0.18002771321975253</v>
      </c>
      <c r="L9" s="651" t="s">
        <v>884</v>
      </c>
      <c r="M9" s="1383" t="s">
        <v>937</v>
      </c>
      <c r="N9" s="1384"/>
      <c r="O9" s="1385"/>
    </row>
    <row r="10" spans="1:15" ht="15" customHeight="1" thickBot="1">
      <c r="B10" s="649" t="str">
        <f>'Forecast Development'!A23</f>
        <v>Europe, Middle East and Africa</v>
      </c>
      <c r="C10" s="682">
        <f>'Forecast Development'!B23</f>
        <v>1275.9000000000001</v>
      </c>
      <c r="D10" s="682">
        <f>'Forecast Development'!C23</f>
        <v>1691</v>
      </c>
      <c r="E10" s="682">
        <f>'Forecast Development'!D23</f>
        <v>2072.9</v>
      </c>
      <c r="F10" s="682">
        <f>'Forecast Development'!E23</f>
        <v>2363.1060000000002</v>
      </c>
      <c r="G10" s="682">
        <f>'Forecast Development'!F23</f>
        <v>2741.2029600000001</v>
      </c>
      <c r="H10" s="682">
        <f>'Forecast Development'!G23</f>
        <v>3234.6194928</v>
      </c>
      <c r="I10" s="682">
        <f>'Forecast Development'!H23</f>
        <v>3881.54339136</v>
      </c>
      <c r="J10" s="682">
        <f>'Forecast Development'!I23</f>
        <v>4735.4829374592</v>
      </c>
      <c r="K10" s="650">
        <f>(J10/C10)^(1/7)-1</f>
        <v>0.20604621040929083</v>
      </c>
      <c r="M10" s="1386"/>
      <c r="N10" s="1387"/>
      <c r="O10" s="1388"/>
    </row>
    <row r="11" spans="1:15">
      <c r="B11" s="649" t="str">
        <f>'Forecast Development'!A24</f>
        <v>Asia Pacific</v>
      </c>
      <c r="C11" s="682">
        <f>'Forecast Development'!B24</f>
        <v>707.5</v>
      </c>
      <c r="D11" s="682">
        <f>'Forecast Development'!C24</f>
        <v>940.6</v>
      </c>
      <c r="E11" s="682">
        <f>'Forecast Development'!D24</f>
        <v>1056.7</v>
      </c>
      <c r="F11" s="682">
        <f>'Forecast Development'!E24</f>
        <v>1162.3700000000001</v>
      </c>
      <c r="G11" s="682">
        <f>'Forecast Development'!F24</f>
        <v>1301.8544000000002</v>
      </c>
      <c r="H11" s="682">
        <f>'Forecast Development'!G24</f>
        <v>1484.1140160000004</v>
      </c>
      <c r="I11" s="682">
        <f>'Forecast Development'!H24</f>
        <v>1721.5722585600004</v>
      </c>
      <c r="J11" s="682">
        <f>'Forecast Development'!I24</f>
        <v>2031.4552651008003</v>
      </c>
      <c r="K11" s="650">
        <f>(J11/C11)^(1/7)-1</f>
        <v>0.16262623038671031</v>
      </c>
    </row>
    <row r="12" spans="1:15">
      <c r="B12" s="643" t="s">
        <v>938</v>
      </c>
      <c r="C12" s="682">
        <f>'Forecast Development'!B25</f>
        <v>3342.2</v>
      </c>
      <c r="D12" s="682">
        <f>'Forecast Development'!C25</f>
        <v>4416.6000000000004</v>
      </c>
      <c r="E12" s="682">
        <f>'Forecast Development'!D25</f>
        <v>5304.8</v>
      </c>
      <c r="F12" s="682">
        <f>'Forecast Development'!E25</f>
        <v>5918.1959999999999</v>
      </c>
      <c r="G12" s="682">
        <f>'Forecast Development'!F25</f>
        <v>6746.8309599999993</v>
      </c>
      <c r="H12" s="682">
        <f>'Forecast Development'!G25</f>
        <v>7828.0731487999992</v>
      </c>
      <c r="I12" s="682">
        <f>'Forecast Development'!H25</f>
        <v>9241.0430287199979</v>
      </c>
      <c r="J12" s="682">
        <f>'Forecast Development'!I25</f>
        <v>11096.071783331998</v>
      </c>
      <c r="K12" s="650">
        <f>(J12/C12)^(1/7)-1</f>
        <v>0.18699288990992513</v>
      </c>
    </row>
    <row r="13" spans="1:15">
      <c r="B13" s="652" t="s">
        <v>939</v>
      </c>
    </row>
    <row r="15" spans="1:15" ht="15.75">
      <c r="A15" s="653" t="s">
        <v>940</v>
      </c>
      <c r="B15" s="654"/>
    </row>
    <row r="16" spans="1:15">
      <c r="A16" s="654"/>
      <c r="B16" s="654"/>
    </row>
    <row r="17" spans="1:2">
      <c r="A17" s="654"/>
      <c r="B17" s="654"/>
    </row>
    <row r="18" spans="1:2">
      <c r="A18" s="654"/>
      <c r="B18" s="654"/>
    </row>
    <row r="19" spans="1:2">
      <c r="A19" s="654"/>
      <c r="B19" s="654"/>
    </row>
    <row r="20" spans="1:2">
      <c r="A20" s="654"/>
      <c r="B20" s="654"/>
    </row>
    <row r="21" spans="1:2">
      <c r="A21" s="654"/>
      <c r="B21" s="654"/>
    </row>
    <row r="22" spans="1:2">
      <c r="A22" s="654"/>
      <c r="B22" s="654"/>
    </row>
    <row r="23" spans="1:2">
      <c r="A23" s="654"/>
      <c r="B23" s="654"/>
    </row>
    <row r="24" spans="1:2">
      <c r="A24" s="654"/>
      <c r="B24" s="654"/>
    </row>
    <row r="25" spans="1:2">
      <c r="A25" s="654"/>
      <c r="B25" s="654"/>
    </row>
    <row r="26" spans="1:2">
      <c r="A26" s="654"/>
      <c r="B26" s="654"/>
    </row>
    <row r="27" spans="1:2">
      <c r="A27" s="654"/>
      <c r="B27" s="654"/>
    </row>
    <row r="28" spans="1:2">
      <c r="A28" s="654"/>
      <c r="B28" s="654"/>
    </row>
    <row r="29" spans="1:2">
      <c r="A29" s="654"/>
      <c r="B29" s="654"/>
    </row>
    <row r="30" spans="1:2">
      <c r="A30" s="654"/>
      <c r="B30" s="654"/>
    </row>
    <row r="31" spans="1:2">
      <c r="A31" s="654"/>
      <c r="B31" s="654"/>
    </row>
    <row r="32" spans="1:2">
      <c r="A32" s="654"/>
      <c r="B32" s="654"/>
    </row>
    <row r="33" spans="1:2">
      <c r="A33" s="654"/>
      <c r="B33" s="654"/>
    </row>
    <row r="34" spans="1:2" ht="15.75">
      <c r="A34" s="653" t="s">
        <v>941</v>
      </c>
      <c r="B34" s="654"/>
    </row>
    <row r="35" spans="1:2">
      <c r="A35" s="654"/>
      <c r="B35" s="654"/>
    </row>
    <row r="36" spans="1:2">
      <c r="A36" s="654"/>
      <c r="B36" s="654"/>
    </row>
    <row r="37" spans="1:2">
      <c r="A37" s="654"/>
      <c r="B37" s="654"/>
    </row>
    <row r="57" spans="1:11" ht="15.75">
      <c r="A57" s="653" t="s">
        <v>942</v>
      </c>
    </row>
    <row r="59" spans="1:11" ht="13.5" thickBot="1">
      <c r="B59" s="643" t="s">
        <v>477</v>
      </c>
      <c r="C59" s="655" t="s">
        <v>469</v>
      </c>
      <c r="D59" s="656"/>
      <c r="E59" s="656"/>
      <c r="F59" s="657" t="s">
        <v>470</v>
      </c>
      <c r="G59" s="658"/>
      <c r="H59" s="658"/>
      <c r="I59" s="658"/>
      <c r="J59" s="658"/>
    </row>
    <row r="60" spans="1:11" ht="13.5" thickBot="1">
      <c r="B60" s="949" t="s">
        <v>18</v>
      </c>
      <c r="C60" s="950">
        <v>2021</v>
      </c>
      <c r="D60" s="950">
        <v>2022</v>
      </c>
      <c r="E60" s="950">
        <v>2023</v>
      </c>
      <c r="F60" s="950" t="s">
        <v>471</v>
      </c>
      <c r="G60" s="950" t="s">
        <v>472</v>
      </c>
      <c r="H60" s="950" t="s">
        <v>473</v>
      </c>
      <c r="I60" s="950" t="s">
        <v>474</v>
      </c>
      <c r="J60" s="951" t="s">
        <v>475</v>
      </c>
    </row>
    <row r="61" spans="1:11">
      <c r="B61" s="685" t="str">
        <f>Data!A65</f>
        <v>Revenues</v>
      </c>
      <c r="C61" s="687">
        <f>Forecasts!B21</f>
        <v>3342.2</v>
      </c>
      <c r="D61" s="687">
        <f>Forecasts!C21</f>
        <v>4417.3999999999996</v>
      </c>
      <c r="E61" s="687">
        <f>Forecasts!D21</f>
        <v>5304.8</v>
      </c>
      <c r="F61" s="688">
        <f>Forecasts!E21</f>
        <v>5918.1959999999999</v>
      </c>
      <c r="G61" s="688">
        <f>Forecasts!F21</f>
        <v>6746.8309599999993</v>
      </c>
      <c r="H61" s="688">
        <f>Forecasts!G21</f>
        <v>7828.0731487999992</v>
      </c>
      <c r="I61" s="688">
        <f>Forecasts!H21</f>
        <v>9241.0430287199979</v>
      </c>
      <c r="J61" s="689">
        <f>Forecasts!I21</f>
        <v>11096.071783331998</v>
      </c>
    </row>
    <row r="62" spans="1:11" ht="13.5" thickBot="1">
      <c r="B62" s="686" t="str">
        <f>Data!A66</f>
        <v>&lt;Cost of goods sold&gt;</v>
      </c>
      <c r="C62" s="690">
        <f>Forecasts!B24</f>
        <v>-783</v>
      </c>
      <c r="D62" s="690">
        <f>Forecasts!C24</f>
        <v>-1084.9000000000001</v>
      </c>
      <c r="E62" s="690">
        <f>Forecasts!D24</f>
        <v>-1237.2</v>
      </c>
      <c r="F62" s="691">
        <f>Forecasts!E24</f>
        <v>-1242.82116</v>
      </c>
      <c r="G62" s="691">
        <f>Forecasts!F24</f>
        <v>-1416.8345015999998</v>
      </c>
      <c r="H62" s="691">
        <f>Forecasts!G24</f>
        <v>-1565.6146297599998</v>
      </c>
      <c r="I62" s="691">
        <f>Forecasts!H24</f>
        <v>-1755.7981754567995</v>
      </c>
      <c r="J62" s="692">
        <f>Forecasts!I24</f>
        <v>-1997.2929209997594</v>
      </c>
    </row>
    <row r="63" spans="1:11" ht="13.5" thickBot="1">
      <c r="B63" s="683" t="str">
        <f>Data!A67</f>
        <v xml:space="preserve">  Gross Profit</v>
      </c>
      <c r="C63" s="693">
        <f>SUM(C61:C62)</f>
        <v>2559.1999999999998</v>
      </c>
      <c r="D63" s="693">
        <f t="shared" ref="D63:E63" si="0">SUM(D61:D62)</f>
        <v>3332.4999999999995</v>
      </c>
      <c r="E63" s="693">
        <f t="shared" si="0"/>
        <v>4067.6000000000004</v>
      </c>
      <c r="F63" s="694">
        <f t="shared" ref="F63" si="1">SUM(F61:F62)</f>
        <v>4675.3748400000004</v>
      </c>
      <c r="G63" s="694">
        <f t="shared" ref="G63" si="2">SUM(G61:G62)</f>
        <v>5329.996458399999</v>
      </c>
      <c r="H63" s="694">
        <f t="shared" ref="H63" si="3">SUM(H61:H62)</f>
        <v>6262.4585190399994</v>
      </c>
      <c r="I63" s="694">
        <f t="shared" ref="I63" si="4">SUM(I61:I62)</f>
        <v>7485.2448532631988</v>
      </c>
      <c r="J63" s="694">
        <f t="shared" ref="J63" si="5">SUM(J61:J62)</f>
        <v>9098.7788623322376</v>
      </c>
      <c r="K63" s="642"/>
    </row>
    <row r="64" spans="1:11">
      <c r="B64" s="686" t="str">
        <f>Data!A68</f>
        <v>&lt;Research and Development&gt;</v>
      </c>
      <c r="C64" s="690">
        <f>Forecasts!B31</f>
        <v>-396.06666666666666</v>
      </c>
      <c r="D64" s="690">
        <f>Forecasts!C31</f>
        <v>-477.63333333333333</v>
      </c>
      <c r="E64" s="690">
        <f>Forecasts!D31</f>
        <v>-576</v>
      </c>
      <c r="F64" s="691">
        <f>Forecasts!E31</f>
        <v>-645.08336399999996</v>
      </c>
      <c r="G64" s="691">
        <f>Forecasts!F31</f>
        <v>-735.40457463999996</v>
      </c>
      <c r="H64" s="691">
        <f>Forecasts!G31</f>
        <v>-853.25997321919988</v>
      </c>
      <c r="I64" s="691">
        <f>Forecasts!H31</f>
        <v>-1007.2736901304797</v>
      </c>
      <c r="J64" s="692">
        <f>Forecasts!I31</f>
        <v>-1209.4718243831878</v>
      </c>
    </row>
    <row r="65" spans="2:10">
      <c r="B65" s="686" t="str">
        <f>Data!A69</f>
        <v>&lt;Sles and Marketing&gt;</v>
      </c>
      <c r="C65" s="690">
        <f>Forecasts!B34</f>
        <v>-1317.5666666666666</v>
      </c>
      <c r="D65" s="690">
        <f>Forecasts!C34</f>
        <v>-1651.3333333333333</v>
      </c>
      <c r="E65" s="690">
        <f>Forecasts!D34</f>
        <v>-1968.2</v>
      </c>
      <c r="F65" s="691">
        <f>Forecasts!E34</f>
        <v>-2071.3685999999998</v>
      </c>
      <c r="G65" s="691">
        <f>Forecasts!F34</f>
        <v>-2361.3908359999996</v>
      </c>
      <c r="H65" s="691">
        <f>Forecasts!G34</f>
        <v>-2739.8256020799995</v>
      </c>
      <c r="I65" s="691">
        <f>Forecasts!H34</f>
        <v>-3234.3650600519991</v>
      </c>
      <c r="J65" s="692">
        <f>Forecasts!I34</f>
        <v>-3883.6251241661989</v>
      </c>
    </row>
    <row r="66" spans="2:10">
      <c r="B66" s="686" t="str">
        <f>Data!A70</f>
        <v>&lt;Depreciation and Amortization&gt;</v>
      </c>
      <c r="C66" s="690">
        <f>Forecasts!B37</f>
        <v>-84.4</v>
      </c>
      <c r="D66" s="690">
        <f>Forecasts!C37</f>
        <v>-104.3</v>
      </c>
      <c r="E66" s="690">
        <f>Forecasts!D37</f>
        <v>-113.4</v>
      </c>
      <c r="F66" s="691">
        <f>Forecasts!E37</f>
        <v>-131.05320101497048</v>
      </c>
      <c r="G66" s="691">
        <f>Forecasts!F37</f>
        <v>-142.82776901513012</v>
      </c>
      <c r="H66" s="691">
        <f>Forecasts!G37</f>
        <v>-152.6067590133658</v>
      </c>
      <c r="I66" s="691">
        <f>Forecasts!H37</f>
        <v>-160.72838567383414</v>
      </c>
      <c r="J66" s="692">
        <f>Forecasts!I37</f>
        <v>-575.27443438990633</v>
      </c>
    </row>
    <row r="67" spans="2:10">
      <c r="B67" s="686" t="str">
        <f>Data!A71</f>
        <v>&lt;Selling, General and Administrative Expenses&gt;</v>
      </c>
      <c r="C67" s="690">
        <f>Forecasts!B40</f>
        <v>-115.36666666666666</v>
      </c>
      <c r="D67" s="690">
        <f>Forecasts!C40</f>
        <v>-134.23333333333335</v>
      </c>
      <c r="E67" s="690">
        <f>Forecasts!D40</f>
        <v>-173.5</v>
      </c>
      <c r="F67" s="691">
        <f>Forecasts!E40</f>
        <v>-195.300468</v>
      </c>
      <c r="G67" s="691">
        <f>Forecasts!F40</f>
        <v>-222.64542168</v>
      </c>
      <c r="H67" s="691">
        <f>Forecasts!G40</f>
        <v>-258.32641391039999</v>
      </c>
      <c r="I67" s="691">
        <f>Forecasts!H40</f>
        <v>-304.95441994775996</v>
      </c>
      <c r="J67" s="692">
        <f>Forecasts!I40</f>
        <v>-366.17036884995593</v>
      </c>
    </row>
    <row r="68" spans="2:10">
      <c r="B68" s="686" t="str">
        <f>Data!A72</f>
        <v>Other operating expenses (1)</v>
      </c>
      <c r="C68" s="690">
        <f>Forecasts!B43</f>
        <v>0</v>
      </c>
      <c r="D68" s="690">
        <f>Forecasts!C43</f>
        <v>0</v>
      </c>
      <c r="E68" s="690">
        <f>Forecasts!D43</f>
        <v>0</v>
      </c>
      <c r="F68" s="691">
        <f>Forecasts!E43</f>
        <v>0</v>
      </c>
      <c r="G68" s="691">
        <f>Forecasts!F43</f>
        <v>0</v>
      </c>
      <c r="H68" s="691">
        <f>Forecasts!G43</f>
        <v>0</v>
      </c>
      <c r="I68" s="691">
        <f>Forecasts!H43</f>
        <v>0</v>
      </c>
      <c r="J68" s="692">
        <f>Forecasts!I43</f>
        <v>0</v>
      </c>
    </row>
    <row r="69" spans="2:10">
      <c r="B69" s="686" t="str">
        <f>Data!A73</f>
        <v>Other operating expenses (2)</v>
      </c>
      <c r="C69" s="690">
        <f>Forecasts!B46</f>
        <v>0</v>
      </c>
      <c r="D69" s="690">
        <f>Forecasts!C46</f>
        <v>0</v>
      </c>
      <c r="E69" s="690">
        <f>Forecasts!D46</f>
        <v>0</v>
      </c>
      <c r="F69" s="691">
        <f>Forecasts!E46</f>
        <v>0</v>
      </c>
      <c r="G69" s="691">
        <f>Forecasts!F46</f>
        <v>0</v>
      </c>
      <c r="H69" s="691">
        <f>Forecasts!G46</f>
        <v>0</v>
      </c>
      <c r="I69" s="691">
        <f>Forecasts!H46</f>
        <v>0</v>
      </c>
      <c r="J69" s="692">
        <f>Forecasts!I46</f>
        <v>0</v>
      </c>
    </row>
    <row r="70" spans="2:10">
      <c r="B70" s="686" t="str">
        <f>Data!A74</f>
        <v>Income from equity investees</v>
      </c>
      <c r="C70" s="690">
        <f>Forecasts!B49</f>
        <v>0</v>
      </c>
      <c r="D70" s="690">
        <f>Forecasts!C49</f>
        <v>0</v>
      </c>
      <c r="E70" s="690">
        <f>Forecasts!D49</f>
        <v>0</v>
      </c>
      <c r="F70" s="691">
        <f>Forecasts!E49</f>
        <v>0</v>
      </c>
      <c r="G70" s="691">
        <f>Forecasts!F49</f>
        <v>0</v>
      </c>
      <c r="H70" s="691">
        <f>Forecasts!G49</f>
        <v>0</v>
      </c>
      <c r="I70" s="691">
        <f>Forecasts!H49</f>
        <v>0</v>
      </c>
      <c r="J70" s="692">
        <f>Forecasts!I49</f>
        <v>0</v>
      </c>
    </row>
    <row r="71" spans="2:10" ht="13.5" thickBot="1">
      <c r="B71" s="686" t="str">
        <f>Data!A75</f>
        <v>Gain on intellectual property matter</v>
      </c>
      <c r="C71" s="690">
        <f>Forecasts!B52</f>
        <v>4.5999999999999996</v>
      </c>
      <c r="D71" s="690">
        <f>Forecasts!C52</f>
        <v>4.5999999999999996</v>
      </c>
      <c r="E71" s="690">
        <f>Forecasts!D52</f>
        <v>4.5999999999999996</v>
      </c>
      <c r="F71" s="691">
        <f>Forecasts!E52</f>
        <v>5.918196</v>
      </c>
      <c r="G71" s="691">
        <f>Forecasts!F52</f>
        <v>6.7468309599999996</v>
      </c>
      <c r="H71" s="691">
        <f>Forecasts!G52</f>
        <v>7.8280731487999997</v>
      </c>
      <c r="I71" s="691">
        <f>Forecasts!H52</f>
        <v>9.2410430287199983</v>
      </c>
      <c r="J71" s="692">
        <f>Forecasts!I52</f>
        <v>11.096071783331999</v>
      </c>
    </row>
    <row r="72" spans="2:10" ht="13.5" thickBot="1">
      <c r="B72" s="683" t="str">
        <f>Data!A76</f>
        <v xml:space="preserve">  Operating Income</v>
      </c>
      <c r="C72" s="693">
        <f>Forecasts!B55</f>
        <v>650.4</v>
      </c>
      <c r="D72" s="693">
        <f>Forecasts!C55</f>
        <v>969.5999999999998</v>
      </c>
      <c r="E72" s="693">
        <f>Forecasts!D55</f>
        <v>1241.1000000000001</v>
      </c>
      <c r="F72" s="694">
        <f>Forecasts!E55</f>
        <v>1638.4874029850303</v>
      </c>
      <c r="G72" s="694">
        <f>Forecasts!F55</f>
        <v>1874.4746880248697</v>
      </c>
      <c r="H72" s="694">
        <f>Forecasts!G55</f>
        <v>2266.2678439658339</v>
      </c>
      <c r="I72" s="694">
        <f>Forecasts!H55</f>
        <v>2787.1643404878459</v>
      </c>
      <c r="J72" s="694">
        <f>Forecasts!I55</f>
        <v>3075.3331823263206</v>
      </c>
    </row>
    <row r="73" spans="2:10">
      <c r="B73" s="686" t="str">
        <f>Data!A77</f>
        <v>Interest income - NET</v>
      </c>
      <c r="C73" s="690">
        <f>Forecasts!B59</f>
        <v>-10.4</v>
      </c>
      <c r="D73" s="690">
        <f>Forecasts!C59</f>
        <v>-0.6</v>
      </c>
      <c r="E73" s="690">
        <f>Forecasts!D59</f>
        <v>98.7</v>
      </c>
      <c r="F73" s="691">
        <f>Forecasts!E59</f>
        <v>110.82062250000001</v>
      </c>
      <c r="G73" s="691">
        <f>Forecasts!F59</f>
        <v>114.78687727499998</v>
      </c>
      <c r="H73" s="691">
        <f>Forecasts!G59</f>
        <v>118.89778513725001</v>
      </c>
      <c r="I73" s="691">
        <f>Forecasts!H59</f>
        <v>123.15871229712754</v>
      </c>
      <c r="J73" s="692">
        <f>Forecasts!I59</f>
        <v>127.57522701603175</v>
      </c>
    </row>
    <row r="74" spans="2:10">
      <c r="B74" s="686" t="str">
        <f>Data!A78</f>
        <v>Other expense - NET</v>
      </c>
      <c r="C74" s="690">
        <f>Forecasts!B62</f>
        <v>-11.6</v>
      </c>
      <c r="D74" s="690">
        <f>Forecasts!C62</f>
        <v>-13.5</v>
      </c>
      <c r="E74" s="690">
        <f>Forecasts!D62</f>
        <v>-6.1</v>
      </c>
      <c r="F74" s="691">
        <f>Forecasts!E62</f>
        <v>-18.45</v>
      </c>
      <c r="G74" s="691">
        <f>Forecasts!F62</f>
        <v>-19.372499999999999</v>
      </c>
      <c r="H74" s="691">
        <f>Forecasts!G62</f>
        <v>-20.341124999999998</v>
      </c>
      <c r="I74" s="691">
        <f>Forecasts!H62</f>
        <v>-21.358181250000001</v>
      </c>
      <c r="J74" s="692">
        <f>Forecasts!I62</f>
        <v>-22.426090312500001</v>
      </c>
    </row>
    <row r="75" spans="2:10">
      <c r="B75" s="686" t="str">
        <f>Data!A79</f>
        <v>Income &lt;Loss&gt; from equity affiliates</v>
      </c>
      <c r="C75" s="690">
        <f>Forecasts!B65</f>
        <v>0</v>
      </c>
      <c r="D75" s="690">
        <f>Forecasts!C65</f>
        <v>0</v>
      </c>
      <c r="E75" s="690">
        <f>Forecasts!D65</f>
        <v>0</v>
      </c>
      <c r="F75" s="691">
        <f>Forecasts!E65</f>
        <v>0</v>
      </c>
      <c r="G75" s="691">
        <f>Forecasts!F65</f>
        <v>0</v>
      </c>
      <c r="H75" s="691">
        <f>Forecasts!G65</f>
        <v>0</v>
      </c>
      <c r="I75" s="691">
        <f>Forecasts!H65</f>
        <v>0</v>
      </c>
      <c r="J75" s="692">
        <f>Forecasts!I65</f>
        <v>0</v>
      </c>
    </row>
    <row r="76" spans="2:10" ht="13.5" thickBot="1">
      <c r="B76" s="686" t="str">
        <f>Data!A80</f>
        <v>Other income or gains &lt;Other expenses or losses&gt;</v>
      </c>
      <c r="C76" s="695">
        <f>Forecasts!B68</f>
        <v>0</v>
      </c>
      <c r="D76" s="695">
        <f>Forecasts!C68</f>
        <v>0</v>
      </c>
      <c r="E76" s="695">
        <f>Forecasts!D68</f>
        <v>0</v>
      </c>
      <c r="F76" s="691">
        <f>Forecasts!E68</f>
        <v>0</v>
      </c>
      <c r="G76" s="691">
        <f>Forecasts!F68</f>
        <v>0</v>
      </c>
      <c r="H76" s="691">
        <f>Forecasts!G68</f>
        <v>0</v>
      </c>
      <c r="I76" s="691">
        <f>Forecasts!H68</f>
        <v>0</v>
      </c>
      <c r="J76" s="692">
        <f>Forecasts!I68</f>
        <v>0</v>
      </c>
    </row>
    <row r="77" spans="2:10" ht="13.5" thickBot="1">
      <c r="B77" s="683" t="str">
        <f>Data!A81</f>
        <v xml:space="preserve">  Income before Tax</v>
      </c>
      <c r="C77" s="693">
        <f>Forecasts!B71</f>
        <v>628.4</v>
      </c>
      <c r="D77" s="693">
        <f>Forecasts!C71</f>
        <v>955.49999999999977</v>
      </c>
      <c r="E77" s="693">
        <f>Forecasts!D71</f>
        <v>1333.7000000000003</v>
      </c>
      <c r="F77" s="694">
        <f>Forecasts!E71</f>
        <v>1730.8580254850301</v>
      </c>
      <c r="G77" s="694">
        <f>Forecasts!F71</f>
        <v>1969.8890652998698</v>
      </c>
      <c r="H77" s="694">
        <f>Forecasts!G71</f>
        <v>2364.8245041030841</v>
      </c>
      <c r="I77" s="694">
        <f>Forecasts!H71</f>
        <v>2888.9648715349736</v>
      </c>
      <c r="J77" s="694">
        <f>Forecasts!I71</f>
        <v>3180.4823190298525</v>
      </c>
    </row>
    <row r="78" spans="2:10">
      <c r="B78" s="686" t="str">
        <f>Data!A82</f>
        <v>Provision for (Benefit from) Income Taxes (+Benefit, - Provision)</v>
      </c>
      <c r="C78" s="690">
        <f>Forecasts!B75</f>
        <v>-14.1</v>
      </c>
      <c r="D78" s="690">
        <f>Forecasts!C75</f>
        <v>-30.8</v>
      </c>
      <c r="E78" s="690">
        <f>Forecasts!D75</f>
        <v>-143.80000000000001</v>
      </c>
      <c r="F78" s="691">
        <f>Forecasts!E75</f>
        <v>-294.24586433245514</v>
      </c>
      <c r="G78" s="691">
        <f>Forecasts!F75</f>
        <v>-334.88114110097791</v>
      </c>
      <c r="H78" s="691">
        <f>Forecasts!G75</f>
        <v>-402.02016569752431</v>
      </c>
      <c r="I78" s="691">
        <f>Forecasts!H75</f>
        <v>-491.12402816094556</v>
      </c>
      <c r="J78" s="692">
        <f>Forecasts!I75</f>
        <v>-540.68199423507497</v>
      </c>
    </row>
    <row r="79" spans="2:10">
      <c r="B79" s="686" t="str">
        <f>Data!A83</f>
        <v>Income &lt;Loss&gt; from discontinued operations (+Income, - Loss)</v>
      </c>
      <c r="C79" s="690">
        <f>Forecasts!B78</f>
        <v>-7.6</v>
      </c>
      <c r="D79" s="690">
        <f>Forecasts!C78</f>
        <v>-68.099999999999994</v>
      </c>
      <c r="E79" s="690">
        <f>Forecasts!D78</f>
        <v>-42.1</v>
      </c>
      <c r="F79" s="691">
        <f>Forecasts!E78</f>
        <v>-47.345568</v>
      </c>
      <c r="G79" s="691">
        <f>Forecasts!F78</f>
        <v>-53.974647679999997</v>
      </c>
      <c r="H79" s="691">
        <f>Forecasts!G78</f>
        <v>-62.624585190399998</v>
      </c>
      <c r="I79" s="691">
        <f>Forecasts!H78</f>
        <v>-73.928344229759986</v>
      </c>
      <c r="J79" s="692">
        <f>Forecasts!I78</f>
        <v>-88.768574266655989</v>
      </c>
    </row>
    <row r="80" spans="2:10">
      <c r="B80" s="686" t="str">
        <f>Data!A84</f>
        <v>Extraordinary gains &lt;losses&gt;</v>
      </c>
      <c r="C80" s="690">
        <f>Data!B84</f>
        <v>0</v>
      </c>
      <c r="D80" s="690">
        <f>Data!C84</f>
        <v>0</v>
      </c>
      <c r="E80" s="690">
        <f>Data!D84</f>
        <v>0</v>
      </c>
      <c r="F80" s="691">
        <f>Data!E84</f>
        <v>0</v>
      </c>
      <c r="G80" s="691">
        <f>Data!F84</f>
        <v>0</v>
      </c>
      <c r="H80" s="691">
        <f>Data!G84</f>
        <v>0</v>
      </c>
      <c r="I80" s="691">
        <f>Data!H84</f>
        <v>0</v>
      </c>
      <c r="J80" s="692">
        <v>0</v>
      </c>
    </row>
    <row r="81" spans="1:10" ht="13.5" thickBot="1">
      <c r="B81" s="686" t="str">
        <f>Data!A85</f>
        <v>Changes in accounting principles</v>
      </c>
      <c r="C81" s="690">
        <f>Forecasts!B81</f>
        <v>0</v>
      </c>
      <c r="D81" s="690">
        <f>Forecasts!C81</f>
        <v>0</v>
      </c>
      <c r="E81" s="690">
        <f>Forecasts!D81</f>
        <v>0</v>
      </c>
      <c r="F81" s="691">
        <f>Forecasts!E81</f>
        <v>0</v>
      </c>
      <c r="G81" s="691">
        <f>Forecasts!F81</f>
        <v>0</v>
      </c>
      <c r="H81" s="691">
        <f>Forecasts!G81</f>
        <v>0</v>
      </c>
      <c r="I81" s="691">
        <f>Forecasts!H81</f>
        <v>0</v>
      </c>
      <c r="J81" s="692">
        <f>Forecasts!I81</f>
        <v>0</v>
      </c>
    </row>
    <row r="82" spans="1:10" ht="13.5" thickBot="1">
      <c r="B82" s="684" t="str">
        <f>Data!A86</f>
        <v xml:space="preserve">  Net Income </v>
      </c>
      <c r="C82" s="693">
        <f>Forecasts!B84</f>
        <v>606.69999999999993</v>
      </c>
      <c r="D82" s="693">
        <f>Forecasts!C84</f>
        <v>856.5999999999998</v>
      </c>
      <c r="E82" s="693">
        <f>Forecasts!D84</f>
        <v>1147.8000000000004</v>
      </c>
      <c r="F82" s="694">
        <f>Forecasts!E84</f>
        <v>1389.2665931525751</v>
      </c>
      <c r="G82" s="694">
        <f>Forecasts!F84</f>
        <v>1581.0332765188919</v>
      </c>
      <c r="H82" s="694">
        <f>Forecasts!G84</f>
        <v>1900.1797532151597</v>
      </c>
      <c r="I82" s="694">
        <f>Forecasts!H84</f>
        <v>2323.9124991442677</v>
      </c>
      <c r="J82" s="694">
        <f>Forecasts!I84</f>
        <v>2551.0317505281218</v>
      </c>
    </row>
    <row r="83" spans="1:10" ht="13.5" thickBot="1">
      <c r="B83" s="686" t="str">
        <f>Data!A87</f>
        <v>Less: Net loss attributable to non-controlling interestsm net of tax (- and loss = +)</v>
      </c>
      <c r="C83" s="690">
        <f>Forecasts!B87</f>
        <v>0.1</v>
      </c>
      <c r="D83" s="690">
        <f>Forecasts!C87</f>
        <v>0.7</v>
      </c>
      <c r="E83" s="690">
        <f>Forecasts!D87</f>
        <v>0</v>
      </c>
      <c r="F83" s="691">
        <f>Forecasts!E87</f>
        <v>0</v>
      </c>
      <c r="G83" s="691">
        <f>Forecasts!F87</f>
        <v>0</v>
      </c>
      <c r="H83" s="691">
        <f>Forecasts!G87</f>
        <v>0</v>
      </c>
      <c r="I83" s="691">
        <f>Forecasts!H87</f>
        <v>0</v>
      </c>
      <c r="J83" s="692">
        <f>Forecasts!I87</f>
        <v>0</v>
      </c>
    </row>
    <row r="84" spans="1:10" ht="13.5" thickBot="1">
      <c r="B84" s="684" t="str">
        <f>Data!A88</f>
        <v xml:space="preserve">  Net Income attributable to common shareholders</v>
      </c>
      <c r="C84" s="693">
        <f>Forecasts!B90</f>
        <v>606.79999999999995</v>
      </c>
      <c r="D84" s="693">
        <f>Forecasts!C90</f>
        <v>857.29999999999984</v>
      </c>
      <c r="E84" s="693">
        <f>Forecasts!D90</f>
        <v>1147.8000000000004</v>
      </c>
      <c r="F84" s="694">
        <f>Forecasts!E90</f>
        <v>1389.2665931525751</v>
      </c>
      <c r="G84" s="694">
        <f>Forecasts!F90</f>
        <v>1581.0332765188919</v>
      </c>
      <c r="H84" s="694">
        <f>Forecasts!G90</f>
        <v>1900.1797532151597</v>
      </c>
      <c r="I84" s="694">
        <f>Forecasts!H90</f>
        <v>2323.9124991442677</v>
      </c>
      <c r="J84" s="694">
        <f>Forecasts!I90</f>
        <v>2551.0317505281218</v>
      </c>
    </row>
    <row r="85" spans="1:10" ht="13.5" thickBot="1">
      <c r="B85" s="686" t="str">
        <f>Data!A91</f>
        <v>Other comprehensive income (loss)</v>
      </c>
      <c r="C85" s="690">
        <f>Forecasts!B94</f>
        <v>-5.4</v>
      </c>
      <c r="D85" s="690">
        <f>Forecasts!C94</f>
        <v>-14.7</v>
      </c>
      <c r="E85" s="690">
        <f>Forecasts!D94</f>
        <v>1.3</v>
      </c>
      <c r="F85" s="691">
        <f>Forecasts!E94</f>
        <v>2.959098</v>
      </c>
      <c r="G85" s="691">
        <f>Forecasts!F94</f>
        <v>3.3734154799999998</v>
      </c>
      <c r="H85" s="691">
        <f>Forecasts!G94</f>
        <v>3.9140365743999999</v>
      </c>
      <c r="I85" s="691">
        <f>Forecasts!H94</f>
        <v>4.6205215143599991</v>
      </c>
      <c r="J85" s="692">
        <f>Forecasts!I94</f>
        <v>5.5480358916659993</v>
      </c>
    </row>
    <row r="86" spans="1:10" ht="13.5" thickBot="1">
      <c r="B86" s="684" t="str">
        <f>Data!A92</f>
        <v>Comprehensive Income</v>
      </c>
      <c r="C86" s="693">
        <f>Forecasts!B97</f>
        <v>601.29999999999995</v>
      </c>
      <c r="D86" s="693">
        <f>Forecasts!C97</f>
        <v>841.89999999999975</v>
      </c>
      <c r="E86" s="693">
        <f>Forecasts!D97</f>
        <v>1149.1000000000004</v>
      </c>
      <c r="F86" s="694">
        <f>Forecasts!E97</f>
        <v>1392.2256911525751</v>
      </c>
      <c r="G86" s="694">
        <f>Forecasts!F97</f>
        <v>1584.4066919988918</v>
      </c>
      <c r="H86" s="694">
        <f>Forecasts!G97</f>
        <v>1904.0937897895597</v>
      </c>
      <c r="I86" s="694">
        <f>Forecasts!H97</f>
        <v>2328.5330206586277</v>
      </c>
      <c r="J86" s="694">
        <f>Forecasts!I97</f>
        <v>2556.579786419788</v>
      </c>
    </row>
    <row r="87" spans="1:10">
      <c r="B87" s="652" t="s">
        <v>939</v>
      </c>
    </row>
    <row r="91" spans="1:10" ht="15.75">
      <c r="A91" s="660" t="s">
        <v>943</v>
      </c>
    </row>
    <row r="95" spans="1:10">
      <c r="B95" s="661" t="s">
        <v>733</v>
      </c>
      <c r="C95" s="661"/>
      <c r="D95" s="661"/>
      <c r="E95" s="662"/>
      <c r="F95" s="663"/>
    </row>
    <row r="96" spans="1:10" ht="13.5" thickBot="1">
      <c r="B96" s="664"/>
      <c r="C96" s="665"/>
      <c r="D96" s="665"/>
      <c r="E96" s="665"/>
      <c r="F96" s="665"/>
    </row>
    <row r="97" spans="1:7" ht="39.75" customHeight="1">
      <c r="B97" s="1084" t="s">
        <v>729</v>
      </c>
      <c r="C97" s="1084" t="s">
        <v>728</v>
      </c>
      <c r="D97" s="1084" t="s">
        <v>731</v>
      </c>
      <c r="E97" s="1084" t="s">
        <v>1052</v>
      </c>
      <c r="F97" s="1084" t="s">
        <v>732</v>
      </c>
      <c r="G97" s="1084" t="s">
        <v>831</v>
      </c>
    </row>
    <row r="98" spans="1:7">
      <c r="B98" s="1070" t="s">
        <v>829</v>
      </c>
      <c r="C98" s="1071">
        <v>500</v>
      </c>
      <c r="D98" s="1072">
        <f>C98/$C$101</f>
        <v>0.50387987503779097</v>
      </c>
      <c r="E98" s="1073">
        <v>1.2999999999999999E-2</v>
      </c>
      <c r="F98" s="1074">
        <f t="shared" ref="F98:F99" si="6">D98*E98</f>
        <v>6.5504383754912826E-3</v>
      </c>
      <c r="G98" s="1075">
        <v>46096</v>
      </c>
    </row>
    <row r="99" spans="1:7">
      <c r="B99" s="1070" t="s">
        <v>830</v>
      </c>
      <c r="C99" s="1071">
        <v>500</v>
      </c>
      <c r="D99" s="1072">
        <f>C99/$C$101</f>
        <v>0.50387987503779097</v>
      </c>
      <c r="E99" s="1073">
        <v>2.3E-2</v>
      </c>
      <c r="F99" s="1074">
        <f t="shared" si="6"/>
        <v>1.1589237125869192E-2</v>
      </c>
      <c r="G99" s="1075">
        <v>47922</v>
      </c>
    </row>
    <row r="100" spans="1:7">
      <c r="B100" s="1070" t="s">
        <v>1247</v>
      </c>
      <c r="C100" s="1071">
        <v>-7.7</v>
      </c>
      <c r="D100" s="447"/>
      <c r="E100" s="17"/>
      <c r="F100" s="17"/>
      <c r="G100" s="1006"/>
    </row>
    <row r="101" spans="1:7" ht="13.5" thickBot="1">
      <c r="B101" s="1076" t="s">
        <v>730</v>
      </c>
      <c r="C101" s="1078">
        <f>SUM(C93:C100)</f>
        <v>992.3</v>
      </c>
      <c r="D101" s="1079">
        <f>C101/$C$101</f>
        <v>1</v>
      </c>
      <c r="E101"/>
      <c r="F101" s="1080">
        <f>SUM(F98:F99)</f>
        <v>1.8139675501360475E-2</v>
      </c>
      <c r="G101" s="1006"/>
    </row>
    <row r="102" spans="1:7" ht="13.5" thickBot="1">
      <c r="B102" s="198"/>
      <c r="C102" s="1081"/>
      <c r="D102" s="1082"/>
      <c r="E102" s="1083" t="s">
        <v>734</v>
      </c>
      <c r="F102" s="1085">
        <f>F101</f>
        <v>1.8139675501360475E-2</v>
      </c>
      <c r="G102" s="1077"/>
    </row>
    <row r="106" spans="1:7" ht="15.75">
      <c r="A106" s="660" t="s">
        <v>944</v>
      </c>
    </row>
    <row r="107" spans="1:7">
      <c r="B107" s="666" t="s">
        <v>945</v>
      </c>
      <c r="C107" s="667" t="s">
        <v>946</v>
      </c>
      <c r="D107" s="667" t="s">
        <v>55</v>
      </c>
    </row>
    <row r="108" spans="1:7">
      <c r="B108" s="659" t="s">
        <v>947</v>
      </c>
      <c r="C108" s="668">
        <f>D108/$D$110</f>
        <v>1.0638388736585431</v>
      </c>
      <c r="D108" s="646">
        <f>Data!G50</f>
        <v>7722.3</v>
      </c>
    </row>
    <row r="109" spans="1:7">
      <c r="B109" s="659" t="s">
        <v>948</v>
      </c>
      <c r="C109" s="668">
        <f t="shared" ref="C109:C110" si="7">D109/$D$110</f>
        <v>-6.3838873658543294E-2</v>
      </c>
      <c r="D109" s="646">
        <f>Data!G59</f>
        <v>-463.4</v>
      </c>
    </row>
    <row r="110" spans="1:7">
      <c r="B110" s="659" t="s">
        <v>949</v>
      </c>
      <c r="C110" s="668">
        <f t="shared" si="7"/>
        <v>1</v>
      </c>
      <c r="D110" s="646">
        <f>Data!G33</f>
        <v>7258.9000000000015</v>
      </c>
    </row>
    <row r="112" spans="1:7" ht="15.75">
      <c r="A112" s="660" t="s">
        <v>950</v>
      </c>
    </row>
    <row r="115" spans="2:5">
      <c r="B115" s="666" t="s">
        <v>951</v>
      </c>
      <c r="C115" s="669" t="s">
        <v>872</v>
      </c>
      <c r="D115" s="669" t="s">
        <v>871</v>
      </c>
      <c r="E115" s="669" t="s">
        <v>870</v>
      </c>
    </row>
    <row r="116" spans="2:5">
      <c r="B116" s="670" t="s">
        <v>952</v>
      </c>
      <c r="C116" s="769">
        <f>Data!E45</f>
        <v>988.4</v>
      </c>
      <c r="D116" s="769">
        <f>Data!F45</f>
        <v>990.4</v>
      </c>
      <c r="E116" s="769">
        <f>Data!G45</f>
        <v>992.3</v>
      </c>
    </row>
    <row r="117" spans="2:5">
      <c r="B117" s="670" t="s">
        <v>953</v>
      </c>
      <c r="C117" s="769">
        <f>Data!E45</f>
        <v>988.4</v>
      </c>
      <c r="D117" s="769">
        <f>Data!F45</f>
        <v>990.4</v>
      </c>
      <c r="E117" s="769">
        <f>Data!G45</f>
        <v>992.3</v>
      </c>
    </row>
    <row r="131" spans="1:5" ht="15.75">
      <c r="A131" s="653" t="s">
        <v>954</v>
      </c>
    </row>
    <row r="132" spans="1:5">
      <c r="B132" s="671" t="s">
        <v>955</v>
      </c>
      <c r="C132" s="672" t="s">
        <v>956</v>
      </c>
      <c r="D132" s="672" t="s">
        <v>930</v>
      </c>
      <c r="E132" s="672" t="s">
        <v>931</v>
      </c>
    </row>
    <row r="133" spans="1:5">
      <c r="B133" s="673" t="s">
        <v>957</v>
      </c>
      <c r="C133" s="674">
        <f>Data!G45/Data!G33</f>
        <v>0.1367011530672691</v>
      </c>
      <c r="D133" s="674">
        <v>0.23578865915491953</v>
      </c>
      <c r="E133" s="674">
        <v>0.236360149590193</v>
      </c>
    </row>
    <row r="134" spans="1:5">
      <c r="B134" s="675" t="s">
        <v>958</v>
      </c>
      <c r="C134" s="676">
        <f>Data!G45/Data!G59</f>
        <v>-2.1413465688390159</v>
      </c>
      <c r="D134" s="676">
        <f>Forecasts!E198/Forecasts!E240</f>
        <v>-2.6537963129583284</v>
      </c>
      <c r="E134" s="676">
        <f>Forecasts!F198/Forecasts!F240</f>
        <v>-3.0204162783287374</v>
      </c>
    </row>
    <row r="135" spans="1:5">
      <c r="B135" s="673" t="s">
        <v>959</v>
      </c>
      <c r="C135" s="677">
        <f>Data!G76/21</f>
        <v>59.100000000000009</v>
      </c>
      <c r="D135" s="677">
        <f>Forecasts!E55/21*(1+3%)</f>
        <v>80.363905955932452</v>
      </c>
      <c r="E135" s="677">
        <f>Forecasts!F55/21*((1+3%)^2)</f>
        <v>94.696676025027827</v>
      </c>
    </row>
    <row r="136" spans="1:5">
      <c r="B136" s="678" t="s">
        <v>960</v>
      </c>
      <c r="C136" s="676">
        <f>Data!G76/Data!G50</f>
        <v>0.16071636688551338</v>
      </c>
      <c r="D136" s="676">
        <f>Forecasts!E55/Forecasts!E213</f>
        <v>0.20783795529325294</v>
      </c>
      <c r="E136" s="676">
        <f>Forecasts!F55/Forecasts!F213</f>
        <v>0.23283959861250939</v>
      </c>
    </row>
    <row r="137" spans="1:5">
      <c r="B137" s="673" t="s">
        <v>961</v>
      </c>
      <c r="C137" s="674">
        <f>Data!G136/Data!G50</f>
        <v>0.18102119834764255</v>
      </c>
      <c r="D137" s="674">
        <f>Forecasts!E317/Forecasts!E213</f>
        <v>0.18441285801901061</v>
      </c>
      <c r="E137" s="674">
        <f>Forecasts!F317/Forecasts!F213</f>
        <v>0.18781057621175573</v>
      </c>
    </row>
    <row r="138" spans="1:5">
      <c r="B138" s="652" t="s">
        <v>962</v>
      </c>
    </row>
    <row r="145" spans="1:13" ht="15.75">
      <c r="A145" s="660" t="s">
        <v>963</v>
      </c>
    </row>
    <row r="146" spans="1:13" ht="13.5" thickBot="1"/>
    <row r="147" spans="1:13" ht="13.5" thickBot="1">
      <c r="B147" s="646"/>
      <c r="C147" s="901" t="s">
        <v>964</v>
      </c>
      <c r="D147" s="897" t="s">
        <v>873</v>
      </c>
      <c r="E147" s="897" t="s">
        <v>872</v>
      </c>
      <c r="F147" s="897" t="s">
        <v>871</v>
      </c>
      <c r="G147" s="898" t="s">
        <v>870</v>
      </c>
      <c r="H147" s="897" t="s">
        <v>471</v>
      </c>
      <c r="I147" s="897" t="s">
        <v>472</v>
      </c>
      <c r="J147" s="897" t="s">
        <v>473</v>
      </c>
      <c r="K147" s="897" t="s">
        <v>474</v>
      </c>
      <c r="L147" s="897" t="s">
        <v>475</v>
      </c>
      <c r="M147" s="898" t="s">
        <v>476</v>
      </c>
    </row>
    <row r="148" spans="1:13" ht="13.5" thickBot="1">
      <c r="B148" s="1023" t="s">
        <v>965</v>
      </c>
      <c r="C148" s="1028">
        <f>Data!C45/Data!C33</f>
        <v>0</v>
      </c>
      <c r="D148" s="902">
        <f>Data!D45/Data!D33</f>
        <v>0</v>
      </c>
      <c r="E148" s="902">
        <f>Data!E45/Data!E33</f>
        <v>0.16698484566910504</v>
      </c>
      <c r="F148" s="902">
        <f>Data!F45/Data!F33</f>
        <v>0.15902376364804113</v>
      </c>
      <c r="G148" s="903">
        <f>Data!G45/Data!G33</f>
        <v>0.1367011530672691</v>
      </c>
      <c r="H148" s="1028">
        <f>Forecasts!E198/Forecasts!E166</f>
        <v>0.13909128384165273</v>
      </c>
      <c r="I148" s="902">
        <f>Forecasts!F198/Forecasts!F166</f>
        <v>0.14229567114846534</v>
      </c>
      <c r="J148" s="902">
        <f>Forecasts!G198/Forecasts!G166</f>
        <v>0.1461771439136029</v>
      </c>
      <c r="K148" s="902">
        <f>Forecasts!H198/Forecasts!H166</f>
        <v>0.15063537734184296</v>
      </c>
      <c r="L148" s="1030">
        <f>Forecasts!I198/Forecasts!I166</f>
        <v>0.16425688059383603</v>
      </c>
      <c r="M148" s="1031">
        <f>Forecasts!J198/Forecasts!J166</f>
        <v>0.16390585875384314</v>
      </c>
    </row>
    <row r="149" spans="1:13" ht="13.5" thickBot="1">
      <c r="B149" s="1024" t="s">
        <v>966</v>
      </c>
      <c r="C149" s="1029">
        <f>Data!C45/Data!C59</f>
        <v>0</v>
      </c>
      <c r="D149" s="899">
        <f>Data!D45/Data!D59</f>
        <v>0</v>
      </c>
      <c r="E149" s="899">
        <f>Data!E45/Data!E59</f>
        <v>1.2379759519038076</v>
      </c>
      <c r="F149" s="899">
        <f>Data!F45/Data!F59</f>
        <v>-3.5170454545454533</v>
      </c>
      <c r="G149" s="900">
        <f>Data!G45/Data!G59</f>
        <v>-2.1413465688390159</v>
      </c>
      <c r="H149" s="1028">
        <f>Forecasts!E198/Forecasts!E240</f>
        <v>-2.6537963129583284</v>
      </c>
      <c r="I149" s="902">
        <f>Forecasts!F198/Forecasts!F240</f>
        <v>-3.0204162783287374</v>
      </c>
      <c r="J149" s="902">
        <f>Forecasts!G198/Forecasts!G240</f>
        <v>-3.1453262989360553</v>
      </c>
      <c r="K149" s="902">
        <f>Forecasts!H198/Forecasts!H240</f>
        <v>-3.0469656089002579</v>
      </c>
      <c r="L149" s="1030">
        <f>Forecasts!I198/Forecasts!I240</f>
        <v>-1.4414626921643201</v>
      </c>
      <c r="M149" s="1031">
        <f>Forecasts!J198/Forecasts!J240</f>
        <v>-1.4690724573430265</v>
      </c>
    </row>
    <row r="150" spans="1:13">
      <c r="B150" s="1025" t="s">
        <v>967</v>
      </c>
      <c r="C150" s="906">
        <f>Data!C45</f>
        <v>0</v>
      </c>
      <c r="D150" s="904">
        <f>Data!D45</f>
        <v>0</v>
      </c>
      <c r="E150" s="904">
        <f>Data!E45</f>
        <v>988.4</v>
      </c>
      <c r="F150" s="904">
        <f>Data!F45</f>
        <v>990.4</v>
      </c>
      <c r="G150" s="905">
        <f>Data!G45</f>
        <v>992.3</v>
      </c>
      <c r="H150" s="906">
        <f>Forecasts!E198</f>
        <v>1041.915</v>
      </c>
      <c r="I150" s="904">
        <f>Forecasts!F198</f>
        <v>1094.0107499999999</v>
      </c>
      <c r="J150" s="904">
        <f>Forecasts!G198</f>
        <v>1148.7112875</v>
      </c>
      <c r="K150" s="904">
        <f>Forecasts!H198</f>
        <v>1206.146851875</v>
      </c>
      <c r="L150" s="988">
        <f>Forecasts!I198</f>
        <v>1266.4541944687501</v>
      </c>
      <c r="M150" s="989">
        <f>Forecasts!J198</f>
        <v>1304.4478203028127</v>
      </c>
    </row>
    <row r="151" spans="1:13">
      <c r="B151" s="1026" t="s">
        <v>952</v>
      </c>
      <c r="C151" s="909">
        <f>Data!C45</f>
        <v>0</v>
      </c>
      <c r="D151" s="907">
        <f>Data!D45</f>
        <v>0</v>
      </c>
      <c r="E151" s="907">
        <f>Data!E45</f>
        <v>988.4</v>
      </c>
      <c r="F151" s="907">
        <f>Data!F45</f>
        <v>990.4</v>
      </c>
      <c r="G151" s="908">
        <f>Data!G45</f>
        <v>992.3</v>
      </c>
      <c r="H151" s="909">
        <f>Forecasts!E198</f>
        <v>1041.915</v>
      </c>
      <c r="I151" s="907">
        <f>Forecasts!F198</f>
        <v>1094.0107499999999</v>
      </c>
      <c r="J151" s="907">
        <f>Forecasts!G198</f>
        <v>1148.7112875</v>
      </c>
      <c r="K151" s="907">
        <f>Forecasts!H198</f>
        <v>1206.146851875</v>
      </c>
      <c r="L151" s="988">
        <f>Forecasts!I198</f>
        <v>1266.4541944687501</v>
      </c>
      <c r="M151" s="989">
        <f>Forecasts!J198</f>
        <v>1304.4478203028127</v>
      </c>
    </row>
    <row r="152" spans="1:13">
      <c r="B152" s="1026" t="s">
        <v>949</v>
      </c>
      <c r="C152" s="909">
        <f>Data!C33</f>
        <v>3879.2</v>
      </c>
      <c r="D152" s="907">
        <f>Data!D33</f>
        <v>4044.5000000000005</v>
      </c>
      <c r="E152" s="907">
        <f>Data!E33</f>
        <v>5919.1000000000022</v>
      </c>
      <c r="F152" s="907">
        <f>Data!F33</f>
        <v>6227.9999999999991</v>
      </c>
      <c r="G152" s="908">
        <f>Data!G33</f>
        <v>7258.9000000000015</v>
      </c>
      <c r="H152" s="909">
        <f>Forecasts!E166</f>
        <v>7490.8719743083184</v>
      </c>
      <c r="I152" s="907">
        <f>Forecasts!F166</f>
        <v>7688.2925613285524</v>
      </c>
      <c r="J152" s="907">
        <f>Forecasts!G166</f>
        <v>7858.3508799360507</v>
      </c>
      <c r="K152" s="907">
        <f>Forecasts!H166</f>
        <v>8007.0623060733078</v>
      </c>
      <c r="L152" s="988">
        <f>Forecasts!I166</f>
        <v>7710.204832151644</v>
      </c>
      <c r="M152" s="989">
        <f>Forecasts!J166</f>
        <v>7958.518568038844</v>
      </c>
    </row>
    <row r="153" spans="1:13" ht="13.5" thickBot="1">
      <c r="B153" s="1027" t="s">
        <v>948</v>
      </c>
      <c r="C153" s="912">
        <f>Data!B59</f>
        <v>1010.2</v>
      </c>
      <c r="D153" s="910">
        <f>Data!C59</f>
        <v>1342.3999999999999</v>
      </c>
      <c r="E153" s="910">
        <f>Data!D59</f>
        <v>856.00000000000011</v>
      </c>
      <c r="F153" s="910">
        <f>Data!E59</f>
        <v>798.4</v>
      </c>
      <c r="G153" s="911">
        <f>Data!F59</f>
        <v>-281.60000000000008</v>
      </c>
      <c r="H153" s="912">
        <f>Forecasts!E240</f>
        <v>-392.61302569168231</v>
      </c>
      <c r="I153" s="910">
        <f>Forecasts!F240</f>
        <v>-362.20528867144765</v>
      </c>
      <c r="J153" s="910">
        <f>Forecasts!G240</f>
        <v>-365.21212056395086</v>
      </c>
      <c r="K153" s="910">
        <f>Forecasts!H240</f>
        <v>-395.85181019169261</v>
      </c>
      <c r="L153" s="1012">
        <f>Forecasts!I240</f>
        <v>-878.58964463880841</v>
      </c>
      <c r="M153" s="1013">
        <f>Forecasts!J240</f>
        <v>-887.93974305531879</v>
      </c>
    </row>
    <row r="177" spans="1:5" ht="15.75">
      <c r="A177" s="653" t="s">
        <v>968</v>
      </c>
    </row>
    <row r="178" spans="1:5">
      <c r="B178" s="679" t="s">
        <v>969</v>
      </c>
      <c r="C178" s="680"/>
    </row>
    <row r="179" spans="1:5">
      <c r="B179" s="1041" t="s">
        <v>1220</v>
      </c>
      <c r="C179" s="1047" t="s">
        <v>1226</v>
      </c>
    </row>
    <row r="180" spans="1:5">
      <c r="B180" s="1042" t="s">
        <v>1203</v>
      </c>
      <c r="C180" s="1048">
        <v>1</v>
      </c>
    </row>
    <row r="181" spans="1:5">
      <c r="B181" s="1041" t="s">
        <v>1221</v>
      </c>
      <c r="C181" s="1047" t="s">
        <v>1227</v>
      </c>
    </row>
    <row r="182" spans="1:5">
      <c r="B182" s="1043" t="s">
        <v>1222</v>
      </c>
      <c r="C182" s="1044">
        <v>9.7279453545880107E-2</v>
      </c>
    </row>
    <row r="183" spans="1:5" s="642" customFormat="1">
      <c r="B183" s="666" t="s">
        <v>1223</v>
      </c>
      <c r="C183" s="681">
        <v>0.75927097438930458</v>
      </c>
    </row>
    <row r="184" spans="1:5">
      <c r="B184" s="1043" t="s">
        <v>1224</v>
      </c>
      <c r="C184" s="1044">
        <v>2.73514856011343E-2</v>
      </c>
    </row>
    <row r="185" spans="1:5">
      <c r="B185" s="1041" t="s">
        <v>1225</v>
      </c>
      <c r="C185" s="1045">
        <v>0.24072902561069534</v>
      </c>
    </row>
    <row r="186" spans="1:5">
      <c r="B186" s="1042" t="s">
        <v>45</v>
      </c>
      <c r="C186" s="1046">
        <v>0.21</v>
      </c>
    </row>
    <row r="187" spans="1:5">
      <c r="B187" s="666" t="s">
        <v>970</v>
      </c>
      <c r="C187" s="681">
        <v>8.0445761959605497E-2</v>
      </c>
    </row>
    <row r="188" spans="1:5">
      <c r="B188" s="1041"/>
      <c r="C188" s="1045"/>
    </row>
    <row r="189" spans="1:5" ht="15.75">
      <c r="A189" s="653" t="s">
        <v>971</v>
      </c>
    </row>
    <row r="192" spans="1:5">
      <c r="B192" s="615" t="s">
        <v>1038</v>
      </c>
      <c r="C192" s="614">
        <v>2021</v>
      </c>
      <c r="D192" s="614">
        <v>2022</v>
      </c>
      <c r="E192" s="614">
        <v>2023</v>
      </c>
    </row>
    <row r="193" spans="2:17">
      <c r="B193" s="752" t="s">
        <v>1039</v>
      </c>
      <c r="C193" s="742">
        <v>1255</v>
      </c>
      <c r="D193" s="751">
        <v>1780.5</v>
      </c>
      <c r="E193" s="753">
        <v>1927.3</v>
      </c>
    </row>
    <row r="194" spans="2:17">
      <c r="B194" s="754" t="s">
        <v>1042</v>
      </c>
      <c r="C194" s="611">
        <f>SUM(C195:C196)</f>
        <v>2087.1999999999998</v>
      </c>
      <c r="D194" s="611">
        <f t="shared" ref="D194:E194" si="8">SUM(D195:D196)</f>
        <v>2636.9</v>
      </c>
      <c r="E194" s="611">
        <f t="shared" si="8"/>
        <v>3377.5</v>
      </c>
    </row>
    <row r="195" spans="2:17">
      <c r="B195" s="754" t="s">
        <v>1040</v>
      </c>
      <c r="C195" s="611">
        <v>1125</v>
      </c>
      <c r="D195" s="611">
        <v>1427</v>
      </c>
      <c r="E195" s="725">
        <v>1898.1</v>
      </c>
    </row>
    <row r="196" spans="2:17">
      <c r="B196" s="723" t="s">
        <v>1041</v>
      </c>
      <c r="C196" s="604">
        <v>962.2</v>
      </c>
      <c r="D196" s="604">
        <v>1209.9000000000001</v>
      </c>
      <c r="E196" s="725">
        <v>1479.4</v>
      </c>
    </row>
    <row r="197" spans="2:17">
      <c r="B197" s="724" t="s">
        <v>855</v>
      </c>
      <c r="C197" s="708">
        <f>SUM(C193,C195:C196)</f>
        <v>3342.2</v>
      </c>
      <c r="D197" s="708">
        <f t="shared" ref="D197:E197" si="9">SUM(D193,D195:D196)</f>
        <v>4417.3999999999996</v>
      </c>
      <c r="E197" s="726">
        <f t="shared" si="9"/>
        <v>5304.7999999999993</v>
      </c>
    </row>
    <row r="198" spans="2:17" ht="13.5" thickBot="1"/>
    <row r="199" spans="2:17">
      <c r="B199" s="760" t="s">
        <v>1038</v>
      </c>
      <c r="C199" s="762">
        <v>2020</v>
      </c>
      <c r="D199" s="762">
        <v>2021</v>
      </c>
      <c r="E199" s="762">
        <v>2022</v>
      </c>
      <c r="F199" s="762">
        <v>2023</v>
      </c>
      <c r="G199" s="761" t="s">
        <v>936</v>
      </c>
    </row>
    <row r="200" spans="2:17" ht="13.5" thickBot="1">
      <c r="B200" s="759" t="s">
        <v>1039</v>
      </c>
      <c r="C200" s="604">
        <v>916.4</v>
      </c>
      <c r="D200" s="604">
        <v>1255</v>
      </c>
      <c r="E200" s="611">
        <v>1780.5</v>
      </c>
      <c r="F200" s="611">
        <v>1927.3</v>
      </c>
      <c r="G200" s="765">
        <f>((F200/C200)^(1/3))-1</f>
        <v>0.28121322712030694</v>
      </c>
    </row>
    <row r="201" spans="2:17">
      <c r="B201" s="965" t="s">
        <v>1204</v>
      </c>
      <c r="C201" s="209">
        <f>C200/C204</f>
        <v>0.35322232500770889</v>
      </c>
      <c r="D201" s="209">
        <f>D200/D204</f>
        <v>0.3755011668960565</v>
      </c>
      <c r="E201" s="209">
        <f t="shared" ref="E201:F201" si="10">E200/E204</f>
        <v>0.40306515144655231</v>
      </c>
      <c r="F201" s="209">
        <f t="shared" si="10"/>
        <v>0.36331247172372194</v>
      </c>
      <c r="G201" s="765"/>
      <c r="K201" s="933" t="s">
        <v>1213</v>
      </c>
      <c r="L201" s="929">
        <v>2018</v>
      </c>
      <c r="M201" s="929">
        <v>2019</v>
      </c>
      <c r="N201" s="929">
        <v>2020</v>
      </c>
      <c r="O201" s="929">
        <v>2021</v>
      </c>
      <c r="P201" s="929">
        <v>2022</v>
      </c>
      <c r="Q201" s="930">
        <v>2023</v>
      </c>
    </row>
    <row r="202" spans="2:17">
      <c r="B202" s="759" t="s">
        <v>1050</v>
      </c>
      <c r="C202" s="604">
        <v>1678</v>
      </c>
      <c r="D202" s="611">
        <v>2087.1999999999998</v>
      </c>
      <c r="E202" s="611">
        <v>2636.9</v>
      </c>
      <c r="F202" s="611">
        <v>3377.5</v>
      </c>
      <c r="G202" s="765">
        <f t="shared" ref="G202:G212" si="11">((F202/C202)^(1/3))-1</f>
        <v>0.26260585929956393</v>
      </c>
      <c r="K202" s="1010" t="s">
        <v>554</v>
      </c>
      <c r="L202" s="604">
        <f>Data!B16</f>
        <v>1112.4000000000001</v>
      </c>
      <c r="M202" s="604">
        <f>Data!C16</f>
        <v>1222.5</v>
      </c>
      <c r="N202" s="604">
        <f>Data!D16</f>
        <v>1061.8</v>
      </c>
      <c r="O202" s="604">
        <f>Data!E16</f>
        <v>1319.1</v>
      </c>
      <c r="P202" s="604">
        <f>Data!F16</f>
        <v>1682.9</v>
      </c>
      <c r="Q202" s="1006">
        <f>Data!G16</f>
        <v>1397.9</v>
      </c>
    </row>
    <row r="203" spans="2:17" ht="13.5" thickBot="1">
      <c r="B203" s="965" t="s">
        <v>1204</v>
      </c>
      <c r="C203" s="209">
        <f>C202/C204</f>
        <v>0.64677767499229111</v>
      </c>
      <c r="D203" s="209">
        <f>D202/D204</f>
        <v>0.6244988331039435</v>
      </c>
      <c r="E203" s="209">
        <f t="shared" ref="E203:F203" si="12">E202/E204</f>
        <v>0.59693484855344781</v>
      </c>
      <c r="F203" s="209">
        <f t="shared" si="12"/>
        <v>0.63668752827627817</v>
      </c>
      <c r="G203" s="765"/>
      <c r="K203" s="1010" t="s">
        <v>637</v>
      </c>
      <c r="L203" s="604">
        <f>Data!B18</f>
        <v>444.5</v>
      </c>
      <c r="M203" s="604">
        <f>Data!C18</f>
        <v>544.29999999999995</v>
      </c>
      <c r="N203" s="604">
        <f>Data!D18</f>
        <v>720</v>
      </c>
      <c r="O203" s="604">
        <f>Data!E18</f>
        <v>807.7</v>
      </c>
      <c r="P203" s="604">
        <f>Data!F18</f>
        <v>1261.7</v>
      </c>
      <c r="Q203" s="1006">
        <f>Data!G18</f>
        <v>1402</v>
      </c>
    </row>
    <row r="204" spans="2:17" ht="13.5" thickBot="1">
      <c r="B204" s="763" t="s">
        <v>855</v>
      </c>
      <c r="C204" s="764">
        <f>SUM(C200,C202)</f>
        <v>2594.4</v>
      </c>
      <c r="D204" s="764">
        <v>3342.2</v>
      </c>
      <c r="E204" s="764">
        <v>4417.3999999999996</v>
      </c>
      <c r="F204" s="764">
        <v>5304.7999999999993</v>
      </c>
      <c r="G204" s="766">
        <f t="shared" si="11"/>
        <v>0.26924080665477002</v>
      </c>
      <c r="K204" s="1010" t="s">
        <v>416</v>
      </c>
      <c r="L204" s="604">
        <f>Data!B19</f>
        <v>90</v>
      </c>
      <c r="M204" s="604">
        <f>Data!C19</f>
        <v>117.9</v>
      </c>
      <c r="N204" s="604">
        <f>Data!D19</f>
        <v>139.80000000000001</v>
      </c>
      <c r="O204" s="604">
        <f>Data!E19</f>
        <v>175.8</v>
      </c>
      <c r="P204" s="604">
        <f>Data!F19</f>
        <v>264.60000000000002</v>
      </c>
      <c r="Q204" s="1006">
        <f>Data!G19</f>
        <v>484.8</v>
      </c>
    </row>
    <row r="205" spans="2:17">
      <c r="B205" s="758" t="s">
        <v>1039</v>
      </c>
      <c r="C205" s="604">
        <v>352.4</v>
      </c>
      <c r="D205" s="604">
        <v>487.7</v>
      </c>
      <c r="E205" s="604">
        <v>691.3</v>
      </c>
      <c r="F205" s="604">
        <v>763.6</v>
      </c>
      <c r="G205" s="765"/>
      <c r="K205" s="1010" t="s">
        <v>557</v>
      </c>
      <c r="L205" s="604">
        <f>Data!B20</f>
        <v>36.799999999999997</v>
      </c>
      <c r="M205" s="604">
        <f>Data!C20</f>
        <v>41.2</v>
      </c>
      <c r="N205" s="604">
        <f>Data!D20</f>
        <v>43.3</v>
      </c>
      <c r="O205" s="604">
        <f>Data!E20</f>
        <v>65.400000000000006</v>
      </c>
      <c r="P205" s="604">
        <f>Data!F20</f>
        <v>73.099999999999994</v>
      </c>
      <c r="Q205" s="1006">
        <f>Data!G20</f>
        <v>101.1</v>
      </c>
    </row>
    <row r="206" spans="2:17" ht="13.5" thickBot="1">
      <c r="B206" s="758" t="s">
        <v>1045</v>
      </c>
      <c r="C206" s="604">
        <v>217.6</v>
      </c>
      <c r="D206" s="604">
        <v>295.3</v>
      </c>
      <c r="E206" s="604">
        <v>393.6</v>
      </c>
      <c r="F206" s="604">
        <v>473.6</v>
      </c>
      <c r="G206" s="765"/>
      <c r="K206" s="1011" t="s">
        <v>1212</v>
      </c>
      <c r="L206" s="1008">
        <f>Data!B33</f>
        <v>3078</v>
      </c>
      <c r="M206" s="1008">
        <f>Data!C33</f>
        <v>3879.2</v>
      </c>
      <c r="N206" s="1008">
        <f>Data!D33</f>
        <v>4044.5000000000005</v>
      </c>
      <c r="O206" s="1008">
        <f>Data!E33</f>
        <v>5919.1000000000022</v>
      </c>
      <c r="P206" s="1008">
        <f>Data!F33</f>
        <v>6227.9999999999991</v>
      </c>
      <c r="Q206" s="1009">
        <f>Data!G33</f>
        <v>7258.9000000000015</v>
      </c>
    </row>
    <row r="207" spans="2:17" ht="13.5" thickBot="1">
      <c r="B207" s="763" t="s">
        <v>1044</v>
      </c>
      <c r="C207" s="764">
        <v>570</v>
      </c>
      <c r="D207" s="764">
        <f>SUM(D205:D206)</f>
        <v>783</v>
      </c>
      <c r="E207" s="764">
        <f t="shared" ref="E207:F207" si="13">SUM(E205:E206)</f>
        <v>1084.9000000000001</v>
      </c>
      <c r="F207" s="916">
        <f t="shared" si="13"/>
        <v>1237.2</v>
      </c>
      <c r="G207" s="917">
        <f>((F207/C207)^(1/3))-1</f>
        <v>0.29475725105910677</v>
      </c>
    </row>
    <row r="208" spans="2:17">
      <c r="B208" s="758" t="s">
        <v>1039</v>
      </c>
      <c r="C208" s="604">
        <f>C200-C205</f>
        <v>564</v>
      </c>
      <c r="D208" s="604">
        <f>D200-D205</f>
        <v>767.3</v>
      </c>
      <c r="E208" s="604">
        <f>E200-E205</f>
        <v>1089.2</v>
      </c>
      <c r="F208" s="604">
        <f>F200-F205</f>
        <v>1163.6999999999998</v>
      </c>
      <c r="G208" s="765">
        <f t="shared" si="11"/>
        <v>0.2730749619167443</v>
      </c>
      <c r="K208" s="933" t="s">
        <v>349</v>
      </c>
      <c r="L208" s="967" t="s">
        <v>1214</v>
      </c>
      <c r="M208" s="967" t="s">
        <v>1215</v>
      </c>
      <c r="N208" s="967" t="s">
        <v>1216</v>
      </c>
      <c r="O208" s="967" t="s">
        <v>1217</v>
      </c>
      <c r="P208" s="967" t="s">
        <v>1218</v>
      </c>
      <c r="Q208" s="972" t="s">
        <v>1219</v>
      </c>
    </row>
    <row r="209" spans="2:17">
      <c r="B209" s="965" t="s">
        <v>1048</v>
      </c>
      <c r="C209" s="209">
        <f>C208/C200</f>
        <v>0.61545176778699262</v>
      </c>
      <c r="D209" s="209">
        <f>D208/D200</f>
        <v>0.61139442231075691</v>
      </c>
      <c r="E209" s="209">
        <f>E208/E200</f>
        <v>0.61173827576523454</v>
      </c>
      <c r="F209" s="209">
        <f>F208/F200</f>
        <v>0.60379805946142262</v>
      </c>
      <c r="G209" s="765"/>
      <c r="K209" s="1010" t="s">
        <v>554</v>
      </c>
      <c r="L209" s="1014">
        <f>Forecasts!E115</f>
        <v>1453.816</v>
      </c>
      <c r="M209" s="1014">
        <f>Forecasts!F115</f>
        <v>1511.9686400000001</v>
      </c>
      <c r="N209" s="1014">
        <f>Forecasts!G115</f>
        <v>1572.4473856000002</v>
      </c>
      <c r="O209" s="1014">
        <f>Forecasts!H115</f>
        <v>1635.3452810240003</v>
      </c>
      <c r="P209" s="1014">
        <f>Forecasts!I115</f>
        <v>1700.7590922649604</v>
      </c>
      <c r="Q209" s="1015">
        <f>Forecasts!J115</f>
        <v>1768.7894559555589</v>
      </c>
    </row>
    <row r="210" spans="2:17">
      <c r="B210" s="758" t="s">
        <v>1045</v>
      </c>
      <c r="C210" s="604">
        <f>C202-C206</f>
        <v>1460.4</v>
      </c>
      <c r="D210" s="604">
        <f>D202-D206</f>
        <v>1791.8999999999999</v>
      </c>
      <c r="E210" s="604">
        <f>E202-E206</f>
        <v>2243.3000000000002</v>
      </c>
      <c r="F210" s="604">
        <f>F202-F206</f>
        <v>2903.9</v>
      </c>
      <c r="G210" s="765">
        <f t="shared" si="11"/>
        <v>0.25748634418303062</v>
      </c>
      <c r="K210" s="1010" t="s">
        <v>637</v>
      </c>
      <c r="L210" s="1014">
        <f>Forecasts!E121</f>
        <v>1444.06</v>
      </c>
      <c r="M210" s="1014">
        <f>Forecasts!F121</f>
        <v>1487.3817999999999</v>
      </c>
      <c r="N210" s="1014">
        <f>Forecasts!G121</f>
        <v>1532.003254</v>
      </c>
      <c r="O210" s="1014">
        <f>Forecasts!H121</f>
        <v>1577.9633516199999</v>
      </c>
      <c r="P210" s="1014">
        <f>Forecasts!I121</f>
        <v>1625.3022521686</v>
      </c>
      <c r="Q210" s="1015">
        <f>Forecasts!J121</f>
        <v>1674.0613197336581</v>
      </c>
    </row>
    <row r="211" spans="2:17" ht="13.5" thickBot="1">
      <c r="B211" s="965" t="s">
        <v>1049</v>
      </c>
      <c r="C211" s="209">
        <f>C210/C202</f>
        <v>0.87032181168057221</v>
      </c>
      <c r="D211" s="209">
        <f>D210/D202</f>
        <v>0.85851858949789195</v>
      </c>
      <c r="E211" s="209">
        <f t="shared" ref="E211:F211" si="14">E210/E202</f>
        <v>0.8507338162235959</v>
      </c>
      <c r="F211" s="209">
        <f t="shared" si="14"/>
        <v>0.85977794226498894</v>
      </c>
      <c r="G211" s="765"/>
      <c r="K211" s="1010" t="s">
        <v>416</v>
      </c>
      <c r="L211" s="1014">
        <f>Forecasts!E124</f>
        <v>499.34400000000005</v>
      </c>
      <c r="M211" s="1014">
        <f>Forecasts!F124</f>
        <v>514.32432000000006</v>
      </c>
      <c r="N211" s="1014">
        <f>Forecasts!G124</f>
        <v>529.75404960000003</v>
      </c>
      <c r="O211" s="1014">
        <f>Forecasts!H124</f>
        <v>545.64667108800006</v>
      </c>
      <c r="P211" s="1014">
        <f>Forecasts!I124</f>
        <v>562.01607122064013</v>
      </c>
      <c r="Q211" s="1015">
        <f>Forecasts!J124</f>
        <v>578.87655335725935</v>
      </c>
    </row>
    <row r="212" spans="2:17" ht="13.5" thickBot="1">
      <c r="B212" s="763" t="s">
        <v>1046</v>
      </c>
      <c r="C212" s="764">
        <f>C204-C207</f>
        <v>2024.4</v>
      </c>
      <c r="D212" s="764">
        <f>D208+D210</f>
        <v>2559.1999999999998</v>
      </c>
      <c r="E212" s="764">
        <f t="shared" ref="E212:F212" si="15">E208+E210</f>
        <v>3332.5</v>
      </c>
      <c r="F212" s="764">
        <f t="shared" si="15"/>
        <v>4067.6</v>
      </c>
      <c r="G212" s="766">
        <f t="shared" si="11"/>
        <v>0.26186812461799103</v>
      </c>
      <c r="K212" s="1010" t="s">
        <v>557</v>
      </c>
      <c r="L212" s="1014">
        <f>Forecasts!E148</f>
        <v>1566.9087122188132</v>
      </c>
      <c r="M212" s="1014">
        <f>Forecasts!F148</f>
        <v>1707.6887392549741</v>
      </c>
      <c r="N212" s="1014">
        <f>Forecasts!G148</f>
        <v>1824.6090777607524</v>
      </c>
      <c r="O212" s="1014">
        <f>Forecasts!H148</f>
        <v>1921.7135168215177</v>
      </c>
      <c r="P212" s="1014">
        <f>Forecasts!I148</f>
        <v>2002.3604958314174</v>
      </c>
      <c r="Q212" s="1015">
        <f>Forecasts!J148</f>
        <v>2062.4313107063599</v>
      </c>
    </row>
    <row r="213" spans="2:17" ht="13.5" thickBot="1">
      <c r="B213" s="968"/>
      <c r="K213" s="1011" t="s">
        <v>1212</v>
      </c>
      <c r="L213" s="1016">
        <f>Forecasts!E166</f>
        <v>7490.8719743083184</v>
      </c>
      <c r="M213" s="1016">
        <f>Forecasts!F166</f>
        <v>7688.2925613285524</v>
      </c>
      <c r="N213" s="1016">
        <f>Forecasts!G166</f>
        <v>7858.3508799360507</v>
      </c>
      <c r="O213" s="1016">
        <f>Forecasts!H166</f>
        <v>8007.0623060733078</v>
      </c>
      <c r="P213" s="1016">
        <f>Forecasts!I166</f>
        <v>7710.204832151644</v>
      </c>
      <c r="Q213" s="1017">
        <f>Forecasts!J166</f>
        <v>7958.518568038844</v>
      </c>
    </row>
    <row r="214" spans="2:17">
      <c r="B214" s="933" t="s">
        <v>18</v>
      </c>
      <c r="C214" s="967" t="s">
        <v>471</v>
      </c>
      <c r="D214" s="967" t="s">
        <v>472</v>
      </c>
      <c r="E214" s="967" t="s">
        <v>473</v>
      </c>
      <c r="F214" s="967" t="s">
        <v>474</v>
      </c>
      <c r="G214" s="967" t="s">
        <v>475</v>
      </c>
      <c r="H214" s="972" t="s">
        <v>476</v>
      </c>
    </row>
    <row r="215" spans="2:17" ht="15">
      <c r="B215" s="969" t="s">
        <v>17</v>
      </c>
      <c r="C215" s="973">
        <f>Forecasts!E21</f>
        <v>5918.1959999999999</v>
      </c>
      <c r="D215" s="973">
        <f>Forecasts!F21</f>
        <v>6746.8309599999993</v>
      </c>
      <c r="E215" s="973">
        <f>Forecasts!G21</f>
        <v>7828.0731487999992</v>
      </c>
      <c r="F215" s="973">
        <f>Forecasts!H21</f>
        <v>9241.0430287199979</v>
      </c>
      <c r="G215" s="973">
        <f>Forecasts!I21</f>
        <v>11096.071783331998</v>
      </c>
      <c r="H215" s="974">
        <f>Forecasts!J21</f>
        <v>13547.996793304486</v>
      </c>
    </row>
    <row r="216" spans="2:17" ht="15">
      <c r="B216" s="970" t="s">
        <v>1206</v>
      </c>
      <c r="C216" s="975">
        <f>Forecasts!E24</f>
        <v>-1242.82116</v>
      </c>
      <c r="D216" s="975">
        <f>Forecasts!F24</f>
        <v>-1416.8345015999998</v>
      </c>
      <c r="E216" s="975">
        <f>Forecasts!G24</f>
        <v>-1565.6146297599998</v>
      </c>
      <c r="F216" s="975">
        <f>Forecasts!H24</f>
        <v>-1755.7981754567995</v>
      </c>
      <c r="G216" s="975">
        <f>Forecasts!I24</f>
        <v>-1997.2929209997594</v>
      </c>
      <c r="H216" s="976">
        <f>Forecasts!J24</f>
        <v>-2438.6394227948076</v>
      </c>
    </row>
    <row r="217" spans="2:17" ht="15.75" thickBot="1">
      <c r="B217" s="970" t="s">
        <v>1208</v>
      </c>
      <c r="C217" s="977">
        <f>-C216/C215</f>
        <v>0.21</v>
      </c>
      <c r="D217" s="977">
        <f t="shared" ref="D217:H217" si="16">-D216/D215</f>
        <v>0.21</v>
      </c>
      <c r="E217" s="977">
        <f t="shared" si="16"/>
        <v>0.2</v>
      </c>
      <c r="F217" s="977">
        <f t="shared" si="16"/>
        <v>0.19</v>
      </c>
      <c r="G217" s="977">
        <f t="shared" si="16"/>
        <v>0.18</v>
      </c>
      <c r="H217" s="978">
        <f t="shared" si="16"/>
        <v>0.18</v>
      </c>
    </row>
    <row r="218" spans="2:17" ht="15">
      <c r="B218" s="1007" t="s">
        <v>1046</v>
      </c>
      <c r="C218" s="982">
        <f>C215+C216</f>
        <v>4675.3748400000004</v>
      </c>
      <c r="D218" s="982">
        <f t="shared" ref="D218:H218" si="17">D215+D216</f>
        <v>5329.996458399999</v>
      </c>
      <c r="E218" s="982">
        <f t="shared" si="17"/>
        <v>6262.4585190399994</v>
      </c>
      <c r="F218" s="982">
        <f t="shared" si="17"/>
        <v>7485.2448532631988</v>
      </c>
      <c r="G218" s="982">
        <f t="shared" si="17"/>
        <v>9098.7788623322376</v>
      </c>
      <c r="H218" s="983">
        <f t="shared" si="17"/>
        <v>11109.357370509679</v>
      </c>
      <c r="K218" s="1068" t="s">
        <v>18</v>
      </c>
      <c r="L218" s="967">
        <v>2021</v>
      </c>
      <c r="M218" s="967">
        <v>2022</v>
      </c>
      <c r="N218" s="972">
        <v>2023</v>
      </c>
    </row>
    <row r="219" spans="2:17" ht="15">
      <c r="B219" s="1007" t="s">
        <v>29</v>
      </c>
      <c r="C219" s="981">
        <f>C218/C215</f>
        <v>0.79</v>
      </c>
      <c r="D219" s="981">
        <f t="shared" ref="D219:H219" si="18">D218/D215</f>
        <v>0.78999999999999992</v>
      </c>
      <c r="E219" s="981">
        <f t="shared" si="18"/>
        <v>0.8</v>
      </c>
      <c r="F219" s="981">
        <f t="shared" si="18"/>
        <v>0.81</v>
      </c>
      <c r="G219" s="981">
        <f t="shared" si="18"/>
        <v>0.82</v>
      </c>
      <c r="H219" s="984">
        <f t="shared" si="18"/>
        <v>0.82</v>
      </c>
      <c r="K219" s="1069" t="s">
        <v>1243</v>
      </c>
      <c r="L219" s="604">
        <v>43.3</v>
      </c>
      <c r="M219" s="604">
        <v>53.6</v>
      </c>
      <c r="N219" s="1006">
        <v>58.9</v>
      </c>
    </row>
    <row r="220" spans="2:17" ht="15">
      <c r="B220" s="970" t="s">
        <v>1207</v>
      </c>
      <c r="C220" s="975">
        <f>Forecasts!E31</f>
        <v>-645.08336399999996</v>
      </c>
      <c r="D220" s="975">
        <f>Forecasts!F31</f>
        <v>-735.40457463999996</v>
      </c>
      <c r="E220" s="975">
        <f>Forecasts!G31</f>
        <v>-853.25997321919988</v>
      </c>
      <c r="F220" s="975">
        <f>Forecasts!H31</f>
        <v>-1007.2736901304797</v>
      </c>
      <c r="G220" s="975">
        <f>Forecasts!I31</f>
        <v>-1209.4718243831878</v>
      </c>
      <c r="H220" s="976">
        <f>Forecasts!J31</f>
        <v>-1476.7316504701889</v>
      </c>
      <c r="K220" s="1010" t="s">
        <v>1244</v>
      </c>
      <c r="L220" s="670" t="s">
        <v>1192</v>
      </c>
      <c r="M220" s="670" t="s">
        <v>1192</v>
      </c>
      <c r="N220" s="1059" t="s">
        <v>1192</v>
      </c>
    </row>
    <row r="221" spans="2:17" ht="15.75" thickBot="1">
      <c r="B221" s="971" t="s">
        <v>478</v>
      </c>
      <c r="C221" s="979">
        <f>-C220/C215</f>
        <v>0.109</v>
      </c>
      <c r="D221" s="979">
        <f t="shared" ref="D221:H221" si="19">-D220/D215</f>
        <v>0.109</v>
      </c>
      <c r="E221" s="979">
        <f t="shared" si="19"/>
        <v>0.109</v>
      </c>
      <c r="F221" s="979">
        <f t="shared" si="19"/>
        <v>0.109</v>
      </c>
      <c r="G221" s="979">
        <f t="shared" si="19"/>
        <v>0.109</v>
      </c>
      <c r="H221" s="980">
        <f t="shared" si="19"/>
        <v>0.109</v>
      </c>
      <c r="K221" s="1051" t="s">
        <v>1245</v>
      </c>
      <c r="L221" s="1060" t="s">
        <v>1246</v>
      </c>
      <c r="M221" s="1060" t="s">
        <v>1246</v>
      </c>
      <c r="N221" s="1061" t="s">
        <v>1246</v>
      </c>
    </row>
    <row r="222" spans="2:17" ht="13.5" thickBot="1"/>
    <row r="223" spans="2:17">
      <c r="B223" s="933" t="s">
        <v>18</v>
      </c>
      <c r="C223" s="967">
        <v>2018</v>
      </c>
      <c r="D223" s="967">
        <v>2019</v>
      </c>
      <c r="E223" s="967">
        <v>2020</v>
      </c>
      <c r="F223" s="967">
        <v>2021</v>
      </c>
      <c r="G223" s="967">
        <v>2022</v>
      </c>
      <c r="H223" s="972">
        <v>2023</v>
      </c>
    </row>
    <row r="224" spans="2:17">
      <c r="B224" s="985" t="s">
        <v>949</v>
      </c>
      <c r="C224" s="988">
        <f>Data!B33</f>
        <v>3078</v>
      </c>
      <c r="D224" s="988">
        <f>Data!C33</f>
        <v>3879.2</v>
      </c>
      <c r="E224" s="988">
        <f>Data!D33</f>
        <v>4044.5000000000005</v>
      </c>
      <c r="F224" s="988">
        <f>Data!E33</f>
        <v>5919.1000000000022</v>
      </c>
      <c r="G224" s="988">
        <f>Data!F33</f>
        <v>6227.9999999999991</v>
      </c>
      <c r="H224" s="989">
        <f>Data!G33</f>
        <v>7258.9000000000015</v>
      </c>
    </row>
    <row r="225" spans="2:8">
      <c r="B225" s="986" t="s">
        <v>1209</v>
      </c>
      <c r="C225" s="990"/>
      <c r="D225" s="209">
        <f>D224/C224-1</f>
        <v>0.26029889538661455</v>
      </c>
      <c r="E225" s="209">
        <f t="shared" ref="E225:H225" si="20">E224/D224-1</f>
        <v>4.261187873788419E-2</v>
      </c>
      <c r="F225" s="209">
        <f t="shared" si="20"/>
        <v>0.46349363332921278</v>
      </c>
      <c r="G225" s="209">
        <f t="shared" si="20"/>
        <v>5.2186987886671421E-2</v>
      </c>
      <c r="H225" s="994">
        <f t="shared" si="20"/>
        <v>0.16552665382145193</v>
      </c>
    </row>
    <row r="226" spans="2:8">
      <c r="B226" s="985" t="s">
        <v>948</v>
      </c>
      <c r="C226" s="991">
        <f>Data!B59</f>
        <v>1010.2</v>
      </c>
      <c r="D226" s="991">
        <f>Data!C59</f>
        <v>1342.3999999999999</v>
      </c>
      <c r="E226" s="991">
        <f>Data!D59</f>
        <v>856.00000000000011</v>
      </c>
      <c r="F226" s="991">
        <f>Data!E59</f>
        <v>798.4</v>
      </c>
      <c r="G226" s="991">
        <f>Data!F59</f>
        <v>-281.60000000000008</v>
      </c>
      <c r="H226" s="992">
        <f>Data!G59</f>
        <v>-463.4</v>
      </c>
    </row>
    <row r="227" spans="2:8">
      <c r="B227" s="986" t="s">
        <v>1209</v>
      </c>
      <c r="C227" s="990"/>
      <c r="D227" s="209">
        <f>D226/C226-1</f>
        <v>0.32884577311423469</v>
      </c>
      <c r="E227" s="209">
        <f t="shared" ref="E227:H227" si="21">E226/D226-1</f>
        <v>-0.3623361144219307</v>
      </c>
      <c r="F227" s="209">
        <f t="shared" si="21"/>
        <v>-6.7289719626168365E-2</v>
      </c>
      <c r="G227" s="209">
        <f t="shared" si="21"/>
        <v>-1.3527054108216434</v>
      </c>
      <c r="H227" s="994">
        <f t="shared" si="21"/>
        <v>0.64559659090909038</v>
      </c>
    </row>
    <row r="228" spans="2:8">
      <c r="B228" s="985" t="s">
        <v>411</v>
      </c>
      <c r="C228" s="988">
        <f>Data!B86</f>
        <v>334.89999999999986</v>
      </c>
      <c r="D228" s="988">
        <f>Data!C86</f>
        <v>331.69999999999993</v>
      </c>
      <c r="E228" s="988">
        <f>Data!D86</f>
        <v>488.50000000000017</v>
      </c>
      <c r="F228" s="988">
        <f>Data!E86</f>
        <v>606.69999999999993</v>
      </c>
      <c r="G228" s="988">
        <f>Data!F86</f>
        <v>856.5999999999998</v>
      </c>
      <c r="H228" s="989">
        <f>Data!G86</f>
        <v>1147.8000000000004</v>
      </c>
    </row>
    <row r="229" spans="2:8">
      <c r="B229" s="986" t="s">
        <v>1209</v>
      </c>
      <c r="C229" s="990"/>
      <c r="D229" s="209">
        <f>D228/C228-1</f>
        <v>-9.5550910719616189E-3</v>
      </c>
      <c r="E229" s="209">
        <f t="shared" ref="E229:H229" si="22">E228/D228-1</f>
        <v>0.47271630991860203</v>
      </c>
      <c r="F229" s="209">
        <f t="shared" si="22"/>
        <v>0.24196519959058294</v>
      </c>
      <c r="G229" s="209">
        <f t="shared" si="22"/>
        <v>0.41190044503049261</v>
      </c>
      <c r="H229" s="994">
        <f t="shared" si="22"/>
        <v>0.33994863413495291</v>
      </c>
    </row>
    <row r="230" spans="2:8">
      <c r="B230" s="985" t="s">
        <v>1210</v>
      </c>
      <c r="C230" s="988"/>
      <c r="D230" s="988">
        <f>Data!C76/((Data!B33+Data!C33)/2)</f>
        <v>0.10090266199045592</v>
      </c>
      <c r="E230" s="988">
        <f>Data!D76/((Data!C33+Data!D33)/2)</f>
        <v>0.13423022073021443</v>
      </c>
      <c r="F230" s="988">
        <f>Data!E76/((Data!D33+Data!E33)/2)</f>
        <v>0.13055522100445618</v>
      </c>
      <c r="G230" s="988">
        <f>Data!F76/((Data!E33+Data!F33)/2)</f>
        <v>0.15964304237225341</v>
      </c>
      <c r="H230" s="989">
        <f>Data!G76/((Data!F33+Data!G33)/2)</f>
        <v>0.18404525873254787</v>
      </c>
    </row>
    <row r="231" spans="2:8" ht="13.5" thickBot="1">
      <c r="B231" s="987" t="s">
        <v>1209</v>
      </c>
      <c r="C231" s="993"/>
      <c r="D231" s="995"/>
      <c r="E231" s="995">
        <f t="shared" ref="E231:H231" si="23">E230/D230-1</f>
        <v>0.33029414766986886</v>
      </c>
      <c r="F231" s="995">
        <f t="shared" si="23"/>
        <v>-2.737833332736983E-2</v>
      </c>
      <c r="G231" s="995">
        <f t="shared" si="23"/>
        <v>0.22280090481256498</v>
      </c>
      <c r="H231" s="996">
        <f t="shared" si="23"/>
        <v>0.15285486919870728</v>
      </c>
    </row>
  </sheetData>
  <mergeCells count="2">
    <mergeCell ref="D1:K3"/>
    <mergeCell ref="M9:O10"/>
  </mergeCells>
  <phoneticPr fontId="8" type="noConversion"/>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4CD80-3660-46EF-A671-5B865B32370D}">
  <sheetPr>
    <tabColor theme="8" tint="0.39997558519241921"/>
  </sheetPr>
  <dimension ref="A1:O184"/>
  <sheetViews>
    <sheetView showGridLines="0" zoomScale="116" zoomScaleNormal="100" workbookViewId="0">
      <selection activeCell="L145" sqref="L145"/>
    </sheetView>
  </sheetViews>
  <sheetFormatPr defaultColWidth="8.85546875" defaultRowHeight="12.75" outlineLevelCol="1"/>
  <cols>
    <col min="1" max="1" width="15.5703125" style="604" customWidth="1"/>
    <col min="2" max="2" width="10.140625" style="604" hidden="1" customWidth="1"/>
    <col min="3" max="3" width="9.140625" style="604" hidden="1" customWidth="1" outlineLevel="1"/>
    <col min="4" max="4" width="10.140625" style="604" hidden="1" customWidth="1" collapsed="1"/>
    <col min="5" max="5" width="10.140625" style="604" bestFit="1" customWidth="1"/>
    <col min="6" max="16384" width="8.85546875" style="604"/>
  </cols>
  <sheetData>
    <row r="1" spans="1:15" ht="13.5" thickBot="1"/>
    <row r="2" spans="1:15" ht="12.75" customHeight="1">
      <c r="D2" s="1374" t="s">
        <v>928</v>
      </c>
      <c r="E2" s="1375"/>
      <c r="F2" s="1375"/>
      <c r="G2" s="1375"/>
      <c r="H2" s="1375"/>
      <c r="I2" s="1375"/>
      <c r="J2" s="1375"/>
      <c r="K2" s="1376"/>
      <c r="M2" s="1389" t="s">
        <v>986</v>
      </c>
      <c r="N2" s="1390"/>
      <c r="O2" s="1391"/>
    </row>
    <row r="3" spans="1:15" ht="12.75" customHeight="1">
      <c r="D3" s="1377"/>
      <c r="E3" s="1378"/>
      <c r="F3" s="1378"/>
      <c r="G3" s="1378"/>
      <c r="H3" s="1378"/>
      <c r="I3" s="1378"/>
      <c r="J3" s="1378"/>
      <c r="K3" s="1379"/>
      <c r="M3" s="1392"/>
      <c r="N3" s="1393"/>
      <c r="O3" s="1394"/>
    </row>
    <row r="4" spans="1:15" ht="12.75" customHeight="1" thickBot="1">
      <c r="D4" s="1377"/>
      <c r="E4" s="1378"/>
      <c r="F4" s="1378"/>
      <c r="G4" s="1378"/>
      <c r="H4" s="1378"/>
      <c r="I4" s="1378"/>
      <c r="J4" s="1378"/>
      <c r="K4" s="1379"/>
      <c r="M4" s="1395"/>
      <c r="N4" s="1396"/>
      <c r="O4" s="1397"/>
    </row>
    <row r="5" spans="1:15" ht="12.75" customHeight="1">
      <c r="D5" s="1377"/>
      <c r="E5" s="1378"/>
      <c r="F5" s="1378"/>
      <c r="G5" s="1378"/>
      <c r="H5" s="1378"/>
      <c r="I5" s="1378"/>
      <c r="J5" s="1378"/>
      <c r="K5" s="1379"/>
    </row>
    <row r="6" spans="1:15" ht="12.75" customHeight="1" thickBot="1">
      <c r="D6" s="1380"/>
      <c r="E6" s="1381"/>
      <c r="F6" s="1381"/>
      <c r="G6" s="1381"/>
      <c r="H6" s="1381"/>
      <c r="I6" s="1381"/>
      <c r="J6" s="1381"/>
      <c r="K6" s="1382"/>
    </row>
    <row r="8" spans="1:15">
      <c r="E8" s="1399" t="s">
        <v>1025</v>
      </c>
      <c r="F8" s="1399"/>
      <c r="G8" s="1399" t="s">
        <v>987</v>
      </c>
      <c r="H8" s="1399"/>
      <c r="I8" s="1399" t="s">
        <v>988</v>
      </c>
      <c r="J8" s="1399"/>
      <c r="L8" s="698"/>
      <c r="M8" s="698"/>
    </row>
    <row r="9" spans="1:15">
      <c r="A9" s="746" t="s">
        <v>886</v>
      </c>
      <c r="B9" s="732"/>
      <c r="C9" s="730"/>
      <c r="D9" s="742"/>
      <c r="E9" s="736">
        <f>SUM(E10:E16)</f>
        <v>14595.54</v>
      </c>
      <c r="F9" s="737">
        <f>E9/$E$9</f>
        <v>1</v>
      </c>
      <c r="G9" s="738">
        <f>SUM(G10:G16)</f>
        <v>18725.400000000001</v>
      </c>
      <c r="H9" s="739">
        <f>G9/$G$9</f>
        <v>1</v>
      </c>
      <c r="I9" s="738">
        <f>SUM(I10:I16)</f>
        <v>23581.8</v>
      </c>
      <c r="J9" s="740">
        <f>I9/$I$9</f>
        <v>1</v>
      </c>
      <c r="L9" s="699"/>
      <c r="M9" s="700"/>
    </row>
    <row r="10" spans="1:15">
      <c r="A10" s="743" t="s">
        <v>839</v>
      </c>
      <c r="B10" s="701"/>
      <c r="C10" s="702"/>
      <c r="E10" s="723">
        <v>4256</v>
      </c>
      <c r="F10" s="727">
        <f t="shared" ref="F10:F16" si="0">E10/$E$9</f>
        <v>0.29159592587872735</v>
      </c>
      <c r="G10" s="701">
        <v>5502</v>
      </c>
      <c r="H10" s="700">
        <f t="shared" ref="H10:H16" si="1">G10/$G$9</f>
        <v>0.2938254990547598</v>
      </c>
      <c r="I10" s="701">
        <v>6893</v>
      </c>
      <c r="J10" s="733">
        <f t="shared" ref="J10:J16" si="2">I10/$I$9</f>
        <v>0.29230169028657693</v>
      </c>
      <c r="L10" s="701"/>
      <c r="M10" s="702"/>
    </row>
    <row r="11" spans="1:15">
      <c r="A11" s="744" t="s">
        <v>840</v>
      </c>
      <c r="C11" s="668"/>
      <c r="E11" s="723">
        <v>3342</v>
      </c>
      <c r="F11" s="727">
        <f t="shared" si="0"/>
        <v>0.22897405645834273</v>
      </c>
      <c r="G11" s="604">
        <v>4417.3999999999996</v>
      </c>
      <c r="H11" s="700">
        <f t="shared" si="1"/>
        <v>0.23590417294156596</v>
      </c>
      <c r="I11" s="729">
        <v>5304.8</v>
      </c>
      <c r="J11" s="733">
        <f t="shared" si="2"/>
        <v>0.22495314182971615</v>
      </c>
      <c r="M11" s="668"/>
    </row>
    <row r="12" spans="1:15">
      <c r="A12" s="744" t="s">
        <v>1022</v>
      </c>
      <c r="C12" s="668"/>
      <c r="E12" s="723">
        <v>2550</v>
      </c>
      <c r="F12" s="727">
        <f t="shared" si="0"/>
        <v>0.17471090483805327</v>
      </c>
      <c r="G12" s="604">
        <v>2796</v>
      </c>
      <c r="H12" s="700">
        <f t="shared" si="1"/>
        <v>0.14931590246403281</v>
      </c>
      <c r="I12" s="604">
        <v>3338</v>
      </c>
      <c r="J12" s="733">
        <f t="shared" si="2"/>
        <v>0.14154983928283676</v>
      </c>
      <c r="M12" s="668"/>
    </row>
    <row r="13" spans="1:15">
      <c r="A13" s="744" t="s">
        <v>1023</v>
      </c>
      <c r="C13" s="668"/>
      <c r="E13" s="723">
        <v>2065</v>
      </c>
      <c r="F13" s="727">
        <f t="shared" si="0"/>
        <v>0.14148157587865881</v>
      </c>
      <c r="G13" s="604">
        <v>2167</v>
      </c>
      <c r="H13" s="700">
        <f t="shared" si="1"/>
        <v>0.11572516474948465</v>
      </c>
      <c r="I13" s="604">
        <v>2330</v>
      </c>
      <c r="J13" s="733">
        <f t="shared" si="2"/>
        <v>9.880501064380158E-2</v>
      </c>
      <c r="M13" s="668"/>
    </row>
    <row r="14" spans="1:15">
      <c r="A14" s="744" t="s">
        <v>841</v>
      </c>
      <c r="C14" s="668"/>
      <c r="E14" s="723">
        <v>874.44</v>
      </c>
      <c r="F14" s="727">
        <f t="shared" si="0"/>
        <v>5.9911452402583255E-2</v>
      </c>
      <c r="G14" s="604">
        <v>1452</v>
      </c>
      <c r="H14" s="700">
        <f t="shared" si="1"/>
        <v>7.7541734755999861E-2</v>
      </c>
      <c r="I14" s="604">
        <v>2241</v>
      </c>
      <c r="J14" s="733">
        <f t="shared" si="2"/>
        <v>9.5030913670712161E-2</v>
      </c>
      <c r="M14" s="668"/>
    </row>
    <row r="15" spans="1:15">
      <c r="A15" s="744" t="s">
        <v>1024</v>
      </c>
      <c r="C15" s="668"/>
      <c r="E15" s="723">
        <v>835</v>
      </c>
      <c r="F15" s="727">
        <f t="shared" si="0"/>
        <v>5.7209257074421364E-2</v>
      </c>
      <c r="G15" s="604">
        <v>1300</v>
      </c>
      <c r="H15" s="700">
        <f t="shared" si="1"/>
        <v>6.942441816997233E-2</v>
      </c>
      <c r="I15" s="604">
        <v>1858</v>
      </c>
      <c r="J15" s="733">
        <f t="shared" si="2"/>
        <v>7.8789575011237484E-2</v>
      </c>
      <c r="M15" s="668"/>
    </row>
    <row r="16" spans="1:15">
      <c r="A16" s="745" t="s">
        <v>1026</v>
      </c>
      <c r="B16" s="708"/>
      <c r="C16" s="741"/>
      <c r="D16" s="708"/>
      <c r="E16" s="724">
        <v>673.1</v>
      </c>
      <c r="F16" s="728">
        <f t="shared" si="0"/>
        <v>4.6116827469213195E-2</v>
      </c>
      <c r="G16" s="734">
        <v>1091</v>
      </c>
      <c r="H16" s="731">
        <f t="shared" si="1"/>
        <v>5.8263107864184475E-2</v>
      </c>
      <c r="I16" s="708">
        <v>1617</v>
      </c>
      <c r="J16" s="735">
        <f t="shared" si="2"/>
        <v>6.8569829275118954E-2</v>
      </c>
      <c r="M16" s="696"/>
    </row>
    <row r="17" spans="2:13">
      <c r="B17" s="703"/>
      <c r="D17" s="703"/>
      <c r="F17" s="703"/>
      <c r="H17" s="703"/>
      <c r="J17" s="703"/>
      <c r="L17" s="703"/>
      <c r="M17" s="696"/>
    </row>
    <row r="37" spans="1:13">
      <c r="A37" s="704"/>
      <c r="B37" s="704"/>
      <c r="C37" s="704"/>
      <c r="D37" s="704"/>
      <c r="E37" s="704"/>
      <c r="F37" s="704"/>
      <c r="G37" s="704"/>
      <c r="H37" s="704"/>
      <c r="I37" s="704"/>
      <c r="J37" s="704"/>
      <c r="K37" s="704"/>
      <c r="L37" s="704"/>
      <c r="M37" s="704"/>
    </row>
    <row r="40" spans="1:13">
      <c r="G40" s="705"/>
      <c r="H40" s="705"/>
    </row>
    <row r="41" spans="1:13">
      <c r="A41" s="604" t="s">
        <v>40</v>
      </c>
      <c r="B41" s="607" t="s">
        <v>995</v>
      </c>
      <c r="C41" s="607" t="s">
        <v>996</v>
      </c>
      <c r="D41" s="607" t="s">
        <v>997</v>
      </c>
      <c r="E41" s="607" t="s">
        <v>998</v>
      </c>
    </row>
    <row r="42" spans="1:13">
      <c r="A42" s="604" t="s">
        <v>999</v>
      </c>
      <c r="B42" s="706">
        <v>3890</v>
      </c>
      <c r="C42" s="706">
        <v>4157.2</v>
      </c>
      <c r="D42" s="706">
        <v>4187.8</v>
      </c>
      <c r="E42" s="706">
        <v>4078</v>
      </c>
    </row>
    <row r="61" spans="1:13">
      <c r="A61" s="704"/>
      <c r="B61" s="704"/>
      <c r="C61" s="704"/>
      <c r="D61" s="704"/>
      <c r="E61" s="704"/>
      <c r="F61" s="704"/>
      <c r="G61" s="704"/>
      <c r="H61" s="704"/>
      <c r="I61" s="704"/>
      <c r="J61" s="704"/>
      <c r="K61" s="704"/>
      <c r="L61" s="704"/>
      <c r="M61" s="704"/>
    </row>
    <row r="63" spans="1:13">
      <c r="D63" s="705"/>
    </row>
    <row r="64" spans="1:13">
      <c r="A64" s="604" t="s">
        <v>1000</v>
      </c>
    </row>
    <row r="66" spans="1:13">
      <c r="A66" s="604" t="s">
        <v>1001</v>
      </c>
      <c r="B66" s="707">
        <v>0.36</v>
      </c>
    </row>
    <row r="67" spans="1:13">
      <c r="A67" s="604" t="s">
        <v>1002</v>
      </c>
      <c r="B67" s="707">
        <v>0.17</v>
      </c>
    </row>
    <row r="68" spans="1:13">
      <c r="A68" s="604" t="s">
        <v>1003</v>
      </c>
      <c r="B68" s="707">
        <v>0.1</v>
      </c>
    </row>
    <row r="69" spans="1:13">
      <c r="A69" s="604" t="s">
        <v>1004</v>
      </c>
      <c r="B69" s="707">
        <v>0.03</v>
      </c>
    </row>
    <row r="70" spans="1:13">
      <c r="A70" s="604" t="s">
        <v>1005</v>
      </c>
      <c r="B70" s="707">
        <v>0.34</v>
      </c>
    </row>
    <row r="74" spans="1:13">
      <c r="A74" s="708"/>
      <c r="B74" s="708"/>
      <c r="C74" s="708"/>
      <c r="D74" s="708"/>
      <c r="E74" s="708"/>
      <c r="F74" s="708"/>
      <c r="G74" s="708"/>
      <c r="H74" s="708"/>
      <c r="I74" s="708"/>
      <c r="J74" s="708"/>
      <c r="K74" s="708"/>
      <c r="L74" s="708"/>
      <c r="M74" s="708"/>
    </row>
    <row r="76" spans="1:13">
      <c r="B76" s="698"/>
      <c r="C76" s="698" t="s">
        <v>988</v>
      </c>
      <c r="D76" s="698" t="s">
        <v>989</v>
      </c>
      <c r="E76" s="698"/>
      <c r="F76" s="698" t="s">
        <v>990</v>
      </c>
      <c r="G76" s="698" t="s">
        <v>991</v>
      </c>
      <c r="H76" s="698"/>
      <c r="I76" s="698" t="s">
        <v>992</v>
      </c>
      <c r="J76" s="698" t="s">
        <v>993</v>
      </c>
      <c r="K76" s="698"/>
      <c r="L76" s="698" t="s">
        <v>994</v>
      </c>
    </row>
    <row r="77" spans="1:13">
      <c r="A77" s="709" t="s">
        <v>17</v>
      </c>
      <c r="B77" s="710">
        <v>11584.2</v>
      </c>
      <c r="C77" s="710">
        <v>12384.9</v>
      </c>
      <c r="D77" s="710">
        <v>10815.9</v>
      </c>
      <c r="E77" s="710">
        <v>13665.2</v>
      </c>
      <c r="F77" s="710">
        <v>15883.5</v>
      </c>
      <c r="G77" s="710">
        <v>13100.2</v>
      </c>
      <c r="H77" s="711">
        <v>16100.851999999999</v>
      </c>
      <c r="I77" s="711">
        <v>19138.79336</v>
      </c>
      <c r="J77" s="711">
        <v>21034.881495999998</v>
      </c>
      <c r="K77" s="711">
        <v>23119.155149600003</v>
      </c>
      <c r="L77" s="711">
        <v>25410.31900888</v>
      </c>
    </row>
    <row r="78" spans="1:13">
      <c r="A78" s="712" t="s">
        <v>554</v>
      </c>
      <c r="B78" s="713">
        <v>1146.4000000000001</v>
      </c>
      <c r="C78" s="714">
        <v>1049.5999999999999</v>
      </c>
      <c r="D78" s="714">
        <v>2136.6</v>
      </c>
      <c r="E78" s="714">
        <v>2216.6</v>
      </c>
      <c r="F78" s="714">
        <v>2285.9</v>
      </c>
      <c r="G78" s="714">
        <v>3442.8</v>
      </c>
      <c r="H78" s="715">
        <v>4121.0316000000003</v>
      </c>
      <c r="I78" s="715">
        <v>5357.3410800000001</v>
      </c>
      <c r="J78" s="715">
        <v>6643.1029392</v>
      </c>
      <c r="K78" s="715">
        <v>8237.4476446080007</v>
      </c>
      <c r="L78" s="715">
        <v>10214.43507931392</v>
      </c>
    </row>
    <row r="79" spans="1:13">
      <c r="A79" s="604" t="s">
        <v>1006</v>
      </c>
      <c r="C79" s="696">
        <f>(C78-B78)/B78</f>
        <v>-8.4438241451500501E-2</v>
      </c>
      <c r="D79" s="696">
        <f t="shared" ref="D79:L79" si="3">(D78-C78)/C78</f>
        <v>1.0356326219512195</v>
      </c>
      <c r="E79" s="696">
        <f t="shared" si="3"/>
        <v>3.7442665917813353E-2</v>
      </c>
      <c r="F79" s="696">
        <f t="shared" si="3"/>
        <v>3.1264098168366047E-2</v>
      </c>
      <c r="G79" s="696">
        <f t="shared" si="3"/>
        <v>0.50610262916138071</v>
      </c>
      <c r="H79" s="696">
        <f t="shared" si="3"/>
        <v>0.19700000000000001</v>
      </c>
      <c r="I79" s="696">
        <f t="shared" si="3"/>
        <v>0.29999999999999993</v>
      </c>
      <c r="J79" s="696">
        <f t="shared" si="3"/>
        <v>0.23999999999999996</v>
      </c>
      <c r="K79" s="696">
        <f t="shared" si="3"/>
        <v>0.2400000000000001</v>
      </c>
      <c r="L79" s="696">
        <f t="shared" si="3"/>
        <v>0.23999999999999991</v>
      </c>
    </row>
    <row r="80" spans="1:13">
      <c r="A80" s="604" t="s">
        <v>1007</v>
      </c>
      <c r="B80" s="696">
        <f>B78/B77</f>
        <v>9.8962379793166549E-2</v>
      </c>
      <c r="C80" s="696">
        <f t="shared" ref="C80:L80" si="4">C78/C77</f>
        <v>8.4748362925820955E-2</v>
      </c>
      <c r="D80" s="696">
        <f t="shared" si="4"/>
        <v>0.19754250686489336</v>
      </c>
      <c r="E80" s="696">
        <f t="shared" si="4"/>
        <v>0.16220765155284955</v>
      </c>
      <c r="F80" s="696">
        <f t="shared" si="4"/>
        <v>0.14391664305726068</v>
      </c>
      <c r="G80" s="696">
        <f t="shared" si="4"/>
        <v>0.26280514801300742</v>
      </c>
      <c r="H80" s="696">
        <f t="shared" si="4"/>
        <v>0.25595115090803894</v>
      </c>
      <c r="I80" s="696">
        <f t="shared" si="4"/>
        <v>0.27992052472841999</v>
      </c>
      <c r="J80" s="696">
        <f t="shared" si="4"/>
        <v>0.31581366124944682</v>
      </c>
      <c r="K80" s="696">
        <f t="shared" si="4"/>
        <v>0.35630400813978363</v>
      </c>
      <c r="L80" s="696">
        <f t="shared" si="4"/>
        <v>0.40197980496601948</v>
      </c>
    </row>
    <row r="99" spans="1:13">
      <c r="A99" s="708"/>
      <c r="B99" s="708"/>
      <c r="C99" s="708"/>
      <c r="D99" s="708"/>
      <c r="E99" s="708"/>
      <c r="F99" s="708"/>
      <c r="G99" s="708"/>
      <c r="H99" s="708"/>
      <c r="I99" s="708"/>
      <c r="J99" s="708"/>
      <c r="K99" s="708"/>
      <c r="L99" s="708"/>
      <c r="M99" s="708"/>
    </row>
    <row r="102" spans="1:13" ht="38.25">
      <c r="A102" s="716" t="s">
        <v>1008</v>
      </c>
    </row>
    <row r="103" spans="1:13">
      <c r="A103" s="604">
        <v>2016</v>
      </c>
      <c r="B103" s="604">
        <v>2017</v>
      </c>
      <c r="C103" s="604">
        <v>2018</v>
      </c>
      <c r="D103" s="604">
        <v>2019</v>
      </c>
      <c r="E103" s="604">
        <v>2020</v>
      </c>
      <c r="F103" s="604">
        <v>2021</v>
      </c>
      <c r="G103" s="604">
        <v>2022</v>
      </c>
      <c r="H103" s="604">
        <v>2023</v>
      </c>
      <c r="I103" s="604" t="s">
        <v>1009</v>
      </c>
    </row>
    <row r="104" spans="1:13">
      <c r="A104" s="696">
        <v>-1.3333333333333381E-2</v>
      </c>
      <c r="B104" s="696">
        <v>3.8089903374877457E-2</v>
      </c>
      <c r="C104" s="696">
        <v>-9.7126669364629558E-3</v>
      </c>
      <c r="D104" s="696">
        <v>0.35042909685328988</v>
      </c>
      <c r="E104" s="696">
        <v>0.84248751702224234</v>
      </c>
      <c r="F104" s="696">
        <v>0.12671429744600482</v>
      </c>
      <c r="G104" s="696">
        <v>0.42176870748299322</v>
      </c>
      <c r="H104" s="696">
        <v>1.5721120984278761E-2</v>
      </c>
      <c r="I104" s="696">
        <v>0.1403095558546433</v>
      </c>
    </row>
    <row r="105" spans="1:13">
      <c r="A105" s="604">
        <v>142.82</v>
      </c>
      <c r="B105" s="604">
        <v>148.26</v>
      </c>
      <c r="C105" s="604">
        <v>146.82</v>
      </c>
      <c r="D105" s="604">
        <v>198.27</v>
      </c>
      <c r="E105" s="604">
        <v>365.31</v>
      </c>
      <c r="F105" s="604">
        <v>411.6</v>
      </c>
      <c r="G105" s="604">
        <v>585.20000000000005</v>
      </c>
      <c r="H105" s="604">
        <v>594.4</v>
      </c>
      <c r="I105" s="604">
        <v>677.8</v>
      </c>
    </row>
    <row r="106" spans="1:13">
      <c r="A106" s="696"/>
    </row>
    <row r="107" spans="1:13">
      <c r="A107" s="696"/>
    </row>
    <row r="124" spans="1:10">
      <c r="A124" s="717"/>
      <c r="B124" s="717"/>
      <c r="C124" s="717"/>
      <c r="D124" s="717"/>
      <c r="E124" s="717"/>
      <c r="F124" s="717"/>
      <c r="G124" s="717"/>
      <c r="H124" s="717"/>
      <c r="I124" s="717"/>
      <c r="J124" s="717"/>
    </row>
    <row r="145" spans="1:11">
      <c r="A145" s="717"/>
      <c r="B145" s="717"/>
      <c r="C145" s="717"/>
      <c r="D145" s="717"/>
      <c r="E145" s="717"/>
      <c r="F145" s="717"/>
      <c r="G145" s="717"/>
      <c r="H145" s="717"/>
      <c r="I145" s="717"/>
      <c r="J145" s="717"/>
      <c r="K145" s="717"/>
    </row>
    <row r="147" spans="1:11">
      <c r="A147" s="604" t="s">
        <v>18</v>
      </c>
      <c r="B147" s="718" t="s">
        <v>988</v>
      </c>
      <c r="C147" s="718" t="s">
        <v>988</v>
      </c>
      <c r="D147" s="718" t="s">
        <v>1010</v>
      </c>
      <c r="E147" s="718" t="s">
        <v>990</v>
      </c>
      <c r="F147" s="718" t="s">
        <v>991</v>
      </c>
      <c r="G147" s="718" t="s">
        <v>992</v>
      </c>
      <c r="H147" s="718" t="s">
        <v>993</v>
      </c>
      <c r="I147" s="718" t="s">
        <v>994</v>
      </c>
    </row>
    <row r="148" spans="1:11">
      <c r="A148" s="604" t="s">
        <v>938</v>
      </c>
      <c r="B148" s="719">
        <v>13665.2</v>
      </c>
      <c r="C148" s="719">
        <v>15884.4</v>
      </c>
      <c r="D148" s="719">
        <v>13100.2</v>
      </c>
      <c r="E148" s="719">
        <v>16100.851999999999</v>
      </c>
      <c r="F148" s="719">
        <v>19138.79336</v>
      </c>
      <c r="G148" s="719">
        <v>21034.881495999998</v>
      </c>
      <c r="H148" s="719">
        <v>23119.155149600003</v>
      </c>
      <c r="I148" s="719">
        <v>25410.31900888</v>
      </c>
      <c r="J148" s="720"/>
      <c r="K148" s="720"/>
    </row>
    <row r="149" spans="1:11">
      <c r="A149" s="604" t="s">
        <v>133</v>
      </c>
      <c r="B149" s="719">
        <v>822.8</v>
      </c>
      <c r="C149" s="719">
        <v>954.59999999999991</v>
      </c>
      <c r="D149" s="719">
        <v>784</v>
      </c>
      <c r="E149" s="719">
        <v>1063</v>
      </c>
      <c r="F149" s="719">
        <v>1216</v>
      </c>
      <c r="G149" s="719">
        <v>1270</v>
      </c>
      <c r="H149" s="719">
        <v>1390</v>
      </c>
      <c r="I149" s="719">
        <v>1525</v>
      </c>
      <c r="J149" s="720"/>
      <c r="K149" s="720"/>
    </row>
    <row r="150" spans="1:11">
      <c r="A150" s="604" t="s">
        <v>123</v>
      </c>
      <c r="B150" s="719">
        <v>1405.7</v>
      </c>
      <c r="C150" s="719">
        <v>1664.7000000000003</v>
      </c>
      <c r="D150" s="719">
        <v>1886.1999999999998</v>
      </c>
      <c r="E150" s="719">
        <v>2670.2</v>
      </c>
      <c r="F150" s="719">
        <v>3733.2</v>
      </c>
      <c r="G150" s="719">
        <v>4949.2</v>
      </c>
      <c r="H150" s="719">
        <v>6219.2</v>
      </c>
      <c r="I150" s="719">
        <v>7609.2000000000007</v>
      </c>
      <c r="J150" s="720"/>
      <c r="K150" s="720"/>
    </row>
    <row r="151" spans="1:11">
      <c r="A151" s="604" t="s">
        <v>738</v>
      </c>
      <c r="B151" s="719">
        <v>3467</v>
      </c>
      <c r="C151" s="719">
        <v>4108.5</v>
      </c>
      <c r="D151" s="719">
        <v>3590.6</v>
      </c>
      <c r="E151" s="719">
        <v>4186.2215200000001</v>
      </c>
      <c r="F151" s="719">
        <v>4880.3923068000004</v>
      </c>
      <c r="G151" s="719">
        <v>5258.7203739999995</v>
      </c>
      <c r="H151" s="719">
        <v>5664.1930116520007</v>
      </c>
      <c r="I151" s="719">
        <v>6098.4765621311999</v>
      </c>
      <c r="J151" s="720"/>
      <c r="K151" s="720"/>
    </row>
    <row r="172" spans="1:13">
      <c r="A172" s="717"/>
      <c r="B172" s="717"/>
      <c r="C172" s="717"/>
      <c r="D172" s="717"/>
      <c r="E172" s="717"/>
      <c r="F172" s="717"/>
      <c r="G172" s="717"/>
      <c r="H172" s="717"/>
      <c r="I172" s="717"/>
      <c r="J172" s="717"/>
      <c r="K172" s="717"/>
      <c r="L172" s="717"/>
      <c r="M172" s="717"/>
    </row>
    <row r="174" spans="1:13">
      <c r="A174" s="1398" t="s">
        <v>1011</v>
      </c>
      <c r="B174" s="1398"/>
    </row>
    <row r="175" spans="1:13">
      <c r="A175" s="721" t="s">
        <v>1012</v>
      </c>
      <c r="B175" s="722">
        <v>0.41399999999999998</v>
      </c>
    </row>
    <row r="176" spans="1:13">
      <c r="A176" s="721" t="s">
        <v>1013</v>
      </c>
      <c r="B176" s="722">
        <v>5.16E-2</v>
      </c>
    </row>
    <row r="177" spans="1:2">
      <c r="A177" s="721" t="s">
        <v>1014</v>
      </c>
      <c r="B177" s="722">
        <v>2.53E-2</v>
      </c>
    </row>
    <row r="178" spans="1:2">
      <c r="A178" s="721" t="s">
        <v>1015</v>
      </c>
      <c r="B178" s="722">
        <v>2.1299999999999999E-2</v>
      </c>
    </row>
    <row r="179" spans="1:2">
      <c r="A179" s="721" t="s">
        <v>1016</v>
      </c>
      <c r="B179" s="722">
        <v>2.06E-2</v>
      </c>
    </row>
    <row r="180" spans="1:2">
      <c r="A180" s="721" t="s">
        <v>1017</v>
      </c>
      <c r="B180" s="722">
        <v>1.4999999999999999E-2</v>
      </c>
    </row>
    <row r="181" spans="1:2">
      <c r="A181" s="721" t="s">
        <v>1018</v>
      </c>
      <c r="B181" s="722">
        <v>1.35E-2</v>
      </c>
    </row>
    <row r="182" spans="1:2">
      <c r="A182" s="721" t="s">
        <v>1019</v>
      </c>
      <c r="B182" s="722">
        <v>1.32E-2</v>
      </c>
    </row>
    <row r="183" spans="1:2">
      <c r="A183" s="721" t="s">
        <v>1020</v>
      </c>
      <c r="B183" s="722">
        <v>9.4999999999999998E-3</v>
      </c>
    </row>
    <row r="184" spans="1:2">
      <c r="A184" s="721" t="s">
        <v>1021</v>
      </c>
      <c r="B184" s="722">
        <v>9.1999999999999998E-3</v>
      </c>
    </row>
  </sheetData>
  <mergeCells count="6">
    <mergeCell ref="D2:K6"/>
    <mergeCell ref="M2:O4"/>
    <mergeCell ref="A174:B174"/>
    <mergeCell ref="G8:H8"/>
    <mergeCell ref="I8:J8"/>
    <mergeCell ref="E8:F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232E-C844-4105-84F5-363F2C63567D}">
  <sheetPr>
    <tabColor theme="5" tint="-0.249977111117893"/>
  </sheetPr>
  <dimension ref="A1:O1510"/>
  <sheetViews>
    <sheetView topLeftCell="A1463" zoomScale="68" zoomScaleNormal="68" workbookViewId="0">
      <selection activeCell="N1493" sqref="N1493"/>
    </sheetView>
  </sheetViews>
  <sheetFormatPr defaultColWidth="10.7109375" defaultRowHeight="20.100000000000001" customHeight="1"/>
  <cols>
    <col min="1" max="1" width="17.85546875" style="563" bestFit="1" customWidth="1"/>
    <col min="2" max="2" width="23.28515625" bestFit="1" customWidth="1"/>
    <col min="3" max="3" width="26.140625" bestFit="1" customWidth="1"/>
    <col min="4" max="4" width="13" style="604" bestFit="1" customWidth="1"/>
    <col min="5" max="5" width="13.85546875" style="604" bestFit="1" customWidth="1"/>
    <col min="6" max="6" width="13" style="604" bestFit="1" customWidth="1"/>
    <col min="7" max="7" width="16.7109375" style="604" bestFit="1" customWidth="1"/>
    <col min="8" max="8" width="13.42578125" style="604" bestFit="1" customWidth="1"/>
    <col min="9" max="9" width="13.42578125" bestFit="1" customWidth="1"/>
    <col min="16" max="16384" width="10.7109375" style="604"/>
  </cols>
  <sheetData>
    <row r="1" spans="1:9" s="604" customFormat="1" ht="20.100000000000001" customHeight="1">
      <c r="A1" s="749" t="s">
        <v>1027</v>
      </c>
      <c r="B1" s="747" t="s">
        <v>1028</v>
      </c>
      <c r="C1" s="747" t="s">
        <v>1029</v>
      </c>
      <c r="D1" s="747" t="s">
        <v>1030</v>
      </c>
      <c r="E1" s="747" t="s">
        <v>1031</v>
      </c>
      <c r="F1" s="747" t="s">
        <v>1032</v>
      </c>
      <c r="G1" s="747" t="s">
        <v>1033</v>
      </c>
      <c r="H1" s="747" t="s">
        <v>1241</v>
      </c>
      <c r="I1" s="747" t="s">
        <v>1242</v>
      </c>
    </row>
    <row r="2" spans="1:9" ht="20.100000000000001" customHeight="1">
      <c r="A2" s="563">
        <v>43102</v>
      </c>
      <c r="B2">
        <v>100</v>
      </c>
      <c r="C2">
        <v>100</v>
      </c>
      <c r="D2">
        <v>8.869999885559082</v>
      </c>
      <c r="E2" s="604">
        <v>7006.89990234375</v>
      </c>
      <c r="F2" s="748">
        <f>D3/D2-1</f>
        <v>1.533254580835397E-2</v>
      </c>
      <c r="G2" s="748">
        <f>E3/E2-1</f>
        <v>8.3674497466259545E-3</v>
      </c>
      <c r="H2" s="1067">
        <f>F2-G2</f>
        <v>6.9650960617280155E-3</v>
      </c>
      <c r="I2">
        <f>B2-C2</f>
        <v>0</v>
      </c>
    </row>
    <row r="3" spans="1:9" ht="20.100000000000001" customHeight="1">
      <c r="A3" s="563">
        <v>43103</v>
      </c>
      <c r="B3">
        <f>B2*(1+F2)</f>
        <v>101.5332545808354</v>
      </c>
      <c r="C3">
        <f>C2*(1+G2)</f>
        <v>100.83674497466259</v>
      </c>
      <c r="D3">
        <v>9.0059995651245117</v>
      </c>
      <c r="E3" s="604">
        <v>7065.52978515625</v>
      </c>
      <c r="F3" s="748">
        <f t="shared" ref="F3:G66" si="0">D4/D3-1</f>
        <v>-2.2873571434244289E-2</v>
      </c>
      <c r="G3" s="748">
        <f t="shared" si="0"/>
        <v>1.7522212021183758E-3</v>
      </c>
      <c r="H3" s="1067">
        <f t="shared" ref="H3:H66" si="1">F3-G3</f>
        <v>-2.4625792636362664E-2</v>
      </c>
      <c r="I3">
        <f t="shared" ref="I3:I66" si="2">B3-C3</f>
        <v>0.69650960617281044</v>
      </c>
    </row>
    <row r="4" spans="1:9" ht="20.100000000000001" customHeight="1">
      <c r="A4" s="563">
        <v>43104</v>
      </c>
      <c r="B4">
        <f t="shared" ref="B4:C67" si="3">B3*(1+F3)</f>
        <v>99.210826429229357</v>
      </c>
      <c r="C4">
        <f t="shared" si="3"/>
        <v>101.0134332571598</v>
      </c>
      <c r="D4">
        <v>8.8000001907348633</v>
      </c>
      <c r="E4" s="604">
        <v>7077.91015625</v>
      </c>
      <c r="F4" s="748">
        <f t="shared" si="0"/>
        <v>2.2726708699860598E-3</v>
      </c>
      <c r="G4" s="748">
        <f t="shared" si="0"/>
        <v>8.2863304349745093E-3</v>
      </c>
      <c r="H4" s="1067">
        <f t="shared" si="1"/>
        <v>-6.0136595649884494E-3</v>
      </c>
      <c r="I4">
        <f t="shared" si="2"/>
        <v>-1.8026068279304468</v>
      </c>
    </row>
    <row r="5" spans="1:9" ht="20.100000000000001" customHeight="1">
      <c r="A5" s="563">
        <v>43105</v>
      </c>
      <c r="B5">
        <f t="shared" si="3"/>
        <v>99.436299984442314</v>
      </c>
      <c r="C5">
        <f t="shared" si="3"/>
        <v>101.85046394349988</v>
      </c>
      <c r="D5">
        <v>8.8199996948242188</v>
      </c>
      <c r="E5" s="604">
        <v>7136.56005859375</v>
      </c>
      <c r="F5" s="748">
        <f t="shared" si="0"/>
        <v>2.0408198571867153E-2</v>
      </c>
      <c r="G5" s="748">
        <f t="shared" si="0"/>
        <v>2.9187841136313342E-3</v>
      </c>
      <c r="H5" s="1067">
        <f t="shared" si="1"/>
        <v>1.7489414458235819E-2</v>
      </c>
      <c r="I5">
        <f t="shared" si="2"/>
        <v>-2.4141639590575608</v>
      </c>
    </row>
    <row r="6" spans="1:9" ht="20.100000000000001" customHeight="1">
      <c r="A6" s="563">
        <v>43108</v>
      </c>
      <c r="B6">
        <f t="shared" si="3"/>
        <v>101.46561573977657</v>
      </c>
      <c r="C6">
        <f t="shared" si="3"/>
        <v>102.14774345962414</v>
      </c>
      <c r="D6">
        <v>9</v>
      </c>
      <c r="E6" s="604">
        <v>7157.39013671875</v>
      </c>
      <c r="F6" s="748">
        <f t="shared" si="0"/>
        <v>-1.5111075507269978E-2</v>
      </c>
      <c r="G6" s="748">
        <f t="shared" si="0"/>
        <v>8.6483219274224865E-4</v>
      </c>
      <c r="H6" s="1067">
        <f t="shared" si="1"/>
        <v>-1.5975907700012226E-2</v>
      </c>
      <c r="I6">
        <f t="shared" si="2"/>
        <v>-0.68212771984757126</v>
      </c>
    </row>
    <row r="7" spans="1:9" ht="20.100000000000001" customHeight="1">
      <c r="A7" s="563">
        <v>43109</v>
      </c>
      <c r="B7">
        <f t="shared" si="3"/>
        <v>99.932361158941163</v>
      </c>
      <c r="C7">
        <f t="shared" si="3"/>
        <v>102.236084116584</v>
      </c>
      <c r="D7">
        <v>8.8640003204345703</v>
      </c>
      <c r="E7" s="604">
        <v>7163.580078125</v>
      </c>
      <c r="F7" s="748">
        <f t="shared" si="0"/>
        <v>-4.9639693163046061E-3</v>
      </c>
      <c r="G7" s="748">
        <f t="shared" si="0"/>
        <v>-1.3973814485326308E-3</v>
      </c>
      <c r="H7" s="1067">
        <f t="shared" si="1"/>
        <v>-3.5665878677719753E-3</v>
      </c>
      <c r="I7">
        <f t="shared" si="2"/>
        <v>-2.3037229576428331</v>
      </c>
    </row>
    <row r="8" spans="1:9" ht="20.100000000000001" customHeight="1">
      <c r="A8" s="563">
        <v>43110</v>
      </c>
      <c r="B8">
        <f t="shared" si="3"/>
        <v>99.436299984442314</v>
      </c>
      <c r="C8">
        <f t="shared" si="3"/>
        <v>102.09322130926886</v>
      </c>
      <c r="D8">
        <v>8.8199996948242188</v>
      </c>
      <c r="E8" s="604">
        <v>7153.56982421875</v>
      </c>
      <c r="F8" s="748">
        <f t="shared" si="0"/>
        <v>3.6281794551298319E-3</v>
      </c>
      <c r="G8" s="748">
        <f t="shared" si="0"/>
        <v>8.1371905730796001E-3</v>
      </c>
      <c r="H8" s="1067">
        <f t="shared" si="1"/>
        <v>-4.5090111179497683E-3</v>
      </c>
      <c r="I8">
        <f t="shared" si="2"/>
        <v>-2.6569213248265413</v>
      </c>
    </row>
    <row r="9" spans="1:9" ht="20.100000000000001" customHeight="1">
      <c r="A9" s="563">
        <v>43111</v>
      </c>
      <c r="B9">
        <f t="shared" si="3"/>
        <v>99.797072725139998</v>
      </c>
      <c r="C9">
        <f t="shared" si="3"/>
        <v>102.92397330728197</v>
      </c>
      <c r="D9">
        <v>8.8520002365112305</v>
      </c>
      <c r="E9" s="604">
        <v>7211.77978515625</v>
      </c>
      <c r="F9" s="748">
        <f t="shared" si="0"/>
        <v>1.5363722992740136E-2</v>
      </c>
      <c r="G9" s="748">
        <f t="shared" si="0"/>
        <v>6.8333025834943495E-3</v>
      </c>
      <c r="H9" s="1067">
        <f t="shared" si="1"/>
        <v>8.5304204092457869E-3</v>
      </c>
      <c r="I9">
        <f t="shared" si="2"/>
        <v>-3.1269005821419711</v>
      </c>
    </row>
    <row r="10" spans="1:9" ht="20.100000000000001" customHeight="1">
      <c r="A10" s="563">
        <v>43112</v>
      </c>
      <c r="B10">
        <f t="shared" si="3"/>
        <v>101.33032730597539</v>
      </c>
      <c r="C10">
        <f t="shared" si="3"/>
        <v>103.62728395998612</v>
      </c>
      <c r="D10">
        <v>8.9879999160766602</v>
      </c>
      <c r="E10" s="604">
        <v>7261.06005859375</v>
      </c>
      <c r="F10" s="748">
        <f t="shared" si="0"/>
        <v>-1.3351122238490554E-2</v>
      </c>
      <c r="G10" s="748">
        <f t="shared" si="0"/>
        <v>-5.146647581198649E-3</v>
      </c>
      <c r="H10" s="1067">
        <f t="shared" si="1"/>
        <v>-8.2044746572919047E-3</v>
      </c>
      <c r="I10">
        <f t="shared" si="2"/>
        <v>-2.296956654010728</v>
      </c>
    </row>
    <row r="11" spans="1:9" ht="20.100000000000001" customHeight="1">
      <c r="A11" s="563">
        <v>43116</v>
      </c>
      <c r="B11">
        <f t="shared" si="3"/>
        <v>99.977453719647059</v>
      </c>
      <c r="C11">
        <f t="shared" si="3"/>
        <v>103.09395084964727</v>
      </c>
      <c r="D11">
        <v>8.8680000305175781</v>
      </c>
      <c r="E11" s="604">
        <v>7223.68994140625</v>
      </c>
      <c r="F11" s="748">
        <f t="shared" si="0"/>
        <v>1.6914706587063399E-2</v>
      </c>
      <c r="G11" s="748">
        <f t="shared" si="0"/>
        <v>1.0325726097745402E-2</v>
      </c>
      <c r="H11" s="1067">
        <f t="shared" si="1"/>
        <v>6.5889804893179971E-3</v>
      </c>
      <c r="I11">
        <f t="shared" si="2"/>
        <v>-3.1164971300002122</v>
      </c>
    </row>
    <row r="12" spans="1:9" ht="20.100000000000001" customHeight="1">
      <c r="A12" s="563">
        <v>43117</v>
      </c>
      <c r="B12">
        <f t="shared" si="3"/>
        <v>101.6685430146366</v>
      </c>
      <c r="C12">
        <f t="shared" si="3"/>
        <v>104.15847074845516</v>
      </c>
      <c r="D12">
        <v>9.0179996490478516</v>
      </c>
      <c r="E12" s="604">
        <v>7298.27978515625</v>
      </c>
      <c r="F12" s="748">
        <f t="shared" si="0"/>
        <v>1.3750338671780549E-2</v>
      </c>
      <c r="G12" s="748">
        <f t="shared" si="0"/>
        <v>-3.0554877784838563E-4</v>
      </c>
      <c r="H12" s="1067">
        <f t="shared" si="1"/>
        <v>1.4055887449628934E-2</v>
      </c>
      <c r="I12">
        <f t="shared" si="2"/>
        <v>-2.4899277338185613</v>
      </c>
    </row>
    <row r="13" spans="1:9" ht="20.100000000000001" customHeight="1">
      <c r="A13" s="563">
        <v>43118</v>
      </c>
      <c r="B13">
        <f t="shared" si="3"/>
        <v>103.06651991335434</v>
      </c>
      <c r="C13">
        <f t="shared" si="3"/>
        <v>104.1266452550154</v>
      </c>
      <c r="D13">
        <v>9.1420001983642578</v>
      </c>
      <c r="E13" s="604">
        <v>7296.0498046875</v>
      </c>
      <c r="F13" s="748">
        <f t="shared" si="0"/>
        <v>6.5630567316239397E-3</v>
      </c>
      <c r="G13" s="748">
        <f t="shared" si="0"/>
        <v>5.5276593779676197E-3</v>
      </c>
      <c r="H13" s="1067">
        <f t="shared" si="1"/>
        <v>1.0353973536563199E-3</v>
      </c>
      <c r="I13">
        <f t="shared" si="2"/>
        <v>-1.0601253416610632</v>
      </c>
    </row>
    <row r="14" spans="1:9" ht="20.100000000000001" customHeight="1">
      <c r="A14" s="563">
        <v>43119</v>
      </c>
      <c r="B14">
        <f t="shared" si="3"/>
        <v>103.74295133067673</v>
      </c>
      <c r="C14">
        <f t="shared" si="3"/>
        <v>104.7022218821556</v>
      </c>
      <c r="D14">
        <v>9.2019996643066406</v>
      </c>
      <c r="E14" s="604">
        <v>7336.3798828125</v>
      </c>
      <c r="F14" s="748">
        <f t="shared" si="0"/>
        <v>-3.477460245604802E-3</v>
      </c>
      <c r="G14" s="748">
        <f t="shared" si="0"/>
        <v>9.7663838961787874E-3</v>
      </c>
      <c r="H14" s="1067">
        <f t="shared" si="1"/>
        <v>-1.3243844141783589E-2</v>
      </c>
      <c r="I14">
        <f t="shared" si="2"/>
        <v>-0.9592705514788662</v>
      </c>
    </row>
    <row r="15" spans="1:9" ht="20.100000000000001" customHeight="1">
      <c r="A15" s="563">
        <v>43122</v>
      </c>
      <c r="B15">
        <f t="shared" si="3"/>
        <v>103.3821893416626</v>
      </c>
      <c r="C15">
        <f t="shared" si="3"/>
        <v>105.72478397583961</v>
      </c>
      <c r="D15">
        <v>9.1700000762939453</v>
      </c>
      <c r="E15" s="604">
        <v>7408.02978515625</v>
      </c>
      <c r="F15" s="748">
        <f t="shared" si="0"/>
        <v>-2.181074983344522E-3</v>
      </c>
      <c r="G15" s="748">
        <f t="shared" si="0"/>
        <v>7.0545415477358819E-3</v>
      </c>
      <c r="H15" s="1067">
        <f t="shared" si="1"/>
        <v>-9.2356165310804039E-3</v>
      </c>
      <c r="I15">
        <f t="shared" si="2"/>
        <v>-2.3425946341770185</v>
      </c>
    </row>
    <row r="16" spans="1:9" ht="20.100000000000001" customHeight="1">
      <c r="A16" s="563">
        <v>43123</v>
      </c>
      <c r="B16">
        <f t="shared" si="3"/>
        <v>103.15670503476611</v>
      </c>
      <c r="C16">
        <f t="shared" si="3"/>
        <v>106.47062385702257</v>
      </c>
      <c r="D16">
        <v>9.1499996185302734</v>
      </c>
      <c r="E16" s="604">
        <v>7460.2900390625</v>
      </c>
      <c r="F16" s="748">
        <f t="shared" si="0"/>
        <v>-1.0928899668246395E-2</v>
      </c>
      <c r="G16" s="748">
        <f t="shared" si="0"/>
        <v>-6.0627643472201953E-3</v>
      </c>
      <c r="H16" s="1067">
        <f t="shared" si="1"/>
        <v>-4.8661353210261993E-3</v>
      </c>
      <c r="I16">
        <f t="shared" si="2"/>
        <v>-3.3139188222564684</v>
      </c>
    </row>
    <row r="17" spans="1:9" ht="20.100000000000001" customHeight="1">
      <c r="A17" s="563">
        <v>43124</v>
      </c>
      <c r="B17">
        <f t="shared" si="3"/>
        <v>102.02931575533425</v>
      </c>
      <c r="C17">
        <f t="shared" si="3"/>
        <v>105.82511755467593</v>
      </c>
      <c r="D17">
        <v>9.0500001907348633</v>
      </c>
      <c r="E17" s="604">
        <v>7415.06005859375</v>
      </c>
      <c r="F17" s="748">
        <f t="shared" si="0"/>
        <v>3.5358660042301704E-3</v>
      </c>
      <c r="G17" s="748">
        <f t="shared" si="0"/>
        <v>-5.2594346005740977E-4</v>
      </c>
      <c r="H17" s="1067">
        <f t="shared" si="1"/>
        <v>4.0618094642875802E-3</v>
      </c>
      <c r="I17">
        <f t="shared" si="2"/>
        <v>-3.7958017993416746</v>
      </c>
    </row>
    <row r="18" spans="1:9" ht="20.100000000000001" customHeight="1">
      <c r="A18" s="563">
        <v>43125</v>
      </c>
      <c r="B18">
        <f t="shared" si="3"/>
        <v>102.3900777443484</v>
      </c>
      <c r="C18">
        <f t="shared" si="3"/>
        <v>105.76945952618824</v>
      </c>
      <c r="D18">
        <v>9.0819997787475586</v>
      </c>
      <c r="E18" s="604">
        <v>7411.16015625</v>
      </c>
      <c r="F18" s="748">
        <f t="shared" si="0"/>
        <v>9.9097285598372942E-3</v>
      </c>
      <c r="G18" s="748">
        <f t="shared" si="0"/>
        <v>1.2765864086942358E-2</v>
      </c>
      <c r="H18" s="1067">
        <f t="shared" si="1"/>
        <v>-2.8561355271050637E-3</v>
      </c>
      <c r="I18">
        <f t="shared" si="2"/>
        <v>-3.3793817818398395</v>
      </c>
    </row>
    <row r="19" spans="1:9" ht="20.100000000000001" customHeight="1">
      <c r="A19" s="563">
        <v>43126</v>
      </c>
      <c r="B19">
        <f t="shared" si="3"/>
        <v>103.40473562201554</v>
      </c>
      <c r="C19">
        <f t="shared" si="3"/>
        <v>107.11969807104892</v>
      </c>
      <c r="D19">
        <v>9.1719999313354492</v>
      </c>
      <c r="E19" s="604">
        <v>7505.77001953125</v>
      </c>
      <c r="F19" s="748">
        <f t="shared" si="0"/>
        <v>2.1805994236154813E-3</v>
      </c>
      <c r="G19" s="748">
        <f t="shared" si="0"/>
        <v>-5.2306763735217032E-3</v>
      </c>
      <c r="H19" s="1067">
        <f t="shared" si="1"/>
        <v>7.4112757971371845E-3</v>
      </c>
      <c r="I19">
        <f t="shared" si="2"/>
        <v>-3.7149624490333792</v>
      </c>
    </row>
    <row r="20" spans="1:9" ht="20.100000000000001" customHeight="1">
      <c r="A20" s="563">
        <v>43129</v>
      </c>
      <c r="B20">
        <f t="shared" si="3"/>
        <v>103.63021992891201</v>
      </c>
      <c r="C20">
        <f t="shared" si="3"/>
        <v>106.5593895972099</v>
      </c>
      <c r="D20">
        <v>9.1920003890991211</v>
      </c>
      <c r="E20" s="604">
        <v>7466.509765625</v>
      </c>
      <c r="F20" s="748">
        <f t="shared" si="0"/>
        <v>-4.7868389629891483E-3</v>
      </c>
      <c r="G20" s="748">
        <f t="shared" si="0"/>
        <v>-8.5755978584580728E-3</v>
      </c>
      <c r="H20" s="1067">
        <f t="shared" si="1"/>
        <v>3.7887588954689244E-3</v>
      </c>
      <c r="I20">
        <f t="shared" si="2"/>
        <v>-2.9291696682978881</v>
      </c>
    </row>
    <row r="21" spans="1:9" ht="20.100000000000001" customHeight="1">
      <c r="A21" s="563">
        <v>43130</v>
      </c>
      <c r="B21">
        <f t="shared" si="3"/>
        <v>103.13415875441316</v>
      </c>
      <c r="C21">
        <f t="shared" si="3"/>
        <v>105.64557912398146</v>
      </c>
      <c r="D21">
        <v>9.1479997634887695</v>
      </c>
      <c r="E21" s="604">
        <v>7402.47998046875</v>
      </c>
      <c r="F21" s="748">
        <f t="shared" si="0"/>
        <v>6.5588567083452176E-3</v>
      </c>
      <c r="G21" s="748">
        <f t="shared" si="0"/>
        <v>1.2158087591922495E-3</v>
      </c>
      <c r="H21" s="1067">
        <f t="shared" si="1"/>
        <v>5.3430479491529681E-3</v>
      </c>
      <c r="I21">
        <f t="shared" si="2"/>
        <v>-2.5114203695682988</v>
      </c>
    </row>
    <row r="22" spans="1:9" ht="20.100000000000001" customHeight="1">
      <c r="A22" s="563">
        <v>43131</v>
      </c>
      <c r="B22">
        <f t="shared" si="3"/>
        <v>103.81060092341909</v>
      </c>
      <c r="C22">
        <f t="shared" si="3"/>
        <v>105.77402394445033</v>
      </c>
      <c r="D22">
        <v>9.2080001831054688</v>
      </c>
      <c r="E22" s="604">
        <v>7411.47998046875</v>
      </c>
      <c r="F22" s="748">
        <f t="shared" si="0"/>
        <v>-3.6924843671156671E-3</v>
      </c>
      <c r="G22" s="748">
        <f t="shared" si="0"/>
        <v>-3.45681527239039E-3</v>
      </c>
      <c r="H22" s="1067">
        <f t="shared" si="1"/>
        <v>-2.3566909472527708E-4</v>
      </c>
      <c r="I22">
        <f t="shared" si="2"/>
        <v>-1.9634230210312467</v>
      </c>
    </row>
    <row r="23" spans="1:9" ht="20.100000000000001" customHeight="1">
      <c r="A23" s="563">
        <v>43132</v>
      </c>
      <c r="B23">
        <f t="shared" si="3"/>
        <v>103.42728190236848</v>
      </c>
      <c r="C23">
        <f t="shared" si="3"/>
        <v>105.40838268305697</v>
      </c>
      <c r="D23">
        <v>9.1739997863769531</v>
      </c>
      <c r="E23" s="604">
        <v>7385.85986328125</v>
      </c>
      <c r="F23" s="748">
        <f t="shared" si="0"/>
        <v>-2.0274675673798925E-2</v>
      </c>
      <c r="G23" s="748">
        <f t="shared" si="0"/>
        <v>-1.9619877800439611E-2</v>
      </c>
      <c r="H23" s="1067">
        <f t="shared" si="1"/>
        <v>-6.5479787335931405E-4</v>
      </c>
      <c r="I23">
        <f t="shared" si="2"/>
        <v>-1.981100780688493</v>
      </c>
    </row>
    <row r="24" spans="1:9" ht="20.100000000000001" customHeight="1">
      <c r="A24" s="563">
        <v>43133</v>
      </c>
      <c r="B24">
        <f t="shared" si="3"/>
        <v>101.33032730597539</v>
      </c>
      <c r="C24">
        <f t="shared" si="3"/>
        <v>103.34028309567341</v>
      </c>
      <c r="D24">
        <v>8.9879999160766602</v>
      </c>
      <c r="E24" s="604">
        <v>7240.9501953125</v>
      </c>
      <c r="F24" s="748">
        <f t="shared" si="0"/>
        <v>-2.4699613278058141E-2</v>
      </c>
      <c r="G24" s="748">
        <f t="shared" si="0"/>
        <v>-3.776029426818206E-2</v>
      </c>
      <c r="H24" s="1067">
        <f t="shared" si="1"/>
        <v>1.3060680990123918E-2</v>
      </c>
      <c r="I24">
        <f t="shared" si="2"/>
        <v>-2.0099557896980258</v>
      </c>
    </row>
    <row r="25" spans="1:9" ht="20.100000000000001" customHeight="1">
      <c r="A25" s="563">
        <v>43136</v>
      </c>
      <c r="B25">
        <f t="shared" si="3"/>
        <v>98.827507408178747</v>
      </c>
      <c r="C25">
        <f t="shared" si="3"/>
        <v>99.438123596223548</v>
      </c>
      <c r="D25">
        <v>8.7659997940063477</v>
      </c>
      <c r="E25" s="604">
        <v>6967.52978515625</v>
      </c>
      <c r="F25" s="748">
        <f t="shared" si="0"/>
        <v>6.1829777507537376E-2</v>
      </c>
      <c r="G25" s="748">
        <f t="shared" si="0"/>
        <v>2.1291634514759794E-2</v>
      </c>
      <c r="H25" s="1067">
        <f t="shared" si="1"/>
        <v>4.0538142992777582E-2</v>
      </c>
      <c r="I25">
        <f t="shared" si="2"/>
        <v>-0.61061618804480133</v>
      </c>
    </row>
    <row r="26" spans="1:9" ht="20.100000000000001" customHeight="1">
      <c r="A26" s="563">
        <v>43137</v>
      </c>
      <c r="B26">
        <f t="shared" si="3"/>
        <v>104.93799020285094</v>
      </c>
      <c r="C26">
        <f t="shared" si="3"/>
        <v>101.55532378066785</v>
      </c>
      <c r="D26">
        <v>9.3079996109008789</v>
      </c>
      <c r="E26" s="604">
        <v>7115.8798828125</v>
      </c>
      <c r="F26" s="748">
        <f t="shared" si="0"/>
        <v>-2.2131433498170372E-2</v>
      </c>
      <c r="G26" s="748">
        <f t="shared" si="0"/>
        <v>-8.9799017684506488E-3</v>
      </c>
      <c r="H26" s="1067">
        <f t="shared" si="1"/>
        <v>-1.3151531729719723E-2</v>
      </c>
      <c r="I26">
        <f t="shared" si="2"/>
        <v>3.3826664221830924</v>
      </c>
    </row>
    <row r="27" spans="1:9" ht="20.100000000000001" customHeight="1">
      <c r="A27" s="563">
        <v>43138</v>
      </c>
      <c r="B27">
        <f t="shared" si="3"/>
        <v>102.61556205124489</v>
      </c>
      <c r="C27">
        <f t="shared" si="3"/>
        <v>100.64336694905425</v>
      </c>
      <c r="D27">
        <v>9.1020002365112305</v>
      </c>
      <c r="E27" s="604">
        <v>7051.97998046875</v>
      </c>
      <c r="F27" s="748">
        <f t="shared" si="0"/>
        <v>-2.219299195034774E-2</v>
      </c>
      <c r="G27" s="748">
        <f t="shared" si="0"/>
        <v>-3.897059052633367E-2</v>
      </c>
      <c r="H27" s="1067">
        <f t="shared" si="1"/>
        <v>1.677759857598593E-2</v>
      </c>
      <c r="I27">
        <f t="shared" si="2"/>
        <v>1.9721951021906392</v>
      </c>
    </row>
    <row r="28" spans="1:9" ht="20.100000000000001" customHeight="1">
      <c r="A28" s="563">
        <v>43139</v>
      </c>
      <c r="B28">
        <f t="shared" si="3"/>
        <v>100.33821570866121</v>
      </c>
      <c r="C28">
        <f t="shared" si="3"/>
        <v>96.721235506491112</v>
      </c>
      <c r="D28">
        <v>8.8999996185302734</v>
      </c>
      <c r="E28" s="604">
        <v>6777.16015625</v>
      </c>
      <c r="F28" s="748">
        <f t="shared" si="0"/>
        <v>4.5842697736877103E-2</v>
      </c>
      <c r="G28" s="748">
        <f t="shared" si="0"/>
        <v>1.4361484143950776E-2</v>
      </c>
      <c r="H28" s="1067">
        <f t="shared" si="1"/>
        <v>3.1481213592926327E-2</v>
      </c>
      <c r="I28">
        <f t="shared" si="2"/>
        <v>3.6169802021700974</v>
      </c>
    </row>
    <row r="29" spans="1:9" ht="20.100000000000001" customHeight="1">
      <c r="A29" s="563">
        <v>43140</v>
      </c>
      <c r="B29">
        <f t="shared" si="3"/>
        <v>104.93799020285094</v>
      </c>
      <c r="C29">
        <f t="shared" si="3"/>
        <v>98.110295996600911</v>
      </c>
      <c r="D29">
        <v>9.3079996109008789</v>
      </c>
      <c r="E29" s="604">
        <v>6874.490234375</v>
      </c>
      <c r="F29" s="748">
        <f t="shared" si="0"/>
        <v>-1.2892226498684156E-3</v>
      </c>
      <c r="G29" s="748">
        <f t="shared" si="0"/>
        <v>1.5633119387545413E-2</v>
      </c>
      <c r="H29" s="1067">
        <f t="shared" si="1"/>
        <v>-1.6922342037413829E-2</v>
      </c>
      <c r="I29">
        <f t="shared" si="2"/>
        <v>6.8276942062500297</v>
      </c>
    </row>
    <row r="30" spans="1:9" ht="20.100000000000001" customHeight="1">
      <c r="A30" s="563">
        <v>43143</v>
      </c>
      <c r="B30">
        <f t="shared" si="3"/>
        <v>104.80270176904976</v>
      </c>
      <c r="C30">
        <f t="shared" si="3"/>
        <v>99.644065967063199</v>
      </c>
      <c r="D30">
        <v>9.2959995269775391</v>
      </c>
      <c r="E30" s="604">
        <v>6981.9599609375</v>
      </c>
      <c r="F30" s="748">
        <f t="shared" si="0"/>
        <v>3.5284002297189865E-2</v>
      </c>
      <c r="G30" s="748">
        <f t="shared" si="0"/>
        <v>4.5187604718466279E-3</v>
      </c>
      <c r="H30" s="1067">
        <f t="shared" si="1"/>
        <v>3.0765241825343237E-2</v>
      </c>
      <c r="I30">
        <f t="shared" si="2"/>
        <v>5.1586358019865628</v>
      </c>
    </row>
    <row r="31" spans="1:9" ht="20.100000000000001" customHeight="1">
      <c r="A31" s="563">
        <v>43144</v>
      </c>
      <c r="B31">
        <f t="shared" si="3"/>
        <v>108.50056053902061</v>
      </c>
      <c r="C31">
        <f t="shared" si="3"/>
        <v>100.09433363360924</v>
      </c>
      <c r="D31">
        <v>9.6239995956420898</v>
      </c>
      <c r="E31" s="604">
        <v>7013.509765625</v>
      </c>
      <c r="F31" s="748">
        <f t="shared" si="0"/>
        <v>5.4031637532396815E-3</v>
      </c>
      <c r="G31" s="748">
        <f t="shared" si="0"/>
        <v>1.8551389519724459E-2</v>
      </c>
      <c r="H31" s="1067">
        <f t="shared" si="1"/>
        <v>-1.3148225766484778E-2</v>
      </c>
      <c r="I31">
        <f t="shared" si="2"/>
        <v>8.4062269054113727</v>
      </c>
    </row>
    <row r="32" spans="1:9" ht="20.100000000000001" customHeight="1">
      <c r="A32" s="563">
        <v>43145</v>
      </c>
      <c r="B32">
        <f t="shared" si="3"/>
        <v>109.08680683493124</v>
      </c>
      <c r="C32">
        <f t="shared" si="3"/>
        <v>101.95122260556359</v>
      </c>
      <c r="D32">
        <v>9.675999641418457</v>
      </c>
      <c r="E32" s="604">
        <v>7143.6201171875</v>
      </c>
      <c r="F32" s="748">
        <f t="shared" si="0"/>
        <v>1.8602760629019111E-2</v>
      </c>
      <c r="G32" s="748">
        <f t="shared" si="0"/>
        <v>1.5791721388197733E-2</v>
      </c>
      <c r="H32" s="1067">
        <f t="shared" si="1"/>
        <v>2.811039240821378E-3</v>
      </c>
      <c r="I32">
        <f t="shared" si="2"/>
        <v>7.1355842293676517</v>
      </c>
    </row>
    <row r="33" spans="1:9" ht="20.100000000000001" customHeight="1">
      <c r="A33" s="563">
        <v>43146</v>
      </c>
      <c r="B33">
        <f t="shared" si="3"/>
        <v>111.1161225902655</v>
      </c>
      <c r="C33">
        <f t="shared" si="3"/>
        <v>103.56120790813678</v>
      </c>
      <c r="D33">
        <v>9.8559999465942383</v>
      </c>
      <c r="E33" s="604">
        <v>7256.43017578125</v>
      </c>
      <c r="F33" s="748">
        <f t="shared" si="0"/>
        <v>-6.6964270595413211E-3</v>
      </c>
      <c r="G33" s="748">
        <f t="shared" si="0"/>
        <v>-2.337232017212143E-3</v>
      </c>
      <c r="H33" s="1067">
        <f t="shared" si="1"/>
        <v>-4.3591950423291781E-3</v>
      </c>
      <c r="I33">
        <f t="shared" si="2"/>
        <v>7.5549146821287252</v>
      </c>
    </row>
    <row r="34" spans="1:9" ht="20.100000000000001" customHeight="1">
      <c r="A34" s="563">
        <v>43147</v>
      </c>
      <c r="B34">
        <f t="shared" si="3"/>
        <v>110.37204158020074</v>
      </c>
      <c r="C34">
        <f t="shared" si="3"/>
        <v>103.31916133727272</v>
      </c>
      <c r="D34">
        <v>9.7899999618530273</v>
      </c>
      <c r="E34" s="604">
        <v>7239.47021484375</v>
      </c>
      <c r="F34" s="748">
        <f t="shared" si="0"/>
        <v>2.2472229714913805E-3</v>
      </c>
      <c r="G34" s="748">
        <f t="shared" si="0"/>
        <v>-7.1278092137461169E-4</v>
      </c>
      <c r="H34" s="1067">
        <f t="shared" si="1"/>
        <v>2.9600038928659922E-3</v>
      </c>
      <c r="I34">
        <f t="shared" si="2"/>
        <v>7.0528802429280262</v>
      </c>
    </row>
    <row r="35" spans="1:9" ht="20.100000000000001" customHeight="1">
      <c r="A35" s="563">
        <v>43151</v>
      </c>
      <c r="B35">
        <f t="shared" si="3"/>
        <v>110.62007216745018</v>
      </c>
      <c r="C35">
        <f t="shared" si="3"/>
        <v>103.24551741025908</v>
      </c>
      <c r="D35">
        <v>9.8120002746582031</v>
      </c>
      <c r="E35" s="604">
        <v>7234.31005859375</v>
      </c>
      <c r="F35" s="748">
        <f t="shared" si="0"/>
        <v>1.0190863154930785E-3</v>
      </c>
      <c r="G35" s="748">
        <f t="shared" si="0"/>
        <v>-2.2227521345865586E-3</v>
      </c>
      <c r="H35" s="1067">
        <f t="shared" si="1"/>
        <v>3.2418384500796371E-3</v>
      </c>
      <c r="I35">
        <f t="shared" si="2"/>
        <v>7.3745547571910919</v>
      </c>
    </row>
    <row r="36" spans="1:9" ht="20.100000000000001" customHeight="1">
      <c r="A36" s="563">
        <v>43152</v>
      </c>
      <c r="B36">
        <f t="shared" si="3"/>
        <v>110.73280356921488</v>
      </c>
      <c r="C36">
        <f t="shared" si="3"/>
        <v>103.01602821604894</v>
      </c>
      <c r="D36">
        <v>9.8219995498657227</v>
      </c>
      <c r="E36" s="604">
        <v>7218.22998046875</v>
      </c>
      <c r="F36" s="748">
        <f t="shared" si="0"/>
        <v>1.8326820960212764E-3</v>
      </c>
      <c r="G36" s="748">
        <f t="shared" si="0"/>
        <v>-1.1277192249036228E-3</v>
      </c>
      <c r="H36" s="1067">
        <f t="shared" si="1"/>
        <v>2.9604013209248992E-3</v>
      </c>
      <c r="I36">
        <f t="shared" si="2"/>
        <v>7.7167753531659429</v>
      </c>
    </row>
    <row r="37" spans="1:9" ht="20.100000000000001" customHeight="1">
      <c r="A37" s="563">
        <v>43153</v>
      </c>
      <c r="B37">
        <f t="shared" si="3"/>
        <v>110.93574159575842</v>
      </c>
      <c r="C37">
        <f t="shared" si="3"/>
        <v>102.89985506055649</v>
      </c>
      <c r="D37">
        <v>9.8400001525878906</v>
      </c>
      <c r="E37" s="604">
        <v>7210.08984375</v>
      </c>
      <c r="F37" s="748">
        <f t="shared" si="0"/>
        <v>1.3617868134756517E-2</v>
      </c>
      <c r="G37" s="748">
        <f t="shared" si="0"/>
        <v>1.7655853911321184E-2</v>
      </c>
      <c r="H37" s="1067">
        <f t="shared" si="1"/>
        <v>-4.0379857765646676E-3</v>
      </c>
      <c r="I37">
        <f t="shared" si="2"/>
        <v>8.0358865352019251</v>
      </c>
    </row>
    <row r="38" spans="1:9" ht="20.100000000000001" customHeight="1">
      <c r="A38" s="563">
        <v>43154</v>
      </c>
      <c r="B38">
        <f t="shared" si="3"/>
        <v>112.44644989624088</v>
      </c>
      <c r="C38">
        <f t="shared" si="3"/>
        <v>104.7166398690018</v>
      </c>
      <c r="D38">
        <v>9.9739999771118164</v>
      </c>
      <c r="E38" s="604">
        <v>7337.39013671875</v>
      </c>
      <c r="F38" s="748">
        <f t="shared" si="0"/>
        <v>9.0234763178689281E-3</v>
      </c>
      <c r="G38" s="748">
        <f t="shared" si="0"/>
        <v>1.1457728518214694E-2</v>
      </c>
      <c r="H38" s="1067">
        <f t="shared" si="1"/>
        <v>-2.4342522003457656E-3</v>
      </c>
      <c r="I38">
        <f t="shared" si="2"/>
        <v>7.7298100272390826</v>
      </c>
    </row>
    <row r="39" spans="1:9" ht="20.100000000000001" customHeight="1">
      <c r="A39" s="563">
        <v>43157</v>
      </c>
      <c r="B39">
        <f t="shared" si="3"/>
        <v>113.46110777390804</v>
      </c>
      <c r="C39">
        <f t="shared" si="3"/>
        <v>105.91645469996048</v>
      </c>
      <c r="D39">
        <v>10.064000129699711</v>
      </c>
      <c r="E39" s="604">
        <v>7421.4599609375</v>
      </c>
      <c r="F39" s="748">
        <f t="shared" si="0"/>
        <v>-7.3529767118309941E-3</v>
      </c>
      <c r="G39" s="748">
        <f t="shared" si="0"/>
        <v>-1.2276541780296912E-2</v>
      </c>
      <c r="H39" s="1067">
        <f t="shared" si="1"/>
        <v>4.9235650684659182E-3</v>
      </c>
      <c r="I39">
        <f t="shared" si="2"/>
        <v>7.5446530739475577</v>
      </c>
    </row>
    <row r="40" spans="1:9" ht="20.100000000000001" customHeight="1">
      <c r="A40" s="563">
        <v>43158</v>
      </c>
      <c r="B40">
        <f t="shared" si="3"/>
        <v>112.62683089074795</v>
      </c>
      <c r="C40">
        <f t="shared" si="3"/>
        <v>104.61616691861549</v>
      </c>
      <c r="D40">
        <v>9.9899997711181641</v>
      </c>
      <c r="E40" s="604">
        <v>7330.35009765625</v>
      </c>
      <c r="F40" s="748">
        <f t="shared" si="0"/>
        <v>1.0410419813362548E-2</v>
      </c>
      <c r="G40" s="748">
        <f t="shared" si="0"/>
        <v>-7.8223183432375443E-3</v>
      </c>
      <c r="H40" s="1067">
        <f t="shared" si="1"/>
        <v>1.8232738156600092E-2</v>
      </c>
      <c r="I40">
        <f t="shared" si="2"/>
        <v>8.0106639721324626</v>
      </c>
    </row>
    <row r="41" spans="1:9" ht="20.100000000000001" customHeight="1">
      <c r="A41" s="563">
        <v>43159</v>
      </c>
      <c r="B41">
        <f t="shared" si="3"/>
        <v>113.79932348256924</v>
      </c>
      <c r="C41">
        <f t="shared" si="3"/>
        <v>103.79782595712881</v>
      </c>
      <c r="D41">
        <v>10.0939998626709</v>
      </c>
      <c r="E41" s="604">
        <v>7273.009765625</v>
      </c>
      <c r="F41" s="748">
        <f t="shared" si="0"/>
        <v>-1.9021145040317378E-2</v>
      </c>
      <c r="G41" s="748">
        <f t="shared" si="0"/>
        <v>-1.2711340973059371E-2</v>
      </c>
      <c r="H41" s="1067">
        <f t="shared" si="1"/>
        <v>-6.3098040672580069E-3</v>
      </c>
      <c r="I41">
        <f t="shared" si="2"/>
        <v>10.001497525440428</v>
      </c>
    </row>
    <row r="42" spans="1:9" ht="20.100000000000001" customHeight="1">
      <c r="A42" s="563">
        <v>43160</v>
      </c>
      <c r="B42">
        <f t="shared" si="3"/>
        <v>111.63473004511729</v>
      </c>
      <c r="C42">
        <f t="shared" si="3"/>
        <v>102.47841639912546</v>
      </c>
      <c r="D42">
        <v>9.9020004272460938</v>
      </c>
      <c r="E42" s="604">
        <v>7180.56005859375</v>
      </c>
      <c r="F42" s="748">
        <f t="shared" si="0"/>
        <v>1.918799961475437E-2</v>
      </c>
      <c r="G42" s="748">
        <f t="shared" si="0"/>
        <v>1.0766577810490618E-2</v>
      </c>
      <c r="H42" s="1067">
        <f t="shared" si="1"/>
        <v>8.4214218042637512E-3</v>
      </c>
      <c r="I42">
        <f t="shared" si="2"/>
        <v>9.1563136459918297</v>
      </c>
    </row>
    <row r="43" spans="1:9" ht="20.100000000000001" customHeight="1">
      <c r="A43" s="563">
        <v>43161</v>
      </c>
      <c r="B43">
        <f t="shared" si="3"/>
        <v>113.77677720221621</v>
      </c>
      <c r="C43">
        <f t="shared" si="3"/>
        <v>103.58175824318251</v>
      </c>
      <c r="D43">
        <v>10.092000007629389</v>
      </c>
      <c r="E43" s="604">
        <v>7257.8701171875</v>
      </c>
      <c r="F43" s="748">
        <f t="shared" si="0"/>
        <v>3.7653692808961026E-3</v>
      </c>
      <c r="G43" s="748">
        <f t="shared" si="0"/>
        <v>1.0035980607796535E-2</v>
      </c>
      <c r="H43" s="1067">
        <f t="shared" si="1"/>
        <v>-6.2706113269004327E-3</v>
      </c>
      <c r="I43">
        <f t="shared" si="2"/>
        <v>10.195018959033703</v>
      </c>
    </row>
    <row r="44" spans="1:9" ht="20.100000000000001" customHeight="1">
      <c r="A44" s="563">
        <v>43164</v>
      </c>
      <c r="B44">
        <f t="shared" si="3"/>
        <v>114.2051887839728</v>
      </c>
      <c r="C44">
        <f t="shared" si="3"/>
        <v>104.62130276023255</v>
      </c>
      <c r="D44">
        <v>10.13000011444092</v>
      </c>
      <c r="E44" s="604">
        <v>7330.7099609375</v>
      </c>
      <c r="F44" s="748">
        <f t="shared" si="0"/>
        <v>2.3691981086557679E-2</v>
      </c>
      <c r="G44" s="748">
        <f t="shared" si="0"/>
        <v>5.633806944698394E-3</v>
      </c>
      <c r="H44" s="1067">
        <f t="shared" si="1"/>
        <v>1.8058174141859284E-2</v>
      </c>
      <c r="I44">
        <f t="shared" si="2"/>
        <v>9.5838860237402486</v>
      </c>
    </row>
    <row r="45" spans="1:9" ht="20.100000000000001" customHeight="1">
      <c r="A45" s="563">
        <v>43165</v>
      </c>
      <c r="B45">
        <f t="shared" si="3"/>
        <v>116.91093595662943</v>
      </c>
      <c r="C45">
        <f t="shared" si="3"/>
        <v>105.21071898228655</v>
      </c>
      <c r="D45">
        <v>10.36999988555908</v>
      </c>
      <c r="E45" s="604">
        <v>7372.009765625</v>
      </c>
      <c r="F45" s="748">
        <f t="shared" si="0"/>
        <v>1.1957623016861207E-2</v>
      </c>
      <c r="G45" s="748">
        <f t="shared" si="0"/>
        <v>3.3423906779999069E-3</v>
      </c>
      <c r="H45" s="1067">
        <f t="shared" si="1"/>
        <v>8.6152323388613006E-3</v>
      </c>
      <c r="I45">
        <f t="shared" si="2"/>
        <v>11.700216974342879</v>
      </c>
    </row>
    <row r="46" spans="1:9" ht="20.100000000000001" customHeight="1">
      <c r="A46" s="563">
        <v>43166</v>
      </c>
      <c r="B46">
        <f t="shared" si="3"/>
        <v>118.3089128553472</v>
      </c>
      <c r="C46">
        <f t="shared" si="3"/>
        <v>105.56237430863861</v>
      </c>
      <c r="D46">
        <v>10.49400043487549</v>
      </c>
      <c r="E46" s="604">
        <v>7396.64990234375</v>
      </c>
      <c r="F46" s="748">
        <f t="shared" si="0"/>
        <v>3.0874727604398355E-2</v>
      </c>
      <c r="G46" s="748">
        <f t="shared" si="0"/>
        <v>4.2316850712147414E-3</v>
      </c>
      <c r="H46" s="1067">
        <f t="shared" si="1"/>
        <v>2.6643042533183614E-2</v>
      </c>
      <c r="I46">
        <f t="shared" si="2"/>
        <v>12.746538546708592</v>
      </c>
    </row>
    <row r="47" spans="1:9" ht="20.100000000000001" customHeight="1">
      <c r="A47" s="563">
        <v>43167</v>
      </c>
      <c r="B47">
        <f t="shared" si="3"/>
        <v>121.96166831292855</v>
      </c>
      <c r="C47">
        <f t="shared" si="3"/>
        <v>106.00908103208246</v>
      </c>
      <c r="D47">
        <v>10.81799983978271</v>
      </c>
      <c r="E47" s="604">
        <v>7427.9501953125</v>
      </c>
      <c r="F47" s="748">
        <f t="shared" si="0"/>
        <v>6.4706688723361605E-3</v>
      </c>
      <c r="G47" s="748">
        <f t="shared" si="0"/>
        <v>1.7886477397908829E-2</v>
      </c>
      <c r="H47" s="1067">
        <f t="shared" si="1"/>
        <v>-1.1415808525572668E-2</v>
      </c>
      <c r="I47">
        <f t="shared" si="2"/>
        <v>15.952587280846089</v>
      </c>
    </row>
    <row r="48" spans="1:9" ht="20.100000000000001" customHeight="1">
      <c r="A48" s="563">
        <v>43168</v>
      </c>
      <c r="B48">
        <f t="shared" si="3"/>
        <v>122.75084188369921</v>
      </c>
      <c r="C48">
        <f t="shared" si="3"/>
        <v>107.9052100639359</v>
      </c>
      <c r="D48">
        <v>10.88799953460693</v>
      </c>
      <c r="E48" s="604">
        <v>7560.81005859375</v>
      </c>
      <c r="F48" s="748">
        <f t="shared" si="0"/>
        <v>4.4085541646832205E-3</v>
      </c>
      <c r="G48" s="748">
        <f t="shared" si="0"/>
        <v>3.638468022845176E-3</v>
      </c>
      <c r="H48" s="1067">
        <f t="shared" si="1"/>
        <v>7.7008614183804447E-4</v>
      </c>
      <c r="I48">
        <f t="shared" si="2"/>
        <v>14.845631819763312</v>
      </c>
    </row>
    <row r="49" spans="1:9" ht="20.100000000000001" customHeight="1">
      <c r="A49" s="563">
        <v>43171</v>
      </c>
      <c r="B49">
        <f t="shared" si="3"/>
        <v>123.29199561890397</v>
      </c>
      <c r="C49">
        <f t="shared" si="3"/>
        <v>108.29781972025192</v>
      </c>
      <c r="D49">
        <v>10.935999870300289</v>
      </c>
      <c r="E49" s="604">
        <v>7588.31982421875</v>
      </c>
      <c r="F49" s="748">
        <f t="shared" si="0"/>
        <v>-7.8638889768199993E-3</v>
      </c>
      <c r="G49" s="748">
        <f t="shared" si="0"/>
        <v>-1.0188033765657689E-2</v>
      </c>
      <c r="H49" s="1067">
        <f t="shared" si="1"/>
        <v>2.3241447888376898E-3</v>
      </c>
      <c r="I49">
        <f t="shared" si="2"/>
        <v>14.994175898652045</v>
      </c>
    </row>
    <row r="50" spans="1:9" ht="20.100000000000001" customHeight="1">
      <c r="A50" s="563">
        <v>43172</v>
      </c>
      <c r="B50">
        <f t="shared" si="3"/>
        <v>122.32244105362633</v>
      </c>
      <c r="C50">
        <f t="shared" si="3"/>
        <v>107.19447787619488</v>
      </c>
      <c r="D50">
        <v>10.85000038146973</v>
      </c>
      <c r="E50" s="604">
        <v>7511.009765625</v>
      </c>
      <c r="F50" s="748">
        <f t="shared" si="0"/>
        <v>5.3455860702029678E-3</v>
      </c>
      <c r="G50" s="748">
        <f t="shared" si="0"/>
        <v>-1.8905190479496792E-3</v>
      </c>
      <c r="H50" s="1067">
        <f t="shared" si="1"/>
        <v>7.236105118152647E-3</v>
      </c>
      <c r="I50">
        <f t="shared" si="2"/>
        <v>15.127963177431454</v>
      </c>
    </row>
    <row r="51" spans="1:9" ht="20.100000000000001" customHeight="1">
      <c r="A51" s="563">
        <v>43173</v>
      </c>
      <c r="B51">
        <f t="shared" si="3"/>
        <v>122.97632619059583</v>
      </c>
      <c r="C51">
        <f t="shared" si="3"/>
        <v>106.99182467393491</v>
      </c>
      <c r="D51">
        <v>10.907999992370611</v>
      </c>
      <c r="E51" s="604">
        <v>7496.81005859375</v>
      </c>
      <c r="F51" s="748">
        <f t="shared" si="0"/>
        <v>-6.6006188041887182E-3</v>
      </c>
      <c r="G51" s="748">
        <f t="shared" si="0"/>
        <v>-2.0101648702537389E-3</v>
      </c>
      <c r="H51" s="1067">
        <f t="shared" si="1"/>
        <v>-4.5904539339349792E-3</v>
      </c>
      <c r="I51">
        <f t="shared" si="2"/>
        <v>15.984501516660913</v>
      </c>
    </row>
    <row r="52" spans="1:9" ht="20.100000000000001" customHeight="1">
      <c r="A52" s="563">
        <v>43174</v>
      </c>
      <c r="B52">
        <f t="shared" si="3"/>
        <v>122.16460633947213</v>
      </c>
      <c r="C52">
        <f t="shared" si="3"/>
        <v>106.77675346657102</v>
      </c>
      <c r="D52">
        <v>10.836000442504879</v>
      </c>
      <c r="E52" s="604">
        <v>7481.740234375</v>
      </c>
      <c r="F52" s="748">
        <f t="shared" si="0"/>
        <v>-3.3222822351323122E-3</v>
      </c>
      <c r="G52" s="748">
        <f t="shared" si="0"/>
        <v>3.3414685911115072E-5</v>
      </c>
      <c r="H52" s="1067">
        <f t="shared" si="1"/>
        <v>-3.3556969210434273E-3</v>
      </c>
      <c r="I52">
        <f t="shared" si="2"/>
        <v>15.387852872901107</v>
      </c>
    </row>
    <row r="53" spans="1:9" ht="20.100000000000001" customHeight="1">
      <c r="A53" s="563">
        <v>43175</v>
      </c>
      <c r="B53">
        <f t="shared" si="3"/>
        <v>121.75874103806856</v>
      </c>
      <c r="C53">
        <f t="shared" si="3"/>
        <v>106.78032137825072</v>
      </c>
      <c r="D53">
        <v>10.80000019073486</v>
      </c>
      <c r="E53" s="604">
        <v>7481.990234375</v>
      </c>
      <c r="F53" s="748">
        <f t="shared" si="0"/>
        <v>-1.2037047420835556E-2</v>
      </c>
      <c r="G53" s="748">
        <f t="shared" si="0"/>
        <v>-1.8410876743346405E-2</v>
      </c>
      <c r="H53" s="1067">
        <f t="shared" si="1"/>
        <v>6.3738293225108489E-3</v>
      </c>
      <c r="I53">
        <f t="shared" si="2"/>
        <v>14.978419659817845</v>
      </c>
    </row>
    <row r="54" spans="1:9" ht="20.100000000000001" customHeight="1">
      <c r="A54" s="563">
        <v>43178</v>
      </c>
      <c r="B54">
        <f t="shared" si="3"/>
        <v>120.2931252982921</v>
      </c>
      <c r="C54">
        <f t="shared" si="3"/>
        <v>104.81440204274082</v>
      </c>
      <c r="D54">
        <v>10.670000076293951</v>
      </c>
      <c r="E54" s="604">
        <v>7344.240234375</v>
      </c>
      <c r="F54" s="748">
        <f t="shared" si="0"/>
        <v>8.059933291062249E-3</v>
      </c>
      <c r="G54" s="748">
        <f t="shared" si="0"/>
        <v>2.7313336263987686E-3</v>
      </c>
      <c r="H54" s="1067">
        <f t="shared" si="1"/>
        <v>5.3285996646634803E-3</v>
      </c>
      <c r="I54">
        <f t="shared" si="2"/>
        <v>15.478723255551273</v>
      </c>
    </row>
    <row r="55" spans="1:9" ht="20.100000000000001" customHeight="1">
      <c r="A55" s="563">
        <v>43179</v>
      </c>
      <c r="B55">
        <f t="shared" si="3"/>
        <v>121.26267986356973</v>
      </c>
      <c r="C55">
        <f t="shared" si="3"/>
        <v>105.10068514357104</v>
      </c>
      <c r="D55">
        <v>10.75599956512451</v>
      </c>
      <c r="E55" s="604">
        <v>7364.2998046875</v>
      </c>
      <c r="F55" s="748">
        <f t="shared" si="0"/>
        <v>1.468947552609734E-2</v>
      </c>
      <c r="G55" s="748">
        <f t="shared" si="0"/>
        <v>-2.5813405387026256E-3</v>
      </c>
      <c r="H55" s="1067">
        <f t="shared" si="1"/>
        <v>1.7270816064799965E-2</v>
      </c>
      <c r="I55">
        <f t="shared" si="2"/>
        <v>16.161994719998688</v>
      </c>
    </row>
    <row r="56" spans="1:9" ht="20.100000000000001" customHeight="1">
      <c r="A56" s="563">
        <v>43180</v>
      </c>
      <c r="B56">
        <f t="shared" si="3"/>
        <v>123.04396503165461</v>
      </c>
      <c r="C56">
        <f t="shared" si="3"/>
        <v>104.82938448436452</v>
      </c>
      <c r="D56">
        <v>10.913999557495121</v>
      </c>
      <c r="E56" s="604">
        <v>7345.2900390625</v>
      </c>
      <c r="F56" s="748">
        <f t="shared" si="0"/>
        <v>-1.759203254621311E-2</v>
      </c>
      <c r="G56" s="748">
        <f t="shared" si="0"/>
        <v>-2.4316243787705694E-2</v>
      </c>
      <c r="H56" s="1067">
        <f t="shared" si="1"/>
        <v>6.7242112414925836E-3</v>
      </c>
      <c r="I56">
        <f t="shared" si="2"/>
        <v>18.214580547290083</v>
      </c>
    </row>
    <row r="57" spans="1:9" ht="20.100000000000001" customHeight="1">
      <c r="A57" s="563">
        <v>43181</v>
      </c>
      <c r="B57">
        <f t="shared" si="3"/>
        <v>120.87937159420264</v>
      </c>
      <c r="C57">
        <f t="shared" si="3"/>
        <v>102.28032761512759</v>
      </c>
      <c r="D57">
        <v>10.722000122070311</v>
      </c>
      <c r="E57" s="604">
        <v>7166.68017578125</v>
      </c>
      <c r="F57" s="748">
        <f t="shared" si="0"/>
        <v>-1.2311132995672103E-2</v>
      </c>
      <c r="G57" s="748">
        <f t="shared" si="0"/>
        <v>-2.4280454776577365E-2</v>
      </c>
      <c r="H57" s="1067">
        <f t="shared" si="1"/>
        <v>1.1969321780905262E-2</v>
      </c>
      <c r="I57">
        <f t="shared" si="2"/>
        <v>18.599043979075049</v>
      </c>
    </row>
    <row r="58" spans="1:9" ht="20.100000000000001" customHeight="1">
      <c r="A58" s="563">
        <v>43182</v>
      </c>
      <c r="B58">
        <f t="shared" si="3"/>
        <v>119.39120957407314</v>
      </c>
      <c r="C58">
        <f t="shared" si="3"/>
        <v>99.79691474593497</v>
      </c>
      <c r="D58">
        <v>10.590000152587891</v>
      </c>
      <c r="E58" s="604">
        <v>6992.669921875</v>
      </c>
      <c r="F58" s="748">
        <f t="shared" si="0"/>
        <v>3.0783777991106431E-2</v>
      </c>
      <c r="G58" s="748">
        <f t="shared" si="0"/>
        <v>3.2586997489279401E-2</v>
      </c>
      <c r="H58" s="1067">
        <f t="shared" si="1"/>
        <v>-1.8032194981729699E-3</v>
      </c>
      <c r="I58">
        <f t="shared" si="2"/>
        <v>19.594294828138175</v>
      </c>
    </row>
    <row r="59" spans="1:9" ht="20.100000000000001" customHeight="1">
      <c r="A59" s="563">
        <v>43185</v>
      </c>
      <c r="B59">
        <f t="shared" si="3"/>
        <v>123.06652206369107</v>
      </c>
      <c r="C59">
        <f t="shared" si="3"/>
        <v>103.04899655619859</v>
      </c>
      <c r="D59">
        <v>10.916000366210939</v>
      </c>
      <c r="E59" s="604">
        <v>7220.5400390625</v>
      </c>
      <c r="F59" s="748">
        <f t="shared" si="0"/>
        <v>-2.2902161195765713E-2</v>
      </c>
      <c r="G59" s="748">
        <f t="shared" si="0"/>
        <v>-2.9323288746175402E-2</v>
      </c>
      <c r="H59" s="1067">
        <f t="shared" si="1"/>
        <v>6.4211275504096887E-3</v>
      </c>
      <c r="I59">
        <f t="shared" si="2"/>
        <v>20.017525507492479</v>
      </c>
    </row>
    <row r="60" spans="1:9" ht="20.100000000000001" customHeight="1">
      <c r="A60" s="563">
        <v>43186</v>
      </c>
      <c r="B60">
        <f t="shared" si="3"/>
        <v>120.24803273758616</v>
      </c>
      <c r="C60">
        <f t="shared" si="3"/>
        <v>100.02726107517755</v>
      </c>
      <c r="D60">
        <v>10.666000366210939</v>
      </c>
      <c r="E60" s="604">
        <v>7008.81005859375</v>
      </c>
      <c r="F60" s="748">
        <f t="shared" si="0"/>
        <v>-1.9688733446160733E-2</v>
      </c>
      <c r="G60" s="748">
        <f t="shared" si="0"/>
        <v>-8.5007408714046218E-3</v>
      </c>
      <c r="H60" s="1067">
        <f t="shared" si="1"/>
        <v>-1.1187992574756112E-2</v>
      </c>
      <c r="I60">
        <f t="shared" si="2"/>
        <v>20.220771662408609</v>
      </c>
    </row>
    <row r="61" spans="1:9" ht="20.100000000000001" customHeight="1">
      <c r="A61" s="563">
        <v>43187</v>
      </c>
      <c r="B61">
        <f t="shared" si="3"/>
        <v>117.88050127359061</v>
      </c>
      <c r="C61">
        <f t="shared" si="3"/>
        <v>99.17695524870112</v>
      </c>
      <c r="D61">
        <v>10.45600032806396</v>
      </c>
      <c r="E61" s="604">
        <v>6949.22998046875</v>
      </c>
      <c r="F61" s="748">
        <f t="shared" si="0"/>
        <v>2.4866035486789562E-2</v>
      </c>
      <c r="G61" s="748">
        <f t="shared" si="0"/>
        <v>1.6436384342549237E-2</v>
      </c>
      <c r="H61" s="1067">
        <f t="shared" si="1"/>
        <v>8.4296511442403244E-3</v>
      </c>
      <c r="I61">
        <f t="shared" si="2"/>
        <v>18.703546024889491</v>
      </c>
    </row>
    <row r="62" spans="1:9" ht="20.100000000000001" customHeight="1">
      <c r="A62" s="563">
        <v>43188</v>
      </c>
      <c r="B62">
        <f t="shared" si="3"/>
        <v>120.81172200146025</v>
      </c>
      <c r="C62">
        <f t="shared" si="3"/>
        <v>100.80706580309258</v>
      </c>
      <c r="D62">
        <v>10.715999603271481</v>
      </c>
      <c r="E62" s="604">
        <v>7063.4501953125</v>
      </c>
      <c r="F62" s="748">
        <f t="shared" si="0"/>
        <v>-2.1463190626295314E-2</v>
      </c>
      <c r="G62" s="748">
        <f t="shared" si="0"/>
        <v>-2.7370487903107033E-2</v>
      </c>
      <c r="H62" s="1067">
        <f t="shared" si="1"/>
        <v>5.9072972768117182E-3</v>
      </c>
      <c r="I62">
        <f t="shared" si="2"/>
        <v>20.00465619836767</v>
      </c>
    </row>
    <row r="63" spans="1:9" ht="20.100000000000001" customHeight="1">
      <c r="A63" s="563">
        <v>43192</v>
      </c>
      <c r="B63">
        <f t="shared" si="3"/>
        <v>118.21871698225192</v>
      </c>
      <c r="C63">
        <f t="shared" si="3"/>
        <v>98.047927227981319</v>
      </c>
      <c r="D63">
        <v>10.48600006103516</v>
      </c>
      <c r="E63" s="604">
        <v>6870.1201171875</v>
      </c>
      <c r="F63" s="748">
        <f t="shared" si="0"/>
        <v>1.9073031480164371E-2</v>
      </c>
      <c r="G63" s="748">
        <f t="shared" si="0"/>
        <v>1.0357849172203615E-2</v>
      </c>
      <c r="H63" s="1067">
        <f t="shared" si="1"/>
        <v>8.715182307960756E-3</v>
      </c>
      <c r="I63">
        <f t="shared" si="2"/>
        <v>20.170789754270601</v>
      </c>
    </row>
    <row r="64" spans="1:9" ht="20.100000000000001" customHeight="1">
      <c r="A64" s="563">
        <v>43193</v>
      </c>
      <c r="B64">
        <f t="shared" si="3"/>
        <v>120.47350629279906</v>
      </c>
      <c r="C64">
        <f t="shared" si="3"/>
        <v>99.063492869855949</v>
      </c>
      <c r="D64">
        <v>10.685999870300289</v>
      </c>
      <c r="E64" s="604">
        <v>6941.27978515625</v>
      </c>
      <c r="F64" s="748">
        <f t="shared" si="0"/>
        <v>1.6470203745925671E-2</v>
      </c>
      <c r="G64" s="748">
        <f t="shared" si="0"/>
        <v>1.4526150975879393E-2</v>
      </c>
      <c r="H64" s="1067">
        <f t="shared" si="1"/>
        <v>1.9440527700462784E-3</v>
      </c>
      <c r="I64">
        <f t="shared" si="2"/>
        <v>21.410013422943109</v>
      </c>
    </row>
    <row r="65" spans="1:9" ht="20.100000000000001" customHeight="1">
      <c r="A65" s="563">
        <v>43194</v>
      </c>
      <c r="B65">
        <f t="shared" si="3"/>
        <v>122.45772948742751</v>
      </c>
      <c r="C65">
        <f t="shared" si="3"/>
        <v>100.50250412348143</v>
      </c>
      <c r="D65">
        <v>10.86200046539307</v>
      </c>
      <c r="E65" s="604">
        <v>7042.10986328125</v>
      </c>
      <c r="F65" s="748">
        <f t="shared" si="0"/>
        <v>5.1555655919723886E-3</v>
      </c>
      <c r="G65" s="748">
        <f t="shared" si="0"/>
        <v>4.8905714444793524E-3</v>
      </c>
      <c r="H65" s="1067">
        <f t="shared" si="1"/>
        <v>2.6499414749303618E-4</v>
      </c>
      <c r="I65">
        <f t="shared" si="2"/>
        <v>21.955225363946084</v>
      </c>
    </row>
    <row r="66" spans="1:9" ht="20.100000000000001" customHeight="1">
      <c r="A66" s="563">
        <v>43195</v>
      </c>
      <c r="B66">
        <f t="shared" si="3"/>
        <v>123.08906834404395</v>
      </c>
      <c r="C66">
        <f t="shared" si="3"/>
        <v>100.99401880024639</v>
      </c>
      <c r="D66">
        <v>10.91800022125244</v>
      </c>
      <c r="E66" s="604">
        <v>7076.5498046875</v>
      </c>
      <c r="F66" s="748">
        <f t="shared" si="0"/>
        <v>-4.7627811616223203E-3</v>
      </c>
      <c r="G66" s="748">
        <f t="shared" si="0"/>
        <v>-2.2813368924403332E-2</v>
      </c>
      <c r="H66" s="1067">
        <f t="shared" si="1"/>
        <v>1.8050587762781012E-2</v>
      </c>
      <c r="I66">
        <f t="shared" si="2"/>
        <v>22.095049543797558</v>
      </c>
    </row>
    <row r="67" spans="1:9" ht="20.100000000000001" customHeight="1">
      <c r="A67" s="563">
        <v>43196</v>
      </c>
      <c r="B67">
        <f t="shared" si="3"/>
        <v>122.5028220481333</v>
      </c>
      <c r="C67">
        <f t="shared" si="3"/>
        <v>98.690004990198247</v>
      </c>
      <c r="D67">
        <v>10.866000175476071</v>
      </c>
      <c r="E67" s="604">
        <v>6915.10986328125</v>
      </c>
      <c r="F67" s="748">
        <f t="shared" ref="F67:G130" si="4">D68/D67-1</f>
        <v>2.5768339294602871E-3</v>
      </c>
      <c r="G67" s="748">
        <f t="shared" si="4"/>
        <v>5.0946378532348291E-3</v>
      </c>
      <c r="H67" s="1067">
        <f t="shared" ref="H67:H130" si="5">F67-G67</f>
        <v>-2.517803923774542E-3</v>
      </c>
      <c r="I67">
        <f t="shared" ref="I67:I130" si="6">B67-C67</f>
        <v>23.81281705793505</v>
      </c>
    </row>
    <row r="68" spans="1:9" ht="20.100000000000001" customHeight="1">
      <c r="A68" s="563">
        <v>43199</v>
      </c>
      <c r="B68">
        <f t="shared" ref="B68:C131" si="7">B67*(1+F67)</f>
        <v>122.81849147644157</v>
      </c>
      <c r="C68">
        <f t="shared" si="7"/>
        <v>99.19279482535724</v>
      </c>
      <c r="D68">
        <v>10.89400005340576</v>
      </c>
      <c r="E68" s="604">
        <v>6950.33984375</v>
      </c>
      <c r="F68" s="748">
        <f t="shared" si="4"/>
        <v>3.2311385605435783E-2</v>
      </c>
      <c r="G68" s="748">
        <f t="shared" si="4"/>
        <v>2.0712650629156615E-2</v>
      </c>
      <c r="H68" s="1067">
        <f t="shared" si="5"/>
        <v>1.1598734976279168E-2</v>
      </c>
      <c r="I68">
        <f t="shared" si="6"/>
        <v>23.625696651084326</v>
      </c>
    </row>
    <row r="69" spans="1:9" ht="20.100000000000001" customHeight="1">
      <c r="A69" s="563">
        <v>43200</v>
      </c>
      <c r="B69">
        <f t="shared" si="7"/>
        <v>126.7869271140148</v>
      </c>
      <c r="C69">
        <f t="shared" si="7"/>
        <v>101.24734052950448</v>
      </c>
      <c r="D69">
        <v>11.24600028991699</v>
      </c>
      <c r="E69" s="604">
        <v>7094.2998046875</v>
      </c>
      <c r="F69" s="748">
        <f t="shared" si="4"/>
        <v>-2.489780183418222E-2</v>
      </c>
      <c r="G69" s="748">
        <f t="shared" si="4"/>
        <v>-3.5620174262375182E-3</v>
      </c>
      <c r="H69" s="1067">
        <f t="shared" si="5"/>
        <v>-2.1335784407944702E-2</v>
      </c>
      <c r="I69">
        <f t="shared" si="6"/>
        <v>25.539586584510317</v>
      </c>
    </row>
    <row r="70" spans="1:9" ht="20.100000000000001" customHeight="1">
      <c r="A70" s="563">
        <v>43201</v>
      </c>
      <c r="B70">
        <f t="shared" si="7"/>
        <v>123.63021132756515</v>
      </c>
      <c r="C70">
        <f t="shared" si="7"/>
        <v>100.88669573817819</v>
      </c>
      <c r="D70">
        <v>10.965999603271481</v>
      </c>
      <c r="E70" s="604">
        <v>7069.02978515625</v>
      </c>
      <c r="F70" s="748">
        <f t="shared" si="4"/>
        <v>2.2980194951004673E-2</v>
      </c>
      <c r="G70" s="748">
        <f t="shared" si="4"/>
        <v>1.0074963185655372E-2</v>
      </c>
      <c r="H70" s="1067">
        <f t="shared" si="5"/>
        <v>1.2905231765349301E-2</v>
      </c>
      <c r="I70">
        <f t="shared" si="6"/>
        <v>22.743515589386959</v>
      </c>
    </row>
    <row r="71" spans="1:9" ht="20.100000000000001" customHeight="1">
      <c r="A71" s="563">
        <v>43202</v>
      </c>
      <c r="B71">
        <f t="shared" si="7"/>
        <v>126.4712576857065</v>
      </c>
      <c r="C71">
        <f t="shared" si="7"/>
        <v>101.90312548366275</v>
      </c>
      <c r="D71">
        <v>11.218000411987299</v>
      </c>
      <c r="E71" s="604">
        <v>7140.25</v>
      </c>
      <c r="F71" s="748">
        <f t="shared" si="4"/>
        <v>-4.4571393206075394E-3</v>
      </c>
      <c r="G71" s="748">
        <f t="shared" si="4"/>
        <v>-4.7057312637862614E-3</v>
      </c>
      <c r="H71" s="1067">
        <f t="shared" si="5"/>
        <v>2.4859194317872202E-4</v>
      </c>
      <c r="I71">
        <f t="shared" si="6"/>
        <v>24.568132202043756</v>
      </c>
    </row>
    <row r="72" spans="1:9" ht="20.100000000000001" customHeight="1">
      <c r="A72" s="563">
        <v>43203</v>
      </c>
      <c r="B72">
        <f t="shared" si="7"/>
        <v>125.90755767014885</v>
      </c>
      <c r="C72">
        <f t="shared" si="7"/>
        <v>101.42359676019674</v>
      </c>
      <c r="D72">
        <v>11.16800022125244</v>
      </c>
      <c r="E72" s="604">
        <v>7106.64990234375</v>
      </c>
      <c r="F72" s="748">
        <f t="shared" si="4"/>
        <v>1.6475645739032485E-2</v>
      </c>
      <c r="G72" s="748">
        <f t="shared" si="4"/>
        <v>6.9835834738576352E-3</v>
      </c>
      <c r="H72" s="1067">
        <f t="shared" si="5"/>
        <v>9.4920622651748499E-3</v>
      </c>
      <c r="I72">
        <f t="shared" si="6"/>
        <v>24.483960909952103</v>
      </c>
    </row>
    <row r="73" spans="1:9" ht="20.100000000000001" customHeight="1">
      <c r="A73" s="563">
        <v>43206</v>
      </c>
      <c r="B73">
        <f t="shared" si="7"/>
        <v>127.98196598618902</v>
      </c>
      <c r="C73">
        <f t="shared" si="7"/>
        <v>102.13189691439045</v>
      </c>
      <c r="D73">
        <v>11.35200023651123</v>
      </c>
      <c r="E73" s="604">
        <v>7156.27978515625</v>
      </c>
      <c r="F73" s="748">
        <f t="shared" si="4"/>
        <v>1.6032430974756817E-2</v>
      </c>
      <c r="G73" s="748">
        <f t="shared" si="4"/>
        <v>1.7442067142051432E-2</v>
      </c>
      <c r="H73" s="1067">
        <f t="shared" si="5"/>
        <v>-1.4096361672946145E-3</v>
      </c>
      <c r="I73">
        <f t="shared" si="6"/>
        <v>25.850069071798572</v>
      </c>
    </row>
    <row r="74" spans="1:9" ht="20.100000000000001" customHeight="1">
      <c r="A74" s="563">
        <v>43207</v>
      </c>
      <c r="B74">
        <f t="shared" si="7"/>
        <v>130.03382802187627</v>
      </c>
      <c r="C74">
        <f t="shared" si="7"/>
        <v>103.91328831771632</v>
      </c>
      <c r="D74">
        <v>11.534000396728519</v>
      </c>
      <c r="E74" s="604">
        <v>7281.10009765625</v>
      </c>
      <c r="F74" s="748">
        <f t="shared" si="4"/>
        <v>-3.1212285878047252E-3</v>
      </c>
      <c r="G74" s="748">
        <f t="shared" si="4"/>
        <v>1.9420330072514869E-3</v>
      </c>
      <c r="H74" s="1067">
        <f t="shared" si="5"/>
        <v>-5.0632615950562121E-3</v>
      </c>
      <c r="I74">
        <f t="shared" si="6"/>
        <v>26.120539704159953</v>
      </c>
    </row>
    <row r="75" spans="1:9" ht="20.100000000000001" customHeight="1">
      <c r="A75" s="563">
        <v>43208</v>
      </c>
      <c r="B75">
        <f t="shared" si="7"/>
        <v>129.62796272047271</v>
      </c>
      <c r="C75">
        <f t="shared" si="7"/>
        <v>104.11509135352136</v>
      </c>
      <c r="D75">
        <v>11.4980001449585</v>
      </c>
      <c r="E75" s="604">
        <v>7295.240234375</v>
      </c>
      <c r="F75" s="748">
        <f t="shared" si="4"/>
        <v>-1.3915284227374869E-3</v>
      </c>
      <c r="G75" s="748">
        <f t="shared" si="4"/>
        <v>-7.8380113531859585E-3</v>
      </c>
      <c r="H75" s="1067">
        <f t="shared" si="5"/>
        <v>6.4464829304484716E-3</v>
      </c>
      <c r="I75">
        <f t="shared" si="6"/>
        <v>25.512871366951344</v>
      </c>
    </row>
    <row r="76" spans="1:9" ht="20.100000000000001" customHeight="1">
      <c r="A76" s="563">
        <v>43209</v>
      </c>
      <c r="B76">
        <f t="shared" si="7"/>
        <v>129.44758172596562</v>
      </c>
      <c r="C76">
        <f t="shared" si="7"/>
        <v>103.29903608545447</v>
      </c>
      <c r="D76">
        <v>11.48200035095215</v>
      </c>
      <c r="E76" s="604">
        <v>7238.06005859375</v>
      </c>
      <c r="F76" s="748">
        <f t="shared" si="4"/>
        <v>-4.5288315787290756E-3</v>
      </c>
      <c r="G76" s="748">
        <f t="shared" si="4"/>
        <v>-1.2700941279438771E-2</v>
      </c>
      <c r="H76" s="1067">
        <f t="shared" si="5"/>
        <v>8.1721097007096954E-3</v>
      </c>
      <c r="I76">
        <f t="shared" si="6"/>
        <v>26.148545640511145</v>
      </c>
    </row>
    <row r="77" spans="1:9" ht="20.100000000000001" customHeight="1">
      <c r="A77" s="563">
        <v>43210</v>
      </c>
      <c r="B77">
        <f t="shared" si="7"/>
        <v>128.86133543005496</v>
      </c>
      <c r="C77">
        <f t="shared" si="7"/>
        <v>101.98704109391049</v>
      </c>
      <c r="D77">
        <v>11.430000305175779</v>
      </c>
      <c r="E77" s="604">
        <v>7146.1298828125</v>
      </c>
      <c r="F77" s="748">
        <f t="shared" si="4"/>
        <v>-7.1741671244520688E-3</v>
      </c>
      <c r="G77" s="748">
        <f t="shared" si="4"/>
        <v>-2.4530459764539048E-3</v>
      </c>
      <c r="H77" s="1067">
        <f t="shared" si="5"/>
        <v>-4.7211211479981641E-3</v>
      </c>
      <c r="I77">
        <f t="shared" si="6"/>
        <v>26.874294336144473</v>
      </c>
    </row>
    <row r="78" spans="1:9" ht="20.100000000000001" customHeight="1">
      <c r="A78" s="563">
        <v>43213</v>
      </c>
      <c r="B78">
        <f t="shared" si="7"/>
        <v>127.93686267379968</v>
      </c>
      <c r="C78">
        <f t="shared" si="7"/>
        <v>101.73686219310464</v>
      </c>
      <c r="D78">
        <v>11.34799957275391</v>
      </c>
      <c r="E78" s="604">
        <v>7128.60009765625</v>
      </c>
      <c r="F78" s="748">
        <f t="shared" si="4"/>
        <v>-1.1808233130855772E-2</v>
      </c>
      <c r="G78" s="748">
        <f t="shared" si="4"/>
        <v>-1.7008949630919035E-2</v>
      </c>
      <c r="H78" s="1067">
        <f t="shared" si="5"/>
        <v>5.2007165000632627E-3</v>
      </c>
      <c r="I78">
        <f t="shared" si="6"/>
        <v>26.200000480695039</v>
      </c>
    </row>
    <row r="79" spans="1:9" ht="20.100000000000001" customHeight="1">
      <c r="A79" s="563">
        <v>43214</v>
      </c>
      <c r="B79">
        <f t="shared" si="7"/>
        <v>126.42615437331717</v>
      </c>
      <c r="C79">
        <f t="shared" si="7"/>
        <v>100.00642502845437</v>
      </c>
      <c r="D79">
        <v>11.21399974822998</v>
      </c>
      <c r="E79" s="604">
        <v>7007.35009765625</v>
      </c>
      <c r="F79" s="748">
        <f t="shared" si="4"/>
        <v>-2.2650233260715136E-2</v>
      </c>
      <c r="G79" s="748">
        <f t="shared" si="4"/>
        <v>-5.1515383574984863E-4</v>
      </c>
      <c r="H79" s="1067">
        <f t="shared" si="5"/>
        <v>-2.2135079424965287E-2</v>
      </c>
      <c r="I79">
        <f t="shared" si="6"/>
        <v>26.419729344862802</v>
      </c>
    </row>
    <row r="80" spans="1:9" ht="20.100000000000001" customHeight="1">
      <c r="A80" s="563">
        <v>43215</v>
      </c>
      <c r="B80">
        <f t="shared" si="7"/>
        <v>123.56257248650635</v>
      </c>
      <c r="C80">
        <f t="shared" si="7"/>
        <v>99.95490633500134</v>
      </c>
      <c r="D80">
        <v>10.960000038146971</v>
      </c>
      <c r="E80" s="604">
        <v>7003.740234375</v>
      </c>
      <c r="F80" s="748">
        <f t="shared" si="4"/>
        <v>1.1313831679790276E-2</v>
      </c>
      <c r="G80" s="748">
        <f t="shared" si="4"/>
        <v>1.6411222798086378E-2</v>
      </c>
      <c r="H80" s="1067">
        <f t="shared" si="5"/>
        <v>-5.0973911182961018E-3</v>
      </c>
      <c r="I80">
        <f t="shared" si="6"/>
        <v>23.607666151505015</v>
      </c>
    </row>
    <row r="81" spans="1:9" ht="20.100000000000001" customHeight="1">
      <c r="A81" s="563">
        <v>43216</v>
      </c>
      <c r="B81">
        <f t="shared" si="7"/>
        <v>124.96053863354057</v>
      </c>
      <c r="C81">
        <f t="shared" si="7"/>
        <v>101.5952885726269</v>
      </c>
      <c r="D81">
        <v>11.083999633789061</v>
      </c>
      <c r="E81" s="604">
        <v>7118.68017578125</v>
      </c>
      <c r="F81" s="748">
        <f t="shared" si="4"/>
        <v>-8.8415351851107715E-3</v>
      </c>
      <c r="G81" s="748">
        <f t="shared" si="4"/>
        <v>1.5728040572171587E-4</v>
      </c>
      <c r="H81" s="1067">
        <f t="shared" si="5"/>
        <v>-8.9988155908324874E-3</v>
      </c>
      <c r="I81">
        <f t="shared" si="6"/>
        <v>23.365250060913667</v>
      </c>
    </row>
    <row r="82" spans="1:9" ht="20.100000000000001" customHeight="1">
      <c r="A82" s="563">
        <v>43217</v>
      </c>
      <c r="B82">
        <f t="shared" si="7"/>
        <v>123.85569563446172</v>
      </c>
      <c r="C82">
        <f t="shared" si="7"/>
        <v>101.61126752083301</v>
      </c>
      <c r="D82">
        <v>10.98600006103516</v>
      </c>
      <c r="E82" s="604">
        <v>7119.7998046875</v>
      </c>
      <c r="F82" s="748">
        <f t="shared" si="4"/>
        <v>7.8280983390470738E-3</v>
      </c>
      <c r="G82" s="748">
        <f t="shared" si="4"/>
        <v>-7.5184396506495776E-3</v>
      </c>
      <c r="H82" s="1067">
        <f t="shared" si="5"/>
        <v>1.5346537989696651E-2</v>
      </c>
      <c r="I82">
        <f t="shared" si="6"/>
        <v>22.244428113628715</v>
      </c>
    </row>
    <row r="83" spans="1:9" ht="20.100000000000001" customHeight="1">
      <c r="A83" s="563">
        <v>43220</v>
      </c>
      <c r="B83">
        <f t="shared" si="7"/>
        <v>124.82525019973937</v>
      </c>
      <c r="C83">
        <f t="shared" si="7"/>
        <v>100.84730933815162</v>
      </c>
      <c r="D83">
        <v>11.071999549865721</v>
      </c>
      <c r="E83" s="604">
        <v>7066.27001953125</v>
      </c>
      <c r="F83" s="748">
        <f t="shared" si="4"/>
        <v>6.8641814227647924E-3</v>
      </c>
      <c r="G83" s="748">
        <f t="shared" si="4"/>
        <v>9.1179894913673287E-3</v>
      </c>
      <c r="H83" s="1067">
        <f t="shared" si="5"/>
        <v>-2.2538080686025364E-3</v>
      </c>
      <c r="I83">
        <f t="shared" si="6"/>
        <v>23.977940861587754</v>
      </c>
    </row>
    <row r="84" spans="1:9" ht="20.100000000000001" customHeight="1">
      <c r="A84" s="563">
        <v>43221</v>
      </c>
      <c r="B84">
        <f t="shared" si="7"/>
        <v>125.68207336325239</v>
      </c>
      <c r="C84">
        <f t="shared" si="7"/>
        <v>101.76683404492955</v>
      </c>
      <c r="D84">
        <v>11.14799976348877</v>
      </c>
      <c r="E84" s="604">
        <v>7130.7001953125</v>
      </c>
      <c r="F84" s="748">
        <f t="shared" si="4"/>
        <v>3.5880842035929117E-3</v>
      </c>
      <c r="G84" s="748">
        <f t="shared" si="4"/>
        <v>-4.1791538211548573E-3</v>
      </c>
      <c r="H84" s="1067">
        <f t="shared" si="5"/>
        <v>7.767238024747769E-3</v>
      </c>
      <c r="I84">
        <f t="shared" si="6"/>
        <v>23.915239318322833</v>
      </c>
    </row>
    <row r="85" spans="1:9" ht="20.100000000000001" customHeight="1">
      <c r="A85" s="563">
        <v>43222</v>
      </c>
      <c r="B85">
        <f t="shared" si="7"/>
        <v>126.13303122536188</v>
      </c>
      <c r="C85">
        <f t="shared" si="7"/>
        <v>101.34153479156386</v>
      </c>
      <c r="D85">
        <v>11.1879997253418</v>
      </c>
      <c r="E85" s="604">
        <v>7100.89990234375</v>
      </c>
      <c r="F85" s="748">
        <f t="shared" si="4"/>
        <v>3.0390058601357239E-3</v>
      </c>
      <c r="G85" s="748">
        <f t="shared" si="4"/>
        <v>-1.7955470680260932E-3</v>
      </c>
      <c r="H85" s="1067">
        <f t="shared" si="5"/>
        <v>4.8345529281618171E-3</v>
      </c>
      <c r="I85">
        <f t="shared" si="6"/>
        <v>24.791496433798017</v>
      </c>
    </row>
    <row r="86" spans="1:9" ht="20.100000000000001" customHeight="1">
      <c r="A86" s="563">
        <v>43223</v>
      </c>
      <c r="B86">
        <f t="shared" si="7"/>
        <v>126.51635024641243</v>
      </c>
      <c r="C86">
        <f t="shared" si="7"/>
        <v>101.1595712958996</v>
      </c>
      <c r="D86">
        <v>11.222000122070311</v>
      </c>
      <c r="E86" s="604">
        <v>7088.14990234375</v>
      </c>
      <c r="F86" s="748">
        <f t="shared" si="4"/>
        <v>-2.4416339767079909E-2</v>
      </c>
      <c r="G86" s="748">
        <f t="shared" si="4"/>
        <v>1.7137083232901862E-2</v>
      </c>
      <c r="H86" s="1067">
        <f t="shared" si="5"/>
        <v>-4.1553422999981771E-2</v>
      </c>
      <c r="I86">
        <f t="shared" si="6"/>
        <v>25.356778950512833</v>
      </c>
    </row>
    <row r="87" spans="1:9" ht="20.100000000000001" customHeight="1">
      <c r="A87" s="563">
        <v>43224</v>
      </c>
      <c r="B87">
        <f t="shared" si="7"/>
        <v>123.42728405270513</v>
      </c>
      <c r="C87">
        <f t="shared" si="7"/>
        <v>102.89315128900209</v>
      </c>
      <c r="D87">
        <v>10.947999954223629</v>
      </c>
      <c r="E87" s="604">
        <v>7209.6201171875</v>
      </c>
      <c r="F87" s="748">
        <f t="shared" si="4"/>
        <v>1.7354729738558339E-2</v>
      </c>
      <c r="G87" s="748">
        <f t="shared" si="4"/>
        <v>7.710509409154076E-3</v>
      </c>
      <c r="H87" s="1067">
        <f t="shared" si="5"/>
        <v>9.6442203294042628E-3</v>
      </c>
      <c r="I87">
        <f t="shared" si="6"/>
        <v>20.534132763703042</v>
      </c>
    </row>
    <row r="88" spans="1:9" ht="20.100000000000001" customHeight="1">
      <c r="A88" s="563">
        <v>43227</v>
      </c>
      <c r="B88">
        <f t="shared" si="7"/>
        <v>125.5693312098041</v>
      </c>
      <c r="C88">
        <f t="shared" si="7"/>
        <v>103.68650990015345</v>
      </c>
      <c r="D88">
        <v>11.13799953460693</v>
      </c>
      <c r="E88" s="604">
        <v>7265.2099609375</v>
      </c>
      <c r="F88" s="748">
        <f t="shared" si="4"/>
        <v>2.2445682388765098E-2</v>
      </c>
      <c r="G88" s="748">
        <f t="shared" si="4"/>
        <v>2.3260737340513593E-4</v>
      </c>
      <c r="H88" s="1067">
        <f t="shared" si="5"/>
        <v>2.2213075015359962E-2</v>
      </c>
      <c r="I88">
        <f t="shared" si="6"/>
        <v>21.882821309650652</v>
      </c>
    </row>
    <row r="89" spans="1:9" ht="20.100000000000001" customHeight="1">
      <c r="A89" s="563">
        <v>43228</v>
      </c>
      <c r="B89">
        <f t="shared" si="7"/>
        <v>128.38782053590901</v>
      </c>
      <c r="C89">
        <f t="shared" si="7"/>
        <v>103.71062814687888</v>
      </c>
      <c r="D89">
        <v>11.38799953460693</v>
      </c>
      <c r="E89" s="604">
        <v>7266.89990234375</v>
      </c>
      <c r="F89" s="748">
        <f t="shared" si="4"/>
        <v>3.6529714015772319E-2</v>
      </c>
      <c r="G89" s="748">
        <f t="shared" si="4"/>
        <v>1.0046960173856645E-2</v>
      </c>
      <c r="H89" s="1067">
        <f t="shared" si="5"/>
        <v>2.6482753841915674E-2</v>
      </c>
      <c r="I89">
        <f t="shared" si="6"/>
        <v>24.677192389030139</v>
      </c>
    </row>
    <row r="90" spans="1:9" ht="20.100000000000001" customHeight="1">
      <c r="A90" s="563">
        <v>43229</v>
      </c>
      <c r="B90">
        <f t="shared" si="7"/>
        <v>133.07779090319409</v>
      </c>
      <c r="C90">
        <f t="shared" si="7"/>
        <v>104.75260469747623</v>
      </c>
      <c r="D90">
        <v>11.803999900817869</v>
      </c>
      <c r="E90" s="604">
        <v>7339.91015625</v>
      </c>
      <c r="F90" s="748">
        <f t="shared" si="4"/>
        <v>1.9315459938205715E-2</v>
      </c>
      <c r="G90" s="748">
        <f t="shared" si="4"/>
        <v>8.8638766972304328E-3</v>
      </c>
      <c r="H90" s="1067">
        <f t="shared" si="5"/>
        <v>1.0451583240975282E-2</v>
      </c>
      <c r="I90">
        <f t="shared" si="6"/>
        <v>28.325186205717856</v>
      </c>
    </row>
    <row r="91" spans="1:9" ht="20.100000000000001" customHeight="1">
      <c r="A91" s="563">
        <v>43230</v>
      </c>
      <c r="B91">
        <f t="shared" si="7"/>
        <v>135.64824964204965</v>
      </c>
      <c r="C91">
        <f t="shared" si="7"/>
        <v>105.68111886922838</v>
      </c>
      <c r="D91">
        <v>12.031999588012701</v>
      </c>
      <c r="E91" s="604">
        <v>7404.97021484375</v>
      </c>
      <c r="F91" s="748">
        <f t="shared" si="4"/>
        <v>3.6569670143762334E-3</v>
      </c>
      <c r="G91" s="748">
        <f t="shared" si="4"/>
        <v>-2.8228770279992155E-4</v>
      </c>
      <c r="H91" s="1067">
        <f t="shared" si="5"/>
        <v>3.9392547171761549E-3</v>
      </c>
      <c r="I91">
        <f t="shared" si="6"/>
        <v>29.967130772821264</v>
      </c>
    </row>
    <row r="92" spans="1:9" ht="20.100000000000001" customHeight="1">
      <c r="A92" s="563">
        <v>43231</v>
      </c>
      <c r="B92">
        <f t="shared" si="7"/>
        <v>136.14431081654848</v>
      </c>
      <c r="C92">
        <f t="shared" si="7"/>
        <v>105.65128638895347</v>
      </c>
      <c r="D92">
        <v>12.07600021362305</v>
      </c>
      <c r="E92" s="604">
        <v>7402.8798828125</v>
      </c>
      <c r="F92" s="748">
        <f t="shared" si="4"/>
        <v>-1.3746303682876215E-2</v>
      </c>
      <c r="G92" s="748">
        <f t="shared" si="4"/>
        <v>1.1400889302344286E-3</v>
      </c>
      <c r="H92" s="1067">
        <f t="shared" si="5"/>
        <v>-1.4886392613110644E-2</v>
      </c>
      <c r="I92">
        <f t="shared" si="6"/>
        <v>30.493024427595017</v>
      </c>
    </row>
    <row r="93" spans="1:9" ht="20.100000000000001" customHeight="1">
      <c r="A93" s="563">
        <v>43234</v>
      </c>
      <c r="B93">
        <f t="shared" si="7"/>
        <v>134.27282977536831</v>
      </c>
      <c r="C93">
        <f t="shared" si="7"/>
        <v>105.77173825103054</v>
      </c>
      <c r="D93">
        <v>11.909999847412109</v>
      </c>
      <c r="E93" s="604">
        <v>7411.31982421875</v>
      </c>
      <c r="F93" s="748">
        <f t="shared" si="4"/>
        <v>-4.3660828247338301E-3</v>
      </c>
      <c r="G93" s="748">
        <f t="shared" si="4"/>
        <v>-8.0538882172099813E-3</v>
      </c>
      <c r="H93" s="1067">
        <f t="shared" si="5"/>
        <v>3.6878053924761511E-3</v>
      </c>
      <c r="I93">
        <f t="shared" si="6"/>
        <v>28.501091524337767</v>
      </c>
    </row>
    <row r="94" spans="1:9" ht="20.100000000000001" customHeight="1">
      <c r="A94" s="563">
        <v>43235</v>
      </c>
      <c r="B94">
        <f t="shared" si="7"/>
        <v>133.68658347945765</v>
      </c>
      <c r="C94">
        <f t="shared" si="7"/>
        <v>104.91986449461675</v>
      </c>
      <c r="D94">
        <v>11.85799980163574</v>
      </c>
      <c r="E94" s="604">
        <v>7351.6298828125</v>
      </c>
      <c r="F94" s="748">
        <f t="shared" si="4"/>
        <v>-1.1469023599297912E-2</v>
      </c>
      <c r="G94" s="748">
        <f t="shared" si="4"/>
        <v>6.348241494598339E-3</v>
      </c>
      <c r="H94" s="1067">
        <f t="shared" si="5"/>
        <v>-1.7817265093896251E-2</v>
      </c>
      <c r="I94">
        <f t="shared" si="6"/>
        <v>28.766718984840907</v>
      </c>
    </row>
    <row r="95" spans="1:9" ht="20.100000000000001" customHeight="1">
      <c r="A95" s="563">
        <v>43236</v>
      </c>
      <c r="B95">
        <f t="shared" si="7"/>
        <v>132.15332889862225</v>
      </c>
      <c r="C95">
        <f t="shared" si="7"/>
        <v>105.5859211320091</v>
      </c>
      <c r="D95">
        <v>11.722000122070311</v>
      </c>
      <c r="E95" s="604">
        <v>7398.2998046875</v>
      </c>
      <c r="F95" s="748">
        <f t="shared" si="4"/>
        <v>-5.4598301512724934E-3</v>
      </c>
      <c r="G95" s="748">
        <f t="shared" si="4"/>
        <v>-2.1396253546958066E-3</v>
      </c>
      <c r="H95" s="1067">
        <f t="shared" si="5"/>
        <v>-3.3202047965766868E-3</v>
      </c>
      <c r="I95">
        <f t="shared" si="6"/>
        <v>26.567407766613144</v>
      </c>
    </row>
    <row r="96" spans="1:9" ht="20.100000000000001" customHeight="1">
      <c r="A96" s="563">
        <v>43237</v>
      </c>
      <c r="B96">
        <f t="shared" si="7"/>
        <v>131.43179416891053</v>
      </c>
      <c r="C96">
        <f t="shared" si="7"/>
        <v>105.36000681805615</v>
      </c>
      <c r="D96">
        <v>11.657999992370611</v>
      </c>
      <c r="E96" s="604">
        <v>7382.47021484375</v>
      </c>
      <c r="F96" s="748">
        <f t="shared" si="4"/>
        <v>3.9458295318195447E-3</v>
      </c>
      <c r="G96" s="748">
        <f t="shared" si="4"/>
        <v>-3.8104279834666466E-3</v>
      </c>
      <c r="H96" s="1067">
        <f t="shared" si="5"/>
        <v>7.7562575152861912E-3</v>
      </c>
      <c r="I96">
        <f t="shared" si="6"/>
        <v>26.071787350854379</v>
      </c>
    </row>
    <row r="97" spans="1:9" ht="20.100000000000001" customHeight="1">
      <c r="A97" s="563">
        <v>43238</v>
      </c>
      <c r="B97">
        <f t="shared" si="7"/>
        <v>131.95040162376225</v>
      </c>
      <c r="C97">
        <f t="shared" si="7"/>
        <v>104.95854009973839</v>
      </c>
      <c r="D97">
        <v>11.704000473022459</v>
      </c>
      <c r="E97" s="604">
        <v>7354.33984375</v>
      </c>
      <c r="F97" s="748">
        <f t="shared" si="4"/>
        <v>1.3670526396586169E-2</v>
      </c>
      <c r="G97" s="748">
        <f t="shared" si="4"/>
        <v>5.398199723696262E-3</v>
      </c>
      <c r="H97" s="1067">
        <f t="shared" si="5"/>
        <v>8.272326672889907E-3</v>
      </c>
      <c r="I97">
        <f t="shared" si="6"/>
        <v>26.991861524023861</v>
      </c>
    </row>
    <row r="98" spans="1:9" ht="20.100000000000001" customHeight="1">
      <c r="A98" s="563">
        <v>43241</v>
      </c>
      <c r="B98">
        <f t="shared" si="7"/>
        <v>133.75423307220004</v>
      </c>
      <c r="C98">
        <f t="shared" si="7"/>
        <v>105.52512726190436</v>
      </c>
      <c r="D98">
        <v>11.86400032043457</v>
      </c>
      <c r="E98" s="604">
        <v>7394.0400390625</v>
      </c>
      <c r="F98" s="748">
        <f t="shared" si="4"/>
        <v>-9.2717976551379699E-3</v>
      </c>
      <c r="G98" s="748">
        <f t="shared" si="4"/>
        <v>-2.1071130319406661E-3</v>
      </c>
      <c r="H98" s="1067">
        <f t="shared" si="5"/>
        <v>-7.1646846231973038E-3</v>
      </c>
      <c r="I98">
        <f t="shared" si="6"/>
        <v>28.229105810295678</v>
      </c>
    </row>
    <row r="99" spans="1:9" ht="20.100000000000001" customHeight="1">
      <c r="A99" s="563">
        <v>43242</v>
      </c>
      <c r="B99">
        <f t="shared" si="7"/>
        <v>132.51409088763643</v>
      </c>
      <c r="C99">
        <f t="shared" si="7"/>
        <v>105.3027738910536</v>
      </c>
      <c r="D99">
        <v>11.75399971008301</v>
      </c>
      <c r="E99" s="604">
        <v>7378.4599609375</v>
      </c>
      <c r="F99" s="748">
        <f t="shared" si="4"/>
        <v>6.8061873131939343E-3</v>
      </c>
      <c r="G99" s="748">
        <f t="shared" si="4"/>
        <v>6.4376577566960247E-3</v>
      </c>
      <c r="H99" s="1067">
        <f t="shared" si="5"/>
        <v>3.6852955649790964E-4</v>
      </c>
      <c r="I99">
        <f t="shared" si="6"/>
        <v>27.211316996582823</v>
      </c>
    </row>
    <row r="100" spans="1:9" ht="20.100000000000001" customHeight="1">
      <c r="A100" s="563">
        <v>43243</v>
      </c>
      <c r="B100">
        <f t="shared" si="7"/>
        <v>133.41600661185529</v>
      </c>
      <c r="C100">
        <f t="shared" si="7"/>
        <v>105.98067711019495</v>
      </c>
      <c r="D100">
        <v>11.833999633789061</v>
      </c>
      <c r="E100" s="604">
        <v>7425.9599609375</v>
      </c>
      <c r="F100" s="748">
        <f t="shared" si="4"/>
        <v>2.4843724413418311E-2</v>
      </c>
      <c r="G100" s="748">
        <f t="shared" si="4"/>
        <v>-2.0600503696455164E-4</v>
      </c>
      <c r="H100" s="1067">
        <f t="shared" si="5"/>
        <v>2.5049729450382863E-2</v>
      </c>
      <c r="I100">
        <f t="shared" si="6"/>
        <v>27.435329501660348</v>
      </c>
    </row>
    <row r="101" spans="1:9" ht="20.100000000000001" customHeight="1">
      <c r="A101" s="563">
        <v>43244</v>
      </c>
      <c r="B101">
        <f t="shared" si="7"/>
        <v>136.73055711245902</v>
      </c>
      <c r="C101">
        <f t="shared" si="7"/>
        <v>105.95884455688933</v>
      </c>
      <c r="D101">
        <v>12.128000259399411</v>
      </c>
      <c r="E101" s="604">
        <v>7424.43017578125</v>
      </c>
      <c r="F101" s="748">
        <f t="shared" si="4"/>
        <v>-4.4524983231278847E-3</v>
      </c>
      <c r="G101" s="748">
        <f t="shared" si="4"/>
        <v>1.2687737175747227E-3</v>
      </c>
      <c r="H101" s="1067">
        <f t="shared" si="5"/>
        <v>-5.7212720407026074E-3</v>
      </c>
      <c r="I101">
        <f t="shared" si="6"/>
        <v>30.771712555569692</v>
      </c>
    </row>
    <row r="102" spans="1:9" ht="20.100000000000001" customHeight="1">
      <c r="A102" s="563">
        <v>43245</v>
      </c>
      <c r="B102">
        <f t="shared" si="7"/>
        <v>136.12176453619546</v>
      </c>
      <c r="C102">
        <f t="shared" si="7"/>
        <v>106.0932823540077</v>
      </c>
      <c r="D102">
        <v>12.074000358581539</v>
      </c>
      <c r="E102" s="604">
        <v>7433.85009765625</v>
      </c>
      <c r="F102" s="748">
        <f t="shared" si="4"/>
        <v>-7.2884126994275933E-3</v>
      </c>
      <c r="G102" s="748">
        <f t="shared" si="4"/>
        <v>-5.0122417612372683E-3</v>
      </c>
      <c r="H102" s="1067">
        <f t="shared" si="5"/>
        <v>-2.276170938190325E-3</v>
      </c>
      <c r="I102">
        <f t="shared" si="6"/>
        <v>30.028482182187759</v>
      </c>
    </row>
    <row r="103" spans="1:9" ht="20.100000000000001" customHeight="1">
      <c r="A103" s="563">
        <v>43249</v>
      </c>
      <c r="B103">
        <f t="shared" si="7"/>
        <v>135.12965293888135</v>
      </c>
      <c r="C103">
        <f t="shared" si="7"/>
        <v>105.56151717360621</v>
      </c>
      <c r="D103">
        <v>11.98600006103516</v>
      </c>
      <c r="E103" s="604">
        <v>7396.58984375</v>
      </c>
      <c r="F103" s="748">
        <f t="shared" si="4"/>
        <v>2.0857667172279992E-2</v>
      </c>
      <c r="G103" s="748">
        <f t="shared" si="4"/>
        <v>8.9041508254172896E-3</v>
      </c>
      <c r="H103" s="1067">
        <f t="shared" si="5"/>
        <v>1.1953516346862703E-2</v>
      </c>
      <c r="I103">
        <f t="shared" si="6"/>
        <v>29.568135765275144</v>
      </c>
    </row>
    <row r="104" spans="1:9" ht="20.100000000000001" customHeight="1">
      <c r="A104" s="563">
        <v>43250</v>
      </c>
      <c r="B104">
        <f t="shared" si="7"/>
        <v>137.94814226498625</v>
      </c>
      <c r="C104">
        <f t="shared" si="7"/>
        <v>106.50145284387987</v>
      </c>
      <c r="D104">
        <v>12.23600006103516</v>
      </c>
      <c r="E104" s="604">
        <v>7462.4501953125</v>
      </c>
      <c r="F104" s="748">
        <f t="shared" si="4"/>
        <v>0</v>
      </c>
      <c r="G104" s="748">
        <f t="shared" si="4"/>
        <v>-2.7243167582907679E-3</v>
      </c>
      <c r="H104" s="1067">
        <f t="shared" si="5"/>
        <v>2.7243167582907679E-3</v>
      </c>
      <c r="I104">
        <f t="shared" si="6"/>
        <v>31.44668942110637</v>
      </c>
    </row>
    <row r="105" spans="1:9" ht="20.100000000000001" customHeight="1">
      <c r="A105" s="563">
        <v>43251</v>
      </c>
      <c r="B105">
        <f t="shared" si="7"/>
        <v>137.94814226498625</v>
      </c>
      <c r="C105">
        <f t="shared" si="7"/>
        <v>106.21130915111497</v>
      </c>
      <c r="D105">
        <v>12.23600006103516</v>
      </c>
      <c r="E105" s="604">
        <v>7442.1201171875</v>
      </c>
      <c r="F105" s="748">
        <f t="shared" si="4"/>
        <v>1.3403036668605317E-2</v>
      </c>
      <c r="G105" s="748">
        <f t="shared" si="4"/>
        <v>1.5077687429198017E-2</v>
      </c>
      <c r="H105" s="1067">
        <f t="shared" si="5"/>
        <v>-1.6746507605926997E-3</v>
      </c>
      <c r="I105">
        <f t="shared" si="6"/>
        <v>31.73683311387127</v>
      </c>
    </row>
    <row r="106" spans="1:9" ht="20.100000000000001" customHeight="1">
      <c r="A106" s="563">
        <v>43252</v>
      </c>
      <c r="B106">
        <f t="shared" si="7"/>
        <v>139.79706627412983</v>
      </c>
      <c r="C106">
        <f t="shared" si="7"/>
        <v>107.8127300719414</v>
      </c>
      <c r="D106">
        <v>12.39999961853027</v>
      </c>
      <c r="E106" s="604">
        <v>7554.330078125</v>
      </c>
      <c r="F106" s="748">
        <f t="shared" si="4"/>
        <v>7.5807112287928913E-3</v>
      </c>
      <c r="G106" s="748">
        <f t="shared" si="4"/>
        <v>6.9006625701266699E-3</v>
      </c>
      <c r="H106" s="1067">
        <f t="shared" si="5"/>
        <v>6.8004865866622133E-4</v>
      </c>
      <c r="I106">
        <f t="shared" si="6"/>
        <v>31.98433620218843</v>
      </c>
    </row>
    <row r="107" spans="1:9" ht="20.100000000000001" customHeight="1">
      <c r="A107" s="563">
        <v>43255</v>
      </c>
      <c r="B107">
        <f t="shared" si="7"/>
        <v>140.85682746418644</v>
      </c>
      <c r="C107">
        <f t="shared" si="7"/>
        <v>108.55670934293202</v>
      </c>
      <c r="D107">
        <v>12.49400043487549</v>
      </c>
      <c r="E107" s="604">
        <v>7606.4599609375</v>
      </c>
      <c r="F107" s="748">
        <f t="shared" si="4"/>
        <v>1.1685601357890096E-2</v>
      </c>
      <c r="G107" s="748">
        <f t="shared" si="4"/>
        <v>4.1280572703994434E-3</v>
      </c>
      <c r="H107" s="1067">
        <f t="shared" si="5"/>
        <v>7.557544087490653E-3</v>
      </c>
      <c r="I107">
        <f t="shared" si="6"/>
        <v>32.300118121254414</v>
      </c>
    </row>
    <row r="108" spans="1:9" ht="20.100000000000001" customHeight="1">
      <c r="A108" s="563">
        <v>43256</v>
      </c>
      <c r="B108">
        <f t="shared" si="7"/>
        <v>142.50282419847002</v>
      </c>
      <c r="C108">
        <f t="shared" si="7"/>
        <v>109.00483765618576</v>
      </c>
      <c r="D108">
        <v>12.64000034332275</v>
      </c>
      <c r="E108" s="604">
        <v>7637.85986328125</v>
      </c>
      <c r="F108" s="748">
        <f t="shared" si="4"/>
        <v>1.4240228290316459E-3</v>
      </c>
      <c r="G108" s="748">
        <f t="shared" si="4"/>
        <v>6.7270638652012771E-3</v>
      </c>
      <c r="H108" s="1067">
        <f t="shared" si="5"/>
        <v>-5.3030410361696312E-3</v>
      </c>
      <c r="I108">
        <f t="shared" si="6"/>
        <v>33.497986542284266</v>
      </c>
    </row>
    <row r="109" spans="1:9" ht="20.100000000000001" customHeight="1">
      <c r="A109" s="563">
        <v>43257</v>
      </c>
      <c r="B109">
        <f t="shared" si="7"/>
        <v>142.70575147333014</v>
      </c>
      <c r="C109">
        <f t="shared" si="7"/>
        <v>109.73812016071481</v>
      </c>
      <c r="D109">
        <v>12.657999992370611</v>
      </c>
      <c r="E109" s="604">
        <v>7689.240234375</v>
      </c>
      <c r="F109" s="748">
        <f t="shared" si="4"/>
        <v>-2.8282493431152522E-2</v>
      </c>
      <c r="G109" s="748">
        <f t="shared" si="4"/>
        <v>-7.0449626367607987E-3</v>
      </c>
      <c r="H109" s="1067">
        <f t="shared" si="5"/>
        <v>-2.1237530794391724E-2</v>
      </c>
      <c r="I109">
        <f t="shared" si="6"/>
        <v>32.967631312615325</v>
      </c>
    </row>
    <row r="110" spans="1:9" ht="20.100000000000001" customHeight="1">
      <c r="A110" s="563">
        <v>43258</v>
      </c>
      <c r="B110">
        <f t="shared" si="7"/>
        <v>138.66967699469799</v>
      </c>
      <c r="C110">
        <f t="shared" si="7"/>
        <v>108.96501920435421</v>
      </c>
      <c r="D110">
        <v>12.30000019073486</v>
      </c>
      <c r="E110" s="604">
        <v>7635.06982421875</v>
      </c>
      <c r="F110" s="748">
        <f t="shared" si="4"/>
        <v>1.6747916357336523E-2</v>
      </c>
      <c r="G110" s="748">
        <f t="shared" si="4"/>
        <v>1.3673668540834516E-3</v>
      </c>
      <c r="H110" s="1067">
        <f t="shared" si="5"/>
        <v>1.5380549503253071E-2</v>
      </c>
      <c r="I110">
        <f t="shared" si="6"/>
        <v>29.704657790343788</v>
      </c>
    </row>
    <row r="111" spans="1:9" ht="20.100000000000001" customHeight="1">
      <c r="A111" s="563">
        <v>43259</v>
      </c>
      <c r="B111">
        <f t="shared" si="7"/>
        <v>140.99210514630406</v>
      </c>
      <c r="C111">
        <f t="shared" si="7"/>
        <v>109.1140143598688</v>
      </c>
      <c r="D111">
        <v>12.50599956512451</v>
      </c>
      <c r="E111" s="604">
        <v>7645.509765625</v>
      </c>
      <c r="F111" s="748">
        <f t="shared" si="4"/>
        <v>1.1514477723742589E-2</v>
      </c>
      <c r="G111" s="748">
        <f t="shared" si="4"/>
        <v>1.8861280147839388E-3</v>
      </c>
      <c r="H111" s="1067">
        <f t="shared" si="5"/>
        <v>9.6283497089586501E-3</v>
      </c>
      <c r="I111">
        <f t="shared" si="6"/>
        <v>31.878090786435251</v>
      </c>
    </row>
    <row r="112" spans="1:9" ht="20.100000000000001" customHeight="1">
      <c r="A112" s="563">
        <v>43262</v>
      </c>
      <c r="B112">
        <f t="shared" si="7"/>
        <v>142.61555560023476</v>
      </c>
      <c r="C112">
        <f t="shared" si="7"/>
        <v>109.31981735915849</v>
      </c>
      <c r="D112">
        <v>12.64999961853027</v>
      </c>
      <c r="E112" s="604">
        <v>7659.93017578125</v>
      </c>
      <c r="F112" s="748">
        <f t="shared" si="4"/>
        <v>1.3596832926658697E-2</v>
      </c>
      <c r="G112" s="748">
        <f t="shared" si="4"/>
        <v>5.7258829094712915E-3</v>
      </c>
      <c r="H112" s="1067">
        <f t="shared" si="5"/>
        <v>7.8709500171874058E-3</v>
      </c>
      <c r="I112">
        <f t="shared" si="6"/>
        <v>33.295738241076265</v>
      </c>
    </row>
    <row r="113" spans="1:9" ht="20.100000000000001" customHeight="1">
      <c r="A113" s="563">
        <v>43263</v>
      </c>
      <c r="B113">
        <f t="shared" si="7"/>
        <v>144.55467548247375</v>
      </c>
      <c r="C113">
        <f t="shared" si="7"/>
        <v>109.94576983304182</v>
      </c>
      <c r="D113">
        <v>12.821999549865721</v>
      </c>
      <c r="E113" s="604">
        <v>7703.7900390625</v>
      </c>
      <c r="F113" s="748">
        <f t="shared" si="4"/>
        <v>9.0469645568889145E-3</v>
      </c>
      <c r="G113" s="748">
        <f t="shared" si="4"/>
        <v>-1.0501121797167334E-3</v>
      </c>
      <c r="H113" s="1067">
        <f t="shared" si="5"/>
        <v>1.0097076736605648E-2</v>
      </c>
      <c r="I113">
        <f t="shared" si="6"/>
        <v>34.608905649431932</v>
      </c>
    </row>
    <row r="114" spans="1:9" ht="20.100000000000001" customHeight="1">
      <c r="A114" s="563">
        <v>43264</v>
      </c>
      <c r="B114">
        <f t="shared" si="7"/>
        <v>145.86245650809627</v>
      </c>
      <c r="C114">
        <f t="shared" si="7"/>
        <v>109.83031444103182</v>
      </c>
      <c r="D114">
        <v>12.9379997253418</v>
      </c>
      <c r="E114" s="604">
        <v>7695.7001953125</v>
      </c>
      <c r="F114" s="748">
        <f t="shared" si="4"/>
        <v>1.6231260056037922E-2</v>
      </c>
      <c r="G114" s="748">
        <f t="shared" si="4"/>
        <v>8.4904351900036978E-3</v>
      </c>
      <c r="H114" s="1067">
        <f t="shared" si="5"/>
        <v>7.7408248660342238E-3</v>
      </c>
      <c r="I114">
        <f t="shared" si="6"/>
        <v>36.032142067064456</v>
      </c>
    </row>
    <row r="115" spans="1:9" ht="20.100000000000001" customHeight="1">
      <c r="A115" s="563">
        <v>43265</v>
      </c>
      <c r="B115">
        <f t="shared" si="7"/>
        <v>148.22998797209169</v>
      </c>
      <c r="C115">
        <f t="shared" si="7"/>
        <v>110.76282160769112</v>
      </c>
      <c r="D115">
        <v>13.14799976348877</v>
      </c>
      <c r="E115" s="604">
        <v>7761.0400390625</v>
      </c>
      <c r="F115" s="748">
        <f t="shared" si="4"/>
        <v>-6.9972626471189736E-3</v>
      </c>
      <c r="G115" s="748">
        <f t="shared" si="4"/>
        <v>-1.8889422263270728E-3</v>
      </c>
      <c r="H115" s="1067">
        <f t="shared" si="5"/>
        <v>-5.1083204207919009E-3</v>
      </c>
      <c r="I115">
        <f t="shared" si="6"/>
        <v>37.467166364400569</v>
      </c>
    </row>
    <row r="116" spans="1:9" ht="20.100000000000001" customHeight="1">
      <c r="A116" s="563">
        <v>43266</v>
      </c>
      <c r="B116">
        <f t="shared" si="7"/>
        <v>147.19278381407167</v>
      </c>
      <c r="C116">
        <f t="shared" si="7"/>
        <v>110.55359703684923</v>
      </c>
      <c r="D116">
        <v>13.05599975585938</v>
      </c>
      <c r="E116" s="604">
        <v>7746.3798828125</v>
      </c>
      <c r="F116" s="748">
        <f t="shared" si="4"/>
        <v>1.3633613163510194E-2</v>
      </c>
      <c r="G116" s="748">
        <f t="shared" si="4"/>
        <v>8.3897556482082081E-5</v>
      </c>
      <c r="H116" s="1067">
        <f t="shared" si="5"/>
        <v>1.3549715607028112E-2</v>
      </c>
      <c r="I116">
        <f t="shared" si="6"/>
        <v>36.639186777222449</v>
      </c>
    </row>
    <row r="117" spans="1:9" ht="20.100000000000001" customHeight="1">
      <c r="A117" s="563">
        <v>43269</v>
      </c>
      <c r="B117">
        <f t="shared" si="7"/>
        <v>149.19955328905291</v>
      </c>
      <c r="C117">
        <f t="shared" si="7"/>
        <v>110.56287221350092</v>
      </c>
      <c r="D117">
        <v>13.234000205993651</v>
      </c>
      <c r="E117" s="604">
        <v>7747.02978515625</v>
      </c>
      <c r="F117" s="748">
        <f t="shared" si="4"/>
        <v>-2.795828017227231E-2</v>
      </c>
      <c r="G117" s="748">
        <f t="shared" si="4"/>
        <v>-2.7675047083631776E-3</v>
      </c>
      <c r="H117" s="1067">
        <f t="shared" si="5"/>
        <v>-2.5190775463909132E-2</v>
      </c>
      <c r="I117">
        <f t="shared" si="6"/>
        <v>38.636681075551991</v>
      </c>
    </row>
    <row r="118" spans="1:9" ht="20.100000000000001" customHeight="1">
      <c r="A118" s="563">
        <v>43270</v>
      </c>
      <c r="B118">
        <f t="shared" si="7"/>
        <v>145.0281903766197</v>
      </c>
      <c r="C118">
        <f t="shared" si="7"/>
        <v>110.2568889440799</v>
      </c>
      <c r="D118">
        <v>12.86400032043457</v>
      </c>
      <c r="E118" s="604">
        <v>7725.58984375</v>
      </c>
      <c r="F118" s="748">
        <f t="shared" si="4"/>
        <v>1.1815879181091615E-2</v>
      </c>
      <c r="G118" s="748">
        <f t="shared" si="4"/>
        <v>7.2382721586286003E-3</v>
      </c>
      <c r="H118" s="1067">
        <f t="shared" si="5"/>
        <v>4.577607022463015E-3</v>
      </c>
      <c r="I118">
        <f t="shared" si="6"/>
        <v>34.771301432539801</v>
      </c>
    </row>
    <row r="119" spans="1:9" ht="20.100000000000001" customHeight="1">
      <c r="A119" s="563">
        <v>43271</v>
      </c>
      <c r="B119">
        <f t="shared" si="7"/>
        <v>146.7418259519622</v>
      </c>
      <c r="C119">
        <f t="shared" si="7"/>
        <v>111.05495831362084</v>
      </c>
      <c r="D119">
        <v>13.015999794006349</v>
      </c>
      <c r="E119" s="604">
        <v>7781.509765625</v>
      </c>
      <c r="F119" s="748">
        <f t="shared" si="4"/>
        <v>-5.2243270481636683E-3</v>
      </c>
      <c r="G119" s="748">
        <f t="shared" si="4"/>
        <v>-8.8105743457861374E-3</v>
      </c>
      <c r="H119" s="1067">
        <f t="shared" si="5"/>
        <v>3.5862472976224691E-3</v>
      </c>
      <c r="I119">
        <f t="shared" si="6"/>
        <v>35.686867638341354</v>
      </c>
    </row>
    <row r="120" spans="1:9" ht="20.100000000000001" customHeight="1">
      <c r="A120" s="563">
        <v>43272</v>
      </c>
      <c r="B120">
        <f t="shared" si="7"/>
        <v>145.97519866154443</v>
      </c>
      <c r="C120">
        <f t="shared" si="7"/>
        <v>110.0765003469305</v>
      </c>
      <c r="D120">
        <v>12.947999954223629</v>
      </c>
      <c r="E120" s="604">
        <v>7712.9501953125</v>
      </c>
      <c r="F120" s="748">
        <f t="shared" si="4"/>
        <v>-1.2511561864870568E-2</v>
      </c>
      <c r="G120" s="748">
        <f t="shared" si="4"/>
        <v>-2.6099443901483887E-3</v>
      </c>
      <c r="H120" s="1067">
        <f t="shared" si="5"/>
        <v>-9.9016174747221797E-3</v>
      </c>
      <c r="I120">
        <f t="shared" si="6"/>
        <v>35.898698314613924</v>
      </c>
    </row>
    <row r="121" spans="1:9" ht="20.100000000000001" customHeight="1">
      <c r="A121" s="563">
        <v>43273</v>
      </c>
      <c r="B121">
        <f t="shared" si="7"/>
        <v>144.14882093275375</v>
      </c>
      <c r="C121">
        <f t="shared" si="7"/>
        <v>109.78920680236287</v>
      </c>
      <c r="D121">
        <v>12.78600025177002</v>
      </c>
      <c r="E121" s="604">
        <v>7692.81982421875</v>
      </c>
      <c r="F121" s="748">
        <f t="shared" si="4"/>
        <v>-2.8312252327928444E-2</v>
      </c>
      <c r="G121" s="748">
        <f t="shared" si="4"/>
        <v>-2.0903915894076142E-2</v>
      </c>
      <c r="H121" s="1067">
        <f t="shared" si="5"/>
        <v>-7.4083364338523028E-3</v>
      </c>
      <c r="I121">
        <f t="shared" si="6"/>
        <v>34.359614130390881</v>
      </c>
    </row>
    <row r="122" spans="1:9" ht="20.100000000000001" customHeight="1">
      <c r="A122" s="563">
        <v>43276</v>
      </c>
      <c r="B122">
        <f t="shared" si="7"/>
        <v>140.06764314173225</v>
      </c>
      <c r="C122">
        <f t="shared" si="7"/>
        <v>107.49418245728894</v>
      </c>
      <c r="D122">
        <v>12.42399978637695</v>
      </c>
      <c r="E122" s="604">
        <v>7532.009765625</v>
      </c>
      <c r="F122" s="748">
        <f t="shared" si="4"/>
        <v>1.2073452574352661E-2</v>
      </c>
      <c r="G122" s="748">
        <f t="shared" si="4"/>
        <v>3.9325648942571956E-3</v>
      </c>
      <c r="H122" s="1067">
        <f t="shared" si="5"/>
        <v>8.1408876800954655E-3</v>
      </c>
      <c r="I122">
        <f t="shared" si="6"/>
        <v>32.573460684443305</v>
      </c>
    </row>
    <row r="123" spans="1:9" ht="20.100000000000001" customHeight="1">
      <c r="A123" s="563">
        <v>43277</v>
      </c>
      <c r="B123">
        <f t="shared" si="7"/>
        <v>141.7587431884053</v>
      </c>
      <c r="C123">
        <f t="shared" si="7"/>
        <v>107.91691030555735</v>
      </c>
      <c r="D123">
        <v>12.574000358581539</v>
      </c>
      <c r="E123" s="604">
        <v>7561.6298828125</v>
      </c>
      <c r="F123" s="748">
        <f t="shared" si="4"/>
        <v>-1.7019301399831543E-2</v>
      </c>
      <c r="G123" s="748">
        <f t="shared" si="4"/>
        <v>-1.5413317828794626E-2</v>
      </c>
      <c r="H123" s="1067">
        <f t="shared" si="5"/>
        <v>-1.6059835710369175E-3</v>
      </c>
      <c r="I123">
        <f t="shared" si="6"/>
        <v>33.841832882847953</v>
      </c>
    </row>
    <row r="124" spans="1:9" ht="20.100000000000001" customHeight="1">
      <c r="A124" s="563">
        <v>43278</v>
      </c>
      <c r="B124">
        <f t="shared" si="7"/>
        <v>139.34610841202053</v>
      </c>
      <c r="C124">
        <f t="shared" si="7"/>
        <v>106.25355266791627</v>
      </c>
      <c r="D124">
        <v>12.35999965667725</v>
      </c>
      <c r="E124" s="604">
        <v>7445.080078125</v>
      </c>
      <c r="F124" s="748">
        <f t="shared" si="4"/>
        <v>1.0517808903876436E-2</v>
      </c>
      <c r="G124" s="748">
        <f t="shared" si="4"/>
        <v>7.8709828559706541E-3</v>
      </c>
      <c r="H124" s="1067">
        <f t="shared" si="5"/>
        <v>2.6468260479057815E-3</v>
      </c>
      <c r="I124">
        <f t="shared" si="6"/>
        <v>33.09255574410426</v>
      </c>
    </row>
    <row r="125" spans="1:9" ht="20.100000000000001" customHeight="1">
      <c r="A125" s="563">
        <v>43279</v>
      </c>
      <c r="B125">
        <f t="shared" si="7"/>
        <v>140.81172415179699</v>
      </c>
      <c r="C125">
        <f t="shared" si="7"/>
        <v>107.08987255935141</v>
      </c>
      <c r="D125">
        <v>12.489999771118161</v>
      </c>
      <c r="E125" s="604">
        <v>7503.68017578125</v>
      </c>
      <c r="F125" s="748">
        <f t="shared" si="4"/>
        <v>-3.2023299890282519E-4</v>
      </c>
      <c r="G125" s="748">
        <f t="shared" si="4"/>
        <v>8.8218430838993278E-4</v>
      </c>
      <c r="H125" s="1067">
        <f t="shared" si="5"/>
        <v>-1.202417307292758E-3</v>
      </c>
      <c r="I125">
        <f t="shared" si="6"/>
        <v>33.721851592445589</v>
      </c>
    </row>
    <row r="126" spans="1:9" ht="20.100000000000001" customHeight="1">
      <c r="A126" s="563">
        <v>43280</v>
      </c>
      <c r="B126">
        <f t="shared" si="7"/>
        <v>140.7666315910912</v>
      </c>
      <c r="C126">
        <f t="shared" si="7"/>
        <v>107.18434556451075</v>
      </c>
      <c r="D126">
        <v>12.48600006103516</v>
      </c>
      <c r="E126" s="604">
        <v>7510.2998046875</v>
      </c>
      <c r="F126" s="748">
        <f t="shared" si="4"/>
        <v>2.402692529780337E-2</v>
      </c>
      <c r="G126" s="748">
        <f t="shared" si="4"/>
        <v>7.6415240684439834E-3</v>
      </c>
      <c r="H126" s="1067">
        <f t="shared" si="5"/>
        <v>1.6385401229359386E-2</v>
      </c>
      <c r="I126">
        <f t="shared" si="6"/>
        <v>33.582286026580448</v>
      </c>
    </row>
    <row r="127" spans="1:9" ht="20.100000000000001" customHeight="1">
      <c r="A127" s="563">
        <v>43283</v>
      </c>
      <c r="B127">
        <f t="shared" si="7"/>
        <v>144.14882093275375</v>
      </c>
      <c r="C127">
        <f t="shared" si="7"/>
        <v>108.00339732090238</v>
      </c>
      <c r="D127">
        <v>12.78600025177002</v>
      </c>
      <c r="E127" s="604">
        <v>7567.68994140625</v>
      </c>
      <c r="F127" s="748">
        <f t="shared" si="4"/>
        <v>-5.3183042737158237E-3</v>
      </c>
      <c r="G127" s="748">
        <f t="shared" si="4"/>
        <v>-8.5917922159437499E-3</v>
      </c>
      <c r="H127" s="1067">
        <f t="shared" si="5"/>
        <v>3.2734879422279262E-3</v>
      </c>
      <c r="I127">
        <f t="shared" si="6"/>
        <v>36.145423611851371</v>
      </c>
    </row>
    <row r="128" spans="1:9" ht="20.100000000000001" customHeight="1">
      <c r="A128" s="563">
        <v>43284</v>
      </c>
      <c r="B128">
        <f t="shared" si="7"/>
        <v>143.38219364233598</v>
      </c>
      <c r="C128">
        <f t="shared" si="7"/>
        <v>107.07545457250517</v>
      </c>
      <c r="D128">
        <v>12.718000411987299</v>
      </c>
      <c r="E128" s="604">
        <v>7502.669921875</v>
      </c>
      <c r="F128" s="748">
        <f t="shared" si="4"/>
        <v>1.1637030877061028E-2</v>
      </c>
      <c r="G128" s="748">
        <f t="shared" si="4"/>
        <v>1.1164059565253792E-2</v>
      </c>
      <c r="H128" s="1067">
        <f t="shared" si="5"/>
        <v>4.729713118072354E-4</v>
      </c>
      <c r="I128">
        <f t="shared" si="6"/>
        <v>36.306739069830812</v>
      </c>
    </row>
    <row r="129" spans="1:9" ht="20.100000000000001" customHeight="1">
      <c r="A129" s="563">
        <v>43286</v>
      </c>
      <c r="B129">
        <f t="shared" si="7"/>
        <v>145.05073665697259</v>
      </c>
      <c r="C129">
        <f t="shared" si="7"/>
        <v>108.27085132532925</v>
      </c>
      <c r="D129">
        <v>12.866000175476071</v>
      </c>
      <c r="E129" s="604">
        <v>7586.43017578125</v>
      </c>
      <c r="F129" s="748">
        <f t="shared" si="4"/>
        <v>9.9487220312184377E-3</v>
      </c>
      <c r="G129" s="748">
        <f t="shared" si="4"/>
        <v>1.3439781105874404E-2</v>
      </c>
      <c r="H129" s="1067">
        <f t="shared" si="5"/>
        <v>-3.4910590746559667E-3</v>
      </c>
      <c r="I129">
        <f t="shared" si="6"/>
        <v>36.779885331643342</v>
      </c>
    </row>
    <row r="130" spans="1:9" ht="20.100000000000001" customHeight="1">
      <c r="A130" s="563">
        <v>43287</v>
      </c>
      <c r="B130">
        <f t="shared" si="7"/>
        <v>146.49380611639629</v>
      </c>
      <c r="C130">
        <f t="shared" si="7"/>
        <v>109.72598786728834</v>
      </c>
      <c r="D130">
        <v>12.99400043487549</v>
      </c>
      <c r="E130" s="604">
        <v>7688.39013671875</v>
      </c>
      <c r="F130" s="748">
        <f t="shared" si="4"/>
        <v>-3.0783408122468936E-3</v>
      </c>
      <c r="G130" s="748">
        <f t="shared" si="4"/>
        <v>8.8197993842558109E-3</v>
      </c>
      <c r="H130" s="1067">
        <f t="shared" si="5"/>
        <v>-1.1898140196502704E-2</v>
      </c>
      <c r="I130">
        <f t="shared" si="6"/>
        <v>36.767818249107947</v>
      </c>
    </row>
    <row r="131" spans="1:9" ht="20.100000000000001" customHeight="1">
      <c r="A131" s="563">
        <v>43290</v>
      </c>
      <c r="B131">
        <f t="shared" si="7"/>
        <v>146.04284825428681</v>
      </c>
      <c r="C131">
        <f t="shared" si="7"/>
        <v>110.6937490675171</v>
      </c>
      <c r="D131">
        <v>12.954000473022459</v>
      </c>
      <c r="E131" s="604">
        <v>7756.2001953125</v>
      </c>
      <c r="F131" s="748">
        <f t="shared" ref="F131:G194" si="8">D132/D131-1</f>
        <v>9.8810638452320187E-3</v>
      </c>
      <c r="G131" s="748">
        <f t="shared" si="8"/>
        <v>3.8678733457819803E-4</v>
      </c>
      <c r="H131" s="1067">
        <f t="shared" ref="H131:H194" si="9">F131-G131</f>
        <v>9.4942765106538207E-3</v>
      </c>
      <c r="I131">
        <f t="shared" ref="I131:I194" si="10">B131-C131</f>
        <v>35.349099186769706</v>
      </c>
    </row>
    <row r="132" spans="1:9" ht="20.100000000000001" customHeight="1">
      <c r="A132" s="563">
        <v>43291</v>
      </c>
      <c r="B132">
        <f t="shared" ref="B132:C195" si="11">B131*(1+F131)</f>
        <v>147.48590696202695</v>
      </c>
      <c r="C132">
        <f t="shared" si="11"/>
        <v>110.73656400767339</v>
      </c>
      <c r="D132">
        <v>13.08199977874756</v>
      </c>
      <c r="E132" s="604">
        <v>7759.2001953125</v>
      </c>
      <c r="F132" s="748">
        <f t="shared" si="8"/>
        <v>3.8220602033709472E-3</v>
      </c>
      <c r="G132" s="748">
        <f t="shared" si="8"/>
        <v>-5.4890105886145069E-3</v>
      </c>
      <c r="H132" s="1067">
        <f t="shared" si="9"/>
        <v>9.3110707919854541E-3</v>
      </c>
      <c r="I132">
        <f t="shared" si="10"/>
        <v>36.749342954353551</v>
      </c>
    </row>
    <row r="133" spans="1:9" ht="20.100000000000001" customHeight="1">
      <c r="A133" s="563">
        <v>43292</v>
      </c>
      <c r="B133">
        <f t="shared" si="11"/>
        <v>148.04960697758457</v>
      </c>
      <c r="C133">
        <f t="shared" si="11"/>
        <v>110.12872983528848</v>
      </c>
      <c r="D133">
        <v>13.13199996948242</v>
      </c>
      <c r="E133" s="604">
        <v>7716.60986328125</v>
      </c>
      <c r="F133" s="748">
        <f t="shared" si="8"/>
        <v>2.3911066892279731E-2</v>
      </c>
      <c r="G133" s="748">
        <f t="shared" si="8"/>
        <v>1.3906373458683507E-2</v>
      </c>
      <c r="H133" s="1067">
        <f t="shared" si="9"/>
        <v>1.0004693433596223E-2</v>
      </c>
      <c r="I133">
        <f t="shared" si="10"/>
        <v>37.920877142296092</v>
      </c>
    </row>
    <row r="134" spans="1:9" ht="20.100000000000001" customHeight="1">
      <c r="A134" s="563">
        <v>43293</v>
      </c>
      <c r="B134">
        <f t="shared" si="11"/>
        <v>151.58963103340133</v>
      </c>
      <c r="C134">
        <f t="shared" si="11"/>
        <v>111.66022108090847</v>
      </c>
      <c r="D134">
        <v>13.446000099182131</v>
      </c>
      <c r="E134" s="604">
        <v>7823.919921875</v>
      </c>
      <c r="F134" s="748">
        <f t="shared" si="8"/>
        <v>-9.9657759583150485E-3</v>
      </c>
      <c r="G134" s="748">
        <f t="shared" si="8"/>
        <v>2.6330261739904159E-4</v>
      </c>
      <c r="H134" s="1067">
        <f t="shared" si="9"/>
        <v>-1.022907857571409E-2</v>
      </c>
      <c r="I134">
        <f t="shared" si="10"/>
        <v>39.929409952492861</v>
      </c>
    </row>
    <row r="135" spans="1:9" ht="20.100000000000001" customHeight="1">
      <c r="A135" s="563">
        <v>43294</v>
      </c>
      <c r="B135">
        <f t="shared" si="11"/>
        <v>150.07892273291881</v>
      </c>
      <c r="C135">
        <f t="shared" si="11"/>
        <v>111.68962150937843</v>
      </c>
      <c r="D135">
        <v>13.3120002746582</v>
      </c>
      <c r="E135" s="604">
        <v>7825.97998046875</v>
      </c>
      <c r="F135" s="748">
        <f t="shared" si="8"/>
        <v>-4.9579314437704358E-3</v>
      </c>
      <c r="G135" s="748">
        <f t="shared" si="8"/>
        <v>-2.5887832163591362E-3</v>
      </c>
      <c r="H135" s="1067">
        <f t="shared" si="9"/>
        <v>-2.3691482274112996E-3</v>
      </c>
      <c r="I135">
        <f t="shared" si="10"/>
        <v>38.389301223540386</v>
      </c>
    </row>
    <row r="136" spans="1:9" ht="20.100000000000001" customHeight="1">
      <c r="A136" s="563">
        <v>43297</v>
      </c>
      <c r="B136">
        <f t="shared" si="11"/>
        <v>149.33484172285409</v>
      </c>
      <c r="C136">
        <f t="shared" si="11"/>
        <v>111.40048129177345</v>
      </c>
      <c r="D136">
        <v>13.24600028991699</v>
      </c>
      <c r="E136" s="604">
        <v>7805.72021484375</v>
      </c>
      <c r="F136" s="748">
        <f t="shared" si="8"/>
        <v>1.0720160167747572E-2</v>
      </c>
      <c r="G136" s="748">
        <f t="shared" si="8"/>
        <v>6.3286796072716811E-3</v>
      </c>
      <c r="H136" s="1067">
        <f t="shared" si="9"/>
        <v>4.3914805604758911E-3</v>
      </c>
      <c r="I136">
        <f t="shared" si="10"/>
        <v>37.934360431080648</v>
      </c>
    </row>
    <row r="137" spans="1:9" ht="20.100000000000001" customHeight="1">
      <c r="A137" s="563">
        <v>43298</v>
      </c>
      <c r="B137">
        <f t="shared" si="11"/>
        <v>150.93573514474832</v>
      </c>
      <c r="C137">
        <f t="shared" si="11"/>
        <v>112.10549924596494</v>
      </c>
      <c r="D137">
        <v>13.38799953460693</v>
      </c>
      <c r="E137" s="604">
        <v>7855.1201171875</v>
      </c>
      <c r="F137" s="748">
        <f t="shared" si="8"/>
        <v>-1.9419681892469676E-3</v>
      </c>
      <c r="G137" s="748">
        <f t="shared" si="8"/>
        <v>-8.6590118432705587E-5</v>
      </c>
      <c r="H137" s="1067">
        <f t="shared" si="9"/>
        <v>-1.855378070814262E-3</v>
      </c>
      <c r="I137">
        <f t="shared" si="10"/>
        <v>38.830235898783386</v>
      </c>
    </row>
    <row r="138" spans="1:9" ht="20.100000000000001" customHeight="1">
      <c r="A138" s="563">
        <v>43299</v>
      </c>
      <c r="B138">
        <f t="shared" si="11"/>
        <v>150.64262274847661</v>
      </c>
      <c r="C138">
        <f t="shared" si="11"/>
        <v>112.09579201750827</v>
      </c>
      <c r="D138">
        <v>13.36200046539307</v>
      </c>
      <c r="E138" s="604">
        <v>7854.43994140625</v>
      </c>
      <c r="F138" s="748">
        <f t="shared" si="8"/>
        <v>9.5793519882447775E-3</v>
      </c>
      <c r="G138" s="748">
        <f t="shared" si="8"/>
        <v>-3.7100209481686353E-3</v>
      </c>
      <c r="H138" s="1067">
        <f t="shared" si="9"/>
        <v>1.3289372936413413E-2</v>
      </c>
      <c r="I138">
        <f t="shared" si="10"/>
        <v>38.546830730968338</v>
      </c>
    </row>
    <row r="139" spans="1:9" ht="20.100000000000001" customHeight="1">
      <c r="A139" s="563">
        <v>43300</v>
      </c>
      <c r="B139">
        <f t="shared" si="11"/>
        <v>152.08568145621663</v>
      </c>
      <c r="C139">
        <f t="shared" si="11"/>
        <v>111.67991428092176</v>
      </c>
      <c r="D139">
        <v>13.489999771118161</v>
      </c>
      <c r="E139" s="604">
        <v>7825.2998046875</v>
      </c>
      <c r="F139" s="748">
        <f t="shared" si="8"/>
        <v>7.8576685242934818E-3</v>
      </c>
      <c r="G139" s="748">
        <f t="shared" si="8"/>
        <v>-6.5168230001166894E-4</v>
      </c>
      <c r="H139" s="1067">
        <f t="shared" si="9"/>
        <v>8.5093508243051508E-3</v>
      </c>
      <c r="I139">
        <f t="shared" si="10"/>
        <v>40.405767175294869</v>
      </c>
    </row>
    <row r="140" spans="1:9" ht="20.100000000000001" customHeight="1">
      <c r="A140" s="563">
        <v>43301</v>
      </c>
      <c r="B140">
        <f t="shared" si="11"/>
        <v>153.28072032839088</v>
      </c>
      <c r="C140">
        <f t="shared" si="11"/>
        <v>111.60713445751807</v>
      </c>
      <c r="D140">
        <v>13.595999717712401</v>
      </c>
      <c r="E140" s="604">
        <v>7820.2001953125</v>
      </c>
      <c r="F140" s="748">
        <f t="shared" si="8"/>
        <v>3.5304748962907695E-3</v>
      </c>
      <c r="G140" s="748">
        <f t="shared" si="8"/>
        <v>2.7710188145808612E-3</v>
      </c>
      <c r="H140" s="1067">
        <f t="shared" si="9"/>
        <v>7.594560817099083E-4</v>
      </c>
      <c r="I140">
        <f t="shared" si="10"/>
        <v>41.673585870872813</v>
      </c>
    </row>
    <row r="141" spans="1:9" ht="20.100000000000001" customHeight="1">
      <c r="A141" s="563">
        <v>43304</v>
      </c>
      <c r="B141">
        <f t="shared" si="11"/>
        <v>153.82187406359563</v>
      </c>
      <c r="C141">
        <f t="shared" si="11"/>
        <v>111.91639992694131</v>
      </c>
      <c r="D141">
        <v>13.64400005340576</v>
      </c>
      <c r="E141" s="604">
        <v>7841.8701171875</v>
      </c>
      <c r="F141" s="748">
        <f t="shared" si="8"/>
        <v>-2.1547909028528878E-2</v>
      </c>
      <c r="G141" s="748">
        <f t="shared" si="8"/>
        <v>-1.40285115643346E-4</v>
      </c>
      <c r="H141" s="1067">
        <f t="shared" si="9"/>
        <v>-2.1407623912885532E-2</v>
      </c>
      <c r="I141">
        <f t="shared" si="10"/>
        <v>41.90547413665432</v>
      </c>
    </row>
    <row r="142" spans="1:9" ht="20.100000000000001" customHeight="1">
      <c r="A142" s="563">
        <v>43305</v>
      </c>
      <c r="B142">
        <f t="shared" si="11"/>
        <v>150.50733431467543</v>
      </c>
      <c r="C142">
        <f t="shared" si="11"/>
        <v>111.90069972183517</v>
      </c>
      <c r="D142">
        <v>13.35000038146973</v>
      </c>
      <c r="E142" s="604">
        <v>7840.77001953125</v>
      </c>
      <c r="F142" s="748">
        <f t="shared" si="8"/>
        <v>2.5168500316819387E-2</v>
      </c>
      <c r="G142" s="748">
        <f t="shared" si="8"/>
        <v>1.1665973445962541E-2</v>
      </c>
      <c r="H142" s="1067">
        <f t="shared" si="9"/>
        <v>1.3502526870856846E-2</v>
      </c>
      <c r="I142">
        <f t="shared" si="10"/>
        <v>38.606634592840265</v>
      </c>
    </row>
    <row r="143" spans="1:9" ht="20.100000000000001" customHeight="1">
      <c r="A143" s="563">
        <v>43306</v>
      </c>
      <c r="B143">
        <f t="shared" si="11"/>
        <v>154.29537820605799</v>
      </c>
      <c r="C143">
        <f t="shared" si="11"/>
        <v>113.20613031337473</v>
      </c>
      <c r="D143">
        <v>13.685999870300289</v>
      </c>
      <c r="E143" s="604">
        <v>7932.240234375</v>
      </c>
      <c r="F143" s="748">
        <f t="shared" si="8"/>
        <v>2.0458774072074082E-3</v>
      </c>
      <c r="G143" s="748">
        <f t="shared" si="8"/>
        <v>-1.009299469358016E-2</v>
      </c>
      <c r="H143" s="1067">
        <f t="shared" si="9"/>
        <v>1.2138872100787568E-2</v>
      </c>
      <c r="I143">
        <f t="shared" si="10"/>
        <v>41.089247892683261</v>
      </c>
    </row>
    <row r="144" spans="1:9" ht="20.100000000000001" customHeight="1">
      <c r="A144" s="563">
        <v>43307</v>
      </c>
      <c r="B144">
        <f t="shared" si="11"/>
        <v>154.61104763436629</v>
      </c>
      <c r="C144">
        <f t="shared" si="11"/>
        <v>112.06354144084109</v>
      </c>
      <c r="D144">
        <v>13.71399974822998</v>
      </c>
      <c r="E144" s="604">
        <v>7852.18017578125</v>
      </c>
      <c r="F144" s="748">
        <f t="shared" si="8"/>
        <v>-4.0250842636016193E-2</v>
      </c>
      <c r="G144" s="748">
        <f t="shared" si="8"/>
        <v>-1.4615081587176171E-2</v>
      </c>
      <c r="H144" s="1067">
        <f t="shared" si="9"/>
        <v>-2.5635761048840022E-2</v>
      </c>
      <c r="I144">
        <f t="shared" si="10"/>
        <v>42.547506193525194</v>
      </c>
    </row>
    <row r="145" spans="1:9" ht="20.100000000000001" customHeight="1">
      <c r="A145" s="563">
        <v>43308</v>
      </c>
      <c r="B145">
        <f t="shared" si="11"/>
        <v>148.38782268624581</v>
      </c>
      <c r="C145">
        <f t="shared" si="11"/>
        <v>110.4257236397353</v>
      </c>
      <c r="D145">
        <v>13.16199970245361</v>
      </c>
      <c r="E145" s="604">
        <v>7737.419921875</v>
      </c>
      <c r="F145" s="748">
        <f t="shared" si="8"/>
        <v>-4.6041631993143151E-2</v>
      </c>
      <c r="G145" s="748">
        <f t="shared" si="8"/>
        <v>-1.3883170741619599E-2</v>
      </c>
      <c r="H145" s="1067">
        <f t="shared" si="9"/>
        <v>-3.2158461251523551E-2</v>
      </c>
      <c r="I145">
        <f t="shared" si="10"/>
        <v>37.962099046510517</v>
      </c>
    </row>
    <row r="146" spans="1:9" ht="20.100000000000001" customHeight="1">
      <c r="A146" s="563">
        <v>43311</v>
      </c>
      <c r="B146">
        <f t="shared" si="11"/>
        <v>141.55580516186191</v>
      </c>
      <c r="C146">
        <f t="shared" si="11"/>
        <v>108.89266446417795</v>
      </c>
      <c r="D146">
        <v>12.55599975585938</v>
      </c>
      <c r="E146" s="604">
        <v>7630</v>
      </c>
      <c r="F146" s="748">
        <f t="shared" si="8"/>
        <v>2.0707250233933383E-3</v>
      </c>
      <c r="G146" s="748">
        <f t="shared" si="8"/>
        <v>5.4770693397772074E-3</v>
      </c>
      <c r="H146" s="1067">
        <f t="shared" si="9"/>
        <v>-3.4063443163838691E-3</v>
      </c>
      <c r="I146">
        <f t="shared" si="10"/>
        <v>32.663140697683957</v>
      </c>
    </row>
    <row r="147" spans="1:9" ht="20.100000000000001" customHeight="1">
      <c r="A147" s="563">
        <v>43312</v>
      </c>
      <c r="B147">
        <f t="shared" si="11"/>
        <v>141.84892830981718</v>
      </c>
      <c r="C147">
        <f t="shared" si="11"/>
        <v>109.48907713804135</v>
      </c>
      <c r="D147">
        <v>12.58199977874756</v>
      </c>
      <c r="E147" s="604">
        <v>7671.7900390625</v>
      </c>
      <c r="F147" s="748">
        <f t="shared" si="8"/>
        <v>2.6863797765861674E-2</v>
      </c>
      <c r="G147" s="748">
        <f t="shared" si="8"/>
        <v>4.6273424871177138E-3</v>
      </c>
      <c r="H147" s="1067">
        <f t="shared" si="9"/>
        <v>2.2236455278743961E-2</v>
      </c>
      <c r="I147">
        <f t="shared" si="10"/>
        <v>32.35985117177583</v>
      </c>
    </row>
    <row r="148" spans="1:9" ht="20.100000000000001" customHeight="1">
      <c r="A148" s="563">
        <v>43313</v>
      </c>
      <c r="B148">
        <f t="shared" si="11"/>
        <v>145.65952923323633</v>
      </c>
      <c r="C148">
        <f t="shared" si="11"/>
        <v>109.99572059655752</v>
      </c>
      <c r="D148">
        <v>12.920000076293951</v>
      </c>
      <c r="E148" s="604">
        <v>7707.2900390625</v>
      </c>
      <c r="F148" s="748">
        <f t="shared" si="8"/>
        <v>0.14179564767255415</v>
      </c>
      <c r="G148" s="748">
        <f t="shared" si="8"/>
        <v>1.237787884720043E-2</v>
      </c>
      <c r="H148" s="1067">
        <f t="shared" si="9"/>
        <v>0.12941776882535372</v>
      </c>
      <c r="I148">
        <f t="shared" si="10"/>
        <v>35.663808636678809</v>
      </c>
    </row>
    <row r="149" spans="1:9" ht="20.100000000000001" customHeight="1">
      <c r="A149" s="563">
        <v>43314</v>
      </c>
      <c r="B149">
        <f t="shared" si="11"/>
        <v>166.3134165205424</v>
      </c>
      <c r="C149">
        <f t="shared" si="11"/>
        <v>111.35723429981222</v>
      </c>
      <c r="D149">
        <v>14.7519998550415</v>
      </c>
      <c r="E149" s="604">
        <v>7802.68994140625</v>
      </c>
      <c r="F149" s="748">
        <f t="shared" si="8"/>
        <v>-1.7624744538818904E-3</v>
      </c>
      <c r="G149" s="748">
        <f t="shared" si="8"/>
        <v>1.1944373400374353E-3</v>
      </c>
      <c r="H149" s="1067">
        <f t="shared" si="9"/>
        <v>-2.9569117939193257E-3</v>
      </c>
      <c r="I149">
        <f t="shared" si="10"/>
        <v>54.956182220730184</v>
      </c>
    </row>
    <row r="150" spans="1:9" ht="20.100000000000001" customHeight="1">
      <c r="A150" s="563">
        <v>43315</v>
      </c>
      <c r="B150">
        <f t="shared" si="11"/>
        <v>166.02029337258713</v>
      </c>
      <c r="C150">
        <f t="shared" si="11"/>
        <v>111.49024353854321</v>
      </c>
      <c r="D150">
        <v>14.72599983215332</v>
      </c>
      <c r="E150" s="604">
        <v>7812.009765625</v>
      </c>
      <c r="F150" s="748">
        <f t="shared" si="8"/>
        <v>0</v>
      </c>
      <c r="G150" s="748">
        <f t="shared" si="8"/>
        <v>6.1021954127622458E-3</v>
      </c>
      <c r="H150" s="1067">
        <f t="shared" si="9"/>
        <v>-6.1021954127622458E-3</v>
      </c>
      <c r="I150">
        <f t="shared" si="10"/>
        <v>54.530049834043922</v>
      </c>
    </row>
    <row r="151" spans="1:9" ht="20.100000000000001" customHeight="1">
      <c r="A151" s="563">
        <v>43318</v>
      </c>
      <c r="B151">
        <f t="shared" si="11"/>
        <v>166.02029337258713</v>
      </c>
      <c r="C151">
        <f t="shared" si="11"/>
        <v>112.17057879123186</v>
      </c>
      <c r="D151">
        <v>14.72599983215332</v>
      </c>
      <c r="E151" s="604">
        <v>7859.68017578125</v>
      </c>
      <c r="F151" s="748">
        <f t="shared" si="8"/>
        <v>-7.7413668382190215E-3</v>
      </c>
      <c r="G151" s="748">
        <f t="shared" si="8"/>
        <v>3.0510122463560663E-3</v>
      </c>
      <c r="H151" s="1067">
        <f t="shared" si="9"/>
        <v>-1.0792379084575088E-2</v>
      </c>
      <c r="I151">
        <f t="shared" si="10"/>
        <v>53.849714581355272</v>
      </c>
    </row>
    <row r="152" spans="1:9" ht="20.100000000000001" customHeight="1">
      <c r="A152" s="563">
        <v>43319</v>
      </c>
      <c r="B152">
        <f t="shared" si="11"/>
        <v>164.7350693790012</v>
      </c>
      <c r="C152">
        <f t="shared" si="11"/>
        <v>112.51281260080476</v>
      </c>
      <c r="D152">
        <v>14.61200046539307</v>
      </c>
      <c r="E152" s="604">
        <v>7883.66015625</v>
      </c>
      <c r="F152" s="748">
        <f t="shared" si="8"/>
        <v>-1.3692914399765499E-4</v>
      </c>
      <c r="G152" s="748">
        <f t="shared" si="8"/>
        <v>5.9235453868433652E-4</v>
      </c>
      <c r="H152" s="1067">
        <f t="shared" si="9"/>
        <v>-7.2928368268199151E-4</v>
      </c>
      <c r="I152">
        <f t="shared" si="10"/>
        <v>52.222256778196439</v>
      </c>
    </row>
    <row r="153" spans="1:9" ht="20.100000000000001" customHeight="1">
      <c r="A153" s="563">
        <v>43320</v>
      </c>
      <c r="B153">
        <f t="shared" si="11"/>
        <v>164.71251234696473</v>
      </c>
      <c r="C153">
        <f t="shared" si="11"/>
        <v>112.57946007600898</v>
      </c>
      <c r="D153">
        <v>14.60999965667725</v>
      </c>
      <c r="E153" s="604">
        <v>7888.330078125</v>
      </c>
      <c r="F153" s="748">
        <f t="shared" si="8"/>
        <v>2.0533894441109757E-2</v>
      </c>
      <c r="G153" s="748">
        <f t="shared" si="8"/>
        <v>4.3731778425648571E-4</v>
      </c>
      <c r="H153" s="1067">
        <f t="shared" si="9"/>
        <v>2.0096576656853271E-2</v>
      </c>
      <c r="I153">
        <f t="shared" si="10"/>
        <v>52.133052270955744</v>
      </c>
    </row>
    <row r="154" spans="1:9" ht="20.100000000000001" customHeight="1">
      <c r="A154" s="563">
        <v>43321</v>
      </c>
      <c r="B154">
        <f t="shared" si="11"/>
        <v>168.09470168862728</v>
      </c>
      <c r="C154">
        <f t="shared" si="11"/>
        <v>112.62869307604221</v>
      </c>
      <c r="D154">
        <v>14.909999847412109</v>
      </c>
      <c r="E154" s="604">
        <v>7891.77978515625</v>
      </c>
      <c r="F154" s="748">
        <f t="shared" si="8"/>
        <v>9.9262082497244553E-3</v>
      </c>
      <c r="G154" s="748">
        <f t="shared" si="8"/>
        <v>-6.6740232633033525E-3</v>
      </c>
      <c r="H154" s="1067">
        <f t="shared" si="9"/>
        <v>1.6600231513027808E-2</v>
      </c>
      <c r="I154">
        <f t="shared" si="10"/>
        <v>55.466008612585071</v>
      </c>
    </row>
    <row r="155" spans="1:9" ht="20.100000000000001" customHeight="1">
      <c r="A155" s="563">
        <v>43322</v>
      </c>
      <c r="B155">
        <f t="shared" si="11"/>
        <v>169.76324470326389</v>
      </c>
      <c r="C155">
        <f t="shared" si="11"/>
        <v>111.87700655833726</v>
      </c>
      <c r="D155">
        <v>15.057999610900881</v>
      </c>
      <c r="E155" s="604">
        <v>7839.10986328125</v>
      </c>
      <c r="F155" s="748">
        <f t="shared" si="8"/>
        <v>-6.7737604909406945E-3</v>
      </c>
      <c r="G155" s="748">
        <f t="shared" si="8"/>
        <v>-2.4747583184948629E-3</v>
      </c>
      <c r="H155" s="1067">
        <f t="shared" si="9"/>
        <v>-4.2990021724458316E-3</v>
      </c>
      <c r="I155">
        <f t="shared" si="10"/>
        <v>57.886238144926637</v>
      </c>
    </row>
    <row r="156" spans="1:9" ht="20.100000000000001" customHeight="1">
      <c r="A156" s="563">
        <v>43325</v>
      </c>
      <c r="B156">
        <f t="shared" si="11"/>
        <v>168.61330914347903</v>
      </c>
      <c r="C156">
        <f t="shared" si="11"/>
        <v>111.60013800570871</v>
      </c>
      <c r="D156">
        <v>14.95600032806396</v>
      </c>
      <c r="E156" s="604">
        <v>7819.7099609375</v>
      </c>
      <c r="F156" s="748">
        <f t="shared" si="8"/>
        <v>2.099492663894309E-2</v>
      </c>
      <c r="G156" s="748">
        <f t="shared" si="8"/>
        <v>6.5450222625793586E-3</v>
      </c>
      <c r="H156" s="1067">
        <f t="shared" si="9"/>
        <v>1.4449904376363731E-2</v>
      </c>
      <c r="I156">
        <f t="shared" si="10"/>
        <v>57.013171137770314</v>
      </c>
    </row>
    <row r="157" spans="1:9" ht="20.100000000000001" customHeight="1">
      <c r="A157" s="563">
        <v>43326</v>
      </c>
      <c r="B157">
        <f t="shared" si="11"/>
        <v>172.15333319929582</v>
      </c>
      <c r="C157">
        <f t="shared" si="11"/>
        <v>112.33056339346301</v>
      </c>
      <c r="D157">
        <v>15.27000045776367</v>
      </c>
      <c r="E157" s="604">
        <v>7870.89013671875</v>
      </c>
      <c r="F157" s="748">
        <f t="shared" si="8"/>
        <v>-1.702686451129809E-3</v>
      </c>
      <c r="G157" s="748">
        <f t="shared" si="8"/>
        <v>-1.2294672883287339E-2</v>
      </c>
      <c r="H157" s="1067">
        <f t="shared" si="9"/>
        <v>1.059198643215753E-2</v>
      </c>
      <c r="I157">
        <f t="shared" si="10"/>
        <v>59.822769805832806</v>
      </c>
    </row>
    <row r="158" spans="1:9" ht="20.100000000000001" customHeight="1">
      <c r="A158" s="563">
        <v>43327</v>
      </c>
      <c r="B158">
        <f t="shared" si="11"/>
        <v>171.86021005134054</v>
      </c>
      <c r="C158">
        <f t="shared" si="11"/>
        <v>110.94949586174501</v>
      </c>
      <c r="D158">
        <v>15.24400043487549</v>
      </c>
      <c r="E158" s="604">
        <v>7774.1201171875</v>
      </c>
      <c r="F158" s="748">
        <f t="shared" si="8"/>
        <v>4.8543297557197551E-3</v>
      </c>
      <c r="G158" s="748">
        <f t="shared" si="8"/>
        <v>4.1676616588568471E-3</v>
      </c>
      <c r="H158" s="1067">
        <f t="shared" si="9"/>
        <v>6.8666809686290797E-4</v>
      </c>
      <c r="I158">
        <f t="shared" si="10"/>
        <v>60.910714189595538</v>
      </c>
    </row>
    <row r="159" spans="1:9" ht="20.100000000000001" customHeight="1">
      <c r="A159" s="563">
        <v>43328</v>
      </c>
      <c r="B159">
        <f t="shared" si="11"/>
        <v>172.69447618281703</v>
      </c>
      <c r="C159">
        <f t="shared" si="11"/>
        <v>111.41189582171749</v>
      </c>
      <c r="D159">
        <v>15.31799983978271</v>
      </c>
      <c r="E159" s="604">
        <v>7806.52001953125</v>
      </c>
      <c r="F159" s="748">
        <f t="shared" si="8"/>
        <v>-1.1750652328055278E-3</v>
      </c>
      <c r="G159" s="748">
        <f t="shared" si="8"/>
        <v>1.2566493865648898E-3</v>
      </c>
      <c r="H159" s="1067">
        <f t="shared" si="9"/>
        <v>-2.4317146193704176E-3</v>
      </c>
      <c r="I159">
        <f t="shared" si="10"/>
        <v>61.282580361099534</v>
      </c>
    </row>
    <row r="160" spans="1:9" ht="20.100000000000001" customHeight="1">
      <c r="A160" s="563">
        <v>43329</v>
      </c>
      <c r="B160">
        <f t="shared" si="11"/>
        <v>172.49154890795702</v>
      </c>
      <c r="C160">
        <f t="shared" si="11"/>
        <v>111.55190151225788</v>
      </c>
      <c r="D160">
        <v>15.30000019073486</v>
      </c>
      <c r="E160" s="604">
        <v>7816.330078125</v>
      </c>
      <c r="F160" s="748">
        <f t="shared" si="8"/>
        <v>2.3529576026946053E-3</v>
      </c>
      <c r="G160" s="748">
        <f t="shared" si="8"/>
        <v>5.98706484146172E-4</v>
      </c>
      <c r="H160" s="1067">
        <f t="shared" si="9"/>
        <v>1.7542511185484333E-3</v>
      </c>
      <c r="I160">
        <f t="shared" si="10"/>
        <v>60.93964739569914</v>
      </c>
    </row>
    <row r="161" spans="1:9" ht="20.100000000000001" customHeight="1">
      <c r="A161" s="563">
        <v>43332</v>
      </c>
      <c r="B161">
        <f t="shared" si="11"/>
        <v>172.89741420936056</v>
      </c>
      <c r="C161">
        <f t="shared" si="11"/>
        <v>111.61868835901211</v>
      </c>
      <c r="D161">
        <v>15.336000442504879</v>
      </c>
      <c r="E161" s="604">
        <v>7821.009765625</v>
      </c>
      <c r="F161" s="748">
        <f t="shared" si="8"/>
        <v>-9.1294289483412339E-4</v>
      </c>
      <c r="G161" s="748">
        <f t="shared" si="8"/>
        <v>4.8791853473604263E-3</v>
      </c>
      <c r="H161" s="1067">
        <f t="shared" si="9"/>
        <v>-5.7921282421945497E-3</v>
      </c>
      <c r="I161">
        <f t="shared" si="10"/>
        <v>61.278725850348451</v>
      </c>
    </row>
    <row r="162" spans="1:9" ht="20.100000000000001" customHeight="1">
      <c r="A162" s="563">
        <v>43333</v>
      </c>
      <c r="B162">
        <f t="shared" si="11"/>
        <v>172.73956874352294</v>
      </c>
      <c r="C162">
        <f t="shared" si="11"/>
        <v>112.163296627745</v>
      </c>
      <c r="D162">
        <v>15.321999549865721</v>
      </c>
      <c r="E162" s="604">
        <v>7859.169921875</v>
      </c>
      <c r="F162" s="748">
        <f t="shared" si="8"/>
        <v>1.448897850099895E-2</v>
      </c>
      <c r="G162" s="748">
        <f t="shared" si="8"/>
        <v>3.8083125926495764E-3</v>
      </c>
      <c r="H162" s="1067">
        <f t="shared" si="9"/>
        <v>1.0680665908349374E-2</v>
      </c>
      <c r="I162">
        <f t="shared" si="10"/>
        <v>60.57627211577794</v>
      </c>
    </row>
    <row r="163" spans="1:9" ht="20.100000000000001" customHeight="1">
      <c r="A163" s="563">
        <v>43334</v>
      </c>
      <c r="B163">
        <f t="shared" si="11"/>
        <v>175.24238864131968</v>
      </c>
      <c r="C163">
        <f t="shared" si="11"/>
        <v>112.59044952272554</v>
      </c>
      <c r="D163">
        <v>15.54399967193604</v>
      </c>
      <c r="E163" s="604">
        <v>7889.10009765625</v>
      </c>
      <c r="F163" s="748">
        <f t="shared" si="8"/>
        <v>1.3252723392415122E-2</v>
      </c>
      <c r="G163" s="748">
        <f t="shared" si="8"/>
        <v>-1.3487136158800705E-3</v>
      </c>
      <c r="H163" s="1067">
        <f t="shared" si="9"/>
        <v>1.4601437008295193E-2</v>
      </c>
      <c r="I163">
        <f t="shared" si="10"/>
        <v>62.651939118594143</v>
      </c>
    </row>
    <row r="164" spans="1:9" ht="20.100000000000001" customHeight="1">
      <c r="A164" s="563">
        <v>43335</v>
      </c>
      <c r="B164">
        <f t="shared" si="11"/>
        <v>177.56482754460919</v>
      </c>
      <c r="C164">
        <f t="shared" si="11"/>
        <v>112.43859725043617</v>
      </c>
      <c r="D164">
        <v>15.75</v>
      </c>
      <c r="E164" s="604">
        <v>7878.4599609375</v>
      </c>
      <c r="F164" s="748">
        <f t="shared" si="8"/>
        <v>2.0825340634300415E-2</v>
      </c>
      <c r="G164" s="748">
        <f t="shared" si="8"/>
        <v>8.570205327693925E-3</v>
      </c>
      <c r="H164" s="1067">
        <f t="shared" si="9"/>
        <v>1.2255135306606491E-2</v>
      </c>
      <c r="I164">
        <f t="shared" si="10"/>
        <v>65.126230294173013</v>
      </c>
    </row>
    <row r="165" spans="1:9" ht="20.100000000000001" customHeight="1">
      <c r="A165" s="563">
        <v>43336</v>
      </c>
      <c r="B165">
        <f t="shared" si="11"/>
        <v>181.26267556289648</v>
      </c>
      <c r="C165">
        <f t="shared" si="11"/>
        <v>113.40221911563029</v>
      </c>
      <c r="D165">
        <v>16.077999114990231</v>
      </c>
      <c r="E165" s="604">
        <v>7945.97998046875</v>
      </c>
      <c r="F165" s="748">
        <f t="shared" si="8"/>
        <v>-9.9507657747754941E-4</v>
      </c>
      <c r="G165" s="748">
        <f t="shared" si="8"/>
        <v>9.0511078623127794E-3</v>
      </c>
      <c r="H165" s="1067">
        <f t="shared" si="9"/>
        <v>-1.0046184439790329E-2</v>
      </c>
      <c r="I165">
        <f t="shared" si="10"/>
        <v>67.860456447266188</v>
      </c>
    </row>
    <row r="166" spans="1:9" ht="20.100000000000001" customHeight="1">
      <c r="A166" s="563">
        <v>43339</v>
      </c>
      <c r="B166">
        <f t="shared" si="11"/>
        <v>181.08230532007292</v>
      </c>
      <c r="C166">
        <f t="shared" si="11"/>
        <v>114.42863483267149</v>
      </c>
      <c r="D166">
        <v>16.0620002746582</v>
      </c>
      <c r="E166" s="604">
        <v>8017.89990234375</v>
      </c>
      <c r="F166" s="748">
        <f t="shared" si="8"/>
        <v>7.5955508974230312E-3</v>
      </c>
      <c r="G166" s="748">
        <f t="shared" si="8"/>
        <v>1.5141292441429588E-3</v>
      </c>
      <c r="H166" s="1067">
        <f t="shared" si="9"/>
        <v>6.0814216532800724E-3</v>
      </c>
      <c r="I166">
        <f t="shared" si="10"/>
        <v>66.653670487401428</v>
      </c>
    </row>
    <row r="167" spans="1:9" ht="20.100000000000001" customHeight="1">
      <c r="A167" s="563">
        <v>43340</v>
      </c>
      <c r="B167">
        <f t="shared" si="11"/>
        <v>182.45772518675423</v>
      </c>
      <c r="C167">
        <f t="shared" si="11"/>
        <v>114.601894575039</v>
      </c>
      <c r="D167">
        <v>16.184000015258789</v>
      </c>
      <c r="E167" s="604">
        <v>8030.0400390625</v>
      </c>
      <c r="F167" s="748">
        <f t="shared" si="8"/>
        <v>1.9649085093747631E-2</v>
      </c>
      <c r="G167" s="748">
        <f t="shared" si="8"/>
        <v>9.9189919298396934E-3</v>
      </c>
      <c r="H167" s="1067">
        <f t="shared" si="9"/>
        <v>9.730093163907938E-3</v>
      </c>
      <c r="I167">
        <f t="shared" si="10"/>
        <v>67.855830611715234</v>
      </c>
    </row>
    <row r="168" spans="1:9" ht="20.100000000000001" customHeight="1">
      <c r="A168" s="563">
        <v>43341</v>
      </c>
      <c r="B168">
        <f t="shared" si="11"/>
        <v>186.04285255496038</v>
      </c>
      <c r="C168">
        <f t="shared" si="11"/>
        <v>115.73862984247315</v>
      </c>
      <c r="D168">
        <v>16.50200080871582</v>
      </c>
      <c r="E168" s="604">
        <v>8109.68994140625</v>
      </c>
      <c r="F168" s="748">
        <f t="shared" si="8"/>
        <v>6.5446489118274886E-3</v>
      </c>
      <c r="G168" s="748">
        <f t="shared" si="8"/>
        <v>-2.6301965030861574E-3</v>
      </c>
      <c r="H168" s="1067">
        <f t="shared" si="9"/>
        <v>9.174845414913646E-3</v>
      </c>
      <c r="I168">
        <f t="shared" si="10"/>
        <v>70.304222712487231</v>
      </c>
    </row>
    <row r="169" spans="1:9" ht="20.100000000000001" customHeight="1">
      <c r="A169" s="563">
        <v>43342</v>
      </c>
      <c r="B169">
        <f t="shared" si="11"/>
        <v>187.26043770748748</v>
      </c>
      <c r="C169">
        <f t="shared" si="11"/>
        <v>115.43421450298949</v>
      </c>
      <c r="D169">
        <v>16.610000610351559</v>
      </c>
      <c r="E169" s="604">
        <v>8088.35986328125</v>
      </c>
      <c r="F169" s="748">
        <f t="shared" si="8"/>
        <v>8.5490784555277699E-3</v>
      </c>
      <c r="G169" s="748">
        <f t="shared" si="8"/>
        <v>2.6185995849914434E-3</v>
      </c>
      <c r="H169" s="1067">
        <f t="shared" si="9"/>
        <v>5.9304788705363265E-3</v>
      </c>
      <c r="I169">
        <f t="shared" si="10"/>
        <v>71.826223204497992</v>
      </c>
    </row>
    <row r="170" spans="1:9" ht="20.100000000000001" customHeight="1">
      <c r="A170" s="563">
        <v>43343</v>
      </c>
      <c r="B170">
        <f t="shared" si="11"/>
        <v>188.86134188106527</v>
      </c>
      <c r="C170">
        <f t="shared" si="11"/>
        <v>115.73649048918084</v>
      </c>
      <c r="D170">
        <v>16.75200080871582</v>
      </c>
      <c r="E170" s="604">
        <v>8109.5400390625</v>
      </c>
      <c r="F170" s="748">
        <f t="shared" si="8"/>
        <v>2.7698111995926311E-2</v>
      </c>
      <c r="G170" s="748">
        <f t="shared" si="8"/>
        <v>-2.2553731746066674E-3</v>
      </c>
      <c r="H170" s="1067">
        <f t="shared" si="9"/>
        <v>2.9953485170532979E-2</v>
      </c>
      <c r="I170">
        <f t="shared" si="10"/>
        <v>73.124851391884434</v>
      </c>
    </row>
    <row r="171" spans="1:9" ht="20.100000000000001" customHeight="1">
      <c r="A171" s="563">
        <v>43347</v>
      </c>
      <c r="B171">
        <f t="shared" si="11"/>
        <v>194.09244448018794</v>
      </c>
      <c r="C171">
        <f t="shared" si="11"/>
        <v>115.47546151320842</v>
      </c>
      <c r="D171">
        <v>17.215999603271481</v>
      </c>
      <c r="E171" s="604">
        <v>8091.25</v>
      </c>
      <c r="F171" s="748">
        <f t="shared" si="8"/>
        <v>-2.9739727117078174E-2</v>
      </c>
      <c r="G171" s="748">
        <f t="shared" si="8"/>
        <v>-1.1874565502858037E-2</v>
      </c>
      <c r="H171" s="1067">
        <f t="shared" si="9"/>
        <v>-1.7865161614220137E-2</v>
      </c>
      <c r="I171">
        <f t="shared" si="10"/>
        <v>78.616982966979521</v>
      </c>
    </row>
    <row r="172" spans="1:9" ht="20.100000000000001" customHeight="1">
      <c r="A172" s="563">
        <v>43348</v>
      </c>
      <c r="B172">
        <f t="shared" si="11"/>
        <v>188.3201881458605</v>
      </c>
      <c r="C172">
        <f t="shared" si="11"/>
        <v>114.10424058149707</v>
      </c>
      <c r="D172">
        <v>16.704000473022461</v>
      </c>
      <c r="E172" s="604">
        <v>7995.169921875</v>
      </c>
      <c r="F172" s="748">
        <f t="shared" si="8"/>
        <v>1.7720277693693109E-2</v>
      </c>
      <c r="G172" s="748">
        <f t="shared" si="8"/>
        <v>-9.0604630188099167E-3</v>
      </c>
      <c r="H172" s="1067">
        <f t="shared" si="9"/>
        <v>2.6780740712503026E-2</v>
      </c>
      <c r="I172">
        <f t="shared" si="10"/>
        <v>74.215947564363432</v>
      </c>
    </row>
    <row r="173" spans="1:9" ht="20.100000000000001" customHeight="1">
      <c r="A173" s="563">
        <v>43349</v>
      </c>
      <c r="B173">
        <f t="shared" si="11"/>
        <v>191.65727417513369</v>
      </c>
      <c r="C173">
        <f t="shared" si="11"/>
        <v>113.07040332941902</v>
      </c>
      <c r="D173">
        <v>17</v>
      </c>
      <c r="E173" s="604">
        <v>7922.72998046875</v>
      </c>
      <c r="F173" s="748">
        <f t="shared" si="8"/>
        <v>6.1176524442783098E-3</v>
      </c>
      <c r="G173" s="748">
        <f t="shared" si="8"/>
        <v>-2.5483566215209752E-3</v>
      </c>
      <c r="H173" s="1067">
        <f t="shared" si="9"/>
        <v>8.666009065799285E-3</v>
      </c>
      <c r="I173">
        <f t="shared" si="10"/>
        <v>78.586870845714671</v>
      </c>
    </row>
    <row r="174" spans="1:9" ht="20.100000000000001" customHeight="1">
      <c r="A174" s="563">
        <v>43350</v>
      </c>
      <c r="B174">
        <f t="shared" si="11"/>
        <v>192.82976676695492</v>
      </c>
      <c r="C174">
        <f t="shared" si="11"/>
        <v>112.78225961839645</v>
      </c>
      <c r="D174">
        <v>17.104000091552731</v>
      </c>
      <c r="E174" s="604">
        <v>7902.5400390625</v>
      </c>
      <c r="F174" s="748">
        <f t="shared" si="8"/>
        <v>2.7245065527194079E-2</v>
      </c>
      <c r="G174" s="748">
        <f t="shared" si="8"/>
        <v>2.735844055282266E-3</v>
      </c>
      <c r="H174" s="1067">
        <f t="shared" si="9"/>
        <v>2.4509221471911813E-2</v>
      </c>
      <c r="I174">
        <f t="shared" si="10"/>
        <v>80.047507148558466</v>
      </c>
    </row>
    <row r="175" spans="1:9" ht="20.100000000000001" customHeight="1">
      <c r="A175" s="563">
        <v>43353</v>
      </c>
      <c r="B175">
        <f t="shared" si="11"/>
        <v>198.08342639811417</v>
      </c>
      <c r="C175">
        <f t="shared" si="11"/>
        <v>113.09081429291474</v>
      </c>
      <c r="D175">
        <v>17.569999694824219</v>
      </c>
      <c r="E175" s="604">
        <v>7924.16015625</v>
      </c>
      <c r="F175" s="748">
        <f t="shared" si="8"/>
        <v>-7.0575157353552909E-3</v>
      </c>
      <c r="G175" s="748">
        <f t="shared" si="8"/>
        <v>6.0965525230640694E-3</v>
      </c>
      <c r="H175" s="1067">
        <f t="shared" si="9"/>
        <v>-1.315406825841936E-2</v>
      </c>
      <c r="I175">
        <f t="shared" si="10"/>
        <v>84.992612105199427</v>
      </c>
    </row>
    <row r="176" spans="1:9" ht="20.100000000000001" customHeight="1">
      <c r="A176" s="563">
        <v>43354</v>
      </c>
      <c r="B176">
        <f t="shared" si="11"/>
        <v>196.68544949939638</v>
      </c>
      <c r="C176">
        <f t="shared" si="11"/>
        <v>113.78027838212758</v>
      </c>
      <c r="D176">
        <v>17.445999145507809</v>
      </c>
      <c r="E176" s="604">
        <v>7972.47021484375</v>
      </c>
      <c r="F176" s="748">
        <f t="shared" si="8"/>
        <v>1.7195985274734316E-2</v>
      </c>
      <c r="G176" s="748">
        <f t="shared" si="8"/>
        <v>-2.2879024798410086E-3</v>
      </c>
      <c r="H176" s="1067">
        <f t="shared" si="9"/>
        <v>1.9483887754575324E-2</v>
      </c>
      <c r="I176">
        <f t="shared" si="10"/>
        <v>82.905171117268807</v>
      </c>
    </row>
    <row r="177" spans="1:9" ht="20.100000000000001" customHeight="1">
      <c r="A177" s="563">
        <v>43355</v>
      </c>
      <c r="B177">
        <f t="shared" si="11"/>
        <v>200.0676495927425</v>
      </c>
      <c r="C177">
        <f t="shared" si="11"/>
        <v>113.5199602010601</v>
      </c>
      <c r="D177">
        <v>17.746000289916989</v>
      </c>
      <c r="E177" s="604">
        <v>7954.22998046875</v>
      </c>
      <c r="F177" s="748">
        <f t="shared" si="8"/>
        <v>1.3524161343248409E-2</v>
      </c>
      <c r="G177" s="748">
        <f t="shared" si="8"/>
        <v>7.4777798246719041E-3</v>
      </c>
      <c r="H177" s="1067">
        <f t="shared" si="9"/>
        <v>6.0463815185765046E-3</v>
      </c>
      <c r="I177">
        <f t="shared" si="10"/>
        <v>86.547689391682397</v>
      </c>
    </row>
    <row r="178" spans="1:9" ht="20.100000000000001" customHeight="1">
      <c r="A178" s="563">
        <v>43356</v>
      </c>
      <c r="B178">
        <f t="shared" si="11"/>
        <v>202.77339676539924</v>
      </c>
      <c r="C178">
        <f t="shared" si="11"/>
        <v>114.36883746914914</v>
      </c>
      <c r="D178">
        <v>17.98600006103516</v>
      </c>
      <c r="E178" s="604">
        <v>8013.7099609375</v>
      </c>
      <c r="F178" s="748">
        <f t="shared" si="8"/>
        <v>4.670278744801859E-3</v>
      </c>
      <c r="G178" s="748">
        <f t="shared" si="8"/>
        <v>-4.5795541551774122E-4</v>
      </c>
      <c r="H178" s="1067">
        <f t="shared" si="9"/>
        <v>5.1282341603196002E-3</v>
      </c>
      <c r="I178">
        <f t="shared" si="10"/>
        <v>88.404559296250099</v>
      </c>
    </row>
    <row r="179" spans="1:9" ht="20.100000000000001" customHeight="1">
      <c r="A179" s="563">
        <v>43357</v>
      </c>
      <c r="B179">
        <f t="shared" si="11"/>
        <v>203.72040505032396</v>
      </c>
      <c r="C179">
        <f t="shared" si="11"/>
        <v>114.31646164066368</v>
      </c>
      <c r="D179">
        <v>18.069999694824219</v>
      </c>
      <c r="E179" s="604">
        <v>8010.0400390625</v>
      </c>
      <c r="F179" s="748">
        <f t="shared" si="8"/>
        <v>-2.412833004921755E-2</v>
      </c>
      <c r="G179" s="748">
        <f t="shared" si="8"/>
        <v>-1.4263349426824057E-2</v>
      </c>
      <c r="H179" s="1067">
        <f t="shared" si="9"/>
        <v>-9.8649806223934933E-3</v>
      </c>
      <c r="I179">
        <f t="shared" si="10"/>
        <v>89.403943409660286</v>
      </c>
    </row>
    <row r="180" spans="1:9" ht="20.100000000000001" customHeight="1">
      <c r="A180" s="563">
        <v>43360</v>
      </c>
      <c r="B180">
        <f t="shared" si="11"/>
        <v>198.80497187950945</v>
      </c>
      <c r="C180">
        <f t="shared" si="11"/>
        <v>112.68592600304476</v>
      </c>
      <c r="D180">
        <v>17.634000778198239</v>
      </c>
      <c r="E180" s="604">
        <v>7895.7900390625</v>
      </c>
      <c r="F180" s="748">
        <f t="shared" si="8"/>
        <v>2.9488512805704303E-3</v>
      </c>
      <c r="G180" s="748">
        <f t="shared" si="8"/>
        <v>7.6394919216864476E-3</v>
      </c>
      <c r="H180" s="1067">
        <f t="shared" si="9"/>
        <v>-4.6906406411160173E-3</v>
      </c>
      <c r="I180">
        <f t="shared" si="10"/>
        <v>86.119045876464696</v>
      </c>
    </row>
    <row r="181" spans="1:9" ht="20.100000000000001" customHeight="1">
      <c r="A181" s="563">
        <v>43361</v>
      </c>
      <c r="B181">
        <f t="shared" si="11"/>
        <v>199.39121817542011</v>
      </c>
      <c r="C181">
        <f t="shared" si="11"/>
        <v>113.54678922443277</v>
      </c>
      <c r="D181">
        <v>17.686000823974609</v>
      </c>
      <c r="E181" s="604">
        <v>7956.10986328125</v>
      </c>
      <c r="F181" s="748">
        <f t="shared" si="8"/>
        <v>-2.9401811236985376E-2</v>
      </c>
      <c r="G181" s="748">
        <f t="shared" si="8"/>
        <v>-7.6291357498259327E-4</v>
      </c>
      <c r="H181" s="1067">
        <f t="shared" si="9"/>
        <v>-2.8638897662002782E-2</v>
      </c>
      <c r="I181">
        <f t="shared" si="10"/>
        <v>85.844428950987336</v>
      </c>
    </row>
    <row r="182" spans="1:9" ht="20.100000000000001" customHeight="1">
      <c r="A182" s="563">
        <v>43362</v>
      </c>
      <c r="B182">
        <f t="shared" si="11"/>
        <v>193.52875521631384</v>
      </c>
      <c r="C182">
        <f t="shared" si="11"/>
        <v>113.46016283753777</v>
      </c>
      <c r="D182">
        <v>17.166000366210941</v>
      </c>
      <c r="E182" s="604">
        <v>7950.0400390625</v>
      </c>
      <c r="F182" s="748">
        <f t="shared" si="8"/>
        <v>-1.3981222960894879E-3</v>
      </c>
      <c r="G182" s="748">
        <f t="shared" si="8"/>
        <v>9.8351632220798901E-3</v>
      </c>
      <c r="H182" s="1067">
        <f t="shared" si="9"/>
        <v>-1.1233285518169378E-2</v>
      </c>
      <c r="I182">
        <f t="shared" si="10"/>
        <v>80.068592378776074</v>
      </c>
    </row>
    <row r="183" spans="1:9" ht="20.100000000000001" customHeight="1">
      <c r="A183" s="563">
        <v>43363</v>
      </c>
      <c r="B183">
        <f t="shared" si="11"/>
        <v>193.25817834871145</v>
      </c>
      <c r="C183">
        <f t="shared" si="11"/>
        <v>114.57606205824871</v>
      </c>
      <c r="D183">
        <v>17.142000198364261</v>
      </c>
      <c r="E183" s="604">
        <v>8028.22998046875</v>
      </c>
      <c r="F183" s="748">
        <f t="shared" si="8"/>
        <v>-2.6834398812999316E-3</v>
      </c>
      <c r="G183" s="748">
        <f t="shared" si="8"/>
        <v>-5.1406125175352813E-3</v>
      </c>
      <c r="H183" s="1067">
        <f t="shared" si="9"/>
        <v>2.4571726362353496E-3</v>
      </c>
      <c r="I183">
        <f t="shared" si="10"/>
        <v>78.682116290462744</v>
      </c>
    </row>
    <row r="184" spans="1:9" ht="20.100000000000001" customHeight="1">
      <c r="A184" s="563">
        <v>43364</v>
      </c>
      <c r="B184">
        <f t="shared" si="11"/>
        <v>192.73958164554315</v>
      </c>
      <c r="C184">
        <f t="shared" si="11"/>
        <v>113.98707091942218</v>
      </c>
      <c r="D184">
        <v>17.096000671386719</v>
      </c>
      <c r="E184" s="604">
        <v>7986.9599609375</v>
      </c>
      <c r="F184" s="748">
        <f t="shared" si="8"/>
        <v>2.0706602576660682E-2</v>
      </c>
      <c r="G184" s="748">
        <f t="shared" si="8"/>
        <v>7.8753857453439657E-4</v>
      </c>
      <c r="H184" s="1067">
        <f t="shared" si="9"/>
        <v>1.9919064002126285E-2</v>
      </c>
      <c r="I184">
        <f t="shared" si="10"/>
        <v>78.752510726120974</v>
      </c>
    </row>
    <row r="185" spans="1:9" ht="20.100000000000001" customHeight="1">
      <c r="A185" s="563">
        <v>43367</v>
      </c>
      <c r="B185">
        <f t="shared" si="11"/>
        <v>196.73056356346925</v>
      </c>
      <c r="C185">
        <f t="shared" si="11"/>
        <v>114.07684013476941</v>
      </c>
      <c r="D185">
        <v>17.45000076293945</v>
      </c>
      <c r="E185" s="604">
        <v>7993.25</v>
      </c>
      <c r="F185" s="748">
        <f t="shared" si="8"/>
        <v>2.5902558426622146E-2</v>
      </c>
      <c r="G185" s="748">
        <f t="shared" si="8"/>
        <v>1.7790279102680717E-3</v>
      </c>
      <c r="H185" s="1067">
        <f t="shared" si="9"/>
        <v>2.4123530516354075E-2</v>
      </c>
      <c r="I185">
        <f t="shared" si="10"/>
        <v>82.653723428699834</v>
      </c>
    </row>
    <row r="186" spans="1:9" ht="20.100000000000001" customHeight="1">
      <c r="A186" s="563">
        <v>43368</v>
      </c>
      <c r="B186">
        <f t="shared" si="11"/>
        <v>201.82638848047432</v>
      </c>
      <c r="C186">
        <f t="shared" si="11"/>
        <v>114.27978601728435</v>
      </c>
      <c r="D186">
        <v>17.90200042724609</v>
      </c>
      <c r="E186" s="604">
        <v>8007.47021484375</v>
      </c>
      <c r="F186" s="748">
        <f t="shared" si="8"/>
        <v>4.4684504385572588E-4</v>
      </c>
      <c r="G186" s="748">
        <f t="shared" si="8"/>
        <v>-2.1355181096460729E-3</v>
      </c>
      <c r="H186" s="1067">
        <f t="shared" si="9"/>
        <v>2.5823631535017988E-3</v>
      </c>
      <c r="I186">
        <f t="shared" si="10"/>
        <v>87.54660246318997</v>
      </c>
    </row>
    <row r="187" spans="1:9" ht="20.100000000000001" customHeight="1">
      <c r="A187" s="563">
        <v>43369</v>
      </c>
      <c r="B187">
        <f t="shared" si="11"/>
        <v>201.91657360188611</v>
      </c>
      <c r="C187">
        <f t="shared" si="11"/>
        <v>114.03573946467796</v>
      </c>
      <c r="D187">
        <v>17.909999847412109</v>
      </c>
      <c r="E187" s="604">
        <v>7990.3701171875</v>
      </c>
      <c r="F187" s="748">
        <f t="shared" si="8"/>
        <v>2.4678918994444743E-2</v>
      </c>
      <c r="G187" s="748">
        <f t="shared" si="8"/>
        <v>6.4577856719374438E-3</v>
      </c>
      <c r="H187" s="1067">
        <f t="shared" si="9"/>
        <v>1.8221133322507299E-2</v>
      </c>
      <c r="I187">
        <f t="shared" si="10"/>
        <v>87.880834137208154</v>
      </c>
    </row>
    <row r="188" spans="1:9" ht="20.100000000000001" customHeight="1">
      <c r="A188" s="563">
        <v>43370</v>
      </c>
      <c r="B188">
        <f t="shared" si="11"/>
        <v>206.89965636544289</v>
      </c>
      <c r="C188">
        <f t="shared" si="11"/>
        <v>114.77215782908175</v>
      </c>
      <c r="D188">
        <v>18.351999282836911</v>
      </c>
      <c r="E188" s="604">
        <v>8041.97021484375</v>
      </c>
      <c r="F188" s="748">
        <f t="shared" si="8"/>
        <v>5.5580424025487574E-3</v>
      </c>
      <c r="G188" s="748">
        <f t="shared" si="8"/>
        <v>5.4462808186173106E-4</v>
      </c>
      <c r="H188" s="1067">
        <f t="shared" si="9"/>
        <v>5.0134143206870263E-3</v>
      </c>
      <c r="I188">
        <f t="shared" si="10"/>
        <v>92.127498536361145</v>
      </c>
    </row>
    <row r="189" spans="1:9" ht="20.100000000000001" customHeight="1">
      <c r="A189" s="563">
        <v>43371</v>
      </c>
      <c r="B189">
        <f t="shared" si="11"/>
        <v>208.0496134285948</v>
      </c>
      <c r="C189">
        <f t="shared" si="11"/>
        <v>114.83466596925133</v>
      </c>
      <c r="D189">
        <v>18.454000473022461</v>
      </c>
      <c r="E189" s="604">
        <v>8046.35009765625</v>
      </c>
      <c r="F189" s="748">
        <f t="shared" si="8"/>
        <v>2.1673945922207061E-4</v>
      </c>
      <c r="G189" s="748">
        <f t="shared" si="8"/>
        <v>-1.1247699713421433E-3</v>
      </c>
      <c r="H189" s="1067">
        <f t="shared" si="9"/>
        <v>1.3415094305642139E-3</v>
      </c>
      <c r="I189">
        <f t="shared" si="10"/>
        <v>93.214947459343463</v>
      </c>
    </row>
    <row r="190" spans="1:9" ht="20.100000000000001" customHeight="1">
      <c r="A190" s="563">
        <v>43374</v>
      </c>
      <c r="B190">
        <f t="shared" si="11"/>
        <v>208.09470598930068</v>
      </c>
      <c r="C190">
        <f t="shared" si="11"/>
        <v>114.70550338530002</v>
      </c>
      <c r="D190">
        <v>18.458000183105469</v>
      </c>
      <c r="E190" s="604">
        <v>8037.2998046875</v>
      </c>
      <c r="F190" s="748">
        <f t="shared" si="8"/>
        <v>-1.2027311727600076E-2</v>
      </c>
      <c r="G190" s="748">
        <f t="shared" si="8"/>
        <v>-4.6968510466641744E-3</v>
      </c>
      <c r="H190" s="1067">
        <f t="shared" si="9"/>
        <v>-7.3304606809359019E-3</v>
      </c>
      <c r="I190">
        <f t="shared" si="10"/>
        <v>93.389202604000658</v>
      </c>
    </row>
    <row r="191" spans="1:9" ht="20.100000000000001" customHeight="1">
      <c r="A191" s="563">
        <v>43375</v>
      </c>
      <c r="B191">
        <f t="shared" si="11"/>
        <v>205.59188609150408</v>
      </c>
      <c r="C191">
        <f t="shared" si="11"/>
        <v>114.16674872166664</v>
      </c>
      <c r="D191">
        <v>18.23600006103516</v>
      </c>
      <c r="E191" s="604">
        <v>7999.5498046875</v>
      </c>
      <c r="F191" s="748">
        <f t="shared" si="8"/>
        <v>3.5094963704314086E-3</v>
      </c>
      <c r="G191" s="748">
        <f t="shared" si="8"/>
        <v>3.1926845492646905E-3</v>
      </c>
      <c r="H191" s="1067">
        <f t="shared" si="9"/>
        <v>3.1681182116671813E-4</v>
      </c>
      <c r="I191">
        <f t="shared" si="10"/>
        <v>91.425137369837444</v>
      </c>
    </row>
    <row r="192" spans="1:9" ht="20.100000000000001" customHeight="1">
      <c r="A192" s="563">
        <v>43376</v>
      </c>
      <c r="B192">
        <f t="shared" si="11"/>
        <v>206.31341006953235</v>
      </c>
      <c r="C192">
        <f t="shared" si="11"/>
        <v>114.53124713635009</v>
      </c>
      <c r="D192">
        <v>18.29999923706055</v>
      </c>
      <c r="E192" s="604">
        <v>8025.08984375</v>
      </c>
      <c r="F192" s="748">
        <f t="shared" si="8"/>
        <v>-2.4152975620331696E-2</v>
      </c>
      <c r="G192" s="748">
        <f t="shared" si="8"/>
        <v>-1.8140616611087346E-2</v>
      </c>
      <c r="H192" s="1067">
        <f t="shared" si="9"/>
        <v>-6.0123590092443502E-3</v>
      </c>
      <c r="I192">
        <f t="shared" si="10"/>
        <v>91.782162933182263</v>
      </c>
    </row>
    <row r="193" spans="1:9" ht="20.100000000000001" customHeight="1">
      <c r="A193" s="563">
        <v>43377</v>
      </c>
      <c r="B193">
        <f t="shared" si="11"/>
        <v>201.33032730597543</v>
      </c>
      <c r="C193">
        <f t="shared" si="11"/>
        <v>112.45357969205986</v>
      </c>
      <c r="D193">
        <v>17.857999801635739</v>
      </c>
      <c r="E193" s="604">
        <v>7879.509765625</v>
      </c>
      <c r="F193" s="748">
        <f t="shared" si="8"/>
        <v>-3.572631287759398E-2</v>
      </c>
      <c r="G193" s="748">
        <f t="shared" si="8"/>
        <v>-1.1556501993278179E-2</v>
      </c>
      <c r="H193" s="1067">
        <f t="shared" si="9"/>
        <v>-2.4169810884315801E-2</v>
      </c>
      <c r="I193">
        <f t="shared" si="10"/>
        <v>88.876747613915569</v>
      </c>
    </row>
    <row r="194" spans="1:9" ht="20.100000000000001" customHeight="1">
      <c r="A194" s="563">
        <v>43378</v>
      </c>
      <c r="B194">
        <f t="shared" si="11"/>
        <v>194.13753704089376</v>
      </c>
      <c r="C194">
        <f t="shared" si="11"/>
        <v>111.15400967419731</v>
      </c>
      <c r="D194">
        <v>17.219999313354489</v>
      </c>
      <c r="E194" s="604">
        <v>7788.4501953125</v>
      </c>
      <c r="F194" s="748">
        <f t="shared" si="8"/>
        <v>-2.7874538988168163E-2</v>
      </c>
      <c r="G194" s="748">
        <f t="shared" si="8"/>
        <v>-6.7407505579989424E-3</v>
      </c>
      <c r="H194" s="1067">
        <f t="shared" si="9"/>
        <v>-2.113378843016922E-2</v>
      </c>
      <c r="I194">
        <f t="shared" si="10"/>
        <v>82.98352736669645</v>
      </c>
    </row>
    <row r="195" spans="1:9" ht="20.100000000000001" customHeight="1">
      <c r="A195" s="563">
        <v>43381</v>
      </c>
      <c r="B195">
        <f t="shared" si="11"/>
        <v>188.72604269558042</v>
      </c>
      <c r="C195">
        <f t="shared" si="11"/>
        <v>110.40474822146214</v>
      </c>
      <c r="D195">
        <v>16.739999771118161</v>
      </c>
      <c r="E195" s="604">
        <v>7735.9501953125</v>
      </c>
      <c r="F195" s="748">
        <f t="shared" ref="F195:G258" si="12">D196/D195-1</f>
        <v>-1.3620110154512366E-2</v>
      </c>
      <c r="G195" s="748">
        <f t="shared" si="12"/>
        <v>2.675591448357828E-4</v>
      </c>
      <c r="H195" s="1067">
        <f t="shared" ref="H195:H258" si="13">F195-G195</f>
        <v>-1.3887669299348149E-2</v>
      </c>
      <c r="I195">
        <f t="shared" ref="I195:I258" si="14">B195-C195</f>
        <v>78.321294474118275</v>
      </c>
    </row>
    <row r="196" spans="1:9" ht="20.100000000000001" customHeight="1">
      <c r="A196" s="563">
        <v>43382</v>
      </c>
      <c r="B196">
        <f t="shared" ref="B196:C259" si="15">B195*(1+F195)</f>
        <v>186.15557320504141</v>
      </c>
      <c r="C196">
        <f t="shared" si="15"/>
        <v>110.43428802148209</v>
      </c>
      <c r="D196">
        <v>16.51199913024902</v>
      </c>
      <c r="E196" s="604">
        <v>7738.02001953125</v>
      </c>
      <c r="F196" s="748">
        <f t="shared" si="12"/>
        <v>-3.6216061304073066E-2</v>
      </c>
      <c r="G196" s="748">
        <f t="shared" si="12"/>
        <v>-4.0833470842182029E-2</v>
      </c>
      <c r="H196" s="1067">
        <f t="shared" si="13"/>
        <v>4.617409538108963E-3</v>
      </c>
      <c r="I196">
        <f t="shared" si="14"/>
        <v>75.721285183559317</v>
      </c>
    </row>
    <row r="197" spans="1:9" ht="20.100000000000001" customHeight="1">
      <c r="A197" s="563">
        <v>43383</v>
      </c>
      <c r="B197">
        <f t="shared" si="15"/>
        <v>179.41375155375277</v>
      </c>
      <c r="C197">
        <f t="shared" si="15"/>
        <v>105.92487274157976</v>
      </c>
      <c r="D197">
        <v>15.913999557495121</v>
      </c>
      <c r="E197" s="604">
        <v>7422.0498046875</v>
      </c>
      <c r="F197" s="748">
        <f t="shared" si="12"/>
        <v>-3.0790485405499002E-2</v>
      </c>
      <c r="G197" s="748">
        <f t="shared" si="12"/>
        <v>-1.2528849649462215E-2</v>
      </c>
      <c r="H197" s="1067">
        <f t="shared" si="13"/>
        <v>-1.8261635756036787E-2</v>
      </c>
      <c r="I197">
        <f t="shared" si="14"/>
        <v>73.488878812173013</v>
      </c>
    </row>
    <row r="198" spans="1:9" ht="20.100000000000001" customHeight="1">
      <c r="A198" s="563">
        <v>43384</v>
      </c>
      <c r="B198">
        <f t="shared" si="15"/>
        <v>173.88951505499114</v>
      </c>
      <c r="C198">
        <f t="shared" si="15"/>
        <v>104.59775593686209</v>
      </c>
      <c r="D198">
        <v>15.42399978637695</v>
      </c>
      <c r="E198" s="604">
        <v>7329.06005859375</v>
      </c>
      <c r="F198" s="748">
        <f t="shared" si="12"/>
        <v>3.669605761023953E-2</v>
      </c>
      <c r="G198" s="748">
        <f t="shared" si="12"/>
        <v>2.2899263586769081E-2</v>
      </c>
      <c r="H198" s="1067">
        <f t="shared" si="13"/>
        <v>1.3796794023470449E-2</v>
      </c>
      <c r="I198">
        <f t="shared" si="14"/>
        <v>69.29175911812905</v>
      </c>
    </row>
    <row r="199" spans="1:9" ht="20.100000000000001" customHeight="1">
      <c r="A199" s="563">
        <v>43385</v>
      </c>
      <c r="B199">
        <f t="shared" si="15"/>
        <v>180.2705747172657</v>
      </c>
      <c r="C199">
        <f t="shared" si="15"/>
        <v>106.99296752064483</v>
      </c>
      <c r="D199">
        <v>15.989999771118161</v>
      </c>
      <c r="E199" s="604">
        <v>7496.89013671875</v>
      </c>
      <c r="F199" s="748">
        <f t="shared" si="12"/>
        <v>2.5016207692261094E-3</v>
      </c>
      <c r="G199" s="748">
        <f t="shared" si="12"/>
        <v>-8.8236456900651072E-3</v>
      </c>
      <c r="H199" s="1067">
        <f t="shared" si="13"/>
        <v>1.1325266459291217E-2</v>
      </c>
      <c r="I199">
        <f t="shared" si="14"/>
        <v>73.277607196620878</v>
      </c>
    </row>
    <row r="200" spans="1:9" ht="20.100000000000001" customHeight="1">
      <c r="A200" s="563">
        <v>43388</v>
      </c>
      <c r="B200">
        <f t="shared" si="15"/>
        <v>180.72154333105874</v>
      </c>
      <c r="C200">
        <f t="shared" si="15"/>
        <v>106.04889948391401</v>
      </c>
      <c r="D200">
        <v>16.030000686645511</v>
      </c>
      <c r="E200" s="604">
        <v>7430.740234375</v>
      </c>
      <c r="F200" s="748">
        <f t="shared" si="12"/>
        <v>3.1940056663601002E-2</v>
      </c>
      <c r="G200" s="748">
        <f t="shared" si="12"/>
        <v>2.8900216294273751E-2</v>
      </c>
      <c r="H200" s="1067">
        <f t="shared" si="13"/>
        <v>3.0398403693272513E-3</v>
      </c>
      <c r="I200">
        <f t="shared" si="14"/>
        <v>74.672643847144727</v>
      </c>
    </row>
    <row r="201" spans="1:9" ht="20.100000000000001" customHeight="1">
      <c r="A201" s="563">
        <v>43389</v>
      </c>
      <c r="B201">
        <f t="shared" si="15"/>
        <v>186.49379966538618</v>
      </c>
      <c r="C201">
        <f t="shared" si="15"/>
        <v>109.11373561676882</v>
      </c>
      <c r="D201">
        <v>16.541999816894531</v>
      </c>
      <c r="E201" s="604">
        <v>7645.490234375</v>
      </c>
      <c r="F201" s="748">
        <f t="shared" si="12"/>
        <v>-1.2694903082889564E-2</v>
      </c>
      <c r="G201" s="748">
        <f t="shared" si="12"/>
        <v>-3.6492611683103249E-4</v>
      </c>
      <c r="H201" s="1067">
        <f t="shared" si="13"/>
        <v>-1.2329976966058531E-2</v>
      </c>
      <c r="I201">
        <f t="shared" si="14"/>
        <v>77.380064048617356</v>
      </c>
    </row>
    <row r="202" spans="1:9" ht="20.100000000000001" customHeight="1">
      <c r="A202" s="563">
        <v>43390</v>
      </c>
      <c r="B202">
        <f t="shared" si="15"/>
        <v>184.12627895307429</v>
      </c>
      <c r="C202">
        <f t="shared" si="15"/>
        <v>109.07391716493727</v>
      </c>
      <c r="D202">
        <v>16.332000732421879</v>
      </c>
      <c r="E202" s="604">
        <v>7642.7001953125</v>
      </c>
      <c r="F202" s="748">
        <f t="shared" si="12"/>
        <v>6.1219208209783993E-4</v>
      </c>
      <c r="G202" s="748">
        <f t="shared" si="12"/>
        <v>-2.0615758117842442E-2</v>
      </c>
      <c r="H202" s="1067">
        <f t="shared" si="13"/>
        <v>2.1227950199940282E-2</v>
      </c>
      <c r="I202">
        <f t="shared" si="14"/>
        <v>75.05236178813702</v>
      </c>
    </row>
    <row r="203" spans="1:9" ht="20.100000000000001" customHeight="1">
      <c r="A203" s="563">
        <v>43391</v>
      </c>
      <c r="B203">
        <f t="shared" si="15"/>
        <v>184.23899960315549</v>
      </c>
      <c r="C203">
        <f t="shared" si="15"/>
        <v>106.82527567169934</v>
      </c>
      <c r="D203">
        <v>16.341999053955082</v>
      </c>
      <c r="E203" s="604">
        <v>7485.14013671875</v>
      </c>
      <c r="F203" s="748">
        <f t="shared" si="12"/>
        <v>-6.241542573840464E-3</v>
      </c>
      <c r="G203" s="748">
        <f t="shared" si="12"/>
        <v>-4.8242719445369397E-3</v>
      </c>
      <c r="H203" s="1067">
        <f t="shared" si="13"/>
        <v>-1.4172706293035242E-3</v>
      </c>
      <c r="I203">
        <f t="shared" si="14"/>
        <v>77.413723931456147</v>
      </c>
    </row>
    <row r="204" spans="1:9" ht="20.100000000000001" customHeight="1">
      <c r="A204" s="563">
        <v>43392</v>
      </c>
      <c r="B204">
        <f t="shared" si="15"/>
        <v>183.08906404337063</v>
      </c>
      <c r="C204">
        <f t="shared" si="15"/>
        <v>106.30992149130894</v>
      </c>
      <c r="D204">
        <v>16.239999771118161</v>
      </c>
      <c r="E204" s="604">
        <v>7449.02978515625</v>
      </c>
      <c r="F204" s="748">
        <f t="shared" si="12"/>
        <v>2.142854542232242E-2</v>
      </c>
      <c r="G204" s="748">
        <f t="shared" si="12"/>
        <v>2.6312282567735323E-3</v>
      </c>
      <c r="H204" s="1067">
        <f t="shared" si="13"/>
        <v>1.8797317165548888E-2</v>
      </c>
      <c r="I204">
        <f t="shared" si="14"/>
        <v>76.779142552061685</v>
      </c>
    </row>
    <row r="205" spans="1:9" ht="20.100000000000001" customHeight="1">
      <c r="A205" s="563">
        <v>43395</v>
      </c>
      <c r="B205">
        <f t="shared" si="15"/>
        <v>187.0123963685545</v>
      </c>
      <c r="C205">
        <f t="shared" si="15"/>
        <v>106.58964716071225</v>
      </c>
      <c r="D205">
        <v>16.58799934387207</v>
      </c>
      <c r="E205" s="604">
        <v>7468.6298828125</v>
      </c>
      <c r="F205" s="748">
        <f t="shared" si="12"/>
        <v>5.5462361311038322E-3</v>
      </c>
      <c r="G205" s="748">
        <f t="shared" si="12"/>
        <v>-4.1627238513380904E-3</v>
      </c>
      <c r="H205" s="1067">
        <f t="shared" si="13"/>
        <v>9.7089599824419226E-3</v>
      </c>
      <c r="I205">
        <f t="shared" si="14"/>
        <v>80.422749207842259</v>
      </c>
    </row>
    <row r="206" spans="1:9" ht="20.100000000000001" customHeight="1">
      <c r="A206" s="563">
        <v>43396</v>
      </c>
      <c r="B206">
        <f t="shared" si="15"/>
        <v>188.04961127825808</v>
      </c>
      <c r="C206">
        <f t="shared" si="15"/>
        <v>106.14594389417064</v>
      </c>
      <c r="D206">
        <v>16.680000305175781</v>
      </c>
      <c r="E206" s="604">
        <v>7437.5400390625</v>
      </c>
      <c r="F206" s="748">
        <f t="shared" si="12"/>
        <v>-5.155878864610719E-2</v>
      </c>
      <c r="G206" s="748">
        <f t="shared" si="12"/>
        <v>-4.4253897792829622E-2</v>
      </c>
      <c r="H206" s="1067">
        <f t="shared" si="13"/>
        <v>-7.304890853277568E-3</v>
      </c>
      <c r="I206">
        <f t="shared" si="14"/>
        <v>81.903667384087441</v>
      </c>
    </row>
    <row r="207" spans="1:9" ht="20.100000000000001" customHeight="1">
      <c r="A207" s="563">
        <v>43397</v>
      </c>
      <c r="B207">
        <f t="shared" si="15"/>
        <v>178.35400111537976</v>
      </c>
      <c r="C207">
        <f t="shared" si="15"/>
        <v>101.44857214195459</v>
      </c>
      <c r="D207">
        <v>15.819999694824221</v>
      </c>
      <c r="E207" s="604">
        <v>7108.39990234375</v>
      </c>
      <c r="F207" s="748">
        <f t="shared" si="12"/>
        <v>2.5284426437829577E-2</v>
      </c>
      <c r="G207" s="748">
        <f t="shared" si="12"/>
        <v>2.9534064527943826E-2</v>
      </c>
      <c r="H207" s="1067">
        <f t="shared" si="13"/>
        <v>-4.2496380901142494E-3</v>
      </c>
      <c r="I207">
        <f t="shared" si="14"/>
        <v>76.905428973425174</v>
      </c>
    </row>
    <row r="208" spans="1:9" ht="20.100000000000001" customHeight="1">
      <c r="A208" s="563">
        <v>43398</v>
      </c>
      <c r="B208">
        <f t="shared" si="15"/>
        <v>182.86357973647415</v>
      </c>
      <c r="C208">
        <f t="shared" si="15"/>
        <v>104.44476081786284</v>
      </c>
      <c r="D208">
        <v>16.219999313354489</v>
      </c>
      <c r="E208" s="604">
        <v>7318.33984375</v>
      </c>
      <c r="F208" s="748">
        <f t="shared" si="12"/>
        <v>-3.5881615498490116E-2</v>
      </c>
      <c r="G208" s="748">
        <f t="shared" si="12"/>
        <v>-2.065084240950732E-2</v>
      </c>
      <c r="H208" s="1067">
        <f t="shared" si="13"/>
        <v>-1.5230773088982796E-2</v>
      </c>
      <c r="I208">
        <f t="shared" si="14"/>
        <v>78.418818918611308</v>
      </c>
    </row>
    <row r="209" spans="1:9" ht="20.100000000000001" customHeight="1">
      <c r="A209" s="563">
        <v>43399</v>
      </c>
      <c r="B209">
        <f t="shared" si="15"/>
        <v>176.30213907969249</v>
      </c>
      <c r="C209">
        <f t="shared" si="15"/>
        <v>102.28788852171448</v>
      </c>
      <c r="D209">
        <v>15.63799953460693</v>
      </c>
      <c r="E209" s="604">
        <v>7167.2099609375</v>
      </c>
      <c r="F209" s="748">
        <f t="shared" si="12"/>
        <v>-8.3130300956276715E-3</v>
      </c>
      <c r="G209" s="748">
        <f t="shared" si="12"/>
        <v>-1.6313171026415163E-2</v>
      </c>
      <c r="H209" s="1067">
        <f t="shared" si="13"/>
        <v>8.0001409307874916E-3</v>
      </c>
      <c r="I209">
        <f t="shared" si="14"/>
        <v>74.014250557978016</v>
      </c>
    </row>
    <row r="210" spans="1:9" ht="20.100000000000001" customHeight="1">
      <c r="A210" s="563">
        <v>43402</v>
      </c>
      <c r="B210">
        <f t="shared" si="15"/>
        <v>174.83653409159948</v>
      </c>
      <c r="C210">
        <f t="shared" si="15"/>
        <v>100.61924870232886</v>
      </c>
      <c r="D210">
        <v>15.50800037384033</v>
      </c>
      <c r="E210" s="604">
        <v>7050.2900390625</v>
      </c>
      <c r="F210" s="748">
        <f t="shared" si="12"/>
        <v>1.8184136008172258E-2</v>
      </c>
      <c r="G210" s="748">
        <f t="shared" si="12"/>
        <v>1.5795075474094755E-2</v>
      </c>
      <c r="H210" s="1067">
        <f t="shared" si="13"/>
        <v>2.3890605340775029E-3</v>
      </c>
      <c r="I210">
        <f t="shared" si="14"/>
        <v>74.217285389270614</v>
      </c>
    </row>
    <row r="211" spans="1:9" ht="20.100000000000001" customHeight="1">
      <c r="A211" s="563">
        <v>43403</v>
      </c>
      <c r="B211">
        <f t="shared" si="15"/>
        <v>178.01578540671858</v>
      </c>
      <c r="C211">
        <f t="shared" si="15"/>
        <v>102.20853732972886</v>
      </c>
      <c r="D211">
        <v>15.789999961853029</v>
      </c>
      <c r="E211" s="604">
        <v>7161.64990234375</v>
      </c>
      <c r="F211" s="748">
        <f t="shared" si="12"/>
        <v>4.091202429906593E-2</v>
      </c>
      <c r="G211" s="748">
        <f t="shared" si="12"/>
        <v>2.0142006655867517E-2</v>
      </c>
      <c r="H211" s="1067">
        <f t="shared" si="13"/>
        <v>2.0770017643198413E-2</v>
      </c>
      <c r="I211">
        <f t="shared" si="14"/>
        <v>75.807248076989723</v>
      </c>
    </row>
    <row r="212" spans="1:9" ht="20.100000000000001" customHeight="1">
      <c r="A212" s="563">
        <v>43404</v>
      </c>
      <c r="B212">
        <f t="shared" si="15"/>
        <v>185.29877154489554</v>
      </c>
      <c r="C212">
        <f t="shared" si="15"/>
        <v>104.26722236891074</v>
      </c>
      <c r="D212">
        <v>16.436000823974609</v>
      </c>
      <c r="E212" s="604">
        <v>7305.89990234375</v>
      </c>
      <c r="F212" s="748">
        <f t="shared" si="12"/>
        <v>1.8374302180360846E-2</v>
      </c>
      <c r="G212" s="748">
        <f t="shared" si="12"/>
        <v>1.7542008234863182E-2</v>
      </c>
      <c r="H212" s="1067">
        <f t="shared" si="13"/>
        <v>8.3229394549766411E-4</v>
      </c>
      <c r="I212">
        <f t="shared" si="14"/>
        <v>81.031549175984807</v>
      </c>
    </row>
    <row r="213" spans="1:9" ht="20.100000000000001" customHeight="1">
      <c r="A213" s="563">
        <v>43405</v>
      </c>
      <c r="B213">
        <f t="shared" si="15"/>
        <v>188.70350716691109</v>
      </c>
      <c r="C213">
        <f t="shared" si="15"/>
        <v>106.09627884233248</v>
      </c>
      <c r="D213">
        <v>16.73800086975098</v>
      </c>
      <c r="E213" s="604">
        <v>7434.06005859375</v>
      </c>
      <c r="F213" s="748">
        <f t="shared" si="12"/>
        <v>-0.13299083941681966</v>
      </c>
      <c r="G213" s="748">
        <f t="shared" si="12"/>
        <v>-1.0367124237805614E-2</v>
      </c>
      <c r="H213" s="1067">
        <f t="shared" si="13"/>
        <v>-0.12262371517901405</v>
      </c>
      <c r="I213">
        <f t="shared" si="14"/>
        <v>82.607228324578614</v>
      </c>
    </row>
    <row r="214" spans="1:9" ht="20.100000000000001" customHeight="1">
      <c r="A214" s="563">
        <v>43406</v>
      </c>
      <c r="B214">
        <f t="shared" si="15"/>
        <v>163.60766934788575</v>
      </c>
      <c r="C214">
        <f t="shared" si="15"/>
        <v>104.99636553840516</v>
      </c>
      <c r="D214">
        <v>14.51200008392334</v>
      </c>
      <c r="E214" s="604">
        <v>7356.990234375</v>
      </c>
      <c r="F214" s="748">
        <f t="shared" si="12"/>
        <v>3.1835714616642807E-2</v>
      </c>
      <c r="G214" s="748">
        <f t="shared" si="12"/>
        <v>-3.8249523000951635E-3</v>
      </c>
      <c r="H214" s="1067">
        <f t="shared" si="13"/>
        <v>3.5660666916737971E-2</v>
      </c>
      <c r="I214">
        <f t="shared" si="14"/>
        <v>58.611303809480589</v>
      </c>
    </row>
    <row r="215" spans="1:9" ht="20.100000000000001" customHeight="1">
      <c r="A215" s="563">
        <v>43409</v>
      </c>
      <c r="B215">
        <f t="shared" si="15"/>
        <v>168.81623641833909</v>
      </c>
      <c r="C215">
        <f t="shared" si="15"/>
        <v>104.5947594485374</v>
      </c>
      <c r="D215">
        <v>14.97399997711182</v>
      </c>
      <c r="E215" s="604">
        <v>7328.85009765625</v>
      </c>
      <c r="F215" s="748">
        <f t="shared" si="12"/>
        <v>-1.6027893604491084E-3</v>
      </c>
      <c r="G215" s="748">
        <f t="shared" si="12"/>
        <v>6.428002026718449E-3</v>
      </c>
      <c r="H215" s="1067">
        <f t="shared" si="13"/>
        <v>-8.0307913871675574E-3</v>
      </c>
      <c r="I215">
        <f t="shared" si="14"/>
        <v>64.221476969801685</v>
      </c>
    </row>
    <row r="216" spans="1:9" ht="20.100000000000001" customHeight="1">
      <c r="A216" s="563">
        <v>43410</v>
      </c>
      <c r="B216">
        <f t="shared" si="15"/>
        <v>168.5456595507367</v>
      </c>
      <c r="C216">
        <f t="shared" si="15"/>
        <v>105.26709477425673</v>
      </c>
      <c r="D216">
        <v>14.94999980926514</v>
      </c>
      <c r="E216" s="604">
        <v>7375.9599609375</v>
      </c>
      <c r="F216" s="748">
        <f t="shared" si="12"/>
        <v>4.1605334350245382E-2</v>
      </c>
      <c r="G216" s="748">
        <f t="shared" si="12"/>
        <v>2.6408771209997406E-2</v>
      </c>
      <c r="H216" s="1067">
        <f t="shared" si="13"/>
        <v>1.5196563140247976E-2</v>
      </c>
      <c r="I216">
        <f t="shared" si="14"/>
        <v>63.278564776479968</v>
      </c>
    </row>
    <row r="217" spans="1:9" ht="20.100000000000001" customHeight="1">
      <c r="A217" s="563">
        <v>43411</v>
      </c>
      <c r="B217">
        <f t="shared" si="15"/>
        <v>175.55805806962772</v>
      </c>
      <c r="C217">
        <f t="shared" si="15"/>
        <v>108.04706939609119</v>
      </c>
      <c r="D217">
        <v>15.571999549865721</v>
      </c>
      <c r="E217" s="604">
        <v>7570.75</v>
      </c>
      <c r="F217" s="748">
        <f t="shared" si="12"/>
        <v>6.4219298554535342E-4</v>
      </c>
      <c r="G217" s="748">
        <f t="shared" si="12"/>
        <v>-5.2663365171878862E-3</v>
      </c>
      <c r="H217" s="1067">
        <f t="shared" si="13"/>
        <v>5.9085295027332396E-3</v>
      </c>
      <c r="I217">
        <f t="shared" si="14"/>
        <v>67.510988673536531</v>
      </c>
    </row>
    <row r="218" spans="1:9" ht="20.100000000000001" customHeight="1">
      <c r="A218" s="563">
        <v>43412</v>
      </c>
      <c r="B218">
        <f t="shared" si="15"/>
        <v>175.67080022307599</v>
      </c>
      <c r="C218">
        <f t="shared" si="15"/>
        <v>107.47805716895542</v>
      </c>
      <c r="D218">
        <v>15.58199977874756</v>
      </c>
      <c r="E218" s="604">
        <v>7530.8798828125</v>
      </c>
      <c r="F218" s="748">
        <f t="shared" si="12"/>
        <v>-4.0816306545766734E-2</v>
      </c>
      <c r="G218" s="748">
        <f t="shared" si="12"/>
        <v>-1.6462881150409281E-2</v>
      </c>
      <c r="H218" s="1067">
        <f t="shared" si="13"/>
        <v>-2.4353425395357453E-2</v>
      </c>
      <c r="I218">
        <f t="shared" si="14"/>
        <v>68.192743054120569</v>
      </c>
    </row>
    <row r="219" spans="1:9" ht="20.100000000000001" customHeight="1">
      <c r="A219" s="563">
        <v>43413</v>
      </c>
      <c r="B219">
        <f t="shared" si="15"/>
        <v>168.50056699003076</v>
      </c>
      <c r="C219">
        <f t="shared" si="15"/>
        <v>105.70865868750602</v>
      </c>
      <c r="D219">
        <v>14.946000099182131</v>
      </c>
      <c r="E219" s="604">
        <v>7406.89990234375</v>
      </c>
      <c r="F219" s="748">
        <f t="shared" si="12"/>
        <v>-1.3247688539388291E-2</v>
      </c>
      <c r="G219" s="748">
        <f t="shared" si="12"/>
        <v>-2.7815926753790299E-2</v>
      </c>
      <c r="H219" s="1067">
        <f t="shared" si="13"/>
        <v>1.4568238214402007E-2</v>
      </c>
      <c r="I219">
        <f t="shared" si="14"/>
        <v>62.791908302524746</v>
      </c>
    </row>
    <row r="220" spans="1:9" ht="20.100000000000001" customHeight="1">
      <c r="A220" s="563">
        <v>43416</v>
      </c>
      <c r="B220">
        <f t="shared" si="15"/>
        <v>166.26832395983649</v>
      </c>
      <c r="C220">
        <f t="shared" si="15"/>
        <v>102.76827438021293</v>
      </c>
      <c r="D220">
        <v>14.7480001449585</v>
      </c>
      <c r="E220" s="604">
        <v>7200.8701171875</v>
      </c>
      <c r="F220" s="748">
        <f t="shared" si="12"/>
        <v>-3.5259048864428877E-3</v>
      </c>
      <c r="G220" s="748">
        <f t="shared" si="12"/>
        <v>0</v>
      </c>
      <c r="H220" s="1067">
        <f t="shared" si="13"/>
        <v>-3.5259048864428877E-3</v>
      </c>
      <c r="I220">
        <f t="shared" si="14"/>
        <v>63.500049579623564</v>
      </c>
    </row>
    <row r="221" spans="1:9" ht="20.100000000000001" customHeight="1">
      <c r="A221" s="563">
        <v>43417</v>
      </c>
      <c r="B221">
        <f t="shared" si="15"/>
        <v>165.68207766392584</v>
      </c>
      <c r="C221">
        <f t="shared" si="15"/>
        <v>102.76827438021293</v>
      </c>
      <c r="D221">
        <v>14.696000099182131</v>
      </c>
      <c r="E221" s="604">
        <v>7200.8701171875</v>
      </c>
      <c r="F221" s="748">
        <f t="shared" si="12"/>
        <v>-1.9052720291726777E-3</v>
      </c>
      <c r="G221" s="748">
        <f t="shared" si="12"/>
        <v>-8.9544706985958955E-3</v>
      </c>
      <c r="H221" s="1067">
        <f t="shared" si="13"/>
        <v>7.0491986694232178E-3</v>
      </c>
      <c r="I221">
        <f t="shared" si="14"/>
        <v>62.913803283712909</v>
      </c>
    </row>
    <row r="222" spans="1:9" ht="20.100000000000001" customHeight="1">
      <c r="A222" s="563">
        <v>43418</v>
      </c>
      <c r="B222">
        <f t="shared" si="15"/>
        <v>165.36640823561754</v>
      </c>
      <c r="C222">
        <f t="shared" si="15"/>
        <v>101.84803887853005</v>
      </c>
      <c r="D222">
        <v>14.66800022125244</v>
      </c>
      <c r="E222" s="604">
        <v>7136.39013671875</v>
      </c>
      <c r="F222" s="748">
        <f t="shared" si="12"/>
        <v>-8.0447251661892594E-3</v>
      </c>
      <c r="G222" s="748">
        <f t="shared" si="12"/>
        <v>1.7185109850775149E-2</v>
      </c>
      <c r="H222" s="1067">
        <f t="shared" si="13"/>
        <v>-2.5229835016964408E-2</v>
      </c>
      <c r="I222">
        <f t="shared" si="14"/>
        <v>63.518369357087494</v>
      </c>
    </row>
    <row r="223" spans="1:9" ht="20.100000000000001" customHeight="1">
      <c r="A223" s="563">
        <v>43419</v>
      </c>
      <c r="B223">
        <f t="shared" si="15"/>
        <v>164.03608092964214</v>
      </c>
      <c r="C223">
        <f t="shared" si="15"/>
        <v>103.5983086147436</v>
      </c>
      <c r="D223">
        <v>14.55000019073486</v>
      </c>
      <c r="E223" s="604">
        <v>7259.02978515625</v>
      </c>
      <c r="F223" s="748">
        <f t="shared" si="12"/>
        <v>9.621951052453559E-3</v>
      </c>
      <c r="G223" s="748">
        <f t="shared" si="12"/>
        <v>-1.5373497972924755E-3</v>
      </c>
      <c r="H223" s="1067">
        <f t="shared" si="13"/>
        <v>1.1159300849746034E-2</v>
      </c>
      <c r="I223">
        <f t="shared" si="14"/>
        <v>60.437772314898538</v>
      </c>
    </row>
    <row r="224" spans="1:9" ht="20.100000000000001" customHeight="1">
      <c r="A224" s="563">
        <v>43420</v>
      </c>
      <c r="B224">
        <f t="shared" si="15"/>
        <v>165.61442807118345</v>
      </c>
      <c r="C224">
        <f t="shared" si="15"/>
        <v>103.43904177599488</v>
      </c>
      <c r="D224">
        <v>14.689999580383301</v>
      </c>
      <c r="E224" s="604">
        <v>7247.8701171875</v>
      </c>
      <c r="F224" s="748">
        <f t="shared" si="12"/>
        <v>-7.7195361260475326E-2</v>
      </c>
      <c r="G224" s="748">
        <f t="shared" si="12"/>
        <v>-3.0269601023684367E-2</v>
      </c>
      <c r="H224" s="1067">
        <f t="shared" si="13"/>
        <v>-4.6925760236790959E-2</v>
      </c>
      <c r="I224">
        <f t="shared" si="14"/>
        <v>62.175386295188574</v>
      </c>
    </row>
    <row r="225" spans="1:9" ht="20.100000000000001" customHeight="1">
      <c r="A225" s="563">
        <v>43423</v>
      </c>
      <c r="B225">
        <f t="shared" si="15"/>
        <v>152.82976246628144</v>
      </c>
      <c r="C225">
        <f t="shared" si="15"/>
        <v>100.30798325116329</v>
      </c>
      <c r="D225">
        <v>13.55599975585938</v>
      </c>
      <c r="E225" s="604">
        <v>7028.47998046875</v>
      </c>
      <c r="F225" s="748">
        <f t="shared" si="12"/>
        <v>-1.0917657579980311E-2</v>
      </c>
      <c r="G225" s="748">
        <f t="shared" si="12"/>
        <v>-1.7025040489909715E-2</v>
      </c>
      <c r="H225" s="1067">
        <f t="shared" si="13"/>
        <v>6.1073829099294041E-3</v>
      </c>
      <c r="I225">
        <f t="shared" si="14"/>
        <v>52.521779215118144</v>
      </c>
    </row>
    <row r="226" spans="1:9" ht="20.100000000000001" customHeight="1">
      <c r="A226" s="563">
        <v>43424</v>
      </c>
      <c r="B226">
        <f t="shared" si="15"/>
        <v>151.16121945164485</v>
      </c>
      <c r="C226">
        <f t="shared" si="15"/>
        <v>98.600235774851058</v>
      </c>
      <c r="D226">
        <v>13.407999992370611</v>
      </c>
      <c r="E226" s="604">
        <v>6908.81982421875</v>
      </c>
      <c r="F226" s="748">
        <f t="shared" si="12"/>
        <v>2.2374715908827891E-2</v>
      </c>
      <c r="G226" s="748">
        <f t="shared" si="12"/>
        <v>9.1810435638943755E-3</v>
      </c>
      <c r="H226" s="1067">
        <f t="shared" si="13"/>
        <v>1.3193672344933516E-2</v>
      </c>
      <c r="I226">
        <f t="shared" si="14"/>
        <v>52.560983676793796</v>
      </c>
    </row>
    <row r="227" spans="1:9" ht="20.100000000000001" customHeight="1">
      <c r="A227" s="563">
        <v>43425</v>
      </c>
      <c r="B227">
        <f t="shared" si="15"/>
        <v>154.54340879330741</v>
      </c>
      <c r="C227">
        <f t="shared" si="15"/>
        <v>99.505488834910224</v>
      </c>
      <c r="D227">
        <v>13.708000183105471</v>
      </c>
      <c r="E227" s="604">
        <v>6972.25</v>
      </c>
      <c r="F227" s="748">
        <f t="shared" si="12"/>
        <v>-8.462224535059959E-3</v>
      </c>
      <c r="G227" s="748">
        <f t="shared" si="12"/>
        <v>-4.7717766189178112E-3</v>
      </c>
      <c r="H227" s="1067">
        <f t="shared" si="13"/>
        <v>-3.6904479161421477E-3</v>
      </c>
      <c r="I227">
        <f t="shared" si="14"/>
        <v>55.037919958397183</v>
      </c>
    </row>
    <row r="228" spans="1:9" ht="20.100000000000001" customHeight="1">
      <c r="A228" s="563">
        <v>43427</v>
      </c>
      <c r="B228">
        <f t="shared" si="15"/>
        <v>153.23562776768489</v>
      </c>
      <c r="C228">
        <f t="shared" si="15"/>
        <v>99.030670869833813</v>
      </c>
      <c r="D228">
        <v>13.592000007629389</v>
      </c>
      <c r="E228" s="604">
        <v>6938.97998046875</v>
      </c>
      <c r="F228" s="748">
        <f t="shared" si="12"/>
        <v>4.2377885027937934E-2</v>
      </c>
      <c r="G228" s="748">
        <f t="shared" si="12"/>
        <v>2.0589498397406869E-2</v>
      </c>
      <c r="H228" s="1067">
        <f t="shared" si="13"/>
        <v>2.1788386630531065E-2</v>
      </c>
      <c r="I228">
        <f t="shared" si="14"/>
        <v>54.204956897851076</v>
      </c>
    </row>
    <row r="229" spans="1:9" ht="20.100000000000001" customHeight="1">
      <c r="A229" s="563">
        <v>43430</v>
      </c>
      <c r="B229">
        <f t="shared" si="15"/>
        <v>159.72942958340772</v>
      </c>
      <c r="C229">
        <f t="shared" si="15"/>
        <v>101.06966270900239</v>
      </c>
      <c r="D229">
        <v>14.16800022125244</v>
      </c>
      <c r="E229" s="604">
        <v>7081.85009765625</v>
      </c>
      <c r="F229" s="748">
        <f t="shared" si="12"/>
        <v>-1.9762759382011552E-3</v>
      </c>
      <c r="G229" s="748">
        <f t="shared" si="12"/>
        <v>1.2003892267231642E-4</v>
      </c>
      <c r="H229" s="1067">
        <f t="shared" si="13"/>
        <v>-2.0963148608734716E-3</v>
      </c>
      <c r="I229">
        <f t="shared" si="14"/>
        <v>58.659766874405335</v>
      </c>
    </row>
    <row r="230" spans="1:9" ht="20.100000000000001" customHeight="1">
      <c r="A230" s="563">
        <v>43431</v>
      </c>
      <c r="B230">
        <f t="shared" si="15"/>
        <v>159.41376015509942</v>
      </c>
      <c r="C230">
        <f t="shared" si="15"/>
        <v>101.08179500242883</v>
      </c>
      <c r="D230">
        <v>14.14000034332275</v>
      </c>
      <c r="E230" s="604">
        <v>7082.7001953125</v>
      </c>
      <c r="F230" s="748">
        <f t="shared" si="12"/>
        <v>3.9886854031516483E-2</v>
      </c>
      <c r="G230" s="748">
        <f t="shared" si="12"/>
        <v>2.9492939511367222E-2</v>
      </c>
      <c r="H230" s="1067">
        <f t="shared" si="13"/>
        <v>1.0393914520149261E-2</v>
      </c>
      <c r="I230">
        <f t="shared" si="14"/>
        <v>58.331965152670591</v>
      </c>
    </row>
    <row r="231" spans="1:9" ht="20.100000000000001" customHeight="1">
      <c r="A231" s="563">
        <v>43432</v>
      </c>
      <c r="B231">
        <f t="shared" si="15"/>
        <v>165.77227353702105</v>
      </c>
      <c r="C231">
        <f t="shared" si="15"/>
        <v>104.0629942681359</v>
      </c>
      <c r="D231">
        <v>14.704000473022459</v>
      </c>
      <c r="E231" s="604">
        <v>7291.58984375</v>
      </c>
      <c r="F231" s="748">
        <f t="shared" si="12"/>
        <v>5.1686110924824558E-3</v>
      </c>
      <c r="G231" s="748">
        <f t="shared" si="12"/>
        <v>-2.5385088878614459E-3</v>
      </c>
      <c r="H231" s="1067">
        <f t="shared" si="13"/>
        <v>7.7071199803439017E-3</v>
      </c>
      <c r="I231">
        <f t="shared" si="14"/>
        <v>61.709279268885155</v>
      </c>
    </row>
    <row r="232" spans="1:9" ht="20.100000000000001" customHeight="1">
      <c r="A232" s="563">
        <v>43433</v>
      </c>
      <c r="B232">
        <f t="shared" si="15"/>
        <v>166.62908594885053</v>
      </c>
      <c r="C232">
        <f t="shared" si="15"/>
        <v>103.79882943228876</v>
      </c>
      <c r="D232">
        <v>14.77999973297119</v>
      </c>
      <c r="E232" s="604">
        <v>7273.080078125</v>
      </c>
      <c r="F232" s="748">
        <f t="shared" si="12"/>
        <v>-8.1191367659971814E-4</v>
      </c>
      <c r="G232" s="748">
        <f t="shared" si="12"/>
        <v>7.9003613765122882E-3</v>
      </c>
      <c r="H232" s="1067">
        <f t="shared" si="13"/>
        <v>-8.7122750531120063E-3</v>
      </c>
      <c r="I232">
        <f t="shared" si="14"/>
        <v>62.830256516561775</v>
      </c>
    </row>
    <row r="233" spans="1:9" ht="20.100000000000001" customHeight="1">
      <c r="A233" s="563">
        <v>43434</v>
      </c>
      <c r="B233">
        <f t="shared" si="15"/>
        <v>166.49379751504935</v>
      </c>
      <c r="C233">
        <f t="shared" si="15"/>
        <v>104.6188776952628</v>
      </c>
      <c r="D233">
        <v>14.76799964904785</v>
      </c>
      <c r="E233" s="604">
        <v>7330.5400390625</v>
      </c>
      <c r="F233" s="748">
        <f t="shared" si="12"/>
        <v>1.7199395300209419E-2</v>
      </c>
      <c r="G233" s="748">
        <f t="shared" si="12"/>
        <v>1.513800156211853E-2</v>
      </c>
      <c r="H233" s="1067">
        <f t="shared" si="13"/>
        <v>2.0613937380908887E-3</v>
      </c>
      <c r="I233">
        <f t="shared" si="14"/>
        <v>61.874919819786555</v>
      </c>
    </row>
    <row r="234" spans="1:9" ht="20.100000000000001" customHeight="1">
      <c r="A234" s="563">
        <v>43437</v>
      </c>
      <c r="B234">
        <f t="shared" si="15"/>
        <v>169.35739015354372</v>
      </c>
      <c r="C234">
        <f t="shared" si="15"/>
        <v>106.20259842924077</v>
      </c>
      <c r="D234">
        <v>15.022000312805179</v>
      </c>
      <c r="E234" s="604">
        <v>7441.509765625</v>
      </c>
      <c r="F234" s="748">
        <f t="shared" si="12"/>
        <v>-2.3032929315796813E-2</v>
      </c>
      <c r="G234" s="748">
        <f t="shared" si="12"/>
        <v>-3.804061255840796E-2</v>
      </c>
      <c r="H234" s="1067">
        <f t="shared" si="13"/>
        <v>1.5007683242611147E-2</v>
      </c>
      <c r="I234">
        <f t="shared" si="14"/>
        <v>63.154791724302953</v>
      </c>
    </row>
    <row r="235" spans="1:9" ht="20.100000000000001" customHeight="1">
      <c r="A235" s="563">
        <v>43438</v>
      </c>
      <c r="B235">
        <f t="shared" si="15"/>
        <v>165.45659335702933</v>
      </c>
      <c r="C235">
        <f t="shared" si="15"/>
        <v>102.16258652969783</v>
      </c>
      <c r="D235">
        <v>14.675999641418461</v>
      </c>
      <c r="E235" s="604">
        <v>7158.43017578125</v>
      </c>
      <c r="F235" s="748">
        <f t="shared" si="12"/>
        <v>2.8073089819734331E-2</v>
      </c>
      <c r="G235" s="748">
        <f t="shared" si="12"/>
        <v>4.1670574569088181E-3</v>
      </c>
      <c r="H235" s="1067">
        <f t="shared" si="13"/>
        <v>2.3906032362825513E-2</v>
      </c>
      <c r="I235">
        <f t="shared" si="14"/>
        <v>63.294006827331501</v>
      </c>
    </row>
    <row r="236" spans="1:9" ht="20.100000000000001" customHeight="1">
      <c r="A236" s="563">
        <v>43440</v>
      </c>
      <c r="B236">
        <f t="shared" si="15"/>
        <v>170.10147116360847</v>
      </c>
      <c r="C236">
        <f t="shared" si="15"/>
        <v>102.5883038977135</v>
      </c>
      <c r="D236">
        <v>15.08800029754639</v>
      </c>
      <c r="E236" s="604">
        <v>7188.259765625</v>
      </c>
      <c r="F236" s="748">
        <f t="shared" si="12"/>
        <v>-5.076887145907838E-2</v>
      </c>
      <c r="G236" s="748">
        <f t="shared" si="12"/>
        <v>-3.0467703278104552E-2</v>
      </c>
      <c r="H236" s="1067">
        <f t="shared" si="13"/>
        <v>-2.0301168180973828E-2</v>
      </c>
      <c r="I236">
        <f t="shared" si="14"/>
        <v>67.513167265894964</v>
      </c>
    </row>
    <row r="237" spans="1:9" ht="20.100000000000001" customHeight="1">
      <c r="A237" s="563">
        <v>43441</v>
      </c>
      <c r="B237">
        <f t="shared" si="15"/>
        <v>161.4656114391031</v>
      </c>
      <c r="C237">
        <f t="shared" si="15"/>
        <v>99.462673894753948</v>
      </c>
      <c r="D237">
        <v>14.321999549865721</v>
      </c>
      <c r="E237" s="604">
        <v>6969.25</v>
      </c>
      <c r="F237" s="748">
        <f t="shared" si="12"/>
        <v>4.3150401476124367E-2</v>
      </c>
      <c r="G237" s="748">
        <f t="shared" si="12"/>
        <v>7.3566050193707433E-3</v>
      </c>
      <c r="H237" s="1067">
        <f t="shared" si="13"/>
        <v>3.5793796456753624E-2</v>
      </c>
      <c r="I237">
        <f t="shared" si="14"/>
        <v>62.002937544349152</v>
      </c>
    </row>
    <row r="238" spans="1:9" ht="20.100000000000001" customHeight="1">
      <c r="A238" s="563">
        <v>43444</v>
      </c>
      <c r="B238">
        <f t="shared" si="15"/>
        <v>168.43291739728829</v>
      </c>
      <c r="C238">
        <f t="shared" si="15"/>
        <v>100.19438150076813</v>
      </c>
      <c r="D238">
        <v>14.939999580383301</v>
      </c>
      <c r="E238" s="604">
        <v>7020.52001953125</v>
      </c>
      <c r="F238" s="748">
        <f t="shared" si="12"/>
        <v>-3.480592184530451E-3</v>
      </c>
      <c r="G238" s="748">
        <f t="shared" si="12"/>
        <v>1.6110001199747259E-3</v>
      </c>
      <c r="H238" s="1067">
        <f t="shared" si="13"/>
        <v>-5.091592304505177E-3</v>
      </c>
      <c r="I238">
        <f t="shared" si="14"/>
        <v>68.238535896520162</v>
      </c>
    </row>
    <row r="239" spans="1:9" ht="20.100000000000001" customHeight="1">
      <c r="A239" s="563">
        <v>43445</v>
      </c>
      <c r="B239">
        <f t="shared" si="15"/>
        <v>167.84667110137764</v>
      </c>
      <c r="C239">
        <f t="shared" si="15"/>
        <v>100.35579466138667</v>
      </c>
      <c r="D239">
        <v>14.88799953460693</v>
      </c>
      <c r="E239" s="604">
        <v>7031.830078125</v>
      </c>
      <c r="F239" s="748">
        <f t="shared" si="12"/>
        <v>1.007526712073803E-2</v>
      </c>
      <c r="G239" s="748">
        <f t="shared" si="12"/>
        <v>9.4541505881320376E-3</v>
      </c>
      <c r="H239" s="1067">
        <f t="shared" si="13"/>
        <v>6.2111653260599198E-4</v>
      </c>
      <c r="I239">
        <f t="shared" si="14"/>
        <v>67.49087643999097</v>
      </c>
    </row>
    <row r="240" spans="1:9" ht="20.100000000000001" customHeight="1">
      <c r="A240" s="563">
        <v>43446</v>
      </c>
      <c r="B240">
        <f t="shared" si="15"/>
        <v>169.53777114805067</v>
      </c>
      <c r="C240">
        <f t="shared" si="15"/>
        <v>101.30457345650707</v>
      </c>
      <c r="D240">
        <v>15.03800010681152</v>
      </c>
      <c r="E240" s="604">
        <v>7098.31005859375</v>
      </c>
      <c r="F240" s="748">
        <f t="shared" si="12"/>
        <v>-9.0437344460336799E-3</v>
      </c>
      <c r="G240" s="748">
        <f t="shared" si="12"/>
        <v>-3.9417805418171525E-3</v>
      </c>
      <c r="H240" s="1067">
        <f t="shared" si="13"/>
        <v>-5.1019539042165274E-3</v>
      </c>
      <c r="I240">
        <f t="shared" si="14"/>
        <v>68.233197691543594</v>
      </c>
    </row>
    <row r="241" spans="1:9" ht="20.100000000000001" customHeight="1">
      <c r="A241" s="563">
        <v>43447</v>
      </c>
      <c r="B241">
        <f t="shared" si="15"/>
        <v>168.00451656721526</v>
      </c>
      <c r="C241">
        <f t="shared" si="15"/>
        <v>100.90525306005912</v>
      </c>
      <c r="D241">
        <v>14.90200042724609</v>
      </c>
      <c r="E241" s="604">
        <v>7070.330078125</v>
      </c>
      <c r="F241" s="748">
        <f t="shared" si="12"/>
        <v>-2.1473670602871309E-2</v>
      </c>
      <c r="G241" s="748">
        <f t="shared" si="12"/>
        <v>-2.2583093025459355E-2</v>
      </c>
      <c r="H241" s="1067">
        <f t="shared" si="13"/>
        <v>1.1094224225880467E-3</v>
      </c>
      <c r="I241">
        <f t="shared" si="14"/>
        <v>67.099263507156138</v>
      </c>
    </row>
    <row r="242" spans="1:9" ht="20.100000000000001" customHeight="1">
      <c r="A242" s="563">
        <v>43448</v>
      </c>
      <c r="B242">
        <f t="shared" si="15"/>
        <v>164.39684291865623</v>
      </c>
      <c r="C242">
        <f t="shared" si="15"/>
        <v>98.626500343446295</v>
      </c>
      <c r="D242">
        <v>14.58199977874756</v>
      </c>
      <c r="E242" s="604">
        <v>6910.66015625</v>
      </c>
      <c r="F242" s="748">
        <f t="shared" si="12"/>
        <v>-6.4051572447562544E-2</v>
      </c>
      <c r="G242" s="748">
        <f t="shared" si="12"/>
        <v>-2.2708420358266701E-2</v>
      </c>
      <c r="H242" s="1067">
        <f t="shared" si="13"/>
        <v>-4.1343152089295843E-2</v>
      </c>
      <c r="I242">
        <f t="shared" si="14"/>
        <v>65.770342575209938</v>
      </c>
    </row>
    <row r="243" spans="1:9" ht="20.100000000000001" customHeight="1">
      <c r="A243" s="563">
        <v>43451</v>
      </c>
      <c r="B243">
        <f t="shared" si="15"/>
        <v>153.86696662430137</v>
      </c>
      <c r="C243">
        <f t="shared" si="15"/>
        <v>96.386848315182576</v>
      </c>
      <c r="D243">
        <v>13.64799976348877</v>
      </c>
      <c r="E243" s="604">
        <v>6753.72998046875</v>
      </c>
      <c r="F243" s="748">
        <f t="shared" si="12"/>
        <v>2.6817129382958882E-2</v>
      </c>
      <c r="G243" s="748">
        <f t="shared" si="12"/>
        <v>4.468667812975724E-3</v>
      </c>
      <c r="H243" s="1067">
        <f t="shared" si="13"/>
        <v>2.2348461569983158E-2</v>
      </c>
      <c r="I243">
        <f t="shared" si="14"/>
        <v>57.480118309118794</v>
      </c>
    </row>
    <row r="244" spans="1:9" ht="20.100000000000001" customHeight="1">
      <c r="A244" s="563">
        <v>43452</v>
      </c>
      <c r="B244">
        <f t="shared" si="15"/>
        <v>157.99323697602867</v>
      </c>
      <c r="C244">
        <f t="shared" si="15"/>
        <v>96.817569121842808</v>
      </c>
      <c r="D244">
        <v>14.01399993896484</v>
      </c>
      <c r="E244" s="604">
        <v>6783.91015625</v>
      </c>
      <c r="F244" s="748">
        <f t="shared" si="12"/>
        <v>-7.135884776212631E-4</v>
      </c>
      <c r="G244" s="748">
        <f t="shared" si="12"/>
        <v>-2.1680723172534222E-2</v>
      </c>
      <c r="H244" s="1067">
        <f t="shared" si="13"/>
        <v>2.0967134694912959E-2</v>
      </c>
      <c r="I244">
        <f t="shared" si="14"/>
        <v>61.175667854185861</v>
      </c>
    </row>
    <row r="245" spans="1:9" ht="20.100000000000001" customHeight="1">
      <c r="A245" s="563">
        <v>43453</v>
      </c>
      <c r="B245">
        <f t="shared" si="15"/>
        <v>157.88049482258049</v>
      </c>
      <c r="C245">
        <f t="shared" si="15"/>
        <v>94.718494207474436</v>
      </c>
      <c r="D245">
        <v>14.00399971008301</v>
      </c>
      <c r="E245" s="604">
        <v>6636.830078125</v>
      </c>
      <c r="F245" s="748">
        <f t="shared" si="12"/>
        <v>-2.1422260491471556E-3</v>
      </c>
      <c r="G245" s="748">
        <f t="shared" si="12"/>
        <v>-1.6336100306734158E-2</v>
      </c>
      <c r="H245" s="1067">
        <f t="shared" si="13"/>
        <v>1.4193874257587002E-2</v>
      </c>
      <c r="I245">
        <f t="shared" si="14"/>
        <v>63.162000615106052</v>
      </c>
    </row>
    <row r="246" spans="1:9" ht="20.100000000000001" customHeight="1">
      <c r="A246" s="563">
        <v>43454</v>
      </c>
      <c r="B246">
        <f t="shared" si="15"/>
        <v>157.54227911391931</v>
      </c>
      <c r="C246">
        <f t="shared" si="15"/>
        <v>93.171163385198312</v>
      </c>
      <c r="D246">
        <v>13.97399997711182</v>
      </c>
      <c r="E246" s="604">
        <v>6528.41015625</v>
      </c>
      <c r="F246" s="748">
        <f t="shared" si="12"/>
        <v>-5.7678528494313541E-2</v>
      </c>
      <c r="G246" s="748">
        <f t="shared" si="12"/>
        <v>-2.9933769049102055E-2</v>
      </c>
      <c r="H246" s="1067">
        <f t="shared" si="13"/>
        <v>-2.7744759445211487E-2</v>
      </c>
      <c r="I246">
        <f t="shared" si="14"/>
        <v>64.371115728720994</v>
      </c>
    </row>
    <row r="247" spans="1:9" ht="20.100000000000001" customHeight="1">
      <c r="A247" s="563">
        <v>43455</v>
      </c>
      <c r="B247">
        <f t="shared" si="15"/>
        <v>148.45547227898803</v>
      </c>
      <c r="C247">
        <f t="shared" si="15"/>
        <v>90.382199298389637</v>
      </c>
      <c r="D247">
        <v>13.16800022125244</v>
      </c>
      <c r="E247" s="604">
        <v>6332.990234375</v>
      </c>
      <c r="F247" s="748">
        <f t="shared" si="12"/>
        <v>-5.0121494252930443E-3</v>
      </c>
      <c r="G247" s="748">
        <f t="shared" si="12"/>
        <v>-2.2117563317831879E-2</v>
      </c>
      <c r="H247" s="1067">
        <f t="shared" si="13"/>
        <v>1.7105413892538834E-2</v>
      </c>
      <c r="I247">
        <f t="shared" si="14"/>
        <v>58.073272980598389</v>
      </c>
    </row>
    <row r="248" spans="1:9" ht="20.100000000000001" customHeight="1">
      <c r="A248" s="563">
        <v>43458</v>
      </c>
      <c r="B248">
        <f t="shared" si="15"/>
        <v>147.71139126892328</v>
      </c>
      <c r="C248">
        <f t="shared" si="15"/>
        <v>88.383165282602604</v>
      </c>
      <c r="D248">
        <v>13.10200023651123</v>
      </c>
      <c r="E248" s="604">
        <v>6192.919921875</v>
      </c>
      <c r="F248" s="748">
        <f t="shared" si="12"/>
        <v>4.6710387778294837E-2</v>
      </c>
      <c r="G248" s="748">
        <f t="shared" si="12"/>
        <v>5.8363412730326081E-2</v>
      </c>
      <c r="H248" s="1067">
        <f t="shared" si="13"/>
        <v>-1.1653024952031243E-2</v>
      </c>
      <c r="I248">
        <f t="shared" si="14"/>
        <v>59.328225986320675</v>
      </c>
    </row>
    <row r="249" spans="1:9" ht="20.100000000000001" customHeight="1">
      <c r="A249" s="563">
        <v>43460</v>
      </c>
      <c r="B249">
        <f t="shared" si="15"/>
        <v>154.61104763436612</v>
      </c>
      <c r="C249">
        <f t="shared" si="15"/>
        <v>93.541508436403774</v>
      </c>
      <c r="D249">
        <v>13.71399974822998</v>
      </c>
      <c r="E249" s="604">
        <v>6554.35986328125</v>
      </c>
      <c r="F249" s="748">
        <f t="shared" si="12"/>
        <v>2.6542243482361894E-2</v>
      </c>
      <c r="G249" s="748">
        <f t="shared" si="12"/>
        <v>3.8341457622024233E-3</v>
      </c>
      <c r="H249" s="1067">
        <f t="shared" si="13"/>
        <v>2.270809772015947E-2</v>
      </c>
      <c r="I249">
        <f t="shared" si="14"/>
        <v>61.069539197962342</v>
      </c>
    </row>
    <row r="250" spans="1:9" ht="20.100000000000001" customHeight="1">
      <c r="A250" s="563">
        <v>43461</v>
      </c>
      <c r="B250">
        <f t="shared" si="15"/>
        <v>158.7147717057405</v>
      </c>
      <c r="C250">
        <f t="shared" si="15"/>
        <v>93.900160214565233</v>
      </c>
      <c r="D250">
        <v>14.078000068664551</v>
      </c>
      <c r="E250" s="604">
        <v>6579.490234375</v>
      </c>
      <c r="F250" s="748">
        <f t="shared" si="12"/>
        <v>-7.1034442627260219E-4</v>
      </c>
      <c r="G250" s="748">
        <f t="shared" si="12"/>
        <v>7.6446426350340602E-4</v>
      </c>
      <c r="H250" s="1067">
        <f t="shared" si="13"/>
        <v>-1.4748086897760082E-3</v>
      </c>
      <c r="I250">
        <f t="shared" si="14"/>
        <v>64.81461149117527</v>
      </c>
    </row>
    <row r="251" spans="1:9" ht="20.100000000000001" customHeight="1">
      <c r="A251" s="563">
        <v>43462</v>
      </c>
      <c r="B251">
        <f t="shared" si="15"/>
        <v>158.60202955229221</v>
      </c>
      <c r="C251">
        <f t="shared" si="15"/>
        <v>93.971943531386515</v>
      </c>
      <c r="D251">
        <v>14.06799983978271</v>
      </c>
      <c r="E251" s="604">
        <v>6584.52001953125</v>
      </c>
      <c r="F251" s="748">
        <f t="shared" si="12"/>
        <v>1.2795424315592552E-3</v>
      </c>
      <c r="G251" s="748">
        <f t="shared" si="12"/>
        <v>7.7089545592441411E-3</v>
      </c>
      <c r="H251" s="1067">
        <f t="shared" si="13"/>
        <v>-6.4294121276848859E-3</v>
      </c>
      <c r="I251">
        <f t="shared" si="14"/>
        <v>64.630086020905694</v>
      </c>
    </row>
    <row r="252" spans="1:9" ht="20.100000000000001" customHeight="1">
      <c r="A252" s="563">
        <v>43465</v>
      </c>
      <c r="B252">
        <f t="shared" si="15"/>
        <v>158.80496757883577</v>
      </c>
      <c r="C252">
        <f t="shared" si="15"/>
        <v>94.696368973913835</v>
      </c>
      <c r="D252">
        <v>14.086000442504879</v>
      </c>
      <c r="E252" s="604">
        <v>6635.27978515625</v>
      </c>
      <c r="F252" s="748">
        <f t="shared" si="12"/>
        <v>-1.0648911507340264E-2</v>
      </c>
      <c r="G252" s="748">
        <f t="shared" si="12"/>
        <v>4.6207782102254402E-3</v>
      </c>
      <c r="H252" s="1067">
        <f t="shared" si="13"/>
        <v>-1.5269689717565704E-2</v>
      </c>
      <c r="I252">
        <f t="shared" si="14"/>
        <v>64.108598604921937</v>
      </c>
    </row>
    <row r="253" spans="1:9" ht="20.100000000000001" customHeight="1">
      <c r="A253" s="563">
        <v>43467</v>
      </c>
      <c r="B253">
        <f t="shared" si="15"/>
        <v>157.11386753216271</v>
      </c>
      <c r="C253">
        <f t="shared" si="15"/>
        <v>95.133939892255967</v>
      </c>
      <c r="D253">
        <v>13.935999870300289</v>
      </c>
      <c r="E253" s="604">
        <v>6665.93994140625</v>
      </c>
      <c r="F253" s="748">
        <f t="shared" si="12"/>
        <v>-3.0281281232988122E-2</v>
      </c>
      <c r="G253" s="748">
        <f t="shared" si="12"/>
        <v>-3.0369301731743903E-2</v>
      </c>
      <c r="H253" s="1067">
        <f t="shared" si="13"/>
        <v>8.8020498755780885E-5</v>
      </c>
      <c r="I253">
        <f t="shared" si="14"/>
        <v>61.979927639906748</v>
      </c>
    </row>
    <row r="254" spans="1:9" ht="20.100000000000001" customHeight="1">
      <c r="A254" s="563">
        <v>43468</v>
      </c>
      <c r="B254">
        <f t="shared" si="15"/>
        <v>152.35625832381885</v>
      </c>
      <c r="C254">
        <f t="shared" si="15"/>
        <v>92.244788566738464</v>
      </c>
      <c r="D254">
        <v>13.51399993896484</v>
      </c>
      <c r="E254" s="604">
        <v>6463.5</v>
      </c>
      <c r="F254" s="748">
        <f t="shared" si="12"/>
        <v>-9.7676461505542544E-3</v>
      </c>
      <c r="G254" s="748">
        <f t="shared" si="12"/>
        <v>4.2602284100139221E-2</v>
      </c>
      <c r="H254" s="1067">
        <f t="shared" si="13"/>
        <v>-5.2369930250693475E-2</v>
      </c>
      <c r="I254">
        <f t="shared" si="14"/>
        <v>60.111469757080386</v>
      </c>
    </row>
    <row r="255" spans="1:9" ht="20.100000000000001" customHeight="1">
      <c r="A255" s="563">
        <v>43469</v>
      </c>
      <c r="B255">
        <f t="shared" si="15"/>
        <v>150.86809630368936</v>
      </c>
      <c r="C255">
        <f t="shared" si="15"/>
        <v>96.174627256015924</v>
      </c>
      <c r="D255">
        <v>13.38199996948242</v>
      </c>
      <c r="E255" s="604">
        <v>6738.85986328125</v>
      </c>
      <c r="F255" s="748">
        <f t="shared" si="12"/>
        <v>4.7526504335362763E-2</v>
      </c>
      <c r="G255" s="748">
        <f t="shared" si="12"/>
        <v>1.255558852373917E-2</v>
      </c>
      <c r="H255" s="1067">
        <f t="shared" si="13"/>
        <v>3.4970915811623593E-2</v>
      </c>
      <c r="I255">
        <f t="shared" si="14"/>
        <v>54.693469047673432</v>
      </c>
    </row>
    <row r="256" spans="1:9" ht="20.100000000000001" customHeight="1">
      <c r="A256" s="563">
        <v>43472</v>
      </c>
      <c r="B256">
        <f t="shared" si="15"/>
        <v>158.03832953673458</v>
      </c>
      <c r="C256">
        <f t="shared" si="15"/>
        <v>97.382156302266452</v>
      </c>
      <c r="D256">
        <v>14.01799964904785</v>
      </c>
      <c r="E256" s="604">
        <v>6823.47021484375</v>
      </c>
      <c r="F256" s="748">
        <f t="shared" si="12"/>
        <v>2.0830416455937195E-2</v>
      </c>
      <c r="G256" s="748">
        <f t="shared" si="12"/>
        <v>1.0776010276456249E-2</v>
      </c>
      <c r="H256" s="1067">
        <f t="shared" si="13"/>
        <v>1.0054406179480946E-2</v>
      </c>
      <c r="I256">
        <f t="shared" si="14"/>
        <v>60.656173234468127</v>
      </c>
    </row>
    <row r="257" spans="1:9" ht="20.100000000000001" customHeight="1">
      <c r="A257" s="563">
        <v>43473</v>
      </c>
      <c r="B257">
        <f t="shared" si="15"/>
        <v>161.3303337569854</v>
      </c>
      <c r="C257">
        <f t="shared" si="15"/>
        <v>98.431547419323138</v>
      </c>
      <c r="D257">
        <v>14.310000419616699</v>
      </c>
      <c r="E257" s="604">
        <v>6897</v>
      </c>
      <c r="F257" s="748">
        <f t="shared" si="12"/>
        <v>2.1383630110862528E-2</v>
      </c>
      <c r="G257" s="748">
        <f t="shared" si="12"/>
        <v>8.7110451101928277E-3</v>
      </c>
      <c r="H257" s="1067">
        <f t="shared" si="13"/>
        <v>1.2672585000669701E-2</v>
      </c>
      <c r="I257">
        <f t="shared" si="14"/>
        <v>62.898786337662258</v>
      </c>
    </row>
    <row r="258" spans="1:9" ht="20.100000000000001" customHeight="1">
      <c r="A258" s="563">
        <v>43474</v>
      </c>
      <c r="B258">
        <f t="shared" si="15"/>
        <v>164.78016193970677</v>
      </c>
      <c r="C258">
        <f t="shared" si="15"/>
        <v>99.288989069158944</v>
      </c>
      <c r="D258">
        <v>14.616000175476071</v>
      </c>
      <c r="E258" s="604">
        <v>6957.080078125</v>
      </c>
      <c r="F258" s="748">
        <f t="shared" si="12"/>
        <v>1.7788740131390313E-3</v>
      </c>
      <c r="G258" s="748">
        <f t="shared" si="12"/>
        <v>4.1669415571199409E-3</v>
      </c>
      <c r="H258" s="1067">
        <f t="shared" si="13"/>
        <v>-2.3880675439809096E-3</v>
      </c>
      <c r="I258">
        <f t="shared" si="14"/>
        <v>65.491172870547828</v>
      </c>
    </row>
    <row r="259" spans="1:9" ht="20.100000000000001" customHeight="1">
      <c r="A259" s="563">
        <v>43475</v>
      </c>
      <c r="B259">
        <f t="shared" si="15"/>
        <v>165.07328508766216</v>
      </c>
      <c r="C259">
        <f t="shared" si="15"/>
        <v>99.702720483875652</v>
      </c>
      <c r="D259">
        <v>14.64200019836426</v>
      </c>
      <c r="E259" s="604">
        <v>6986.06982421875</v>
      </c>
      <c r="F259" s="748">
        <f t="shared" ref="F259:G322" si="16">D260/D259-1</f>
        <v>8.1956588995812929E-4</v>
      </c>
      <c r="G259" s="748">
        <f t="shared" si="16"/>
        <v>-2.0884193999065603E-3</v>
      </c>
      <c r="H259" s="1067">
        <f t="shared" ref="H259:H322" si="17">F259-G259</f>
        <v>2.9079852898646896E-3</v>
      </c>
      <c r="I259">
        <f t="shared" ref="I259:I322" si="18">B259-C259</f>
        <v>65.370564603786505</v>
      </c>
    </row>
    <row r="260" spans="1:9" ht="20.100000000000001" customHeight="1">
      <c r="A260" s="563">
        <v>43476</v>
      </c>
      <c r="B260">
        <f t="shared" ref="B260:C323" si="19">B259*(1+F259)</f>
        <v>165.20857352146334</v>
      </c>
      <c r="C260">
        <f t="shared" si="19"/>
        <v>99.49449938819366</v>
      </c>
      <c r="D260">
        <v>14.654000282287599</v>
      </c>
      <c r="E260" s="604">
        <v>6971.47998046875</v>
      </c>
      <c r="F260" s="748">
        <f t="shared" si="16"/>
        <v>-1.378467408828421E-2</v>
      </c>
      <c r="G260" s="748">
        <f t="shared" si="16"/>
        <v>-9.4040374177968289E-3</v>
      </c>
      <c r="H260" s="1067">
        <f t="shared" si="17"/>
        <v>-4.3806366704873811E-3</v>
      </c>
      <c r="I260">
        <f t="shared" si="18"/>
        <v>65.714074133269676</v>
      </c>
    </row>
    <row r="261" spans="1:9" ht="20.100000000000001" customHeight="1">
      <c r="A261" s="563">
        <v>43479</v>
      </c>
      <c r="B261">
        <f t="shared" si="19"/>
        <v>162.93122717887962</v>
      </c>
      <c r="C261">
        <f t="shared" si="19"/>
        <v>98.558849393082127</v>
      </c>
      <c r="D261">
        <v>14.451999664306641</v>
      </c>
      <c r="E261" s="604">
        <v>6905.919921875</v>
      </c>
      <c r="F261" s="748">
        <f t="shared" si="16"/>
        <v>3.2798227796980939E-2</v>
      </c>
      <c r="G261" s="748">
        <f t="shared" si="16"/>
        <v>1.7073779827146751E-2</v>
      </c>
      <c r="H261" s="1067">
        <f t="shared" si="17"/>
        <v>1.5724447969834188E-2</v>
      </c>
      <c r="I261">
        <f t="shared" si="18"/>
        <v>64.372377785797497</v>
      </c>
    </row>
    <row r="262" spans="1:9" ht="20.100000000000001" customHeight="1">
      <c r="A262" s="563">
        <v>43480</v>
      </c>
      <c r="B262">
        <f t="shared" si="19"/>
        <v>168.27508268313417</v>
      </c>
      <c r="C262">
        <f t="shared" si="19"/>
        <v>100.24162148763652</v>
      </c>
      <c r="D262">
        <v>14.925999641418461</v>
      </c>
      <c r="E262" s="604">
        <v>7023.830078125</v>
      </c>
      <c r="F262" s="748">
        <f t="shared" si="16"/>
        <v>-3.0684660353350823E-2</v>
      </c>
      <c r="G262" s="748">
        <f t="shared" si="16"/>
        <v>1.5461455018781489E-3</v>
      </c>
      <c r="H262" s="1067">
        <f t="shared" si="17"/>
        <v>-3.2230805855228972E-2</v>
      </c>
      <c r="I262">
        <f t="shared" si="18"/>
        <v>68.033461195497651</v>
      </c>
    </row>
    <row r="263" spans="1:9" ht="20.100000000000001" customHeight="1">
      <c r="A263" s="563">
        <v>43481</v>
      </c>
      <c r="B263">
        <f t="shared" si="19"/>
        <v>163.11161892507016</v>
      </c>
      <c r="C263">
        <f t="shared" si="19"/>
        <v>100.3966096198006</v>
      </c>
      <c r="D263">
        <v>14.468000411987299</v>
      </c>
      <c r="E263" s="604">
        <v>7034.68994140625</v>
      </c>
      <c r="F263" s="748">
        <f t="shared" si="16"/>
        <v>4.2852722711095304E-3</v>
      </c>
      <c r="G263" s="748">
        <f t="shared" si="16"/>
        <v>7.0749414609310168E-3</v>
      </c>
      <c r="H263" s="1067">
        <f t="shared" si="17"/>
        <v>-2.7896691898214865E-3</v>
      </c>
      <c r="I263">
        <f t="shared" si="18"/>
        <v>62.715009305269561</v>
      </c>
    </row>
    <row r="264" spans="1:9" ht="20.100000000000001" customHeight="1">
      <c r="A264" s="563">
        <v>43482</v>
      </c>
      <c r="B264">
        <f t="shared" si="19"/>
        <v>163.81059662274555</v>
      </c>
      <c r="C264">
        <f t="shared" si="19"/>
        <v>101.10690975573664</v>
      </c>
      <c r="D264">
        <v>14.52999973297119</v>
      </c>
      <c r="E264" s="604">
        <v>7084.4599609375</v>
      </c>
      <c r="F264" s="748">
        <f t="shared" si="16"/>
        <v>-2.9593899477211472E-2</v>
      </c>
      <c r="G264" s="748">
        <f t="shared" si="16"/>
        <v>1.0271780761341276E-2</v>
      </c>
      <c r="H264" s="1067">
        <f t="shared" si="17"/>
        <v>-3.9865680238552748E-2</v>
      </c>
      <c r="I264">
        <f t="shared" si="18"/>
        <v>62.703686867008912</v>
      </c>
    </row>
    <row r="265" spans="1:9" ht="20.100000000000001" customHeight="1">
      <c r="A265" s="563">
        <v>43483</v>
      </c>
      <c r="B265">
        <f t="shared" si="19"/>
        <v>158.96280229298998</v>
      </c>
      <c r="C265">
        <f t="shared" si="19"/>
        <v>102.14545776620429</v>
      </c>
      <c r="D265">
        <v>14.10000038146973</v>
      </c>
      <c r="E265" s="604">
        <v>7157.22998046875</v>
      </c>
      <c r="F265" s="748">
        <f t="shared" si="16"/>
        <v>-9.2198660229659835E-3</v>
      </c>
      <c r="G265" s="748">
        <f t="shared" si="16"/>
        <v>-1.9123336480873609E-2</v>
      </c>
      <c r="H265" s="1067">
        <f t="shared" si="17"/>
        <v>9.903470457907626E-3</v>
      </c>
      <c r="I265">
        <f t="shared" si="18"/>
        <v>56.817344526785689</v>
      </c>
    </row>
    <row r="266" spans="1:9" ht="20.100000000000001" customHeight="1">
      <c r="A266" s="563">
        <v>43487</v>
      </c>
      <c r="B266">
        <f t="shared" si="19"/>
        <v>157.49718655321337</v>
      </c>
      <c r="C266">
        <f t="shared" si="19"/>
        <v>100.1920958073483</v>
      </c>
      <c r="D266">
        <v>13.97000026702881</v>
      </c>
      <c r="E266" s="604">
        <v>7020.35986328125</v>
      </c>
      <c r="F266" s="748">
        <f t="shared" si="16"/>
        <v>2.3335665978341913E-2</v>
      </c>
      <c r="G266" s="748">
        <f t="shared" si="16"/>
        <v>7.7063802360011202E-4</v>
      </c>
      <c r="H266" s="1067">
        <f t="shared" si="17"/>
        <v>2.2565027954741801E-2</v>
      </c>
      <c r="I266">
        <f t="shared" si="18"/>
        <v>57.305090745865073</v>
      </c>
    </row>
    <row r="267" spans="1:9" ht="20.100000000000001" customHeight="1">
      <c r="A267" s="563">
        <v>43488</v>
      </c>
      <c r="B267">
        <f t="shared" si="19"/>
        <v>161.17248829114777</v>
      </c>
      <c r="C267">
        <f t="shared" si="19"/>
        <v>100.26930764604163</v>
      </c>
      <c r="D267">
        <v>14.295999526977541</v>
      </c>
      <c r="E267" s="604">
        <v>7025.77001953125</v>
      </c>
      <c r="F267" s="748">
        <f t="shared" si="16"/>
        <v>1.4549537632045695E-2</v>
      </c>
      <c r="G267" s="748">
        <f t="shared" si="16"/>
        <v>6.7878597326236356E-3</v>
      </c>
      <c r="H267" s="1067">
        <f t="shared" si="17"/>
        <v>7.7616778994220592E-3</v>
      </c>
      <c r="I267">
        <f t="shared" si="18"/>
        <v>60.903180645106147</v>
      </c>
    </row>
    <row r="268" spans="1:9" ht="20.100000000000001" customHeight="1">
      <c r="A268" s="563">
        <v>43489</v>
      </c>
      <c r="B268">
        <f t="shared" si="19"/>
        <v>163.51747347479028</v>
      </c>
      <c r="C268">
        <f t="shared" si="19"/>
        <v>100.94992164183024</v>
      </c>
      <c r="D268">
        <v>14.50399971008301</v>
      </c>
      <c r="E268" s="604">
        <v>7073.4599609375</v>
      </c>
      <c r="F268" s="748">
        <f t="shared" si="16"/>
        <v>1.4754599157604797E-2</v>
      </c>
      <c r="G268" s="748">
        <f t="shared" si="16"/>
        <v>1.2921526784416271E-2</v>
      </c>
      <c r="H268" s="1067">
        <f t="shared" si="17"/>
        <v>1.8330723731885268E-3</v>
      </c>
      <c r="I268">
        <f t="shared" si="18"/>
        <v>62.567551832960035</v>
      </c>
    </row>
    <row r="269" spans="1:9" ht="20.100000000000001" customHeight="1">
      <c r="A269" s="563">
        <v>43490</v>
      </c>
      <c r="B269">
        <f t="shared" si="19"/>
        <v>165.93010825117508</v>
      </c>
      <c r="C269">
        <f t="shared" si="19"/>
        <v>102.25434875820987</v>
      </c>
      <c r="D269">
        <v>14.718000411987299</v>
      </c>
      <c r="E269" s="604">
        <v>7164.85986328125</v>
      </c>
      <c r="F269" s="748">
        <f t="shared" si="16"/>
        <v>1.766545873107539E-3</v>
      </c>
      <c r="G269" s="748">
        <f t="shared" si="16"/>
        <v>-1.1051114608086499E-2</v>
      </c>
      <c r="H269" s="1067">
        <f t="shared" si="17"/>
        <v>1.2817660481194038E-2</v>
      </c>
      <c r="I269">
        <f t="shared" si="18"/>
        <v>63.675759492965213</v>
      </c>
    </row>
    <row r="270" spans="1:9" ht="20.100000000000001" customHeight="1">
      <c r="A270" s="563">
        <v>43493</v>
      </c>
      <c r="B270">
        <f t="shared" si="19"/>
        <v>166.2232313991305</v>
      </c>
      <c r="C270">
        <f t="shared" si="19"/>
        <v>101.12432423090765</v>
      </c>
      <c r="D270">
        <v>14.74400043487549</v>
      </c>
      <c r="E270" s="604">
        <v>7085.68017578125</v>
      </c>
      <c r="F270" s="748">
        <f t="shared" si="16"/>
        <v>-6.9180842039286983E-3</v>
      </c>
      <c r="G270" s="748">
        <f t="shared" si="16"/>
        <v>-8.0994534462490719E-3</v>
      </c>
      <c r="H270" s="1067">
        <f t="shared" si="17"/>
        <v>1.1813692423203737E-3</v>
      </c>
      <c r="I270">
        <f t="shared" si="18"/>
        <v>65.098907168222851</v>
      </c>
    </row>
    <row r="271" spans="1:9" ht="20.100000000000001" customHeight="1">
      <c r="A271" s="563">
        <v>43494</v>
      </c>
      <c r="B271">
        <f t="shared" si="19"/>
        <v>165.07328508766219</v>
      </c>
      <c r="C271">
        <f t="shared" si="19"/>
        <v>100.30527247451602</v>
      </c>
      <c r="D271">
        <v>14.64200019836426</v>
      </c>
      <c r="E271" s="604">
        <v>7028.2900390625</v>
      </c>
      <c r="F271" s="748">
        <f t="shared" si="16"/>
        <v>2.6635663458877135E-2</v>
      </c>
      <c r="G271" s="748">
        <f t="shared" si="16"/>
        <v>2.2023854764415374E-2</v>
      </c>
      <c r="H271" s="1067">
        <f t="shared" si="17"/>
        <v>4.6118086944617609E-3</v>
      </c>
      <c r="I271">
        <f t="shared" si="18"/>
        <v>64.768012613146169</v>
      </c>
    </row>
    <row r="272" spans="1:9" ht="20.100000000000001" customHeight="1">
      <c r="A272" s="563">
        <v>43495</v>
      </c>
      <c r="B272">
        <f t="shared" si="19"/>
        <v>169.47012155530842</v>
      </c>
      <c r="C272">
        <f t="shared" si="19"/>
        <v>102.51438122759987</v>
      </c>
      <c r="D272">
        <v>15.031999588012701</v>
      </c>
      <c r="E272" s="604">
        <v>7183.080078125</v>
      </c>
      <c r="F272" s="748">
        <f t="shared" si="16"/>
        <v>1.8760015261834573E-2</v>
      </c>
      <c r="G272" s="748">
        <f t="shared" si="16"/>
        <v>1.3735076760518661E-2</v>
      </c>
      <c r="H272" s="1067">
        <f t="shared" si="17"/>
        <v>5.024938501315912E-3</v>
      </c>
      <c r="I272">
        <f t="shared" si="18"/>
        <v>66.955740327708554</v>
      </c>
    </row>
    <row r="273" spans="1:9" ht="20.100000000000001" customHeight="1">
      <c r="A273" s="563">
        <v>43496</v>
      </c>
      <c r="B273">
        <f t="shared" si="19"/>
        <v>172.64938362211097</v>
      </c>
      <c r="C273">
        <f t="shared" si="19"/>
        <v>103.92242412281803</v>
      </c>
      <c r="D273">
        <v>15.314000129699711</v>
      </c>
      <c r="E273" s="604">
        <v>7281.740234375</v>
      </c>
      <c r="F273" s="748">
        <f t="shared" si="16"/>
        <v>3.0429646031393753E-2</v>
      </c>
      <c r="G273" s="748">
        <f t="shared" si="16"/>
        <v>-2.4540997910280637E-3</v>
      </c>
      <c r="H273" s="1067">
        <f t="shared" si="17"/>
        <v>3.2883745822421817E-2</v>
      </c>
      <c r="I273">
        <f t="shared" si="18"/>
        <v>68.726959499292946</v>
      </c>
    </row>
    <row r="274" spans="1:9" ht="20.100000000000001" customHeight="1">
      <c r="A274" s="563">
        <v>43497</v>
      </c>
      <c r="B274">
        <f t="shared" si="19"/>
        <v>177.90304325327011</v>
      </c>
      <c r="C274">
        <f t="shared" si="19"/>
        <v>103.66738812349509</v>
      </c>
      <c r="D274">
        <v>15.77999973297119</v>
      </c>
      <c r="E274" s="604">
        <v>7263.8701171875</v>
      </c>
      <c r="F274" s="748">
        <f t="shared" si="16"/>
        <v>1.5716105776625744E-2</v>
      </c>
      <c r="G274" s="748">
        <f t="shared" si="16"/>
        <v>1.1518642338747664E-2</v>
      </c>
      <c r="H274" s="1067">
        <f t="shared" si="17"/>
        <v>4.1974634378780795E-3</v>
      </c>
      <c r="I274">
        <f t="shared" si="18"/>
        <v>74.235655129775026</v>
      </c>
    </row>
    <row r="275" spans="1:9" ht="20.100000000000001" customHeight="1">
      <c r="A275" s="563">
        <v>43500</v>
      </c>
      <c r="B275">
        <f t="shared" si="19"/>
        <v>180.69898629902212</v>
      </c>
      <c r="C275">
        <f t="shared" si="19"/>
        <v>104.86149568948177</v>
      </c>
      <c r="D275">
        <v>16.027999877929691</v>
      </c>
      <c r="E275" s="604">
        <v>7347.5400390625</v>
      </c>
      <c r="F275" s="748">
        <f t="shared" si="16"/>
        <v>2.2834990303795433E-2</v>
      </c>
      <c r="G275" s="748">
        <f t="shared" si="16"/>
        <v>7.4228978369008658E-3</v>
      </c>
      <c r="H275" s="1067">
        <f t="shared" si="17"/>
        <v>1.5412092466894567E-2</v>
      </c>
      <c r="I275">
        <f t="shared" si="18"/>
        <v>75.837490609540353</v>
      </c>
    </row>
    <row r="276" spans="1:9" ht="20.100000000000001" customHeight="1">
      <c r="A276" s="563">
        <v>43501</v>
      </c>
      <c r="B276">
        <f t="shared" si="19"/>
        <v>184.82524589906595</v>
      </c>
      <c r="C276">
        <f t="shared" si="19"/>
        <v>105.63987185900942</v>
      </c>
      <c r="D276">
        <v>16.393999099731449</v>
      </c>
      <c r="E276" s="604">
        <v>7402.080078125</v>
      </c>
      <c r="F276" s="748">
        <f t="shared" si="16"/>
        <v>-9.149666144164792E-3</v>
      </c>
      <c r="G276" s="748">
        <f t="shared" si="16"/>
        <v>-3.6206434793851772E-3</v>
      </c>
      <c r="H276" s="1067">
        <f t="shared" si="17"/>
        <v>-5.5290226647796148E-3</v>
      </c>
      <c r="I276">
        <f t="shared" si="18"/>
        <v>79.18537404005653</v>
      </c>
    </row>
    <row r="277" spans="1:9" ht="20.100000000000001" customHeight="1">
      <c r="A277" s="563">
        <v>43502</v>
      </c>
      <c r="B277">
        <f t="shared" si="19"/>
        <v>183.13415660407634</v>
      </c>
      <c r="C277">
        <f t="shared" si="19"/>
        <v>105.25738754580001</v>
      </c>
      <c r="D277">
        <v>16.243999481201168</v>
      </c>
      <c r="E277" s="604">
        <v>7375.27978515625</v>
      </c>
      <c r="F277" s="748">
        <f t="shared" si="16"/>
        <v>-2.290074812124232E-2</v>
      </c>
      <c r="G277" s="748">
        <f t="shared" si="16"/>
        <v>-1.1786629122187087E-2</v>
      </c>
      <c r="H277" s="1067">
        <f t="shared" si="17"/>
        <v>-1.1114118999055234E-2</v>
      </c>
      <c r="I277">
        <f t="shared" si="18"/>
        <v>77.876769058276324</v>
      </c>
    </row>
    <row r="278" spans="1:9" ht="20.100000000000001" customHeight="1">
      <c r="A278" s="563">
        <v>43503</v>
      </c>
      <c r="B278">
        <f t="shared" si="19"/>
        <v>178.94024741129024</v>
      </c>
      <c r="C278">
        <f t="shared" si="19"/>
        <v>104.01675775642735</v>
      </c>
      <c r="D278">
        <v>15.871999740600589</v>
      </c>
      <c r="E278" s="604">
        <v>7288.35009765625</v>
      </c>
      <c r="F278" s="748">
        <f t="shared" si="16"/>
        <v>2.0917385197065874E-2</v>
      </c>
      <c r="G278" s="748">
        <f t="shared" si="16"/>
        <v>1.3514852503335728E-3</v>
      </c>
      <c r="H278" s="1067">
        <f t="shared" si="17"/>
        <v>1.9565899946732301E-2</v>
      </c>
      <c r="I278">
        <f t="shared" si="18"/>
        <v>74.923489654862891</v>
      </c>
    </row>
    <row r="279" spans="1:9" ht="20.100000000000001" customHeight="1">
      <c r="A279" s="563">
        <v>43504</v>
      </c>
      <c r="B279">
        <f t="shared" si="19"/>
        <v>182.68320949365048</v>
      </c>
      <c r="C279">
        <f t="shared" si="19"/>
        <v>104.15733487032269</v>
      </c>
      <c r="D279">
        <v>16.204000473022461</v>
      </c>
      <c r="E279" s="604">
        <v>7298.2001953125</v>
      </c>
      <c r="F279" s="748">
        <f t="shared" si="16"/>
        <v>8.2694931460105536E-3</v>
      </c>
      <c r="G279" s="748">
        <f t="shared" si="16"/>
        <v>1.3290546671329562E-3</v>
      </c>
      <c r="H279" s="1067">
        <f t="shared" si="17"/>
        <v>6.9404384788775975E-3</v>
      </c>
      <c r="I279">
        <f t="shared" si="18"/>
        <v>78.525874623327795</v>
      </c>
    </row>
    <row r="280" spans="1:9" ht="20.100000000000001" customHeight="1">
      <c r="A280" s="563">
        <v>43507</v>
      </c>
      <c r="B280">
        <f t="shared" si="19"/>
        <v>184.19390704244944</v>
      </c>
      <c r="C280">
        <f t="shared" si="19"/>
        <v>104.29576566234822</v>
      </c>
      <c r="D280">
        <v>16.33799934387207</v>
      </c>
      <c r="E280" s="604">
        <v>7307.89990234375</v>
      </c>
      <c r="F280" s="748">
        <f t="shared" si="16"/>
        <v>1.762762384487071E-2</v>
      </c>
      <c r="G280" s="748">
        <f t="shared" si="16"/>
        <v>1.4603404024393196E-2</v>
      </c>
      <c r="H280" s="1067">
        <f t="shared" si="17"/>
        <v>3.0242198204775139E-3</v>
      </c>
      <c r="I280">
        <f t="shared" si="18"/>
        <v>79.898141380101222</v>
      </c>
    </row>
    <row r="281" spans="1:9" ht="20.100000000000001" customHeight="1">
      <c r="A281" s="563">
        <v>43508</v>
      </c>
      <c r="B281">
        <f t="shared" si="19"/>
        <v>187.44080795031081</v>
      </c>
      <c r="C281">
        <f t="shared" si="19"/>
        <v>105.81883886634893</v>
      </c>
      <c r="D281">
        <v>16.62599945068359</v>
      </c>
      <c r="E281" s="604">
        <v>7414.6201171875</v>
      </c>
      <c r="F281" s="748">
        <f t="shared" si="16"/>
        <v>-8.540851861895904E-3</v>
      </c>
      <c r="G281" s="748">
        <f t="shared" si="16"/>
        <v>7.7681196527490393E-4</v>
      </c>
      <c r="H281" s="1067">
        <f t="shared" si="17"/>
        <v>-9.3176638271708079E-3</v>
      </c>
      <c r="I281">
        <f t="shared" si="18"/>
        <v>81.621969083961886</v>
      </c>
    </row>
    <row r="282" spans="1:9" ht="20.100000000000001" customHeight="1">
      <c r="A282" s="563">
        <v>43509</v>
      </c>
      <c r="B282">
        <f t="shared" si="19"/>
        <v>185.83990377673314</v>
      </c>
      <c r="C282">
        <f t="shared" si="19"/>
        <v>105.9010402065318</v>
      </c>
      <c r="D282">
        <v>16.483999252319339</v>
      </c>
      <c r="E282" s="604">
        <v>7420.3798828125</v>
      </c>
      <c r="F282" s="748">
        <f t="shared" si="16"/>
        <v>9.3424680263949345E-3</v>
      </c>
      <c r="G282" s="748">
        <f t="shared" si="16"/>
        <v>8.8544152776037777E-4</v>
      </c>
      <c r="H282" s="1067">
        <f t="shared" si="17"/>
        <v>8.4570264986345567E-3</v>
      </c>
      <c r="I282">
        <f t="shared" si="18"/>
        <v>79.938863570201335</v>
      </c>
    </row>
    <row r="283" spans="1:9" ht="20.100000000000001" customHeight="1">
      <c r="A283" s="563">
        <v>43510</v>
      </c>
      <c r="B283">
        <f t="shared" si="19"/>
        <v>187.57610713579558</v>
      </c>
      <c r="C283">
        <f t="shared" si="19"/>
        <v>105.99480938536369</v>
      </c>
      <c r="D283">
        <v>16.63800048828125</v>
      </c>
      <c r="E283" s="604">
        <v>7426.9501953125</v>
      </c>
      <c r="F283" s="748">
        <f t="shared" si="16"/>
        <v>-9.6169895486719614E-4</v>
      </c>
      <c r="G283" s="748">
        <f t="shared" si="16"/>
        <v>6.1209459794400178E-3</v>
      </c>
      <c r="H283" s="1067">
        <f t="shared" si="17"/>
        <v>-7.082644934307214E-3</v>
      </c>
      <c r="I283">
        <f t="shared" si="18"/>
        <v>81.581297750431887</v>
      </c>
    </row>
    <row r="284" spans="1:9" ht="20.100000000000001" customHeight="1">
      <c r="A284" s="563">
        <v>43511</v>
      </c>
      <c r="B284">
        <f t="shared" si="19"/>
        <v>187.39571538960502</v>
      </c>
      <c r="C284">
        <f t="shared" si="19"/>
        <v>106.64359788771255</v>
      </c>
      <c r="D284">
        <v>16.621999740600589</v>
      </c>
      <c r="E284" s="604">
        <v>7472.41015625</v>
      </c>
      <c r="F284" s="748">
        <f t="shared" si="16"/>
        <v>9.8664155970673573E-3</v>
      </c>
      <c r="G284" s="748">
        <f t="shared" si="16"/>
        <v>1.9217177565178378E-3</v>
      </c>
      <c r="H284" s="1067">
        <f t="shared" si="17"/>
        <v>7.9446978405495194E-3</v>
      </c>
      <c r="I284">
        <f t="shared" si="18"/>
        <v>80.752117501892471</v>
      </c>
    </row>
    <row r="285" spans="1:9" ht="20.100000000000001" customHeight="1">
      <c r="A285" s="563">
        <v>43515</v>
      </c>
      <c r="B285">
        <f t="shared" si="19"/>
        <v>189.2446393987486</v>
      </c>
      <c r="C285">
        <f t="shared" si="19"/>
        <v>106.8485367833923</v>
      </c>
      <c r="D285">
        <v>16.7859992980957</v>
      </c>
      <c r="E285" s="604">
        <v>7486.77001953125</v>
      </c>
      <c r="F285" s="748">
        <f t="shared" si="16"/>
        <v>-7.1482966464686548E-4</v>
      </c>
      <c r="G285" s="748">
        <f t="shared" si="16"/>
        <v>3.0718249411965104E-4</v>
      </c>
      <c r="H285" s="1067">
        <f t="shared" si="17"/>
        <v>-1.0220121587665165E-3</v>
      </c>
      <c r="I285">
        <f t="shared" si="18"/>
        <v>82.396102615356298</v>
      </c>
    </row>
    <row r="286" spans="1:9" ht="20.100000000000001" customHeight="1">
      <c r="A286" s="563">
        <v>43516</v>
      </c>
      <c r="B286">
        <f t="shared" si="19"/>
        <v>189.10936171663099</v>
      </c>
      <c r="C286">
        <f t="shared" si="19"/>
        <v>106.88135878341446</v>
      </c>
      <c r="D286">
        <v>16.77400016784668</v>
      </c>
      <c r="E286" s="604">
        <v>7489.06982421875</v>
      </c>
      <c r="F286" s="748">
        <f t="shared" si="16"/>
        <v>7.3924256632655894E-3</v>
      </c>
      <c r="G286" s="748">
        <f t="shared" si="16"/>
        <v>-3.9203618033182286E-3</v>
      </c>
      <c r="H286" s="1067">
        <f t="shared" si="17"/>
        <v>1.1312787466583818E-2</v>
      </c>
      <c r="I286">
        <f t="shared" si="18"/>
        <v>82.22800293321653</v>
      </c>
    </row>
    <row r="287" spans="1:9" ht="20.100000000000001" customHeight="1">
      <c r="A287" s="563">
        <v>43517</v>
      </c>
      <c r="B287">
        <f t="shared" si="19"/>
        <v>190.50733861534877</v>
      </c>
      <c r="C287">
        <f t="shared" si="19"/>
        <v>106.4623451869532</v>
      </c>
      <c r="D287">
        <v>16.898000717163089</v>
      </c>
      <c r="E287" s="604">
        <v>7459.7099609375</v>
      </c>
      <c r="F287" s="748">
        <f t="shared" si="16"/>
        <v>2.7222101133268062E-2</v>
      </c>
      <c r="G287" s="748">
        <f t="shared" si="16"/>
        <v>9.0928572934054763E-3</v>
      </c>
      <c r="H287" s="1067">
        <f t="shared" si="17"/>
        <v>1.8129243839862585E-2</v>
      </c>
      <c r="I287">
        <f t="shared" si="18"/>
        <v>84.044993428395571</v>
      </c>
    </row>
    <row r="288" spans="1:9" ht="20.100000000000001" customHeight="1">
      <c r="A288" s="563">
        <v>43518</v>
      </c>
      <c r="B288">
        <f t="shared" si="19"/>
        <v>195.69334865376555</v>
      </c>
      <c r="C288">
        <f t="shared" si="19"/>
        <v>107.43039209885944</v>
      </c>
      <c r="D288">
        <v>17.357999801635739</v>
      </c>
      <c r="E288" s="604">
        <v>7527.5400390625</v>
      </c>
      <c r="F288" s="748">
        <f t="shared" si="16"/>
        <v>3.1110067467048363E-3</v>
      </c>
      <c r="G288" s="748">
        <f t="shared" si="16"/>
        <v>3.576191124232464E-3</v>
      </c>
      <c r="H288" s="1067">
        <f t="shared" si="17"/>
        <v>-4.6518437752762765E-4</v>
      </c>
      <c r="I288">
        <f t="shared" si="18"/>
        <v>88.262956554906111</v>
      </c>
    </row>
    <row r="289" spans="1:9" ht="20.100000000000001" customHeight="1">
      <c r="A289" s="563">
        <v>43521</v>
      </c>
      <c r="B289">
        <f t="shared" si="19"/>
        <v>196.30215198171268</v>
      </c>
      <c r="C289">
        <f t="shared" si="19"/>
        <v>107.8145837135562</v>
      </c>
      <c r="D289">
        <v>17.41200065612793</v>
      </c>
      <c r="E289" s="604">
        <v>7554.4599609375</v>
      </c>
      <c r="F289" s="748">
        <f t="shared" si="16"/>
        <v>-9.1894940717396345E-4</v>
      </c>
      <c r="G289" s="748">
        <f t="shared" si="16"/>
        <v>-6.830609039801816E-4</v>
      </c>
      <c r="H289" s="1067">
        <f t="shared" si="17"/>
        <v>-2.3588850319378185E-4</v>
      </c>
      <c r="I289">
        <f t="shared" si="18"/>
        <v>88.48756826815648</v>
      </c>
    </row>
    <row r="290" spans="1:9" ht="20.100000000000001" customHeight="1">
      <c r="A290" s="563">
        <v>43522</v>
      </c>
      <c r="B290">
        <f t="shared" si="19"/>
        <v>196.12176023552212</v>
      </c>
      <c r="C290">
        <f t="shared" si="19"/>
        <v>107.74093978654257</v>
      </c>
      <c r="D290">
        <v>17.395999908447269</v>
      </c>
      <c r="E290" s="604">
        <v>7549.2998046875</v>
      </c>
      <c r="F290" s="748">
        <f t="shared" si="16"/>
        <v>1.0577145103882968E-2</v>
      </c>
      <c r="G290" s="748">
        <f t="shared" si="16"/>
        <v>6.9012505428189819E-4</v>
      </c>
      <c r="H290" s="1067">
        <f t="shared" si="17"/>
        <v>9.8870200496010696E-3</v>
      </c>
      <c r="I290">
        <f t="shared" si="18"/>
        <v>88.380820448979549</v>
      </c>
    </row>
    <row r="291" spans="1:9" ht="20.100000000000001" customHeight="1">
      <c r="A291" s="563">
        <v>43523</v>
      </c>
      <c r="B291">
        <f t="shared" si="19"/>
        <v>198.19616855156218</v>
      </c>
      <c r="C291">
        <f t="shared" si="19"/>
        <v>107.81529450846114</v>
      </c>
      <c r="D291">
        <v>17.579999923706051</v>
      </c>
      <c r="E291" s="604">
        <v>7554.509765625</v>
      </c>
      <c r="F291" s="748">
        <f t="shared" si="16"/>
        <v>-1.2627993346629784E-2</v>
      </c>
      <c r="G291" s="748">
        <f t="shared" si="16"/>
        <v>-2.9095177782103576E-3</v>
      </c>
      <c r="H291" s="1067">
        <f t="shared" si="17"/>
        <v>-9.7184755684194268E-3</v>
      </c>
      <c r="I291">
        <f t="shared" si="18"/>
        <v>90.380874043101045</v>
      </c>
    </row>
    <row r="292" spans="1:9" ht="20.100000000000001" customHeight="1">
      <c r="A292" s="563">
        <v>43524</v>
      </c>
      <c r="B292">
        <f t="shared" si="19"/>
        <v>195.69334865376553</v>
      </c>
      <c r="C292">
        <f t="shared" si="19"/>
        <v>107.50160399232578</v>
      </c>
      <c r="D292">
        <v>17.357999801635739</v>
      </c>
      <c r="E292" s="604">
        <v>7532.52978515625</v>
      </c>
      <c r="F292" s="748">
        <f t="shared" si="16"/>
        <v>1.6130820514845823E-3</v>
      </c>
      <c r="G292" s="748">
        <f t="shared" si="16"/>
        <v>8.339869113268561E-3</v>
      </c>
      <c r="H292" s="1067">
        <f t="shared" si="17"/>
        <v>-6.7267870617839787E-3</v>
      </c>
      <c r="I292">
        <f t="shared" si="18"/>
        <v>88.191744661439742</v>
      </c>
    </row>
    <row r="293" spans="1:9" ht="20.100000000000001" customHeight="1">
      <c r="A293" s="563">
        <v>43525</v>
      </c>
      <c r="B293">
        <f t="shared" si="19"/>
        <v>196.00901808207382</v>
      </c>
      <c r="C293">
        <f t="shared" si="19"/>
        <v>108.39815329908821</v>
      </c>
      <c r="D293">
        <v>17.38599967956543</v>
      </c>
      <c r="E293" s="604">
        <v>7595.35009765625</v>
      </c>
      <c r="F293" s="748">
        <f t="shared" si="16"/>
        <v>-3.5775897392409051E-2</v>
      </c>
      <c r="G293" s="748">
        <f t="shared" si="16"/>
        <v>-2.3409419195813408E-3</v>
      </c>
      <c r="H293" s="1067">
        <f t="shared" si="17"/>
        <v>-3.343495547282771E-2</v>
      </c>
      <c r="I293">
        <f t="shared" si="18"/>
        <v>87.610864782985615</v>
      </c>
    </row>
    <row r="294" spans="1:9" ht="20.100000000000001" customHeight="1">
      <c r="A294" s="563">
        <v>43528</v>
      </c>
      <c r="B294">
        <f t="shared" si="19"/>
        <v>188.99661956318269</v>
      </c>
      <c r="C294">
        <f t="shared" si="19"/>
        <v>108.14439951802517</v>
      </c>
      <c r="D294">
        <v>16.76399993896484</v>
      </c>
      <c r="E294" s="604">
        <v>7577.56982421875</v>
      </c>
      <c r="F294" s="748">
        <f t="shared" si="16"/>
        <v>-2.386006223117465E-3</v>
      </c>
      <c r="G294" s="748">
        <f t="shared" si="16"/>
        <v>-1.5967664641414192E-4</v>
      </c>
      <c r="H294" s="1067">
        <f t="shared" si="17"/>
        <v>-2.2263295767033231E-3</v>
      </c>
      <c r="I294">
        <f t="shared" si="18"/>
        <v>80.852220045157523</v>
      </c>
    </row>
    <row r="295" spans="1:9" ht="20.100000000000001" customHeight="1">
      <c r="A295" s="563">
        <v>43529</v>
      </c>
      <c r="B295">
        <f t="shared" si="19"/>
        <v>188.54567245275678</v>
      </c>
      <c r="C295">
        <f t="shared" si="19"/>
        <v>108.12713138298166</v>
      </c>
      <c r="D295">
        <v>16.724000930786129</v>
      </c>
      <c r="E295" s="604">
        <v>7576.35986328125</v>
      </c>
      <c r="F295" s="748">
        <f t="shared" si="16"/>
        <v>-8.6104400302320361E-3</v>
      </c>
      <c r="G295" s="748">
        <f t="shared" si="16"/>
        <v>-9.2973331094839962E-3</v>
      </c>
      <c r="H295" s="1067">
        <f t="shared" si="17"/>
        <v>6.8689307925196008E-4</v>
      </c>
      <c r="I295">
        <f t="shared" si="18"/>
        <v>80.418541069775117</v>
      </c>
    </row>
    <row r="296" spans="1:9" ht="20.100000000000001" customHeight="1">
      <c r="A296" s="563">
        <v>43530</v>
      </c>
      <c r="B296">
        <f t="shared" si="19"/>
        <v>186.92221124714254</v>
      </c>
      <c r="C296">
        <f t="shared" si="19"/>
        <v>107.12183742434114</v>
      </c>
      <c r="D296">
        <v>16.579999923706051</v>
      </c>
      <c r="E296" s="604">
        <v>7505.919921875</v>
      </c>
      <c r="F296" s="748">
        <f t="shared" si="16"/>
        <v>-5.0663229297703838E-3</v>
      </c>
      <c r="G296" s="748">
        <f t="shared" si="16"/>
        <v>-1.1252446311257991E-2</v>
      </c>
      <c r="H296" s="1067">
        <f t="shared" si="17"/>
        <v>6.1861233814876071E-3</v>
      </c>
      <c r="I296">
        <f t="shared" si="18"/>
        <v>79.800373822801404</v>
      </c>
    </row>
    <row r="297" spans="1:9" ht="20.100000000000001" customHeight="1">
      <c r="A297" s="563">
        <v>43531</v>
      </c>
      <c r="B297">
        <f t="shared" si="19"/>
        <v>185.97520296221776</v>
      </c>
      <c r="C297">
        <f t="shared" si="19"/>
        <v>105.91645469996043</v>
      </c>
      <c r="D297">
        <v>16.496000289916989</v>
      </c>
      <c r="E297" s="604">
        <v>7421.4599609375</v>
      </c>
      <c r="F297" s="748">
        <f t="shared" si="16"/>
        <v>-2.1944683884372762E-2</v>
      </c>
      <c r="G297" s="748">
        <f t="shared" si="16"/>
        <v>-1.7947714181385521E-3</v>
      </c>
      <c r="H297" s="1067">
        <f t="shared" si="17"/>
        <v>-2.014991246623421E-2</v>
      </c>
      <c r="I297">
        <f t="shared" si="18"/>
        <v>80.058748262257339</v>
      </c>
    </row>
    <row r="298" spans="1:9" ht="20.100000000000001" customHeight="1">
      <c r="A298" s="563">
        <v>43532</v>
      </c>
      <c r="B298">
        <f t="shared" si="19"/>
        <v>181.89403592287982</v>
      </c>
      <c r="C298">
        <f t="shared" si="19"/>
        <v>105.72635887435437</v>
      </c>
      <c r="D298">
        <v>16.134000778198239</v>
      </c>
      <c r="E298" s="604">
        <v>7408.14013671875</v>
      </c>
      <c r="F298" s="748">
        <f t="shared" si="16"/>
        <v>2.3428680663110324E-2</v>
      </c>
      <c r="G298" s="748">
        <f t="shared" si="16"/>
        <v>2.0237187621750863E-2</v>
      </c>
      <c r="H298" s="1067">
        <f t="shared" si="17"/>
        <v>3.1914930413594611E-3</v>
      </c>
      <c r="I298">
        <f t="shared" si="18"/>
        <v>76.167677048525448</v>
      </c>
    </row>
    <row r="299" spans="1:9" ht="20.100000000000001" customHeight="1">
      <c r="A299" s="563">
        <v>43535</v>
      </c>
      <c r="B299">
        <f t="shared" si="19"/>
        <v>186.15557320504129</v>
      </c>
      <c r="C299">
        <f t="shared" si="19"/>
        <v>107.86596303545925</v>
      </c>
      <c r="D299">
        <v>16.51199913024902</v>
      </c>
      <c r="E299" s="604">
        <v>7558.06005859375</v>
      </c>
      <c r="F299" s="748">
        <f t="shared" si="16"/>
        <v>-1.9379596474219385E-3</v>
      </c>
      <c r="G299" s="748">
        <f t="shared" si="16"/>
        <v>4.3621943073888225E-3</v>
      </c>
      <c r="H299" s="1067">
        <f t="shared" si="17"/>
        <v>-6.300153954810761E-3</v>
      </c>
      <c r="I299">
        <f t="shared" si="18"/>
        <v>78.289610169582048</v>
      </c>
    </row>
    <row r="300" spans="1:9" ht="20.100000000000001" customHeight="1">
      <c r="A300" s="563">
        <v>43536</v>
      </c>
      <c r="B300">
        <f t="shared" si="19"/>
        <v>185.79481121602723</v>
      </c>
      <c r="C300">
        <f t="shared" si="19"/>
        <v>108.33649532537353</v>
      </c>
      <c r="D300">
        <v>16.479999542236332</v>
      </c>
      <c r="E300" s="604">
        <v>7591.02978515625</v>
      </c>
      <c r="F300" s="748">
        <f t="shared" si="16"/>
        <v>1.529131163322961E-2</v>
      </c>
      <c r="G300" s="748">
        <f t="shared" si="16"/>
        <v>6.9002984543911072E-3</v>
      </c>
      <c r="H300" s="1067">
        <f t="shared" si="17"/>
        <v>8.3910131788385023E-3</v>
      </c>
      <c r="I300">
        <f t="shared" si="18"/>
        <v>77.458315890653694</v>
      </c>
    </row>
    <row r="301" spans="1:9" ht="20.100000000000001" customHeight="1">
      <c r="A301" s="563">
        <v>43537</v>
      </c>
      <c r="B301">
        <f t="shared" si="19"/>
        <v>188.63585757416857</v>
      </c>
      <c r="C301">
        <f t="shared" si="19"/>
        <v>109.08404947662136</v>
      </c>
      <c r="D301">
        <v>16.732000350952148</v>
      </c>
      <c r="E301" s="604">
        <v>7643.41015625</v>
      </c>
      <c r="F301" s="748">
        <f t="shared" si="16"/>
        <v>8.6062094615750873E-3</v>
      </c>
      <c r="G301" s="748">
        <f t="shared" si="16"/>
        <v>-1.6353956865416963E-3</v>
      </c>
      <c r="H301" s="1067">
        <f t="shared" si="17"/>
        <v>1.0241605148116784E-2</v>
      </c>
      <c r="I301">
        <f t="shared" si="18"/>
        <v>79.551808097547209</v>
      </c>
    </row>
    <row r="302" spans="1:9" ht="20.100000000000001" customHeight="1">
      <c r="A302" s="563">
        <v>43538</v>
      </c>
      <c r="B302">
        <f t="shared" si="19"/>
        <v>190.25929727641571</v>
      </c>
      <c r="C302">
        <f t="shared" si="19"/>
        <v>108.90565389263679</v>
      </c>
      <c r="D302">
        <v>16.87599945068359</v>
      </c>
      <c r="E302" s="604">
        <v>7630.91015625</v>
      </c>
      <c r="F302" s="748">
        <f t="shared" si="16"/>
        <v>-1.3273230073992837E-2</v>
      </c>
      <c r="G302" s="748">
        <f t="shared" si="16"/>
        <v>7.5508199843052903E-3</v>
      </c>
      <c r="H302" s="1067">
        <f t="shared" si="17"/>
        <v>-2.0824050058298127E-2</v>
      </c>
      <c r="I302">
        <f t="shared" si="18"/>
        <v>81.353643383778916</v>
      </c>
    </row>
    <row r="303" spans="1:9" ht="20.100000000000001" customHeight="1">
      <c r="A303" s="563">
        <v>43539</v>
      </c>
      <c r="B303">
        <f t="shared" si="19"/>
        <v>187.73394184994964</v>
      </c>
      <c r="C303">
        <f t="shared" si="19"/>
        <v>109.72798088045315</v>
      </c>
      <c r="D303">
        <v>16.65200042724609</v>
      </c>
      <c r="E303" s="604">
        <v>7688.52978515625</v>
      </c>
      <c r="F303" s="748">
        <f t="shared" si="16"/>
        <v>1.5013211241031943E-2</v>
      </c>
      <c r="G303" s="748">
        <f t="shared" si="16"/>
        <v>3.3751830372823477E-3</v>
      </c>
      <c r="H303" s="1067">
        <f t="shared" si="17"/>
        <v>1.1638028203749595E-2</v>
      </c>
      <c r="I303">
        <f t="shared" si="18"/>
        <v>78.005960969496499</v>
      </c>
    </row>
    <row r="304" spans="1:9" ht="20.100000000000001" customHeight="1">
      <c r="A304" s="563">
        <v>43542</v>
      </c>
      <c r="B304">
        <f t="shared" si="19"/>
        <v>190.55243117605454</v>
      </c>
      <c r="C304">
        <f t="shared" si="19"/>
        <v>110.09833290023609</v>
      </c>
      <c r="D304">
        <v>16.90200042724609</v>
      </c>
      <c r="E304" s="604">
        <v>7714.47998046875</v>
      </c>
      <c r="F304" s="748">
        <f t="shared" si="16"/>
        <v>9.5845902664963845E-3</v>
      </c>
      <c r="G304" s="748">
        <f t="shared" si="16"/>
        <v>1.2275895287467975E-3</v>
      </c>
      <c r="H304" s="1067">
        <f t="shared" si="17"/>
        <v>8.357000737749587E-3</v>
      </c>
      <c r="I304">
        <f t="shared" si="18"/>
        <v>80.454098275818453</v>
      </c>
    </row>
    <row r="305" spans="1:9" ht="20.100000000000001" customHeight="1">
      <c r="A305" s="563">
        <v>43543</v>
      </c>
      <c r="B305">
        <f t="shared" si="19"/>
        <v>192.37879815316177</v>
      </c>
      <c r="C305">
        <f t="shared" si="19"/>
        <v>110.2334884608369</v>
      </c>
      <c r="D305">
        <v>17.063999176025391</v>
      </c>
      <c r="E305" s="604">
        <v>7723.9501953125</v>
      </c>
      <c r="F305" s="748">
        <f t="shared" si="16"/>
        <v>3.2818604027295972E-3</v>
      </c>
      <c r="G305" s="748">
        <f t="shared" si="16"/>
        <v>6.4992903945659819E-4</v>
      </c>
      <c r="H305" s="1067">
        <f t="shared" si="17"/>
        <v>2.631931363272999E-3</v>
      </c>
      <c r="I305">
        <f t="shared" si="18"/>
        <v>82.145309692324872</v>
      </c>
    </row>
    <row r="306" spans="1:9" ht="20.100000000000001" customHeight="1">
      <c r="A306" s="563">
        <v>43544</v>
      </c>
      <c r="B306">
        <f t="shared" si="19"/>
        <v>193.01015851314534</v>
      </c>
      <c r="C306">
        <f t="shared" si="19"/>
        <v>110.3051324061082</v>
      </c>
      <c r="D306">
        <v>17.120000839233398</v>
      </c>
      <c r="E306" s="604">
        <v>7728.97021484375</v>
      </c>
      <c r="F306" s="748">
        <f t="shared" si="16"/>
        <v>3.1541996595070954E-2</v>
      </c>
      <c r="G306" s="748">
        <f t="shared" si="16"/>
        <v>1.4230840983513016E-2</v>
      </c>
      <c r="H306" s="1067">
        <f t="shared" si="17"/>
        <v>1.7311155611557938E-2</v>
      </c>
      <c r="I306">
        <f t="shared" si="18"/>
        <v>82.705026107037142</v>
      </c>
    </row>
    <row r="307" spans="1:9" ht="20.100000000000001" customHeight="1">
      <c r="A307" s="563">
        <v>43545</v>
      </c>
      <c r="B307">
        <f t="shared" si="19"/>
        <v>199.09808427578108</v>
      </c>
      <c r="C307">
        <f t="shared" si="19"/>
        <v>111.87486720504488</v>
      </c>
      <c r="D307">
        <v>17.659999847412109</v>
      </c>
      <c r="E307" s="604">
        <v>7838.9599609375</v>
      </c>
      <c r="F307" s="748">
        <f t="shared" si="16"/>
        <v>-3.5220823667885703E-2</v>
      </c>
      <c r="G307" s="748">
        <f t="shared" si="16"/>
        <v>-2.50403165777906E-2</v>
      </c>
      <c r="H307" s="1067">
        <f t="shared" si="17"/>
        <v>-1.0180507090095103E-2</v>
      </c>
      <c r="I307">
        <f t="shared" si="18"/>
        <v>87.223217070736197</v>
      </c>
    </row>
    <row r="308" spans="1:9" ht="20.100000000000001" customHeight="1">
      <c r="A308" s="563">
        <v>43546</v>
      </c>
      <c r="B308">
        <f t="shared" si="19"/>
        <v>192.08568575688994</v>
      </c>
      <c r="C308">
        <f t="shared" si="19"/>
        <v>109.07348511313228</v>
      </c>
      <c r="D308">
        <v>17.03800010681152</v>
      </c>
      <c r="E308" s="604">
        <v>7642.669921875</v>
      </c>
      <c r="F308" s="748">
        <f t="shared" si="16"/>
        <v>-1.9955626549688077E-3</v>
      </c>
      <c r="G308" s="748">
        <f t="shared" si="16"/>
        <v>-6.7121606257225519E-4</v>
      </c>
      <c r="H308" s="1067">
        <f t="shared" si="17"/>
        <v>-1.3243465923965525E-3</v>
      </c>
      <c r="I308">
        <f t="shared" si="18"/>
        <v>83.012200643757666</v>
      </c>
    </row>
    <row r="309" spans="1:9" ht="20.100000000000001" customHeight="1">
      <c r="A309" s="563">
        <v>43549</v>
      </c>
      <c r="B309">
        <f t="shared" si="19"/>
        <v>191.70236673583943</v>
      </c>
      <c r="C309">
        <f t="shared" si="19"/>
        <v>109.00027323792361</v>
      </c>
      <c r="D309">
        <v>17.003999710083011</v>
      </c>
      <c r="E309" s="604">
        <v>7637.5400390625</v>
      </c>
      <c r="F309" s="748">
        <f t="shared" si="16"/>
        <v>-2.1171076634612929E-3</v>
      </c>
      <c r="G309" s="748">
        <f t="shared" si="16"/>
        <v>7.0677181648366449E-3</v>
      </c>
      <c r="H309" s="1067">
        <f t="shared" si="17"/>
        <v>-9.1848258282979378E-3</v>
      </c>
      <c r="I309">
        <f t="shared" si="18"/>
        <v>82.702093497915826</v>
      </c>
    </row>
    <row r="310" spans="1:9" ht="20.100000000000001" customHeight="1">
      <c r="A310" s="563">
        <v>43550</v>
      </c>
      <c r="B310">
        <f t="shared" si="19"/>
        <v>191.29651218611932</v>
      </c>
      <c r="C310">
        <f t="shared" si="19"/>
        <v>109.77065644905944</v>
      </c>
      <c r="D310">
        <v>16.968000411987301</v>
      </c>
      <c r="E310" s="604">
        <v>7691.52001953125</v>
      </c>
      <c r="F310" s="748">
        <f t="shared" si="16"/>
        <v>-3.5478617136303625E-2</v>
      </c>
      <c r="G310" s="748">
        <f t="shared" si="16"/>
        <v>-6.2588586646731281E-3</v>
      </c>
      <c r="H310" s="1067">
        <f t="shared" si="17"/>
        <v>-2.9219758471630497E-2</v>
      </c>
      <c r="I310">
        <f t="shared" si="18"/>
        <v>81.525855737059871</v>
      </c>
    </row>
    <row r="311" spans="1:9" ht="20.100000000000001" customHeight="1">
      <c r="A311" s="563">
        <v>43551</v>
      </c>
      <c r="B311">
        <f t="shared" si="19"/>
        <v>184.50957647075774</v>
      </c>
      <c r="C311">
        <f t="shared" si="19"/>
        <v>109.0836174248164</v>
      </c>
      <c r="D311">
        <v>16.365999221801761</v>
      </c>
      <c r="E311" s="604">
        <v>7643.3798828125</v>
      </c>
      <c r="F311" s="748">
        <f t="shared" si="16"/>
        <v>6.3546435596908424E-3</v>
      </c>
      <c r="G311" s="748">
        <f t="shared" si="16"/>
        <v>3.3741668552276227E-3</v>
      </c>
      <c r="H311" s="1067">
        <f t="shared" si="17"/>
        <v>2.9804767044632197E-3</v>
      </c>
      <c r="I311">
        <f t="shared" si="18"/>
        <v>75.42595904594134</v>
      </c>
    </row>
    <row r="312" spans="1:9" ht="20.100000000000001" customHeight="1">
      <c r="A312" s="563">
        <v>43552</v>
      </c>
      <c r="B312">
        <f t="shared" si="19"/>
        <v>185.68206906257893</v>
      </c>
      <c r="C312">
        <f t="shared" si="19"/>
        <v>109.45168375117954</v>
      </c>
      <c r="D312">
        <v>16.469999313354489</v>
      </c>
      <c r="E312" s="604">
        <v>7669.169921875</v>
      </c>
      <c r="F312" s="748">
        <f t="shared" si="16"/>
        <v>1.9672211643211757E-2</v>
      </c>
      <c r="G312" s="748">
        <f t="shared" si="16"/>
        <v>7.8430785804057823E-3</v>
      </c>
      <c r="H312" s="1067">
        <f t="shared" si="17"/>
        <v>1.1829133062805974E-2</v>
      </c>
      <c r="I312">
        <f t="shared" si="18"/>
        <v>76.230385311399388</v>
      </c>
    </row>
    <row r="313" spans="1:9" ht="20.100000000000001" customHeight="1">
      <c r="A313" s="563">
        <v>43553</v>
      </c>
      <c r="B313">
        <f t="shared" si="19"/>
        <v>189.33484602352746</v>
      </c>
      <c r="C313">
        <f t="shared" si="19"/>
        <v>110.31012190759778</v>
      </c>
      <c r="D313">
        <v>16.794000625610352</v>
      </c>
      <c r="E313" s="604">
        <v>7729.31982421875</v>
      </c>
      <c r="F313" s="748">
        <f t="shared" si="16"/>
        <v>1.4886268351018028E-2</v>
      </c>
      <c r="G313" s="748">
        <f t="shared" si="16"/>
        <v>1.288474720882915E-2</v>
      </c>
      <c r="H313" s="1067">
        <f t="shared" si="17"/>
        <v>2.0015211421888779E-3</v>
      </c>
      <c r="I313">
        <f t="shared" si="18"/>
        <v>79.024724115929686</v>
      </c>
    </row>
    <row r="314" spans="1:9" ht="20.100000000000001" customHeight="1">
      <c r="A314" s="563">
        <v>43556</v>
      </c>
      <c r="B314">
        <f t="shared" si="19"/>
        <v>192.15333534963236</v>
      </c>
      <c r="C314">
        <f t="shared" si="19"/>
        <v>111.73143994295229</v>
      </c>
      <c r="D314">
        <v>17.044000625610352</v>
      </c>
      <c r="E314" s="604">
        <v>7828.91015625</v>
      </c>
      <c r="F314" s="748">
        <f t="shared" si="16"/>
        <v>4.8110081004120175E-3</v>
      </c>
      <c r="G314" s="748">
        <f t="shared" si="16"/>
        <v>2.5265055750396392E-3</v>
      </c>
      <c r="H314" s="1067">
        <f t="shared" si="17"/>
        <v>2.2845025253723783E-3</v>
      </c>
      <c r="I314">
        <f t="shared" si="18"/>
        <v>80.421895406680065</v>
      </c>
    </row>
    <row r="315" spans="1:9" ht="20.100000000000001" customHeight="1">
      <c r="A315" s="563">
        <v>43557</v>
      </c>
      <c r="B315">
        <f t="shared" si="19"/>
        <v>193.07778660252063</v>
      </c>
      <c r="C315">
        <f t="shared" si="19"/>
        <v>112.01373004887537</v>
      </c>
      <c r="D315">
        <v>17.12599945068359</v>
      </c>
      <c r="E315" s="604">
        <v>7848.68994140625</v>
      </c>
      <c r="F315" s="748">
        <f t="shared" si="16"/>
        <v>2.1721344886866722E-2</v>
      </c>
      <c r="G315" s="748">
        <f t="shared" si="16"/>
        <v>5.9704057149765344E-3</v>
      </c>
      <c r="H315" s="1067">
        <f t="shared" si="17"/>
        <v>1.5750939171890188E-2</v>
      </c>
      <c r="I315">
        <f t="shared" si="18"/>
        <v>81.064056553645258</v>
      </c>
    </row>
    <row r="316" spans="1:9" ht="20.100000000000001" customHeight="1">
      <c r="A316" s="563">
        <v>43558</v>
      </c>
      <c r="B316">
        <f t="shared" si="19"/>
        <v>197.27169579530684</v>
      </c>
      <c r="C316">
        <f t="shared" si="19"/>
        <v>112.68249746291502</v>
      </c>
      <c r="D316">
        <v>17.49799919128418</v>
      </c>
      <c r="E316" s="604">
        <v>7895.5498046875</v>
      </c>
      <c r="F316" s="748">
        <f t="shared" si="16"/>
        <v>-4.5605124312853795E-2</v>
      </c>
      <c r="G316" s="748">
        <f t="shared" si="16"/>
        <v>-4.7748663798075075E-4</v>
      </c>
      <c r="H316" s="1067">
        <f t="shared" si="17"/>
        <v>-4.5127637674873045E-2</v>
      </c>
      <c r="I316">
        <f t="shared" si="18"/>
        <v>84.589198332391817</v>
      </c>
    </row>
    <row r="317" spans="1:9" ht="20.100000000000001" customHeight="1">
      <c r="A317" s="563">
        <v>43559</v>
      </c>
      <c r="B317">
        <f t="shared" si="19"/>
        <v>188.27509558515439</v>
      </c>
      <c r="C317">
        <f t="shared" si="19"/>
        <v>112.62869307604218</v>
      </c>
      <c r="D317">
        <v>16.70000076293945</v>
      </c>
      <c r="E317" s="604">
        <v>7891.77978515625</v>
      </c>
      <c r="F317" s="748">
        <f t="shared" si="16"/>
        <v>7.3053733549119926E-3</v>
      </c>
      <c r="G317" s="748">
        <f t="shared" si="16"/>
        <v>5.9441795801542519E-3</v>
      </c>
      <c r="H317" s="1067">
        <f t="shared" si="17"/>
        <v>1.3611937747577407E-3</v>
      </c>
      <c r="I317">
        <f t="shared" si="18"/>
        <v>75.646402509112207</v>
      </c>
    </row>
    <row r="318" spans="1:9" ht="20.100000000000001" customHeight="1">
      <c r="A318" s="563">
        <v>43560</v>
      </c>
      <c r="B318">
        <f t="shared" si="19"/>
        <v>189.65051545183567</v>
      </c>
      <c r="C318">
        <f t="shared" si="19"/>
        <v>113.29817825356426</v>
      </c>
      <c r="D318">
        <v>16.822000503540039</v>
      </c>
      <c r="E318" s="604">
        <v>7938.68994140625</v>
      </c>
      <c r="F318" s="748">
        <f t="shared" si="16"/>
        <v>2.3421655447491307E-2</v>
      </c>
      <c r="G318" s="748">
        <f t="shared" si="16"/>
        <v>1.91340655931449E-3</v>
      </c>
      <c r="H318" s="1067">
        <f t="shared" si="17"/>
        <v>2.1508248888176817E-2</v>
      </c>
      <c r="I318">
        <f t="shared" si="18"/>
        <v>76.352337198271414</v>
      </c>
    </row>
    <row r="319" spans="1:9" ht="20.100000000000001" customHeight="1">
      <c r="A319" s="563">
        <v>43563</v>
      </c>
      <c r="B319">
        <f t="shared" si="19"/>
        <v>194.09244448018771</v>
      </c>
      <c r="C319">
        <f t="shared" si="19"/>
        <v>113.51496373099302</v>
      </c>
      <c r="D319">
        <v>17.215999603271481</v>
      </c>
      <c r="E319" s="604">
        <v>7953.8798828125</v>
      </c>
      <c r="F319" s="748">
        <f t="shared" si="16"/>
        <v>1.4289050626502764E-2</v>
      </c>
      <c r="G319" s="748">
        <f t="shared" si="16"/>
        <v>-5.6073385961770139E-3</v>
      </c>
      <c r="H319" s="1067">
        <f t="shared" si="17"/>
        <v>1.9896389222679778E-2</v>
      </c>
      <c r="I319">
        <f t="shared" si="18"/>
        <v>80.577480749194692</v>
      </c>
    </row>
    <row r="320" spans="1:9" ht="20.100000000000001" customHeight="1">
      <c r="A320" s="563">
        <v>43564</v>
      </c>
      <c r="B320">
        <f t="shared" si="19"/>
        <v>196.86584124558678</v>
      </c>
      <c r="C320">
        <f t="shared" si="19"/>
        <v>112.87844689362059</v>
      </c>
      <c r="D320">
        <v>17.46199989318848</v>
      </c>
      <c r="E320" s="604">
        <v>7909.27978515625</v>
      </c>
      <c r="F320" s="748">
        <f t="shared" si="16"/>
        <v>2.6457444508900974E-2</v>
      </c>
      <c r="G320" s="748">
        <f t="shared" si="16"/>
        <v>6.9488563701964878E-3</v>
      </c>
      <c r="H320" s="1067">
        <f t="shared" si="17"/>
        <v>1.9508588138704486E-2</v>
      </c>
      <c r="I320">
        <f t="shared" si="18"/>
        <v>83.987394351966188</v>
      </c>
    </row>
    <row r="321" spans="1:9" ht="20.100000000000001" customHeight="1">
      <c r="A321" s="563">
        <v>43565</v>
      </c>
      <c r="B321">
        <f t="shared" si="19"/>
        <v>202.07440831604001</v>
      </c>
      <c r="C321">
        <f t="shared" si="19"/>
        <v>113.66282300837521</v>
      </c>
      <c r="D321">
        <v>17.92399978637695</v>
      </c>
      <c r="E321" s="604">
        <v>7964.240234375</v>
      </c>
      <c r="F321" s="748">
        <f t="shared" si="16"/>
        <v>6.6955131336143836E-4</v>
      </c>
      <c r="G321" s="748">
        <f t="shared" si="16"/>
        <v>-2.1195205816232354E-3</v>
      </c>
      <c r="H321" s="1067">
        <f t="shared" si="17"/>
        <v>2.7890718949846738E-3</v>
      </c>
      <c r="I321">
        <f t="shared" si="18"/>
        <v>88.411585307664794</v>
      </c>
    </row>
    <row r="322" spans="1:9" ht="20.100000000000001" customHeight="1">
      <c r="A322" s="563">
        <v>43566</v>
      </c>
      <c r="B322">
        <f t="shared" si="19"/>
        <v>202.20970750152475</v>
      </c>
      <c r="C322">
        <f t="shared" si="19"/>
        <v>113.42191231564357</v>
      </c>
      <c r="D322">
        <v>17.936000823974609</v>
      </c>
      <c r="E322" s="604">
        <v>7947.35986328125</v>
      </c>
      <c r="F322" s="748">
        <f t="shared" si="16"/>
        <v>3.3786739801544785E-2</v>
      </c>
      <c r="G322" s="748">
        <f t="shared" si="16"/>
        <v>4.6305054259310197E-3</v>
      </c>
      <c r="H322" s="1067">
        <f t="shared" si="17"/>
        <v>2.9156234375613765E-2</v>
      </c>
      <c r="I322">
        <f t="shared" si="18"/>
        <v>88.78779518588118</v>
      </c>
    </row>
    <row r="323" spans="1:9" ht="20.100000000000001" customHeight="1">
      <c r="A323" s="563">
        <v>43567</v>
      </c>
      <c r="B323">
        <f t="shared" si="19"/>
        <v>209.04171427422523</v>
      </c>
      <c r="C323">
        <f t="shared" si="19"/>
        <v>113.94711309604062</v>
      </c>
      <c r="D323">
        <v>18.541999816894531</v>
      </c>
      <c r="E323" s="604">
        <v>7984.16015625</v>
      </c>
      <c r="F323" s="748">
        <f t="shared" ref="F323:G386" si="20">D324/D323-1</f>
        <v>2.7073714468405008E-2</v>
      </c>
      <c r="G323" s="748">
        <f t="shared" si="20"/>
        <v>-1.0208200318502225E-3</v>
      </c>
      <c r="H323" s="1067">
        <f t="shared" ref="H323:H386" si="21">F323-G323</f>
        <v>2.809453450025523E-2</v>
      </c>
      <c r="I323">
        <f t="shared" ref="I323:I386" si="22">B323-C323</f>
        <v>95.094601178184604</v>
      </c>
    </row>
    <row r="324" spans="1:9" ht="20.100000000000001" customHeight="1">
      <c r="A324" s="563">
        <v>43570</v>
      </c>
      <c r="B324">
        <f t="shared" ref="B324:C387" si="23">B323*(1+F323)</f>
        <v>214.70124995847149</v>
      </c>
      <c r="C324">
        <f t="shared" si="23"/>
        <v>113.83079360042068</v>
      </c>
      <c r="D324">
        <v>19.044000625610352</v>
      </c>
      <c r="E324" s="604">
        <v>7976.009765625</v>
      </c>
      <c r="F324" s="748">
        <f t="shared" si="20"/>
        <v>-1.2287395084060626E-2</v>
      </c>
      <c r="G324" s="748">
        <f t="shared" si="20"/>
        <v>3.0366330477846759E-3</v>
      </c>
      <c r="H324" s="1067">
        <f t="shared" si="21"/>
        <v>-1.5324028131845302E-2</v>
      </c>
      <c r="I324">
        <f t="shared" si="22"/>
        <v>100.87045635805082</v>
      </c>
    </row>
    <row r="325" spans="1:9" ht="20.100000000000001" customHeight="1">
      <c r="A325" s="563">
        <v>43571</v>
      </c>
      <c r="B325">
        <f t="shared" si="23"/>
        <v>212.0631308751901</v>
      </c>
      <c r="C325">
        <f t="shared" si="23"/>
        <v>114.17645595012327</v>
      </c>
      <c r="D325">
        <v>18.809999465942379</v>
      </c>
      <c r="E325" s="604">
        <v>8000.22998046875</v>
      </c>
      <c r="F325" s="748">
        <f t="shared" si="20"/>
        <v>-1.7862761546836414E-2</v>
      </c>
      <c r="G325" s="748">
        <f t="shared" si="20"/>
        <v>-5.1872288095233809E-4</v>
      </c>
      <c r="H325" s="1067">
        <f t="shared" si="21"/>
        <v>-1.7344038665884076E-2</v>
      </c>
      <c r="I325">
        <f t="shared" si="22"/>
        <v>97.886674925066828</v>
      </c>
    </row>
    <row r="326" spans="1:9" ht="20.100000000000001" customHeight="1">
      <c r="A326" s="563">
        <v>43572</v>
      </c>
      <c r="B326">
        <f t="shared" si="23"/>
        <v>208.27509773549102</v>
      </c>
      <c r="C326">
        <f t="shared" si="23"/>
        <v>114.11723000995589</v>
      </c>
      <c r="D326">
        <v>18.474000930786129</v>
      </c>
      <c r="E326" s="604">
        <v>7996.080078125</v>
      </c>
      <c r="F326" s="748">
        <f t="shared" si="20"/>
        <v>-1.3965644392964216E-2</v>
      </c>
      <c r="G326" s="748">
        <f t="shared" si="20"/>
        <v>2.476188894313669E-4</v>
      </c>
      <c r="H326" s="1067">
        <f t="shared" si="21"/>
        <v>-1.4213263282395583E-2</v>
      </c>
      <c r="I326">
        <f t="shared" si="22"/>
        <v>94.157867725535127</v>
      </c>
    </row>
    <row r="327" spans="1:9" ht="20.100000000000001" customHeight="1">
      <c r="A327" s="563">
        <v>43573</v>
      </c>
      <c r="B327">
        <f t="shared" si="23"/>
        <v>205.36640178460729</v>
      </c>
      <c r="C327">
        <f t="shared" si="23"/>
        <v>114.14548759171593</v>
      </c>
      <c r="D327">
        <v>18.215999603271481</v>
      </c>
      <c r="E327" s="604">
        <v>7998.06005859375</v>
      </c>
      <c r="F327" s="748">
        <f t="shared" si="20"/>
        <v>5.3798624773964132E-3</v>
      </c>
      <c r="G327" s="748">
        <f t="shared" si="20"/>
        <v>2.1517669049018195E-3</v>
      </c>
      <c r="H327" s="1067">
        <f t="shared" si="21"/>
        <v>3.2280955724945937E-3</v>
      </c>
      <c r="I327">
        <f t="shared" si="22"/>
        <v>91.220914192891357</v>
      </c>
    </row>
    <row r="328" spans="1:9" ht="20.100000000000001" customHeight="1">
      <c r="A328" s="563">
        <v>43577</v>
      </c>
      <c r="B328">
        <f t="shared" si="23"/>
        <v>206.47124478368622</v>
      </c>
      <c r="C328">
        <f t="shared" si="23"/>
        <v>114.39110207425966</v>
      </c>
      <c r="D328">
        <v>18.313999176025391</v>
      </c>
      <c r="E328" s="604">
        <v>8015.27001953125</v>
      </c>
      <c r="F328" s="748">
        <f t="shared" si="20"/>
        <v>4.5867393751803931E-3</v>
      </c>
      <c r="G328" s="748">
        <f t="shared" si="20"/>
        <v>1.3168590007610614E-2</v>
      </c>
      <c r="H328" s="1067">
        <f t="shared" si="21"/>
        <v>-8.5818506324302213E-3</v>
      </c>
      <c r="I328">
        <f t="shared" si="22"/>
        <v>92.080142709426553</v>
      </c>
    </row>
    <row r="329" spans="1:9" ht="20.100000000000001" customHeight="1">
      <c r="A329" s="563">
        <v>43578</v>
      </c>
      <c r="B329">
        <f t="shared" si="23"/>
        <v>207.41827457197806</v>
      </c>
      <c r="C329">
        <f t="shared" si="23"/>
        <v>115.89747159799433</v>
      </c>
      <c r="D329">
        <v>18.398000717163089</v>
      </c>
      <c r="E329" s="604">
        <v>8120.81982421875</v>
      </c>
      <c r="F329" s="748">
        <f t="shared" si="20"/>
        <v>2.9350443003939297E-3</v>
      </c>
      <c r="G329" s="748">
        <f t="shared" si="20"/>
        <v>-2.316275819548741E-3</v>
      </c>
      <c r="H329" s="1067">
        <f t="shared" si="21"/>
        <v>5.2513201199426707E-3</v>
      </c>
      <c r="I329">
        <f t="shared" si="22"/>
        <v>91.520802973983734</v>
      </c>
    </row>
    <row r="330" spans="1:9" ht="20.100000000000001" customHeight="1">
      <c r="A330" s="563">
        <v>43579</v>
      </c>
      <c r="B330">
        <f t="shared" si="23"/>
        <v>208.02705639655809</v>
      </c>
      <c r="C330">
        <f t="shared" si="23"/>
        <v>115.62902108698505</v>
      </c>
      <c r="D330">
        <v>18.451999664306641</v>
      </c>
      <c r="E330" s="604">
        <v>8102.009765625</v>
      </c>
      <c r="F330" s="748">
        <f t="shared" si="20"/>
        <v>6.93693159159392E-3</v>
      </c>
      <c r="G330" s="748">
        <f t="shared" si="20"/>
        <v>2.05756480657171E-3</v>
      </c>
      <c r="H330" s="1067">
        <f t="shared" si="21"/>
        <v>4.87936678502221E-3</v>
      </c>
      <c r="I330">
        <f t="shared" si="22"/>
        <v>92.398035309573046</v>
      </c>
    </row>
    <row r="331" spans="1:9" ht="20.100000000000001" customHeight="1">
      <c r="A331" s="563">
        <v>43580</v>
      </c>
      <c r="B331">
        <f t="shared" si="23"/>
        <v>209.47012585598168</v>
      </c>
      <c r="C331">
        <f t="shared" si="23"/>
        <v>115.86693529139197</v>
      </c>
      <c r="D331">
        <v>18.579999923706051</v>
      </c>
      <c r="E331" s="604">
        <v>8118.68017578125</v>
      </c>
      <c r="F331" s="748">
        <f t="shared" si="20"/>
        <v>1.2917205567939405E-3</v>
      </c>
      <c r="G331" s="748">
        <f t="shared" si="20"/>
        <v>3.414314391296136E-3</v>
      </c>
      <c r="H331" s="1067">
        <f t="shared" si="21"/>
        <v>-2.1225938345021955E-3</v>
      </c>
      <c r="I331">
        <f t="shared" si="22"/>
        <v>93.60319056458971</v>
      </c>
    </row>
    <row r="332" spans="1:9" ht="20.100000000000001" customHeight="1">
      <c r="A332" s="563">
        <v>43581</v>
      </c>
      <c r="B332">
        <f t="shared" si="23"/>
        <v>209.74070272358406</v>
      </c>
      <c r="C332">
        <f t="shared" si="23"/>
        <v>116.26254143603275</v>
      </c>
      <c r="D332">
        <v>18.604000091552731</v>
      </c>
      <c r="E332" s="604">
        <v>8146.39990234375</v>
      </c>
      <c r="F332" s="748">
        <f t="shared" si="20"/>
        <v>1.0754723209926986E-4</v>
      </c>
      <c r="G332" s="748">
        <f t="shared" si="20"/>
        <v>1.8965672564215108E-3</v>
      </c>
      <c r="H332" s="1067">
        <f t="shared" si="21"/>
        <v>-1.7890200243222409E-3</v>
      </c>
      <c r="I332">
        <f t="shared" si="22"/>
        <v>93.478161287551316</v>
      </c>
    </row>
    <row r="333" spans="1:9" ht="20.100000000000001" customHeight="1">
      <c r="A333" s="563">
        <v>43584</v>
      </c>
      <c r="B333">
        <f t="shared" si="23"/>
        <v>209.76325975562054</v>
      </c>
      <c r="C333">
        <f t="shared" si="23"/>
        <v>116.48304116526867</v>
      </c>
      <c r="D333">
        <v>18.606000900268551</v>
      </c>
      <c r="E333" s="604">
        <v>8161.85009765625</v>
      </c>
      <c r="F333" s="748">
        <f t="shared" si="20"/>
        <v>4.1921482971181145E-3</v>
      </c>
      <c r="G333" s="748">
        <f t="shared" si="20"/>
        <v>-8.1427568679047768E-3</v>
      </c>
      <c r="H333" s="1067">
        <f t="shared" si="21"/>
        <v>1.2334905165022891E-2</v>
      </c>
      <c r="I333">
        <f t="shared" si="22"/>
        <v>93.280218590351865</v>
      </c>
    </row>
    <row r="334" spans="1:9" ht="20.100000000000001" customHeight="1">
      <c r="A334" s="563">
        <v>43585</v>
      </c>
      <c r="B334">
        <f t="shared" si="23"/>
        <v>210.64261844780302</v>
      </c>
      <c r="C334">
        <f t="shared" si="23"/>
        <v>115.53454808182575</v>
      </c>
      <c r="D334">
        <v>18.684000015258789</v>
      </c>
      <c r="E334" s="604">
        <v>8095.39013671875</v>
      </c>
      <c r="F334" s="748">
        <f t="shared" si="20"/>
        <v>-1.6377636245422544E-2</v>
      </c>
      <c r="G334" s="748">
        <f t="shared" si="20"/>
        <v>-5.6513644465989721E-3</v>
      </c>
      <c r="H334" s="1067">
        <f t="shared" si="21"/>
        <v>-1.0726271798823572E-2</v>
      </c>
      <c r="I334">
        <f t="shared" si="22"/>
        <v>95.108070365977269</v>
      </c>
    </row>
    <row r="335" spans="1:9" ht="20.100000000000001" customHeight="1">
      <c r="A335" s="563">
        <v>43586</v>
      </c>
      <c r="B335">
        <f t="shared" si="23"/>
        <v>207.19279026508156</v>
      </c>
      <c r="C335">
        <f t="shared" si="23"/>
        <v>114.88162024444223</v>
      </c>
      <c r="D335">
        <v>18.378000259399411</v>
      </c>
      <c r="E335" s="604">
        <v>8049.64013671875</v>
      </c>
      <c r="F335" s="748">
        <f t="shared" si="20"/>
        <v>-4.1353908232845127E-3</v>
      </c>
      <c r="G335" s="748">
        <f t="shared" si="20"/>
        <v>-1.5988437953632362E-3</v>
      </c>
      <c r="H335" s="1067">
        <f t="shared" si="21"/>
        <v>-2.5365470279212765E-3</v>
      </c>
      <c r="I335">
        <f t="shared" si="22"/>
        <v>92.311170020639324</v>
      </c>
    </row>
    <row r="336" spans="1:9" ht="20.100000000000001" customHeight="1">
      <c r="A336" s="563">
        <v>43587</v>
      </c>
      <c r="B336">
        <f t="shared" si="23"/>
        <v>206.33596710156863</v>
      </c>
      <c r="C336">
        <f t="shared" si="23"/>
        <v>114.69794247871313</v>
      </c>
      <c r="D336">
        <v>18.302000045776371</v>
      </c>
      <c r="E336" s="604">
        <v>8036.77001953125</v>
      </c>
      <c r="F336" s="748">
        <f t="shared" si="20"/>
        <v>-6.0649142584158655E-2</v>
      </c>
      <c r="G336" s="748">
        <f t="shared" si="20"/>
        <v>1.5830984358087941E-2</v>
      </c>
      <c r="H336" s="1067">
        <f t="shared" si="21"/>
        <v>-7.6480126942246596E-2</v>
      </c>
      <c r="I336">
        <f t="shared" si="22"/>
        <v>91.638024622855497</v>
      </c>
    </row>
    <row r="337" spans="1:9" ht="20.100000000000001" customHeight="1">
      <c r="A337" s="563">
        <v>43588</v>
      </c>
      <c r="B337">
        <f t="shared" si="23"/>
        <v>193.82186761258532</v>
      </c>
      <c r="C337">
        <f t="shared" si="23"/>
        <v>116.5137238119985</v>
      </c>
      <c r="D337">
        <v>17.191999435424801</v>
      </c>
      <c r="E337" s="604">
        <v>8164</v>
      </c>
      <c r="F337" s="748">
        <f t="shared" si="20"/>
        <v>-1.1051572414403465E-2</v>
      </c>
      <c r="G337" s="748">
        <f t="shared" si="20"/>
        <v>-4.9865214279152248E-3</v>
      </c>
      <c r="H337" s="1067">
        <f t="shared" si="21"/>
        <v>-6.0650509864882407E-3</v>
      </c>
      <c r="I337">
        <f t="shared" si="22"/>
        <v>77.308143800586819</v>
      </c>
    </row>
    <row r="338" spans="1:9" ht="20.100000000000001" customHeight="1">
      <c r="A338" s="563">
        <v>43591</v>
      </c>
      <c r="B338">
        <f t="shared" si="23"/>
        <v>191.67983120716991</v>
      </c>
      <c r="C338">
        <f t="shared" si="23"/>
        <v>115.93272563156377</v>
      </c>
      <c r="D338">
        <v>17.00200080871582</v>
      </c>
      <c r="E338" s="604">
        <v>8123.2900390625</v>
      </c>
      <c r="F338" s="748">
        <f t="shared" si="20"/>
        <v>-3.7995522745541077E-2</v>
      </c>
      <c r="G338" s="748">
        <f t="shared" si="20"/>
        <v>-1.9638628273811021E-2</v>
      </c>
      <c r="H338" s="1067">
        <f t="shared" si="21"/>
        <v>-1.8356894471730056E-2</v>
      </c>
      <c r="I338">
        <f t="shared" si="22"/>
        <v>75.747105575606142</v>
      </c>
    </row>
    <row r="339" spans="1:9" ht="20.100000000000001" customHeight="1">
      <c r="A339" s="563">
        <v>43592</v>
      </c>
      <c r="B339">
        <f t="shared" si="23"/>
        <v>184.39685582067642</v>
      </c>
      <c r="C339">
        <f t="shared" si="23"/>
        <v>113.65596592811576</v>
      </c>
      <c r="D339">
        <v>16.356000900268551</v>
      </c>
      <c r="E339" s="604">
        <v>7963.759765625</v>
      </c>
      <c r="F339" s="748">
        <f t="shared" si="20"/>
        <v>-1.5896903357393022E-3</v>
      </c>
      <c r="G339" s="748">
        <f t="shared" si="20"/>
        <v>-2.5666195374799416E-3</v>
      </c>
      <c r="H339" s="1067">
        <f t="shared" si="21"/>
        <v>9.7692920174063946E-4</v>
      </c>
      <c r="I339">
        <f t="shared" si="22"/>
        <v>70.740889892560659</v>
      </c>
    </row>
    <row r="340" spans="1:9" ht="20.100000000000001" customHeight="1">
      <c r="A340" s="563">
        <v>43593</v>
      </c>
      <c r="B340">
        <f t="shared" si="23"/>
        <v>184.10372192103759</v>
      </c>
      <c r="C340">
        <f t="shared" si="23"/>
        <v>113.36425430541351</v>
      </c>
      <c r="D340">
        <v>16.329999923706051</v>
      </c>
      <c r="E340" s="604">
        <v>7943.31982421875</v>
      </c>
      <c r="F340" s="748">
        <f t="shared" si="20"/>
        <v>1.9595583687814777E-3</v>
      </c>
      <c r="G340" s="748">
        <f t="shared" si="20"/>
        <v>-4.1204409734275638E-3</v>
      </c>
      <c r="H340" s="1067">
        <f t="shared" si="21"/>
        <v>6.0799993422090415E-3</v>
      </c>
      <c r="I340">
        <f t="shared" si="22"/>
        <v>70.739467615624079</v>
      </c>
    </row>
    <row r="341" spans="1:9" ht="20.100000000000001" customHeight="1">
      <c r="A341" s="563">
        <v>43594</v>
      </c>
      <c r="B341">
        <f t="shared" si="23"/>
        <v>184.46448391005177</v>
      </c>
      <c r="C341">
        <f t="shared" si="23"/>
        <v>112.89714358705142</v>
      </c>
      <c r="D341">
        <v>16.36199951171875</v>
      </c>
      <c r="E341" s="604">
        <v>7910.58984375</v>
      </c>
      <c r="F341" s="748">
        <f t="shared" si="20"/>
        <v>1.332358015480728E-2</v>
      </c>
      <c r="G341" s="748">
        <f t="shared" si="20"/>
        <v>8.0273377607453789E-4</v>
      </c>
      <c r="H341" s="1067">
        <f t="shared" si="21"/>
        <v>1.2520846378732742E-2</v>
      </c>
      <c r="I341">
        <f t="shared" si="22"/>
        <v>71.567340323000352</v>
      </c>
    </row>
    <row r="342" spans="1:9" ht="20.100000000000001" customHeight="1">
      <c r="A342" s="563">
        <v>43595</v>
      </c>
      <c r="B342">
        <f t="shared" si="23"/>
        <v>186.92221124714251</v>
      </c>
      <c r="C342">
        <f t="shared" si="23"/>
        <v>112.98776993743108</v>
      </c>
      <c r="D342">
        <v>16.579999923706051</v>
      </c>
      <c r="E342" s="604">
        <v>7916.93994140625</v>
      </c>
      <c r="F342" s="748">
        <f t="shared" si="20"/>
        <v>-4.1133906113121177E-2</v>
      </c>
      <c r="G342" s="748">
        <f t="shared" si="20"/>
        <v>-3.4093971139442014E-2</v>
      </c>
      <c r="H342" s="1067">
        <f t="shared" si="21"/>
        <v>-7.0399349736791628E-3</v>
      </c>
      <c r="I342">
        <f t="shared" si="22"/>
        <v>73.934441309711431</v>
      </c>
    </row>
    <row r="343" spans="1:9" ht="20.100000000000001" customHeight="1">
      <c r="A343" s="563">
        <v>43598</v>
      </c>
      <c r="B343">
        <f t="shared" si="23"/>
        <v>179.23337055924554</v>
      </c>
      <c r="C343">
        <f t="shared" si="23"/>
        <v>109.13556817007439</v>
      </c>
      <c r="D343">
        <v>15.89799976348877</v>
      </c>
      <c r="E343" s="604">
        <v>7647.02001953125</v>
      </c>
      <c r="F343" s="748">
        <f t="shared" si="20"/>
        <v>2.1512140691738235E-2</v>
      </c>
      <c r="G343" s="748">
        <f t="shared" si="20"/>
        <v>1.143847075335791E-2</v>
      </c>
      <c r="H343" s="1067">
        <f t="shared" si="21"/>
        <v>1.0073669938380325E-2</v>
      </c>
      <c r="I343">
        <f t="shared" si="22"/>
        <v>70.09780238917115</v>
      </c>
    </row>
    <row r="344" spans="1:9" ht="20.100000000000001" customHeight="1">
      <c r="A344" s="563">
        <v>43599</v>
      </c>
      <c r="B344">
        <f t="shared" si="23"/>
        <v>183.08906404337048</v>
      </c>
      <c r="C344">
        <f t="shared" si="23"/>
        <v>110.38391217473888</v>
      </c>
      <c r="D344">
        <v>16.239999771118161</v>
      </c>
      <c r="E344" s="604">
        <v>7734.490234375</v>
      </c>
      <c r="F344" s="748">
        <f t="shared" si="20"/>
        <v>-1.8473329475567901E-3</v>
      </c>
      <c r="G344" s="748">
        <f t="shared" si="20"/>
        <v>1.1333606393238105E-2</v>
      </c>
      <c r="H344" s="1067">
        <f t="shared" si="21"/>
        <v>-1.3180939340794895E-2</v>
      </c>
      <c r="I344">
        <f t="shared" si="22"/>
        <v>72.705151868631603</v>
      </c>
    </row>
    <row r="345" spans="1:9" ht="20.100000000000001" customHeight="1">
      <c r="A345" s="563">
        <v>43600</v>
      </c>
      <c r="B345">
        <f t="shared" si="23"/>
        <v>182.75083758302583</v>
      </c>
      <c r="C345">
        <f t="shared" si="23"/>
        <v>111.63495998747314</v>
      </c>
      <c r="D345">
        <v>16.20999908447266</v>
      </c>
      <c r="E345" s="604">
        <v>7822.14990234375</v>
      </c>
      <c r="F345" s="748">
        <f t="shared" si="20"/>
        <v>2.7020460051104145E-2</v>
      </c>
      <c r="G345" s="748">
        <f t="shared" si="20"/>
        <v>9.7032022259004869E-3</v>
      </c>
      <c r="H345" s="1067">
        <f t="shared" si="21"/>
        <v>1.7317257825203658E-2</v>
      </c>
      <c r="I345">
        <f t="shared" si="22"/>
        <v>71.115877595552689</v>
      </c>
    </row>
    <row r="346" spans="1:9" ht="20.100000000000001" customHeight="1">
      <c r="A346" s="563">
        <v>43601</v>
      </c>
      <c r="B346">
        <f t="shared" si="23"/>
        <v>187.68884928924379</v>
      </c>
      <c r="C346">
        <f t="shared" si="23"/>
        <v>112.71817657971189</v>
      </c>
      <c r="D346">
        <v>16.648000717163089</v>
      </c>
      <c r="E346" s="604">
        <v>7898.0498046875</v>
      </c>
      <c r="F346" s="748">
        <f t="shared" si="20"/>
        <v>-7.448374818279091E-3</v>
      </c>
      <c r="G346" s="748">
        <f t="shared" si="20"/>
        <v>-1.0353191174195864E-2</v>
      </c>
      <c r="H346" s="1067">
        <f t="shared" si="21"/>
        <v>2.9048163559167728E-3</v>
      </c>
      <c r="I346">
        <f t="shared" si="22"/>
        <v>74.970672709531897</v>
      </c>
    </row>
    <row r="347" spans="1:9" ht="20.100000000000001" customHeight="1">
      <c r="A347" s="563">
        <v>43602</v>
      </c>
      <c r="B347">
        <f t="shared" si="23"/>
        <v>186.290872390526</v>
      </c>
      <c r="C347">
        <f t="shared" si="23"/>
        <v>111.55118374877537</v>
      </c>
      <c r="D347">
        <v>16.52400016784668</v>
      </c>
      <c r="E347" s="604">
        <v>7816.27978515625</v>
      </c>
      <c r="F347" s="748">
        <f t="shared" si="20"/>
        <v>-1.5371563029711099E-2</v>
      </c>
      <c r="G347" s="748">
        <f t="shared" si="20"/>
        <v>-1.4572137317813927E-2</v>
      </c>
      <c r="H347" s="1067">
        <f t="shared" si="21"/>
        <v>-7.994257118971726E-4</v>
      </c>
      <c r="I347">
        <f t="shared" si="22"/>
        <v>74.739688641750632</v>
      </c>
    </row>
    <row r="348" spans="1:9" ht="20.100000000000001" customHeight="1">
      <c r="A348" s="563">
        <v>43605</v>
      </c>
      <c r="B348">
        <f t="shared" si="23"/>
        <v>183.42729050371517</v>
      </c>
      <c r="C348">
        <f t="shared" si="23"/>
        <v>109.92564458122352</v>
      </c>
      <c r="D348">
        <v>16.270000457763668</v>
      </c>
      <c r="E348" s="604">
        <v>7702.3798828125</v>
      </c>
      <c r="F348" s="748">
        <f t="shared" si="20"/>
        <v>1.4873919217984755E-2</v>
      </c>
      <c r="G348" s="748">
        <f t="shared" si="20"/>
        <v>1.0820075522011141E-2</v>
      </c>
      <c r="H348" s="1067">
        <f t="shared" si="21"/>
        <v>4.0538436959736135E-3</v>
      </c>
      <c r="I348">
        <f t="shared" si="22"/>
        <v>73.501645922491647</v>
      </c>
    </row>
    <row r="349" spans="1:9" ht="20.100000000000001" customHeight="1">
      <c r="A349" s="563">
        <v>43606</v>
      </c>
      <c r="B349">
        <f t="shared" si="23"/>
        <v>186.15557320504126</v>
      </c>
      <c r="C349">
        <f t="shared" si="23"/>
        <v>111.11504835739811</v>
      </c>
      <c r="D349">
        <v>16.51199913024902</v>
      </c>
      <c r="E349" s="604">
        <v>7785.72021484375</v>
      </c>
      <c r="F349" s="748">
        <f t="shared" si="20"/>
        <v>-7.267377556054222E-3</v>
      </c>
      <c r="G349" s="748">
        <f t="shared" si="20"/>
        <v>-4.4800442516864658E-3</v>
      </c>
      <c r="H349" s="1067">
        <f t="shared" si="21"/>
        <v>-2.7873333043677562E-3</v>
      </c>
      <c r="I349">
        <f t="shared" si="22"/>
        <v>75.040524847643155</v>
      </c>
    </row>
    <row r="350" spans="1:9" ht="20.100000000000001" customHeight="1">
      <c r="A350" s="563">
        <v>43607</v>
      </c>
      <c r="B350">
        <f t="shared" si="23"/>
        <v>184.80271037039654</v>
      </c>
      <c r="C350">
        <f t="shared" si="23"/>
        <v>110.61724802372868</v>
      </c>
      <c r="D350">
        <v>16.392000198364261</v>
      </c>
      <c r="E350" s="604">
        <v>7750.83984375</v>
      </c>
      <c r="F350" s="748">
        <f t="shared" si="20"/>
        <v>-5.4538802012397025E-2</v>
      </c>
      <c r="G350" s="748">
        <f t="shared" si="20"/>
        <v>-1.581248755805198E-2</v>
      </c>
      <c r="H350" s="1067">
        <f t="shared" si="21"/>
        <v>-3.8726314454345045E-2</v>
      </c>
      <c r="I350">
        <f t="shared" si="22"/>
        <v>74.185462346667862</v>
      </c>
    </row>
    <row r="351" spans="1:9" ht="20.100000000000001" customHeight="1">
      <c r="A351" s="563">
        <v>43608</v>
      </c>
      <c r="B351">
        <f t="shared" si="23"/>
        <v>174.72379193815112</v>
      </c>
      <c r="C351">
        <f t="shared" si="23"/>
        <v>108.86811416564751</v>
      </c>
      <c r="D351">
        <v>15.4980001449585</v>
      </c>
      <c r="E351" s="604">
        <v>7628.27978515625</v>
      </c>
      <c r="F351" s="748">
        <f t="shared" si="20"/>
        <v>3.2262350153045016E-3</v>
      </c>
      <c r="G351" s="748">
        <f t="shared" si="20"/>
        <v>1.1444232139645738E-3</v>
      </c>
      <c r="H351" s="1067">
        <f t="shared" si="21"/>
        <v>2.0818118013399278E-3</v>
      </c>
      <c r="I351">
        <f t="shared" si="22"/>
        <v>65.855677772503611</v>
      </c>
    </row>
    <row r="352" spans="1:9" ht="20.100000000000001" customHeight="1">
      <c r="A352" s="563">
        <v>43609</v>
      </c>
      <c r="B352">
        <f t="shared" si="23"/>
        <v>175.28749195370875</v>
      </c>
      <c r="C352">
        <f t="shared" si="23"/>
        <v>108.99270536275922</v>
      </c>
      <c r="D352">
        <v>15.548000335693359</v>
      </c>
      <c r="E352" s="604">
        <v>7637.009765625</v>
      </c>
      <c r="F352" s="748">
        <f t="shared" si="20"/>
        <v>-6.4317197910113144E-3</v>
      </c>
      <c r="G352" s="748">
        <f t="shared" si="20"/>
        <v>-3.8836755325691863E-3</v>
      </c>
      <c r="H352" s="1067">
        <f t="shared" si="21"/>
        <v>-2.5480442584421281E-3</v>
      </c>
      <c r="I352">
        <f t="shared" si="22"/>
        <v>66.294786590949528</v>
      </c>
    </row>
    <row r="353" spans="1:9" ht="20.100000000000001" customHeight="1">
      <c r="A353" s="563">
        <v>43613</v>
      </c>
      <c r="B353">
        <f t="shared" si="23"/>
        <v>174.16009192259335</v>
      </c>
      <c r="C353">
        <f t="shared" si="23"/>
        <v>108.56941305971336</v>
      </c>
      <c r="D353">
        <v>15.447999954223629</v>
      </c>
      <c r="E353" s="604">
        <v>7607.35009765625</v>
      </c>
      <c r="F353" s="748">
        <f t="shared" si="20"/>
        <v>-1.8384282597752044E-2</v>
      </c>
      <c r="G353" s="748">
        <f t="shared" si="20"/>
        <v>-7.8923722836152788E-3</v>
      </c>
      <c r="H353" s="1067">
        <f t="shared" si="21"/>
        <v>-1.0491910314136765E-2</v>
      </c>
      <c r="I353">
        <f t="shared" si="22"/>
        <v>65.590678862879997</v>
      </c>
    </row>
    <row r="354" spans="1:9" ht="20.100000000000001" customHeight="1">
      <c r="A354" s="563">
        <v>43614</v>
      </c>
      <c r="B354">
        <f t="shared" si="23"/>
        <v>170.95828357543792</v>
      </c>
      <c r="C354">
        <f t="shared" si="23"/>
        <v>107.71254283323249</v>
      </c>
      <c r="D354">
        <v>15.163999557495121</v>
      </c>
      <c r="E354" s="604">
        <v>7547.31005859375</v>
      </c>
      <c r="F354" s="748">
        <f t="shared" si="20"/>
        <v>3.0335321811001403E-3</v>
      </c>
      <c r="G354" s="748">
        <f t="shared" si="20"/>
        <v>2.7042954498417426E-3</v>
      </c>
      <c r="H354" s="1067">
        <f t="shared" si="21"/>
        <v>3.292367312583977E-4</v>
      </c>
      <c r="I354">
        <f t="shared" si="22"/>
        <v>63.245740742205427</v>
      </c>
    </row>
    <row r="355" spans="1:9" ht="20.100000000000001" customHeight="1">
      <c r="A355" s="563">
        <v>43615</v>
      </c>
      <c r="B355">
        <f t="shared" si="23"/>
        <v>171.47689103028966</v>
      </c>
      <c r="C355">
        <f t="shared" si="23"/>
        <v>108.00382937270729</v>
      </c>
      <c r="D355">
        <v>15.210000038146971</v>
      </c>
      <c r="E355" s="604">
        <v>7567.72021484375</v>
      </c>
      <c r="F355" s="748">
        <f t="shared" si="20"/>
        <v>-4.6942784118294223E-2</v>
      </c>
      <c r="G355" s="748">
        <f t="shared" si="20"/>
        <v>-1.5139343058068633E-2</v>
      </c>
      <c r="H355" s="1067">
        <f t="shared" si="21"/>
        <v>-3.180344106022559E-2</v>
      </c>
      <c r="I355">
        <f t="shared" si="22"/>
        <v>63.473061657582377</v>
      </c>
    </row>
    <row r="356" spans="1:9" ht="20.100000000000001" customHeight="1">
      <c r="A356" s="563">
        <v>43616</v>
      </c>
      <c r="B356">
        <f t="shared" si="23"/>
        <v>163.42728835337851</v>
      </c>
      <c r="C356">
        <f t="shared" si="23"/>
        <v>106.36872234824877</v>
      </c>
      <c r="D356">
        <v>14.49600028991699</v>
      </c>
      <c r="E356" s="604">
        <v>7453.14990234375</v>
      </c>
      <c r="F356" s="748">
        <f t="shared" si="20"/>
        <v>-3.9045252029617061E-2</v>
      </c>
      <c r="G356" s="748">
        <f t="shared" si="20"/>
        <v>-1.6118001702169371E-2</v>
      </c>
      <c r="H356" s="1067">
        <f t="shared" si="21"/>
        <v>-2.292725032744769E-2</v>
      </c>
      <c r="I356">
        <f t="shared" si="22"/>
        <v>57.058566005129748</v>
      </c>
    </row>
    <row r="357" spans="1:9" ht="20.100000000000001" customHeight="1">
      <c r="A357" s="563">
        <v>43619</v>
      </c>
      <c r="B357">
        <f t="shared" si="23"/>
        <v>157.04622869110395</v>
      </c>
      <c r="C357">
        <f t="shared" si="23"/>
        <v>104.65427110038212</v>
      </c>
      <c r="D357">
        <v>13.930000305175779</v>
      </c>
      <c r="E357" s="604">
        <v>7333.02001953125</v>
      </c>
      <c r="F357" s="748">
        <f t="shared" si="20"/>
        <v>4.048816348483153E-2</v>
      </c>
      <c r="G357" s="748">
        <f t="shared" si="20"/>
        <v>2.6469326026558049E-2</v>
      </c>
      <c r="H357" s="1067">
        <f t="shared" si="21"/>
        <v>1.4018837458273481E-2</v>
      </c>
      <c r="I357">
        <f t="shared" si="22"/>
        <v>52.39195759072183</v>
      </c>
    </row>
    <row r="358" spans="1:9" ht="20.100000000000001" customHeight="1">
      <c r="A358" s="563">
        <v>43620</v>
      </c>
      <c r="B358">
        <f t="shared" si="23"/>
        <v>163.4047420730256</v>
      </c>
      <c r="C358">
        <f t="shared" si="23"/>
        <v>107.42439912220992</v>
      </c>
      <c r="D358">
        <v>14.49400043487549</v>
      </c>
      <c r="E358" s="604">
        <v>7527.1201171875</v>
      </c>
      <c r="F358" s="748">
        <f t="shared" si="20"/>
        <v>9.3831706557829797E-3</v>
      </c>
      <c r="G358" s="748">
        <f t="shared" si="20"/>
        <v>6.4247497752591975E-3</v>
      </c>
      <c r="H358" s="1067">
        <f t="shared" si="21"/>
        <v>2.9584208805237822E-3</v>
      </c>
      <c r="I358">
        <f t="shared" si="22"/>
        <v>55.980342950815682</v>
      </c>
    </row>
    <row r="359" spans="1:9" ht="20.100000000000001" customHeight="1">
      <c r="A359" s="563">
        <v>43621</v>
      </c>
      <c r="B359">
        <f t="shared" si="23"/>
        <v>164.93799665386101</v>
      </c>
      <c r="C359">
        <f t="shared" si="23"/>
        <v>108.11457400632769</v>
      </c>
      <c r="D359">
        <v>14.63000011444092</v>
      </c>
      <c r="E359" s="604">
        <v>7575.47998046875</v>
      </c>
      <c r="F359" s="748">
        <f t="shared" si="20"/>
        <v>6.0150578850315384E-3</v>
      </c>
      <c r="G359" s="748">
        <f t="shared" si="20"/>
        <v>5.2894106145167097E-3</v>
      </c>
      <c r="H359" s="1067">
        <f t="shared" si="21"/>
        <v>7.2564727051482869E-4</v>
      </c>
      <c r="I359">
        <f t="shared" si="22"/>
        <v>56.82342264753332</v>
      </c>
    </row>
    <row r="360" spans="1:9" ht="20.100000000000001" customHeight="1">
      <c r="A360" s="563">
        <v>43622</v>
      </c>
      <c r="B360">
        <f t="shared" si="23"/>
        <v>165.93010825117511</v>
      </c>
      <c r="C360">
        <f t="shared" si="23"/>
        <v>108.68643638166071</v>
      </c>
      <c r="D360">
        <v>14.718000411987299</v>
      </c>
      <c r="E360" s="604">
        <v>7615.5498046875</v>
      </c>
      <c r="F360" s="748">
        <f t="shared" si="20"/>
        <v>3.1253924235574715E-3</v>
      </c>
      <c r="G360" s="748">
        <f t="shared" si="20"/>
        <v>1.6617354782560323E-2</v>
      </c>
      <c r="H360" s="1067">
        <f t="shared" si="21"/>
        <v>-1.3491962359002851E-2</v>
      </c>
      <c r="I360">
        <f t="shared" si="22"/>
        <v>57.243671869514401</v>
      </c>
    </row>
    <row r="361" spans="1:9" ht="20.100000000000001" customHeight="1">
      <c r="A361" s="563">
        <v>43623</v>
      </c>
      <c r="B361">
        <f t="shared" si="23"/>
        <v>166.44870495434341</v>
      </c>
      <c r="C361">
        <f t="shared" si="23"/>
        <v>110.49251745506695</v>
      </c>
      <c r="D361">
        <v>14.76399993896484</v>
      </c>
      <c r="E361" s="604">
        <v>7742.10009765625</v>
      </c>
      <c r="F361" s="748">
        <f t="shared" si="20"/>
        <v>1.1649954757958936E-2</v>
      </c>
      <c r="G361" s="748">
        <f t="shared" si="20"/>
        <v>1.0471296314457534E-2</v>
      </c>
      <c r="H361" s="1067">
        <f t="shared" si="21"/>
        <v>1.1786584435014014E-3</v>
      </c>
      <c r="I361">
        <f t="shared" si="22"/>
        <v>55.956187499276467</v>
      </c>
    </row>
    <row r="362" spans="1:9" ht="20.100000000000001" customHeight="1">
      <c r="A362" s="563">
        <v>43626</v>
      </c>
      <c r="B362">
        <f t="shared" si="23"/>
        <v>168.38782483658238</v>
      </c>
      <c r="C362">
        <f t="shared" si="23"/>
        <v>111.64951734586933</v>
      </c>
      <c r="D362">
        <v>14.935999870300289</v>
      </c>
      <c r="E362" s="604">
        <v>7823.169921875</v>
      </c>
      <c r="F362" s="748">
        <f t="shared" si="20"/>
        <v>1.7407621260016493E-2</v>
      </c>
      <c r="G362" s="748">
        <f t="shared" si="20"/>
        <v>-7.6707736408998528E-5</v>
      </c>
      <c r="H362" s="1067">
        <f t="shared" si="21"/>
        <v>1.7484328996425491E-2</v>
      </c>
      <c r="I362">
        <f t="shared" si="22"/>
        <v>56.738307490713055</v>
      </c>
    </row>
    <row r="363" spans="1:9" ht="20.100000000000001" customHeight="1">
      <c r="A363" s="563">
        <v>43627</v>
      </c>
      <c r="B363">
        <f t="shared" si="23"/>
        <v>171.3190563161356</v>
      </c>
      <c r="C363">
        <f t="shared" si="23"/>
        <v>111.64095296412256</v>
      </c>
      <c r="D363">
        <v>15.196000099182131</v>
      </c>
      <c r="E363" s="604">
        <v>7822.56982421875</v>
      </c>
      <c r="F363" s="748">
        <f t="shared" si="20"/>
        <v>1.3292949657029096E-2</v>
      </c>
      <c r="G363" s="748">
        <f t="shared" si="20"/>
        <v>-3.815831631516442E-3</v>
      </c>
      <c r="H363" s="1067">
        <f t="shared" si="21"/>
        <v>1.7108781288545538E-2</v>
      </c>
      <c r="I363">
        <f t="shared" si="22"/>
        <v>59.678103352013039</v>
      </c>
    </row>
    <row r="364" spans="1:9" ht="20.100000000000001" customHeight="1">
      <c r="A364" s="563">
        <v>43628</v>
      </c>
      <c r="B364">
        <f t="shared" si="23"/>
        <v>173.59639190703572</v>
      </c>
      <c r="C364">
        <f t="shared" si="23"/>
        <v>111.21494988442943</v>
      </c>
      <c r="D364">
        <v>15.39799976348877</v>
      </c>
      <c r="E364" s="604">
        <v>7792.72021484375</v>
      </c>
      <c r="F364" s="748">
        <f t="shared" si="20"/>
        <v>-4.9357198850761286E-3</v>
      </c>
      <c r="G364" s="748">
        <f t="shared" si="20"/>
        <v>5.6988659600736291E-3</v>
      </c>
      <c r="H364" s="1067">
        <f t="shared" si="21"/>
        <v>-1.0634585845149758E-2</v>
      </c>
      <c r="I364">
        <f t="shared" si="22"/>
        <v>62.381442022606294</v>
      </c>
    </row>
    <row r="365" spans="1:9" ht="20.100000000000001" customHeight="1">
      <c r="A365" s="563">
        <v>43629</v>
      </c>
      <c r="B365">
        <f t="shared" si="23"/>
        <v>172.73956874352271</v>
      </c>
      <c r="C365">
        <f t="shared" si="23"/>
        <v>111.8487489765771</v>
      </c>
      <c r="D365">
        <v>15.321999549865721</v>
      </c>
      <c r="E365" s="604">
        <v>7837.1298828125</v>
      </c>
      <c r="F365" s="748">
        <f t="shared" si="20"/>
        <v>-1.1747771621820613E-2</v>
      </c>
      <c r="G365" s="748">
        <f t="shared" si="20"/>
        <v>-5.1638453321098954E-3</v>
      </c>
      <c r="H365" s="1067">
        <f t="shared" si="21"/>
        <v>-6.5839262897107176E-3</v>
      </c>
      <c r="I365">
        <f t="shared" si="22"/>
        <v>60.890819766945611</v>
      </c>
    </row>
    <row r="366" spans="1:9" ht="20.100000000000001" customHeight="1">
      <c r="A366" s="563">
        <v>43630</v>
      </c>
      <c r="B366">
        <f t="shared" si="23"/>
        <v>170.71026373987203</v>
      </c>
      <c r="C366">
        <f t="shared" si="23"/>
        <v>111.27117933627207</v>
      </c>
      <c r="D366">
        <v>15.14200019836426</v>
      </c>
      <c r="E366" s="604">
        <v>7796.66015625</v>
      </c>
      <c r="F366" s="748">
        <f t="shared" si="20"/>
        <v>-1.558579170145924E-2</v>
      </c>
      <c r="G366" s="748">
        <f t="shared" si="20"/>
        <v>6.2026383492530535E-3</v>
      </c>
      <c r="H366" s="1067">
        <f t="shared" si="21"/>
        <v>-2.1788430050712293E-2</v>
      </c>
      <c r="I366">
        <f t="shared" si="22"/>
        <v>59.439084403599963</v>
      </c>
    </row>
    <row r="367" spans="1:9" ht="20.100000000000001" customHeight="1">
      <c r="A367" s="563">
        <v>43633</v>
      </c>
      <c r="B367">
        <f t="shared" si="23"/>
        <v>168.04960912792123</v>
      </c>
      <c r="C367">
        <f t="shared" si="23"/>
        <v>111.96135422038985</v>
      </c>
      <c r="D367">
        <v>14.9060001373291</v>
      </c>
      <c r="E367" s="604">
        <v>7845.02001953125</v>
      </c>
      <c r="F367" s="748">
        <f t="shared" si="20"/>
        <v>5.6352900184604149E-3</v>
      </c>
      <c r="G367" s="748">
        <f t="shared" si="20"/>
        <v>1.3876301527622426E-2</v>
      </c>
      <c r="H367" s="1067">
        <f t="shared" si="21"/>
        <v>-8.2410115091620106E-3</v>
      </c>
      <c r="I367">
        <f t="shared" si="22"/>
        <v>56.088254907531379</v>
      </c>
    </row>
    <row r="368" spans="1:9" ht="20.100000000000001" customHeight="1">
      <c r="A368" s="563">
        <v>43634</v>
      </c>
      <c r="B368">
        <f t="shared" si="23"/>
        <v>168.99661741284598</v>
      </c>
      <c r="C368">
        <f t="shared" si="23"/>
        <v>113.51496373099292</v>
      </c>
      <c r="D368">
        <v>14.989999771118161</v>
      </c>
      <c r="E368" s="604">
        <v>7953.8798828125</v>
      </c>
      <c r="F368" s="748">
        <f t="shared" si="20"/>
        <v>2.6817907497280302E-2</v>
      </c>
      <c r="G368" s="748">
        <f t="shared" si="20"/>
        <v>4.2042301240317048E-3</v>
      </c>
      <c r="H368" s="1067">
        <f t="shared" si="21"/>
        <v>2.2613677373248597E-2</v>
      </c>
      <c r="I368">
        <f t="shared" si="22"/>
        <v>55.481653681853061</v>
      </c>
    </row>
    <row r="369" spans="1:9" ht="20.100000000000001" customHeight="1">
      <c r="A369" s="563">
        <v>43635</v>
      </c>
      <c r="B369">
        <f t="shared" si="23"/>
        <v>173.52875306597696</v>
      </c>
      <c r="C369">
        <f t="shared" si="23"/>
        <v>113.99220676103913</v>
      </c>
      <c r="D369">
        <v>15.39200019836426</v>
      </c>
      <c r="E369" s="604">
        <v>7987.31982421875</v>
      </c>
      <c r="F369" s="748">
        <f t="shared" si="20"/>
        <v>-2.5991838005268164E-4</v>
      </c>
      <c r="G369" s="748">
        <f t="shared" si="20"/>
        <v>8.0152067201730848E-3</v>
      </c>
      <c r="H369" s="1067">
        <f t="shared" si="21"/>
        <v>-8.2751251002257664E-3</v>
      </c>
      <c r="I369">
        <f t="shared" si="22"/>
        <v>59.536546304937829</v>
      </c>
    </row>
    <row r="370" spans="1:9" ht="20.100000000000001" customHeight="1">
      <c r="A370" s="563">
        <v>43636</v>
      </c>
      <c r="B370">
        <f t="shared" si="23"/>
        <v>173.48364975358749</v>
      </c>
      <c r="C370">
        <f t="shared" si="23"/>
        <v>114.90587786271757</v>
      </c>
      <c r="D370">
        <v>15.38799953460693</v>
      </c>
      <c r="E370" s="604">
        <v>8051.33984375</v>
      </c>
      <c r="F370" s="748">
        <f t="shared" si="20"/>
        <v>-1.0527664891676114E-2</v>
      </c>
      <c r="G370" s="748">
        <f t="shared" si="20"/>
        <v>-2.4380889632596991E-3</v>
      </c>
      <c r="H370" s="1067">
        <f t="shared" si="21"/>
        <v>-8.0895759284164148E-3</v>
      </c>
      <c r="I370">
        <f t="shared" si="22"/>
        <v>58.577771890869911</v>
      </c>
    </row>
    <row r="371" spans="1:9" ht="20.100000000000001" customHeight="1">
      <c r="A371" s="563">
        <v>43637</v>
      </c>
      <c r="B371">
        <f t="shared" si="23"/>
        <v>171.65727202479681</v>
      </c>
      <c r="C371">
        <f t="shared" si="23"/>
        <v>114.62572711008681</v>
      </c>
      <c r="D371">
        <v>15.22599983215332</v>
      </c>
      <c r="E371" s="604">
        <v>8031.7099609375</v>
      </c>
      <c r="F371" s="748">
        <f t="shared" si="20"/>
        <v>-3.8092480980067567E-3</v>
      </c>
      <c r="G371" s="748">
        <f t="shared" si="20"/>
        <v>-3.238384572089803E-3</v>
      </c>
      <c r="H371" s="1067">
        <f t="shared" si="21"/>
        <v>-5.7086352591695366E-4</v>
      </c>
      <c r="I371">
        <f t="shared" si="22"/>
        <v>57.031544914709997</v>
      </c>
    </row>
    <row r="372" spans="1:9" ht="20.100000000000001" customHeight="1">
      <c r="A372" s="563">
        <v>43640</v>
      </c>
      <c r="B372">
        <f t="shared" si="23"/>
        <v>171.00338688782733</v>
      </c>
      <c r="C372">
        <f t="shared" si="23"/>
        <v>114.25452492384893</v>
      </c>
      <c r="D372">
        <v>15.16800022125244</v>
      </c>
      <c r="E372" s="604">
        <v>8005.7001953125</v>
      </c>
      <c r="F372" s="748">
        <f t="shared" si="20"/>
        <v>-1.2790100297387808E-2</v>
      </c>
      <c r="G372" s="748">
        <f t="shared" si="20"/>
        <v>-1.5111730081971642E-2</v>
      </c>
      <c r="H372" s="1067">
        <f t="shared" si="21"/>
        <v>2.3216297845838341E-3</v>
      </c>
      <c r="I372">
        <f t="shared" si="22"/>
        <v>56.748861963978399</v>
      </c>
    </row>
    <row r="373" spans="1:9" ht="20.100000000000001" customHeight="1">
      <c r="A373" s="563">
        <v>43641</v>
      </c>
      <c r="B373">
        <f t="shared" si="23"/>
        <v>168.816236418339</v>
      </c>
      <c r="C373">
        <f t="shared" si="23"/>
        <v>112.52794138255582</v>
      </c>
      <c r="D373">
        <v>14.97399997711182</v>
      </c>
      <c r="E373" s="604">
        <v>7884.72021484375</v>
      </c>
      <c r="F373" s="748">
        <f t="shared" si="20"/>
        <v>5.0754784118611784E-3</v>
      </c>
      <c r="G373" s="748">
        <f t="shared" si="20"/>
        <v>3.2023964467964294E-3</v>
      </c>
      <c r="H373" s="1067">
        <f t="shared" si="21"/>
        <v>1.873081965064749E-3</v>
      </c>
      <c r="I373">
        <f t="shared" si="22"/>
        <v>56.288295035783179</v>
      </c>
    </row>
    <row r="374" spans="1:9" ht="20.100000000000001" customHeight="1">
      <c r="A374" s="563">
        <v>43642</v>
      </c>
      <c r="B374">
        <f t="shared" si="23"/>
        <v>169.67305958185193</v>
      </c>
      <c r="C374">
        <f t="shared" si="23"/>
        <v>112.88830046220464</v>
      </c>
      <c r="D374">
        <v>15.05000019073486</v>
      </c>
      <c r="E374" s="604">
        <v>7909.97021484375</v>
      </c>
      <c r="F374" s="748">
        <f t="shared" si="20"/>
        <v>1.9933567238062722E-2</v>
      </c>
      <c r="G374" s="748">
        <f t="shared" si="20"/>
        <v>7.3059125649805878E-3</v>
      </c>
      <c r="H374" s="1067">
        <f t="shared" si="21"/>
        <v>1.2627654673082134E-2</v>
      </c>
      <c r="I374">
        <f t="shared" si="22"/>
        <v>56.784759119647291</v>
      </c>
    </row>
    <row r="375" spans="1:9" ht="20.100000000000001" customHeight="1">
      <c r="A375" s="563">
        <v>43643</v>
      </c>
      <c r="B375">
        <f t="shared" si="23"/>
        <v>173.0552489235146</v>
      </c>
      <c r="C375">
        <f t="shared" si="23"/>
        <v>113.71305251499076</v>
      </c>
      <c r="D375">
        <v>15.35000038146973</v>
      </c>
      <c r="E375" s="604">
        <v>7967.759765625</v>
      </c>
      <c r="F375" s="748">
        <f t="shared" si="20"/>
        <v>1.0423318311871821E-3</v>
      </c>
      <c r="G375" s="748">
        <f t="shared" si="20"/>
        <v>4.8295217077221064E-3</v>
      </c>
      <c r="H375" s="1067">
        <f t="shared" si="21"/>
        <v>-3.7871898765349243E-3</v>
      </c>
      <c r="I375">
        <f t="shared" si="22"/>
        <v>59.342196408523833</v>
      </c>
    </row>
    <row r="376" spans="1:9" ht="20.100000000000001" customHeight="1">
      <c r="A376" s="563">
        <v>43644</v>
      </c>
      <c r="B376">
        <f t="shared" si="23"/>
        <v>173.2356299180216</v>
      </c>
      <c r="C376">
        <f t="shared" si="23"/>
        <v>114.26223217056325</v>
      </c>
      <c r="D376">
        <v>15.366000175476071</v>
      </c>
      <c r="E376" s="604">
        <v>8006.240234375</v>
      </c>
      <c r="F376" s="748">
        <f t="shared" si="20"/>
        <v>4.6856403126065427E-3</v>
      </c>
      <c r="G376" s="748">
        <f t="shared" si="20"/>
        <v>1.0606716684617323E-2</v>
      </c>
      <c r="H376" s="1067">
        <f t="shared" si="21"/>
        <v>-5.9210763720107806E-3</v>
      </c>
      <c r="I376">
        <f t="shared" si="22"/>
        <v>58.97339774745835</v>
      </c>
    </row>
    <row r="377" spans="1:9" ht="20.100000000000001" customHeight="1">
      <c r="A377" s="563">
        <v>43647</v>
      </c>
      <c r="B377">
        <f t="shared" si="23"/>
        <v>174.04734976914528</v>
      </c>
      <c r="C377">
        <f t="shared" si="23"/>
        <v>115.47417929494839</v>
      </c>
      <c r="D377">
        <v>15.4379997253418</v>
      </c>
      <c r="E377" s="604">
        <v>8091.16015625</v>
      </c>
      <c r="F377" s="748">
        <f t="shared" si="20"/>
        <v>1.1918643511616978E-2</v>
      </c>
      <c r="G377" s="748">
        <f t="shared" si="20"/>
        <v>2.2159600296813853E-3</v>
      </c>
      <c r="H377" s="1067">
        <f t="shared" si="21"/>
        <v>9.7026834819355923E-3</v>
      </c>
      <c r="I377">
        <f t="shared" si="22"/>
        <v>58.5731704741969</v>
      </c>
    </row>
    <row r="378" spans="1:9" ht="20.100000000000001" customHeight="1">
      <c r="A378" s="563">
        <v>43648</v>
      </c>
      <c r="B378">
        <f t="shared" si="23"/>
        <v>176.12175808518543</v>
      </c>
      <c r="C378">
        <f t="shared" si="23"/>
        <v>115.73006546072625</v>
      </c>
      <c r="D378">
        <v>15.621999740600589</v>
      </c>
      <c r="E378" s="604">
        <v>8109.08984375</v>
      </c>
      <c r="F378" s="748">
        <f t="shared" si="20"/>
        <v>9.3457886872072571E-3</v>
      </c>
      <c r="G378" s="748">
        <f t="shared" si="20"/>
        <v>7.5397039491273965E-3</v>
      </c>
      <c r="H378" s="1067">
        <f t="shared" si="21"/>
        <v>1.8060847380798606E-3</v>
      </c>
      <c r="I378">
        <f t="shared" si="22"/>
        <v>60.391692624459182</v>
      </c>
    </row>
    <row r="379" spans="1:9" ht="20.100000000000001" customHeight="1">
      <c r="A379" s="563">
        <v>43649</v>
      </c>
      <c r="B379">
        <f t="shared" si="23"/>
        <v>177.76775481946902</v>
      </c>
      <c r="C379">
        <f t="shared" si="23"/>
        <v>116.60263589231326</v>
      </c>
      <c r="D379">
        <v>15.76799964904785</v>
      </c>
      <c r="E379" s="604">
        <v>8170.22998046875</v>
      </c>
      <c r="F379" s="748">
        <f t="shared" si="20"/>
        <v>6.3421036938215991E-4</v>
      </c>
      <c r="G379" s="748">
        <f t="shared" si="20"/>
        <v>-1.0330114851633265E-3</v>
      </c>
      <c r="H379" s="1067">
        <f t="shared" si="21"/>
        <v>1.6672218545454864E-3</v>
      </c>
      <c r="I379">
        <f t="shared" si="22"/>
        <v>61.16511892715576</v>
      </c>
    </row>
    <row r="380" spans="1:9" ht="20.100000000000001" customHeight="1">
      <c r="A380" s="563">
        <v>43651</v>
      </c>
      <c r="B380">
        <f t="shared" si="23"/>
        <v>177.88049697291731</v>
      </c>
      <c r="C380">
        <f t="shared" si="23"/>
        <v>116.48218403023618</v>
      </c>
      <c r="D380">
        <v>15.777999877929689</v>
      </c>
      <c r="E380" s="604">
        <v>8161.7900390625</v>
      </c>
      <c r="F380" s="748">
        <f t="shared" si="20"/>
        <v>-4.3097883324132447E-3</v>
      </c>
      <c r="G380" s="748">
        <f t="shared" si="20"/>
        <v>-7.7691481827537601E-3</v>
      </c>
      <c r="H380" s="1067">
        <f t="shared" si="21"/>
        <v>3.4593598503405154E-3</v>
      </c>
      <c r="I380">
        <f t="shared" si="22"/>
        <v>61.39831294268113</v>
      </c>
    </row>
    <row r="381" spans="1:9" ht="20.100000000000001" customHeight="1">
      <c r="A381" s="563">
        <v>43654</v>
      </c>
      <c r="B381">
        <f t="shared" si="23"/>
        <v>177.11386968249957</v>
      </c>
      <c r="C381">
        <f t="shared" si="23"/>
        <v>115.57721668185448</v>
      </c>
      <c r="D381">
        <v>15.710000038146971</v>
      </c>
      <c r="E381" s="604">
        <v>8098.3798828125</v>
      </c>
      <c r="F381" s="748">
        <f t="shared" si="20"/>
        <v>2.5461525858262668E-2</v>
      </c>
      <c r="G381" s="748">
        <f t="shared" si="20"/>
        <v>5.3529345725376043E-3</v>
      </c>
      <c r="H381" s="1067">
        <f t="shared" si="21"/>
        <v>2.0108591285725064E-2</v>
      </c>
      <c r="I381">
        <f t="shared" si="22"/>
        <v>61.536653000645089</v>
      </c>
    </row>
    <row r="382" spans="1:9" ht="20.100000000000001" customHeight="1">
      <c r="A382" s="563">
        <v>43655</v>
      </c>
      <c r="B382">
        <f t="shared" si="23"/>
        <v>181.62345905527749</v>
      </c>
      <c r="C382">
        <f t="shared" si="23"/>
        <v>116.19589396082844</v>
      </c>
      <c r="D382">
        <v>16.110000610351559</v>
      </c>
      <c r="E382" s="604">
        <v>8141.72998046875</v>
      </c>
      <c r="F382" s="748">
        <f t="shared" si="20"/>
        <v>6.2072296916517722E-3</v>
      </c>
      <c r="G382" s="748">
        <f t="shared" si="20"/>
        <v>7.4677363551240994E-3</v>
      </c>
      <c r="H382" s="1067">
        <f t="shared" si="21"/>
        <v>-1.2605066634723272E-3</v>
      </c>
      <c r="I382">
        <f t="shared" si="22"/>
        <v>65.427565094449051</v>
      </c>
    </row>
    <row r="383" spans="1:9" ht="20.100000000000001" customHeight="1">
      <c r="A383" s="563">
        <v>43656</v>
      </c>
      <c r="B383">
        <f t="shared" si="23"/>
        <v>182.75083758302591</v>
      </c>
      <c r="C383">
        <f t="shared" si="23"/>
        <v>117.06361426247587</v>
      </c>
      <c r="D383">
        <v>16.20999908447266</v>
      </c>
      <c r="E383" s="604">
        <v>8202.5302734375</v>
      </c>
      <c r="F383" s="748">
        <f t="shared" si="20"/>
        <v>3.7137644922027757E-2</v>
      </c>
      <c r="G383" s="748">
        <f t="shared" si="20"/>
        <v>-7.9124784165895967E-4</v>
      </c>
      <c r="H383" s="1067">
        <f t="shared" si="21"/>
        <v>3.7928892763686717E-2</v>
      </c>
      <c r="I383">
        <f t="shared" si="22"/>
        <v>65.687223320550046</v>
      </c>
    </row>
    <row r="384" spans="1:9" ht="20.100000000000001" customHeight="1">
      <c r="A384" s="563">
        <v>43657</v>
      </c>
      <c r="B384">
        <f t="shared" si="23"/>
        <v>189.53777329838749</v>
      </c>
      <c r="C384">
        <f t="shared" si="23"/>
        <v>116.97098793035389</v>
      </c>
      <c r="D384">
        <v>16.8120002746582</v>
      </c>
      <c r="E384" s="604">
        <v>8196.0400390625</v>
      </c>
      <c r="F384" s="748">
        <f t="shared" si="20"/>
        <v>7.7325219273614021E-3</v>
      </c>
      <c r="G384" s="748">
        <f t="shared" si="20"/>
        <v>5.8686401171488267E-3</v>
      </c>
      <c r="H384" s="1067">
        <f t="shared" si="21"/>
        <v>1.8638818102125754E-3</v>
      </c>
      <c r="I384">
        <f t="shared" si="22"/>
        <v>72.566785368033607</v>
      </c>
    </row>
    <row r="385" spans="1:9" ht="20.100000000000001" customHeight="1">
      <c r="A385" s="563">
        <v>43658</v>
      </c>
      <c r="B385">
        <f t="shared" si="23"/>
        <v>191.00337828648054</v>
      </c>
      <c r="C385">
        <f t="shared" si="23"/>
        <v>117.6574485626645</v>
      </c>
      <c r="D385">
        <v>16.941999435424801</v>
      </c>
      <c r="E385" s="604">
        <v>8244.1396484375</v>
      </c>
      <c r="F385" s="748">
        <f t="shared" si="20"/>
        <v>3.6595606613332166E-3</v>
      </c>
      <c r="G385" s="748">
        <f t="shared" si="20"/>
        <v>1.7043356674171228E-3</v>
      </c>
      <c r="H385" s="1067">
        <f t="shared" si="21"/>
        <v>1.9552249939160937E-3</v>
      </c>
      <c r="I385">
        <f t="shared" si="22"/>
        <v>73.345929723816042</v>
      </c>
    </row>
    <row r="386" spans="1:9" ht="20.100000000000001" customHeight="1">
      <c r="A386" s="563">
        <v>43661</v>
      </c>
      <c r="B386">
        <f t="shared" si="23"/>
        <v>191.70236673583949</v>
      </c>
      <c r="C386">
        <f t="shared" si="23"/>
        <v>117.85797634878715</v>
      </c>
      <c r="D386">
        <v>17.003999710083011</v>
      </c>
      <c r="E386" s="604">
        <v>8258.1904296875</v>
      </c>
      <c r="F386" s="748">
        <f t="shared" si="20"/>
        <v>-2.9404397737611276E-3</v>
      </c>
      <c r="G386" s="748">
        <f t="shared" si="20"/>
        <v>-4.2855181533201225E-3</v>
      </c>
      <c r="H386" s="1067">
        <f t="shared" si="21"/>
        <v>1.3450783795589949E-3</v>
      </c>
      <c r="I386">
        <f t="shared" si="22"/>
        <v>73.844390387052343</v>
      </c>
    </row>
    <row r="387" spans="1:9" ht="20.100000000000001" customHeight="1">
      <c r="A387" s="563">
        <v>43662</v>
      </c>
      <c r="B387">
        <f t="shared" si="23"/>
        <v>191.13867747196528</v>
      </c>
      <c r="C387">
        <f t="shared" si="23"/>
        <v>117.35289385163085</v>
      </c>
      <c r="D387">
        <v>16.954000473022461</v>
      </c>
      <c r="E387" s="604">
        <v>8222.7998046875</v>
      </c>
      <c r="F387" s="748">
        <f t="shared" ref="F387:G450" si="24">D388/D387-1</f>
        <v>2.0997934586966194E-2</v>
      </c>
      <c r="G387" s="748">
        <f t="shared" si="24"/>
        <v>-4.5714166272868839E-3</v>
      </c>
      <c r="H387" s="1067">
        <f t="shared" ref="H387:H450" si="25">F387-G387</f>
        <v>2.5569351214253078E-2</v>
      </c>
      <c r="I387">
        <f t="shared" ref="I387:I450" si="26">B387-C387</f>
        <v>73.785783620334428</v>
      </c>
    </row>
    <row r="388" spans="1:9" ht="20.100000000000001" customHeight="1">
      <c r="A388" s="563">
        <v>43663</v>
      </c>
      <c r="B388">
        <f t="shared" ref="B388:C451" si="27">B387*(1+F387)</f>
        <v>195.15219491856084</v>
      </c>
      <c r="C388">
        <f t="shared" si="27"/>
        <v>116.81642488141728</v>
      </c>
      <c r="D388">
        <v>17.309999465942379</v>
      </c>
      <c r="E388" s="604">
        <v>8185.2099609375</v>
      </c>
      <c r="F388" s="748">
        <f t="shared" si="24"/>
        <v>-1.1553177950344162E-3</v>
      </c>
      <c r="G388" s="748">
        <f t="shared" si="24"/>
        <v>2.6914732233669358E-3</v>
      </c>
      <c r="H388" s="1067">
        <f t="shared" si="25"/>
        <v>-3.8467910184013521E-3</v>
      </c>
      <c r="I388">
        <f t="shared" si="26"/>
        <v>78.335770037143561</v>
      </c>
    </row>
    <row r="389" spans="1:9" ht="20.100000000000001" customHeight="1">
      <c r="A389" s="563">
        <v>43664</v>
      </c>
      <c r="B389">
        <f t="shared" si="27"/>
        <v>194.9267321150314</v>
      </c>
      <c r="C389">
        <f t="shared" si="27"/>
        <v>117.13083316103507</v>
      </c>
      <c r="D389">
        <v>17.29000091552734</v>
      </c>
      <c r="E389" s="604">
        <v>8207.240234375</v>
      </c>
      <c r="F389" s="748">
        <f t="shared" si="24"/>
        <v>1.0526269340999539E-2</v>
      </c>
      <c r="G389" s="748">
        <f t="shared" si="24"/>
        <v>-7.4020009485717964E-3</v>
      </c>
      <c r="H389" s="1067">
        <f t="shared" si="25"/>
        <v>1.7928270289571335E-2</v>
      </c>
      <c r="I389">
        <f t="shared" si="26"/>
        <v>77.795898953996328</v>
      </c>
    </row>
    <row r="390" spans="1:9" ht="20.100000000000001" customHeight="1">
      <c r="A390" s="563">
        <v>43665</v>
      </c>
      <c r="B390">
        <f t="shared" si="27"/>
        <v>196.97858339903507</v>
      </c>
      <c r="C390">
        <f t="shared" si="27"/>
        <v>116.26383062287009</v>
      </c>
      <c r="D390">
        <v>17.472000122070309</v>
      </c>
      <c r="E390" s="604">
        <v>8146.490234375</v>
      </c>
      <c r="F390" s="748">
        <f t="shared" si="24"/>
        <v>2.1749145230103295E-3</v>
      </c>
      <c r="G390" s="748">
        <f t="shared" si="24"/>
        <v>7.076595245795847E-3</v>
      </c>
      <c r="H390" s="1067">
        <f t="shared" si="25"/>
        <v>-4.9016807227855175E-3</v>
      </c>
      <c r="I390">
        <f t="shared" si="26"/>
        <v>80.714752776164985</v>
      </c>
    </row>
    <row r="391" spans="1:9" ht="20.100000000000001" customHeight="1">
      <c r="A391" s="563">
        <v>43668</v>
      </c>
      <c r="B391">
        <f t="shared" si="27"/>
        <v>197.40699498079164</v>
      </c>
      <c r="C391">
        <f t="shared" si="27"/>
        <v>117.08658269391391</v>
      </c>
      <c r="D391">
        <v>17.510000228881839</v>
      </c>
      <c r="E391" s="604">
        <v>8204.1396484375</v>
      </c>
      <c r="F391" s="748">
        <f t="shared" si="24"/>
        <v>6.8527299212872705E-4</v>
      </c>
      <c r="G391" s="748">
        <f t="shared" si="24"/>
        <v>5.760596992824274E-3</v>
      </c>
      <c r="H391" s="1067">
        <f t="shared" si="25"/>
        <v>-5.0753240006955469E-3</v>
      </c>
      <c r="I391">
        <f t="shared" si="26"/>
        <v>80.320412286877726</v>
      </c>
    </row>
    <row r="392" spans="1:9" ht="20.100000000000001" customHeight="1">
      <c r="A392" s="563">
        <v>43669</v>
      </c>
      <c r="B392">
        <f t="shared" si="27"/>
        <v>197.54227266290926</v>
      </c>
      <c r="C392">
        <f t="shared" si="27"/>
        <v>117.76107131008054</v>
      </c>
      <c r="D392">
        <v>17.521999359130859</v>
      </c>
      <c r="E392" s="604">
        <v>8251.400390625</v>
      </c>
      <c r="F392" s="748">
        <f t="shared" si="24"/>
        <v>-1.1756613510107261E-2</v>
      </c>
      <c r="G392" s="748">
        <f t="shared" si="24"/>
        <v>8.4954802889756209E-3</v>
      </c>
      <c r="H392" s="1067">
        <f t="shared" si="25"/>
        <v>-2.0252093799082882E-2</v>
      </c>
      <c r="I392">
        <f t="shared" si="26"/>
        <v>79.781201352828717</v>
      </c>
    </row>
    <row r="393" spans="1:9" ht="20.100000000000001" customHeight="1">
      <c r="A393" s="563">
        <v>43670</v>
      </c>
      <c r="B393">
        <f t="shared" si="27"/>
        <v>195.21984451130319</v>
      </c>
      <c r="C393">
        <f t="shared" si="27"/>
        <v>118.76150817020398</v>
      </c>
      <c r="D393">
        <v>17.315999984741211</v>
      </c>
      <c r="E393" s="604">
        <v>8321.5</v>
      </c>
      <c r="F393" s="748">
        <f t="shared" si="24"/>
        <v>-1.4321967631249488E-2</v>
      </c>
      <c r="G393" s="748">
        <f t="shared" si="24"/>
        <v>-9.9693517920447228E-3</v>
      </c>
      <c r="H393" s="1067">
        <f t="shared" si="25"/>
        <v>-4.3526158392047654E-3</v>
      </c>
      <c r="I393">
        <f t="shared" si="26"/>
        <v>76.458336341099212</v>
      </c>
    </row>
    <row r="394" spans="1:9" ht="20.100000000000001" customHeight="1">
      <c r="A394" s="563">
        <v>43671</v>
      </c>
      <c r="B394">
        <f t="shared" si="27"/>
        <v>192.42391221723474</v>
      </c>
      <c r="C394">
        <f t="shared" si="27"/>
        <v>117.57753291590143</v>
      </c>
      <c r="D394">
        <v>17.068000793457031</v>
      </c>
      <c r="E394" s="604">
        <v>8238.5400390625</v>
      </c>
      <c r="F394" s="748">
        <f t="shared" si="24"/>
        <v>2.3433969399277998E-4</v>
      </c>
      <c r="G394" s="748">
        <f t="shared" si="24"/>
        <v>1.1126961990881146E-2</v>
      </c>
      <c r="H394" s="1067">
        <f t="shared" si="25"/>
        <v>-1.0892622296888366E-2</v>
      </c>
      <c r="I394">
        <f t="shared" si="26"/>
        <v>74.846379301333315</v>
      </c>
    </row>
    <row r="395" spans="1:9" ht="20.100000000000001" customHeight="1">
      <c r="A395" s="563">
        <v>43672</v>
      </c>
      <c r="B395">
        <f t="shared" si="27"/>
        <v>192.46900477794063</v>
      </c>
      <c r="C395">
        <f t="shared" si="27"/>
        <v>118.88581365563824</v>
      </c>
      <c r="D395">
        <v>17.072000503540039</v>
      </c>
      <c r="E395" s="604">
        <v>8330.2099609375</v>
      </c>
      <c r="F395" s="748">
        <f t="shared" si="24"/>
        <v>-2.8116297764015696E-2</v>
      </c>
      <c r="G395" s="748">
        <f t="shared" si="24"/>
        <v>-4.4272452897873293E-3</v>
      </c>
      <c r="H395" s="1067">
        <f t="shared" si="25"/>
        <v>-2.3689052474228367E-2</v>
      </c>
      <c r="I395">
        <f t="shared" si="26"/>
        <v>73.583191122302381</v>
      </c>
    </row>
    <row r="396" spans="1:9" ht="20.100000000000001" customHeight="1">
      <c r="A396" s="563">
        <v>43675</v>
      </c>
      <c r="B396">
        <f t="shared" si="27"/>
        <v>187.05748892926027</v>
      </c>
      <c r="C396">
        <f t="shared" si="27"/>
        <v>118.35947699710879</v>
      </c>
      <c r="D396">
        <v>16.591999053955082</v>
      </c>
      <c r="E396" s="604">
        <v>8293.330078125</v>
      </c>
      <c r="F396" s="748">
        <f t="shared" si="24"/>
        <v>-6.2679719222447083E-3</v>
      </c>
      <c r="G396" s="748">
        <f t="shared" si="24"/>
        <v>-2.3777814673642261E-3</v>
      </c>
      <c r="H396" s="1067">
        <f t="shared" si="25"/>
        <v>-3.8901904548804822E-3</v>
      </c>
      <c r="I396">
        <f t="shared" si="26"/>
        <v>68.698011932151488</v>
      </c>
    </row>
    <row r="397" spans="1:9" ht="20.100000000000001" customHeight="1">
      <c r="A397" s="563">
        <v>43676</v>
      </c>
      <c r="B397">
        <f t="shared" si="27"/>
        <v>185.88501784080606</v>
      </c>
      <c r="C397">
        <f t="shared" si="27"/>
        <v>118.07804402621814</v>
      </c>
      <c r="D397">
        <v>16.48800086975098</v>
      </c>
      <c r="E397" s="604">
        <v>8273.6103515625</v>
      </c>
      <c r="F397" s="748">
        <f t="shared" si="24"/>
        <v>-2.5837007073084561E-2</v>
      </c>
      <c r="G397" s="748">
        <f t="shared" si="24"/>
        <v>-1.1867905970330939E-2</v>
      </c>
      <c r="H397" s="1067">
        <f t="shared" si="25"/>
        <v>-1.3969101102753623E-2</v>
      </c>
      <c r="I397">
        <f t="shared" si="26"/>
        <v>67.80697381458792</v>
      </c>
    </row>
    <row r="398" spans="1:9" ht="20.100000000000001" customHeight="1">
      <c r="A398" s="563">
        <v>43677</v>
      </c>
      <c r="B398">
        <f t="shared" si="27"/>
        <v>181.08230532007269</v>
      </c>
      <c r="C398">
        <f t="shared" si="27"/>
        <v>116.67670490255438</v>
      </c>
      <c r="D398">
        <v>16.0620002746582</v>
      </c>
      <c r="E398" s="604">
        <v>8175.419921875</v>
      </c>
      <c r="F398" s="748">
        <f t="shared" si="24"/>
        <v>-1.6062779817491935E-2</v>
      </c>
      <c r="G398" s="748">
        <f t="shared" si="24"/>
        <v>-7.8650155346091655E-3</v>
      </c>
      <c r="H398" s="1067">
        <f t="shared" si="25"/>
        <v>-8.197764282882769E-3</v>
      </c>
      <c r="I398">
        <f t="shared" si="26"/>
        <v>64.405600417518315</v>
      </c>
    </row>
    <row r="399" spans="1:9" ht="20.100000000000001" customHeight="1">
      <c r="A399" s="563">
        <v>43678</v>
      </c>
      <c r="B399">
        <f t="shared" si="27"/>
        <v>178.17362012087253</v>
      </c>
      <c r="C399">
        <f t="shared" si="27"/>
        <v>115.75904080596878</v>
      </c>
      <c r="D399">
        <v>15.803999900817869</v>
      </c>
      <c r="E399" s="604">
        <v>8111.1201171875</v>
      </c>
      <c r="F399" s="748">
        <f t="shared" si="24"/>
        <v>8.8964767937136591E-2</v>
      </c>
      <c r="G399" s="748">
        <f t="shared" si="24"/>
        <v>-1.319796667070805E-2</v>
      </c>
      <c r="H399" s="1067">
        <f t="shared" si="25"/>
        <v>0.10216273460784464</v>
      </c>
      <c r="I399">
        <f t="shared" si="26"/>
        <v>62.414579314903747</v>
      </c>
    </row>
    <row r="400" spans="1:9" ht="20.100000000000001" customHeight="1">
      <c r="A400" s="563">
        <v>43679</v>
      </c>
      <c r="B400">
        <f t="shared" si="27"/>
        <v>194.02479488744549</v>
      </c>
      <c r="C400">
        <f t="shared" si="27"/>
        <v>114.23125684357848</v>
      </c>
      <c r="D400">
        <v>17.20999908447266</v>
      </c>
      <c r="E400" s="604">
        <v>8004.06982421875</v>
      </c>
      <c r="F400" s="748">
        <f t="shared" si="24"/>
        <v>-6.0313669650302382E-2</v>
      </c>
      <c r="G400" s="748">
        <f t="shared" si="24"/>
        <v>-3.4736051941349433E-2</v>
      </c>
      <c r="H400" s="1067">
        <f t="shared" si="25"/>
        <v>-2.5577617708952949E-2</v>
      </c>
      <c r="I400">
        <f t="shared" si="26"/>
        <v>79.793538043867017</v>
      </c>
    </row>
    <row r="401" spans="1:9" ht="20.100000000000001" customHeight="1">
      <c r="A401" s="563">
        <v>43682</v>
      </c>
      <c r="B401">
        <f t="shared" si="27"/>
        <v>182.32244750463641</v>
      </c>
      <c r="C401">
        <f t="shared" si="27"/>
        <v>110.26331397253431</v>
      </c>
      <c r="D401">
        <v>16.172000885009769</v>
      </c>
      <c r="E401" s="604">
        <v>7726.0400390625</v>
      </c>
      <c r="F401" s="748">
        <f t="shared" si="24"/>
        <v>1.4840450036125219E-2</v>
      </c>
      <c r="G401" s="748">
        <f t="shared" si="24"/>
        <v>1.3879035045974319E-2</v>
      </c>
      <c r="H401" s="1067">
        <f t="shared" si="25"/>
        <v>9.6141499015089948E-4</v>
      </c>
      <c r="I401">
        <f t="shared" si="26"/>
        <v>72.059133532102109</v>
      </c>
    </row>
    <row r="402" spans="1:9" ht="20.100000000000001" customHeight="1">
      <c r="A402" s="563">
        <v>43683</v>
      </c>
      <c r="B402">
        <f t="shared" si="27"/>
        <v>185.02819467729304</v>
      </c>
      <c r="C402">
        <f t="shared" si="27"/>
        <v>111.79366237144438</v>
      </c>
      <c r="D402">
        <v>16.41200065612793</v>
      </c>
      <c r="E402" s="604">
        <v>7833.27001953125</v>
      </c>
      <c r="F402" s="748">
        <f t="shared" si="24"/>
        <v>-7.3117739724555264E-3</v>
      </c>
      <c r="G402" s="748">
        <f t="shared" si="24"/>
        <v>3.773655002322851E-3</v>
      </c>
      <c r="H402" s="1067">
        <f t="shared" si="25"/>
        <v>-1.1085428974778377E-2</v>
      </c>
      <c r="I402">
        <f t="shared" si="26"/>
        <v>73.23453230584866</v>
      </c>
    </row>
    <row r="403" spans="1:9" ht="20.100000000000001" customHeight="1">
      <c r="A403" s="563">
        <v>43684</v>
      </c>
      <c r="B403">
        <f t="shared" si="27"/>
        <v>183.67531033928117</v>
      </c>
      <c r="C403">
        <f t="shared" si="27"/>
        <v>112.21553308468037</v>
      </c>
      <c r="D403">
        <v>16.291999816894531</v>
      </c>
      <c r="E403" s="604">
        <v>7862.830078125</v>
      </c>
      <c r="F403" s="748">
        <f t="shared" si="24"/>
        <v>3.572309961717246E-2</v>
      </c>
      <c r="G403" s="748">
        <f t="shared" si="24"/>
        <v>2.2425777534677227E-2</v>
      </c>
      <c r="H403" s="1067">
        <f t="shared" si="25"/>
        <v>1.3297322082495233E-2</v>
      </c>
      <c r="I403">
        <f t="shared" si="26"/>
        <v>71.459777254600795</v>
      </c>
    </row>
    <row r="404" spans="1:9" ht="20.100000000000001" customHeight="1">
      <c r="A404" s="563">
        <v>43685</v>
      </c>
      <c r="B404">
        <f t="shared" si="27"/>
        <v>190.23676174774639</v>
      </c>
      <c r="C404">
        <f t="shared" si="27"/>
        <v>114.73205366557262</v>
      </c>
      <c r="D404">
        <v>16.87400054931641</v>
      </c>
      <c r="E404" s="604">
        <v>8039.16015625</v>
      </c>
      <c r="F404" s="748">
        <f t="shared" si="24"/>
        <v>-9.9562148546669116E-3</v>
      </c>
      <c r="G404" s="748">
        <f t="shared" si="24"/>
        <v>-9.9537785012330238E-3</v>
      </c>
      <c r="H404" s="1067">
        <f t="shared" si="25"/>
        <v>-2.4363534338878168E-6</v>
      </c>
      <c r="I404">
        <f t="shared" si="26"/>
        <v>75.504708082173764</v>
      </c>
    </row>
    <row r="405" spans="1:9" ht="20.100000000000001" customHeight="1">
      <c r="A405" s="563">
        <v>43686</v>
      </c>
      <c r="B405">
        <f t="shared" si="27"/>
        <v>188.34272367452974</v>
      </c>
      <c r="C405">
        <f t="shared" si="27"/>
        <v>113.59003621639393</v>
      </c>
      <c r="D405">
        <v>16.705999374389648</v>
      </c>
      <c r="E405" s="604">
        <v>7959.14013671875</v>
      </c>
      <c r="F405" s="748">
        <f t="shared" si="24"/>
        <v>-1.6042120141503968E-2</v>
      </c>
      <c r="G405" s="748">
        <f t="shared" si="24"/>
        <v>-1.2027678722115853E-2</v>
      </c>
      <c r="H405" s="1067">
        <f t="shared" si="25"/>
        <v>-4.0144414193881151E-3</v>
      </c>
      <c r="I405">
        <f t="shared" si="26"/>
        <v>74.75268745813581</v>
      </c>
    </row>
    <row r="406" spans="1:9" ht="20.100000000000001" customHeight="1">
      <c r="A406" s="563">
        <v>43689</v>
      </c>
      <c r="B406">
        <f t="shared" si="27"/>
        <v>185.32130707356484</v>
      </c>
      <c r="C406">
        <f t="shared" si="27"/>
        <v>112.22381175474963</v>
      </c>
      <c r="D406">
        <v>16.4379997253418</v>
      </c>
      <c r="E406" s="604">
        <v>7863.41015625</v>
      </c>
      <c r="F406" s="748">
        <f t="shared" si="24"/>
        <v>2.0927112082899546E-2</v>
      </c>
      <c r="G406" s="748">
        <f t="shared" si="24"/>
        <v>1.9450811288240111E-2</v>
      </c>
      <c r="H406" s="1067">
        <f t="shared" si="25"/>
        <v>1.4763007946594353E-3</v>
      </c>
      <c r="I406">
        <f t="shared" si="26"/>
        <v>73.097495318815206</v>
      </c>
    </row>
    <row r="407" spans="1:9" ht="20.100000000000001" customHeight="1">
      <c r="A407" s="563">
        <v>43690</v>
      </c>
      <c r="B407">
        <f t="shared" si="27"/>
        <v>189.19954683804278</v>
      </c>
      <c r="C407">
        <f t="shared" si="27"/>
        <v>114.40665593923825</v>
      </c>
      <c r="D407">
        <v>16.781999588012699</v>
      </c>
      <c r="E407" s="604">
        <v>8016.35986328125</v>
      </c>
      <c r="F407" s="748">
        <f t="shared" si="24"/>
        <v>-3.8136062767251233E-2</v>
      </c>
      <c r="G407" s="748">
        <f t="shared" si="24"/>
        <v>-3.0240648624745403E-2</v>
      </c>
      <c r="H407" s="1067">
        <f t="shared" si="25"/>
        <v>-7.89541414250583E-3</v>
      </c>
      <c r="I407">
        <f t="shared" si="26"/>
        <v>74.792890898804529</v>
      </c>
    </row>
    <row r="408" spans="1:9" ht="20.100000000000001" customHeight="1">
      <c r="A408" s="563">
        <v>43691</v>
      </c>
      <c r="B408">
        <f t="shared" si="27"/>
        <v>181.9842210442917</v>
      </c>
      <c r="C408">
        <f t="shared" si="27"/>
        <v>110.94692445664761</v>
      </c>
      <c r="D408">
        <v>16.142000198364261</v>
      </c>
      <c r="E408" s="604">
        <v>7773.93994140625</v>
      </c>
      <c r="F408" s="748">
        <f t="shared" si="24"/>
        <v>-7.5579072668426894E-3</v>
      </c>
      <c r="G408" s="748">
        <f t="shared" si="24"/>
        <v>-9.415848686664674E-4</v>
      </c>
      <c r="H408" s="1067">
        <f t="shared" si="25"/>
        <v>-6.616322398176222E-3</v>
      </c>
      <c r="I408">
        <f t="shared" si="26"/>
        <v>71.037296587644093</v>
      </c>
    </row>
    <row r="409" spans="1:9" ht="20.100000000000001" customHeight="1">
      <c r="A409" s="563">
        <v>43692</v>
      </c>
      <c r="B409">
        <f t="shared" si="27"/>
        <v>180.60880117761033</v>
      </c>
      <c r="C409">
        <f t="shared" si="27"/>
        <v>110.84245851135415</v>
      </c>
      <c r="D409">
        <v>16.020000457763668</v>
      </c>
      <c r="E409" s="604">
        <v>7766.6201171875</v>
      </c>
      <c r="F409" s="748">
        <f t="shared" si="24"/>
        <v>6.9912302445953589E-3</v>
      </c>
      <c r="G409" s="748">
        <f t="shared" si="24"/>
        <v>1.6657196468410351E-2</v>
      </c>
      <c r="H409" s="1067">
        <f t="shared" si="25"/>
        <v>-9.6659662238149924E-3</v>
      </c>
      <c r="I409">
        <f t="shared" si="26"/>
        <v>69.766342666256179</v>
      </c>
    </row>
    <row r="410" spans="1:9" ht="20.100000000000001" customHeight="1">
      <c r="A410" s="563">
        <v>43693</v>
      </c>
      <c r="B410">
        <f t="shared" si="27"/>
        <v>181.87147889084335</v>
      </c>
      <c r="C410">
        <f t="shared" si="27"/>
        <v>112.6887831198194</v>
      </c>
      <c r="D410">
        <v>16.131999969482418</v>
      </c>
      <c r="E410" s="604">
        <v>7895.990234375</v>
      </c>
      <c r="F410" s="748">
        <f t="shared" si="24"/>
        <v>6.1988830683674667E-3</v>
      </c>
      <c r="G410" s="748">
        <f t="shared" si="24"/>
        <v>1.352836326388962E-2</v>
      </c>
      <c r="H410" s="1067">
        <f t="shared" si="25"/>
        <v>-7.3294801955221534E-3</v>
      </c>
      <c r="I410">
        <f t="shared" si="26"/>
        <v>69.182695771023944</v>
      </c>
    </row>
    <row r="411" spans="1:9" ht="20.100000000000001" customHeight="1">
      <c r="A411" s="563">
        <v>43696</v>
      </c>
      <c r="B411">
        <f t="shared" si="27"/>
        <v>182.99887892195875</v>
      </c>
      <c r="C411">
        <f t="shared" si="27"/>
        <v>114.21327791362999</v>
      </c>
      <c r="D411">
        <v>16.232000350952148</v>
      </c>
      <c r="E411" s="604">
        <v>8002.81005859375</v>
      </c>
      <c r="F411" s="748">
        <f t="shared" si="24"/>
        <v>-1.8358817721185972E-2</v>
      </c>
      <c r="G411" s="748">
        <f t="shared" si="24"/>
        <v>-6.77886887265855E-3</v>
      </c>
      <c r="H411" s="1067">
        <f t="shared" si="25"/>
        <v>-1.1579948848527422E-2</v>
      </c>
      <c r="I411">
        <f t="shared" si="26"/>
        <v>68.785601008328754</v>
      </c>
    </row>
    <row r="412" spans="1:9" ht="20.100000000000001" customHeight="1">
      <c r="A412" s="563">
        <v>43697</v>
      </c>
      <c r="B412">
        <f t="shared" si="27"/>
        <v>179.63923586064914</v>
      </c>
      <c r="C412">
        <f t="shared" si="27"/>
        <v>113.43904107913698</v>
      </c>
      <c r="D412">
        <v>15.934000015258791</v>
      </c>
      <c r="E412" s="604">
        <v>7948.56005859375</v>
      </c>
      <c r="F412" s="748">
        <f t="shared" si="24"/>
        <v>2.8869027490407317E-2</v>
      </c>
      <c r="G412" s="748">
        <f t="shared" si="24"/>
        <v>9.0141990266883187E-3</v>
      </c>
      <c r="H412" s="1067">
        <f t="shared" si="25"/>
        <v>1.9854828463718999E-2</v>
      </c>
      <c r="I412">
        <f t="shared" si="26"/>
        <v>66.200194781512153</v>
      </c>
    </row>
    <row r="413" spans="1:9" ht="20.100000000000001" customHeight="1">
      <c r="A413" s="563">
        <v>43698</v>
      </c>
      <c r="B413">
        <f t="shared" si="27"/>
        <v>184.82524589906598</v>
      </c>
      <c r="C413">
        <f t="shared" si="27"/>
        <v>114.461603172821</v>
      </c>
      <c r="D413">
        <v>16.393999099731449</v>
      </c>
      <c r="E413" s="604">
        <v>8020.2099609375</v>
      </c>
      <c r="F413" s="748">
        <f t="shared" si="24"/>
        <v>-2.6838307111068938E-3</v>
      </c>
      <c r="G413" s="748">
        <f t="shared" si="24"/>
        <v>-3.5934002175899149E-3</v>
      </c>
      <c r="H413" s="1067">
        <f t="shared" si="25"/>
        <v>9.0956950648302115E-4</v>
      </c>
      <c r="I413">
        <f t="shared" si="26"/>
        <v>70.363642726244976</v>
      </c>
    </row>
    <row r="414" spans="1:9" ht="20.100000000000001" customHeight="1">
      <c r="A414" s="563">
        <v>43699</v>
      </c>
      <c r="B414">
        <f t="shared" si="27"/>
        <v>184.32920622793418</v>
      </c>
      <c r="C414">
        <f t="shared" si="27"/>
        <v>114.05029682307409</v>
      </c>
      <c r="D414">
        <v>16.35000038146973</v>
      </c>
      <c r="E414" s="604">
        <v>7991.39013671875</v>
      </c>
      <c r="F414" s="748">
        <f t="shared" si="24"/>
        <v>-1.712542386010274E-2</v>
      </c>
      <c r="G414" s="748">
        <f t="shared" si="24"/>
        <v>-2.9984785261139457E-2</v>
      </c>
      <c r="H414" s="1067">
        <f t="shared" si="25"/>
        <v>1.2859361401036717E-2</v>
      </c>
      <c r="I414">
        <f t="shared" si="26"/>
        <v>70.278909404860087</v>
      </c>
    </row>
    <row r="415" spans="1:9" ht="20.100000000000001" customHeight="1">
      <c r="A415" s="563">
        <v>43700</v>
      </c>
      <c r="B415">
        <f t="shared" si="27"/>
        <v>181.17249044148451</v>
      </c>
      <c r="C415">
        <f t="shared" si="27"/>
        <v>110.63052316386499</v>
      </c>
      <c r="D415">
        <v>16.069999694824219</v>
      </c>
      <c r="E415" s="604">
        <v>7751.77001953125</v>
      </c>
      <c r="F415" s="748">
        <f t="shared" si="24"/>
        <v>9.7075382882145789E-3</v>
      </c>
      <c r="G415" s="748">
        <f t="shared" si="24"/>
        <v>1.3154442738474881E-2</v>
      </c>
      <c r="H415" s="1067">
        <f t="shared" si="25"/>
        <v>-3.4469044502603019E-3</v>
      </c>
      <c r="I415">
        <f t="shared" si="26"/>
        <v>70.54196727761952</v>
      </c>
    </row>
    <row r="416" spans="1:9" ht="20.100000000000001" customHeight="1">
      <c r="A416" s="563">
        <v>43703</v>
      </c>
      <c r="B416">
        <f t="shared" si="27"/>
        <v>182.93122932921642</v>
      </c>
      <c r="C416">
        <f t="shared" si="27"/>
        <v>112.08580604595157</v>
      </c>
      <c r="D416">
        <v>16.22599983215332</v>
      </c>
      <c r="E416" s="604">
        <v>7853.740234375</v>
      </c>
      <c r="F416" s="748">
        <f t="shared" si="24"/>
        <v>-3.3279272588520037E-3</v>
      </c>
      <c r="G416" s="748">
        <f t="shared" si="24"/>
        <v>-3.4111185579124292E-3</v>
      </c>
      <c r="H416" s="1067">
        <f t="shared" si="25"/>
        <v>8.319129906042555E-5</v>
      </c>
      <c r="I416">
        <f t="shared" si="26"/>
        <v>70.84542328326485</v>
      </c>
    </row>
    <row r="417" spans="1:9" ht="20.100000000000001" customHeight="1">
      <c r="A417" s="563">
        <v>43704</v>
      </c>
      <c r="B417">
        <f t="shared" si="27"/>
        <v>182.32244750463641</v>
      </c>
      <c r="C417">
        <f t="shared" si="27"/>
        <v>111.70346807286965</v>
      </c>
      <c r="D417">
        <v>16.172000885009769</v>
      </c>
      <c r="E417" s="604">
        <v>7826.9501953125</v>
      </c>
      <c r="F417" s="748">
        <f t="shared" si="24"/>
        <v>-3.722490460308836E-2</v>
      </c>
      <c r="G417" s="748">
        <f t="shared" si="24"/>
        <v>3.8239271687106058E-3</v>
      </c>
      <c r="H417" s="1067">
        <f t="shared" si="25"/>
        <v>-4.1048831771798966E-2</v>
      </c>
      <c r="I417">
        <f t="shared" si="26"/>
        <v>70.618979431766761</v>
      </c>
    </row>
    <row r="418" spans="1:9" ht="20.100000000000001" customHeight="1">
      <c r="A418" s="563">
        <v>43705</v>
      </c>
      <c r="B418">
        <f t="shared" si="27"/>
        <v>175.53551178927475</v>
      </c>
      <c r="C418">
        <f t="shared" si="27"/>
        <v>112.1306139992727</v>
      </c>
      <c r="D418">
        <v>15.569999694824221</v>
      </c>
      <c r="E418" s="604">
        <v>7856.8798828125</v>
      </c>
      <c r="F418" s="748">
        <f t="shared" si="24"/>
        <v>1.5414366292285653E-3</v>
      </c>
      <c r="G418" s="748">
        <f t="shared" si="24"/>
        <v>1.4829074090991767E-2</v>
      </c>
      <c r="H418" s="1067">
        <f t="shared" si="25"/>
        <v>-1.3287637461763202E-2</v>
      </c>
      <c r="I418">
        <f t="shared" si="26"/>
        <v>63.404897790002053</v>
      </c>
    </row>
    <row r="419" spans="1:9" ht="20.100000000000001" customHeight="1">
      <c r="A419" s="563">
        <v>43706</v>
      </c>
      <c r="B419">
        <f t="shared" si="27"/>
        <v>175.80608865687711</v>
      </c>
      <c r="C419">
        <f t="shared" si="27"/>
        <v>113.79340718213631</v>
      </c>
      <c r="D419">
        <v>15.5939998626709</v>
      </c>
      <c r="E419" s="604">
        <v>7973.39013671875</v>
      </c>
      <c r="F419" s="748">
        <f t="shared" si="24"/>
        <v>1.551882659774062E-2</v>
      </c>
      <c r="G419" s="748">
        <f t="shared" si="24"/>
        <v>-1.318166266297216E-3</v>
      </c>
      <c r="H419" s="1067">
        <f t="shared" si="25"/>
        <v>1.6836992864037836E-2</v>
      </c>
      <c r="I419">
        <f t="shared" si="26"/>
        <v>62.012681474740802</v>
      </c>
    </row>
    <row r="420" spans="1:9" ht="20.100000000000001" customHeight="1">
      <c r="A420" s="563">
        <v>43707</v>
      </c>
      <c r="B420">
        <f t="shared" si="27"/>
        <v>178.53439286157021</v>
      </c>
      <c r="C420">
        <f t="shared" si="27"/>
        <v>113.64340855146179</v>
      </c>
      <c r="D420">
        <v>15.836000442504879</v>
      </c>
      <c r="E420" s="604">
        <v>7962.8798828125</v>
      </c>
      <c r="F420" s="748">
        <f t="shared" si="24"/>
        <v>-1.4523900573613413E-2</v>
      </c>
      <c r="G420" s="748">
        <f t="shared" si="24"/>
        <v>-1.1141663301238225E-2</v>
      </c>
      <c r="H420" s="1067">
        <f t="shared" si="25"/>
        <v>-3.3822372723751881E-3</v>
      </c>
      <c r="I420">
        <f t="shared" si="26"/>
        <v>64.890984310108422</v>
      </c>
    </row>
    <row r="421" spans="1:9" ht="20.100000000000001" customHeight="1">
      <c r="A421" s="563">
        <v>43711</v>
      </c>
      <c r="B421">
        <f t="shared" si="27"/>
        <v>175.94137709067832</v>
      </c>
      <c r="C421">
        <f t="shared" si="27"/>
        <v>112.37723195697635</v>
      </c>
      <c r="D421">
        <v>15.60599994659424</v>
      </c>
      <c r="E421" s="604">
        <v>7874.16015625</v>
      </c>
      <c r="F421" s="748">
        <f t="shared" si="24"/>
        <v>2.4349677650621349E-3</v>
      </c>
      <c r="G421" s="748">
        <f t="shared" si="24"/>
        <v>1.3045166027130906E-2</v>
      </c>
      <c r="H421" s="1067">
        <f t="shared" si="25"/>
        <v>-1.0610198262068771E-2</v>
      </c>
      <c r="I421">
        <f t="shared" si="26"/>
        <v>63.56414513370197</v>
      </c>
    </row>
    <row r="422" spans="1:9" ht="20.100000000000001" customHeight="1">
      <c r="A422" s="563">
        <v>43712</v>
      </c>
      <c r="B422">
        <f t="shared" si="27"/>
        <v>176.36978867243477</v>
      </c>
      <c r="C422">
        <f t="shared" si="27"/>
        <v>113.8432116055245</v>
      </c>
      <c r="D422">
        <v>15.64400005340576</v>
      </c>
      <c r="E422" s="604">
        <v>7976.8798828125</v>
      </c>
      <c r="F422" s="748">
        <f t="shared" si="24"/>
        <v>2.7742205324909008E-2</v>
      </c>
      <c r="G422" s="748">
        <f t="shared" si="24"/>
        <v>1.754447821309757E-2</v>
      </c>
      <c r="H422" s="1067">
        <f t="shared" si="25"/>
        <v>1.0197727111811439E-2</v>
      </c>
      <c r="I422">
        <f t="shared" si="26"/>
        <v>62.526577066910264</v>
      </c>
    </row>
    <row r="423" spans="1:9" ht="20.100000000000001" customHeight="1">
      <c r="A423" s="563">
        <v>43713</v>
      </c>
      <c r="B423">
        <f t="shared" si="27"/>
        <v>181.26267556289625</v>
      </c>
      <c r="C423">
        <f t="shared" si="27"/>
        <v>115.84053135124668</v>
      </c>
      <c r="D423">
        <v>16.077999114990231</v>
      </c>
      <c r="E423" s="604">
        <v>8116.830078125</v>
      </c>
      <c r="F423" s="748">
        <f t="shared" si="24"/>
        <v>-3.6073305398112154E-3</v>
      </c>
      <c r="G423" s="748">
        <f t="shared" si="24"/>
        <v>-1.6952743588083408E-3</v>
      </c>
      <c r="H423" s="1067">
        <f t="shared" si="25"/>
        <v>-1.9120561810028747E-3</v>
      </c>
      <c r="I423">
        <f t="shared" si="26"/>
        <v>65.422144211649567</v>
      </c>
    </row>
    <row r="424" spans="1:9" ht="20.100000000000001" customHeight="1">
      <c r="A424" s="563">
        <v>43714</v>
      </c>
      <c r="B424">
        <f t="shared" si="27"/>
        <v>180.60880117761033</v>
      </c>
      <c r="C424">
        <f t="shared" si="27"/>
        <v>115.64414986873618</v>
      </c>
      <c r="D424">
        <v>16.020000457763668</v>
      </c>
      <c r="E424" s="604">
        <v>8103.06982421875</v>
      </c>
      <c r="F424" s="748">
        <f t="shared" si="24"/>
        <v>-1.3608015340701773E-2</v>
      </c>
      <c r="G424" s="748">
        <f t="shared" si="24"/>
        <v>-1.9288841329967443E-3</v>
      </c>
      <c r="H424" s="1067">
        <f t="shared" si="25"/>
        <v>-1.1679131207705029E-2</v>
      </c>
      <c r="I424">
        <f t="shared" si="26"/>
        <v>64.964651308874153</v>
      </c>
    </row>
    <row r="425" spans="1:9" ht="20.100000000000001" customHeight="1">
      <c r="A425" s="563">
        <v>43717</v>
      </c>
      <c r="B425">
        <f t="shared" si="27"/>
        <v>178.15107384051964</v>
      </c>
      <c r="C425">
        <f t="shared" si="27"/>
        <v>115.42108570298048</v>
      </c>
      <c r="D425">
        <v>15.802000045776371</v>
      </c>
      <c r="E425" s="604">
        <v>8087.43994140625</v>
      </c>
      <c r="F425" s="748">
        <f t="shared" si="24"/>
        <v>2.5313227273220384E-3</v>
      </c>
      <c r="G425" s="748">
        <f t="shared" si="24"/>
        <v>-4.0554058886521638E-4</v>
      </c>
      <c r="H425" s="1067">
        <f t="shared" si="25"/>
        <v>2.9368633161872548E-3</v>
      </c>
      <c r="I425">
        <f t="shared" si="26"/>
        <v>62.729988137539166</v>
      </c>
    </row>
    <row r="426" spans="1:9" ht="20.100000000000001" customHeight="1">
      <c r="A426" s="563">
        <v>43718</v>
      </c>
      <c r="B426">
        <f t="shared" si="27"/>
        <v>178.60203170262898</v>
      </c>
      <c r="C426">
        <f t="shared" si="27"/>
        <v>115.37427776791702</v>
      </c>
      <c r="D426">
        <v>15.842000007629389</v>
      </c>
      <c r="E426" s="604">
        <v>8084.16015625</v>
      </c>
      <c r="F426" s="748">
        <f t="shared" si="24"/>
        <v>8.0798042758349897E-3</v>
      </c>
      <c r="G426" s="748">
        <f t="shared" si="24"/>
        <v>1.0578714161808556E-2</v>
      </c>
      <c r="H426" s="1067">
        <f t="shared" si="25"/>
        <v>-2.4989098859735659E-3</v>
      </c>
      <c r="I426">
        <f t="shared" si="26"/>
        <v>63.227753934711956</v>
      </c>
    </row>
    <row r="427" spans="1:9" ht="20.100000000000001" customHeight="1">
      <c r="A427" s="563">
        <v>43719</v>
      </c>
      <c r="B427">
        <f t="shared" si="27"/>
        <v>180.0451011620527</v>
      </c>
      <c r="C427">
        <f t="shared" si="27"/>
        <v>116.59478927404892</v>
      </c>
      <c r="D427">
        <v>15.97000026702881</v>
      </c>
      <c r="E427" s="604">
        <v>8169.68017578125</v>
      </c>
      <c r="F427" s="748">
        <f t="shared" si="24"/>
        <v>-1.8534782448499709E-2</v>
      </c>
      <c r="G427" s="748">
        <f t="shared" si="24"/>
        <v>3.0343355245090464E-3</v>
      </c>
      <c r="H427" s="1067">
        <f t="shared" si="25"/>
        <v>-2.1569117973008756E-2</v>
      </c>
      <c r="I427">
        <f t="shared" si="26"/>
        <v>63.450311888003782</v>
      </c>
    </row>
    <row r="428" spans="1:9" ht="20.100000000000001" customHeight="1">
      <c r="A428" s="563">
        <v>43720</v>
      </c>
      <c r="B428">
        <f t="shared" si="27"/>
        <v>176.70800438109595</v>
      </c>
      <c r="C428">
        <f t="shared" si="27"/>
        <v>116.94857698511581</v>
      </c>
      <c r="D428">
        <v>15.67399978637695</v>
      </c>
      <c r="E428" s="604">
        <v>8194.4697265625</v>
      </c>
      <c r="F428" s="748">
        <f t="shared" si="24"/>
        <v>-3.3175989846290221E-3</v>
      </c>
      <c r="G428" s="748">
        <f t="shared" si="24"/>
        <v>-2.1672867455269085E-3</v>
      </c>
      <c r="H428" s="1067">
        <f t="shared" si="25"/>
        <v>-1.1503122391021137E-3</v>
      </c>
      <c r="I428">
        <f t="shared" si="26"/>
        <v>59.75942739598014</v>
      </c>
    </row>
    <row r="429" spans="1:9" ht="20.100000000000001" customHeight="1">
      <c r="A429" s="563">
        <v>43721</v>
      </c>
      <c r="B429">
        <f t="shared" si="27"/>
        <v>176.12175808518541</v>
      </c>
      <c r="C429">
        <f t="shared" si="27"/>
        <v>116.69511588430773</v>
      </c>
      <c r="D429">
        <v>15.621999740600589</v>
      </c>
      <c r="E429" s="604">
        <v>8176.7099609375</v>
      </c>
      <c r="F429" s="748">
        <f t="shared" si="24"/>
        <v>1.9971852505369814E-2</v>
      </c>
      <c r="G429" s="748">
        <f t="shared" si="24"/>
        <v>-2.8336484950168828E-3</v>
      </c>
      <c r="H429" s="1067">
        <f t="shared" si="25"/>
        <v>2.2805501000386696E-2</v>
      </c>
      <c r="I429">
        <f t="shared" si="26"/>
        <v>59.42664220087768</v>
      </c>
    </row>
    <row r="430" spans="1:9" ht="20.100000000000001" customHeight="1">
      <c r="A430" s="563">
        <v>43724</v>
      </c>
      <c r="B430">
        <f t="shared" si="27"/>
        <v>179.63923586064917</v>
      </c>
      <c r="C430">
        <f t="shared" si="27"/>
        <v>116.36444294480634</v>
      </c>
      <c r="D430">
        <v>15.934000015258791</v>
      </c>
      <c r="E430" s="604">
        <v>8153.5400390625</v>
      </c>
      <c r="F430" s="748">
        <f t="shared" si="24"/>
        <v>-2.761370145218156E-3</v>
      </c>
      <c r="G430" s="748">
        <f t="shared" si="24"/>
        <v>3.9835433827690725E-3</v>
      </c>
      <c r="H430" s="1067">
        <f t="shared" si="25"/>
        <v>-6.7449135279872285E-3</v>
      </c>
      <c r="I430">
        <f t="shared" si="26"/>
        <v>63.274792915842824</v>
      </c>
    </row>
    <row r="431" spans="1:9" ht="20.100000000000001" customHeight="1">
      <c r="A431" s="563">
        <v>43725</v>
      </c>
      <c r="B431">
        <f t="shared" si="27"/>
        <v>179.14318543783378</v>
      </c>
      <c r="C431">
        <f t="shared" si="27"/>
        <v>116.82798575148874</v>
      </c>
      <c r="D431">
        <v>15.89000034332275</v>
      </c>
      <c r="E431" s="604">
        <v>8186.02001953125</v>
      </c>
      <c r="F431" s="748">
        <f t="shared" si="24"/>
        <v>-7.300199683432762E-3</v>
      </c>
      <c r="G431" s="748">
        <f t="shared" si="24"/>
        <v>-1.0542220507535616E-3</v>
      </c>
      <c r="H431" s="1067">
        <f t="shared" si="25"/>
        <v>-6.2459776326792005E-3</v>
      </c>
      <c r="I431">
        <f t="shared" si="26"/>
        <v>62.315199686345039</v>
      </c>
    </row>
    <row r="432" spans="1:9" ht="20.100000000000001" customHeight="1">
      <c r="A432" s="563">
        <v>43726</v>
      </c>
      <c r="B432">
        <f t="shared" si="27"/>
        <v>177.83540441221137</v>
      </c>
      <c r="C432">
        <f t="shared" si="27"/>
        <v>116.7048231127644</v>
      </c>
      <c r="D432">
        <v>15.77400016784668</v>
      </c>
      <c r="E432" s="604">
        <v>8177.39013671875</v>
      </c>
      <c r="F432" s="748">
        <f t="shared" si="24"/>
        <v>-5.7056010923178802E-3</v>
      </c>
      <c r="G432" s="748">
        <f t="shared" si="24"/>
        <v>6.7133229575278008E-4</v>
      </c>
      <c r="H432" s="1067">
        <f t="shared" si="25"/>
        <v>-6.3769333880706602E-3</v>
      </c>
      <c r="I432">
        <f t="shared" si="26"/>
        <v>61.130581299446973</v>
      </c>
    </row>
    <row r="433" spans="1:9" ht="20.100000000000001" customHeight="1">
      <c r="A433" s="563">
        <v>43727</v>
      </c>
      <c r="B433">
        <f t="shared" si="27"/>
        <v>176.82074653454427</v>
      </c>
      <c r="C433">
        <f t="shared" si="27"/>
        <v>116.78317082959012</v>
      </c>
      <c r="D433">
        <v>15.684000015258791</v>
      </c>
      <c r="E433" s="604">
        <v>8182.8798828125</v>
      </c>
      <c r="F433" s="748">
        <f t="shared" si="24"/>
        <v>-2.4228581213052713E-3</v>
      </c>
      <c r="G433" s="748">
        <f t="shared" si="24"/>
        <v>-7.9690722424593519E-3</v>
      </c>
      <c r="H433" s="1067">
        <f t="shared" si="25"/>
        <v>5.5462141211540805E-3</v>
      </c>
      <c r="I433">
        <f t="shared" si="26"/>
        <v>60.037575704954151</v>
      </c>
    </row>
    <row r="434" spans="1:9" ht="20.100000000000001" customHeight="1">
      <c r="A434" s="563">
        <v>43728</v>
      </c>
      <c r="B434">
        <f t="shared" si="27"/>
        <v>176.39233495278779</v>
      </c>
      <c r="C434">
        <f t="shared" si="27"/>
        <v>115.85251730454564</v>
      </c>
      <c r="D434">
        <v>15.645999908447269</v>
      </c>
      <c r="E434" s="604">
        <v>8117.669921875</v>
      </c>
      <c r="F434" s="748">
        <f t="shared" si="24"/>
        <v>1.3166325531725365E-2</v>
      </c>
      <c r="G434" s="748">
        <f t="shared" si="24"/>
        <v>-6.4180497453592E-4</v>
      </c>
      <c r="H434" s="1067">
        <f t="shared" si="25"/>
        <v>1.3808130506261285E-2</v>
      </c>
      <c r="I434">
        <f t="shared" si="26"/>
        <v>60.539817648242149</v>
      </c>
    </row>
    <row r="435" spans="1:9" ht="20.100000000000001" customHeight="1">
      <c r="A435" s="563">
        <v>43731</v>
      </c>
      <c r="B435">
        <f t="shared" si="27"/>
        <v>178.71477385607733</v>
      </c>
      <c r="C435">
        <f t="shared" si="27"/>
        <v>115.77816258262708</v>
      </c>
      <c r="D435">
        <v>15.85200023651123</v>
      </c>
      <c r="E435" s="604">
        <v>8112.4599609375</v>
      </c>
      <c r="F435" s="748">
        <f t="shared" si="24"/>
        <v>2.523157975860002E-4</v>
      </c>
      <c r="G435" s="748">
        <f t="shared" si="24"/>
        <v>-1.464784771785399E-2</v>
      </c>
      <c r="H435" s="1067">
        <f t="shared" si="25"/>
        <v>1.490016351543999E-2</v>
      </c>
      <c r="I435">
        <f t="shared" si="26"/>
        <v>62.936611273450254</v>
      </c>
    </row>
    <row r="436" spans="1:9" ht="20.100000000000001" customHeight="1">
      <c r="A436" s="563">
        <v>43732</v>
      </c>
      <c r="B436">
        <f t="shared" si="27"/>
        <v>178.75986641678324</v>
      </c>
      <c r="C436">
        <f t="shared" si="27"/>
        <v>114.08226168806381</v>
      </c>
      <c r="D436">
        <v>15.85599994659424</v>
      </c>
      <c r="E436" s="604">
        <v>7993.6298828125</v>
      </c>
      <c r="F436" s="748">
        <f t="shared" si="24"/>
        <v>1.2612607519146835E-4</v>
      </c>
      <c r="G436" s="748">
        <f t="shared" si="24"/>
        <v>1.0477092538406785E-2</v>
      </c>
      <c r="H436" s="1067">
        <f t="shared" si="25"/>
        <v>-1.0350966463215316E-2</v>
      </c>
      <c r="I436">
        <f t="shared" si="26"/>
        <v>64.67760472871943</v>
      </c>
    </row>
    <row r="437" spans="1:9" ht="20.100000000000001" customHeight="1">
      <c r="A437" s="563">
        <v>43733</v>
      </c>
      <c r="B437">
        <f t="shared" si="27"/>
        <v>178.78241269713615</v>
      </c>
      <c r="C437">
        <f t="shared" si="27"/>
        <v>115.27751210076039</v>
      </c>
      <c r="D437">
        <v>15.85799980163574</v>
      </c>
      <c r="E437" s="604">
        <v>8077.3798828125</v>
      </c>
      <c r="F437" s="748">
        <f t="shared" si="24"/>
        <v>-5.4230981149142599E-3</v>
      </c>
      <c r="G437" s="748">
        <f t="shared" si="24"/>
        <v>-5.7840199718615093E-3</v>
      </c>
      <c r="H437" s="1067">
        <f t="shared" si="25"/>
        <v>3.6092185694724943E-4</v>
      </c>
      <c r="I437">
        <f t="shared" si="26"/>
        <v>63.504900596375762</v>
      </c>
    </row>
    <row r="438" spans="1:9" ht="20.100000000000001" customHeight="1">
      <c r="A438" s="563">
        <v>43734</v>
      </c>
      <c r="B438">
        <f t="shared" si="27"/>
        <v>177.81285813185849</v>
      </c>
      <c r="C438">
        <f t="shared" si="27"/>
        <v>114.61074466846308</v>
      </c>
      <c r="D438">
        <v>15.772000312805179</v>
      </c>
      <c r="E438" s="604">
        <v>8030.66015625</v>
      </c>
      <c r="F438" s="748">
        <f t="shared" si="24"/>
        <v>-3.3477039529412722E-2</v>
      </c>
      <c r="G438" s="748">
        <f t="shared" si="24"/>
        <v>-1.1335341262904031E-2</v>
      </c>
      <c r="H438" s="1067">
        <f t="shared" si="25"/>
        <v>-2.2141698266508691E-2</v>
      </c>
      <c r="I438">
        <f t="shared" si="26"/>
        <v>63.202113463395406</v>
      </c>
    </row>
    <row r="439" spans="1:9" ht="20.100000000000001" customHeight="1">
      <c r="A439" s="563">
        <v>43735</v>
      </c>
      <c r="B439">
        <f t="shared" si="27"/>
        <v>171.8602100513404</v>
      </c>
      <c r="C439">
        <f t="shared" si="27"/>
        <v>113.3115927652505</v>
      </c>
      <c r="D439">
        <v>15.24400043487549</v>
      </c>
      <c r="E439" s="604">
        <v>7939.6298828125</v>
      </c>
      <c r="F439" s="748">
        <f t="shared" si="24"/>
        <v>7.0847414428469868E-3</v>
      </c>
      <c r="G439" s="748">
        <f t="shared" si="24"/>
        <v>7.5204967761479669E-3</v>
      </c>
      <c r="H439" s="1067">
        <f t="shared" si="25"/>
        <v>-4.3575533330098004E-4</v>
      </c>
      <c r="I439">
        <f t="shared" si="26"/>
        <v>58.548617286089907</v>
      </c>
    </row>
    <row r="440" spans="1:9" ht="20.100000000000001" customHeight="1">
      <c r="A440" s="563">
        <v>43738</v>
      </c>
      <c r="B440">
        <f t="shared" si="27"/>
        <v>173.07779520386751</v>
      </c>
      <c r="C440">
        <f t="shared" si="27"/>
        <v>114.16375223334175</v>
      </c>
      <c r="D440">
        <v>15.35200023651123</v>
      </c>
      <c r="E440" s="604">
        <v>7999.33984375</v>
      </c>
      <c r="F440" s="748">
        <f t="shared" si="24"/>
        <v>3.7779839765075263E-3</v>
      </c>
      <c r="G440" s="748">
        <f t="shared" si="24"/>
        <v>-1.1333393722431251E-2</v>
      </c>
      <c r="H440" s="1067">
        <f t="shared" si="25"/>
        <v>1.5111377698938777E-2</v>
      </c>
      <c r="I440">
        <f t="shared" si="26"/>
        <v>58.914042970525756</v>
      </c>
    </row>
    <row r="441" spans="1:9" ht="20.100000000000001" customHeight="1">
      <c r="A441" s="563">
        <v>43739</v>
      </c>
      <c r="B441">
        <f t="shared" si="27"/>
        <v>173.73168034083696</v>
      </c>
      <c r="C441">
        <f t="shared" si="27"/>
        <v>112.86988948045121</v>
      </c>
      <c r="D441">
        <v>15.409999847412109</v>
      </c>
      <c r="E441" s="604">
        <v>7908.68017578125</v>
      </c>
      <c r="F441" s="748">
        <f t="shared" si="24"/>
        <v>-1.8170002319514045E-2</v>
      </c>
      <c r="G441" s="748">
        <f t="shared" si="24"/>
        <v>-1.5606924674894551E-2</v>
      </c>
      <c r="H441" s="1067">
        <f t="shared" si="25"/>
        <v>-2.5630776446194936E-3</v>
      </c>
      <c r="I441">
        <f t="shared" si="26"/>
        <v>60.861790860385753</v>
      </c>
    </row>
    <row r="442" spans="1:9" ht="20.100000000000001" customHeight="1">
      <c r="A442" s="563">
        <v>43740</v>
      </c>
      <c r="B442">
        <f t="shared" si="27"/>
        <v>170.57497530607088</v>
      </c>
      <c r="C442">
        <f t="shared" si="27"/>
        <v>111.10833761726613</v>
      </c>
      <c r="D442">
        <v>15.13000011444092</v>
      </c>
      <c r="E442" s="604">
        <v>7785.25</v>
      </c>
      <c r="F442" s="748">
        <f t="shared" si="24"/>
        <v>2.2736276276863254E-2</v>
      </c>
      <c r="G442" s="748">
        <f t="shared" si="24"/>
        <v>1.1176232699656508E-2</v>
      </c>
      <c r="H442" s="1067">
        <f t="shared" si="25"/>
        <v>1.1560043577206747E-2</v>
      </c>
      <c r="I442">
        <f t="shared" si="26"/>
        <v>59.466637688804752</v>
      </c>
    </row>
    <row r="443" spans="1:9" ht="20.100000000000001" customHeight="1">
      <c r="A443" s="563">
        <v>43741</v>
      </c>
      <c r="B443">
        <f t="shared" si="27"/>
        <v>174.45321507054885</v>
      </c>
      <c r="C443">
        <f t="shared" si="27"/>
        <v>112.35011025334869</v>
      </c>
      <c r="D443">
        <v>15.47399997711182</v>
      </c>
      <c r="E443" s="604">
        <v>7872.259765625</v>
      </c>
      <c r="F443" s="748">
        <f t="shared" si="24"/>
        <v>1.5509996046387808E-3</v>
      </c>
      <c r="G443" s="748">
        <f t="shared" si="24"/>
        <v>1.3999849153859767E-2</v>
      </c>
      <c r="H443" s="1067">
        <f t="shared" si="25"/>
        <v>-1.2448849549220986E-2</v>
      </c>
      <c r="I443">
        <f t="shared" si="26"/>
        <v>62.103104817200162</v>
      </c>
    </row>
    <row r="444" spans="1:9" ht="20.100000000000001" customHeight="1">
      <c r="A444" s="563">
        <v>43742</v>
      </c>
      <c r="B444">
        <f t="shared" si="27"/>
        <v>174.72379193815124</v>
      </c>
      <c r="C444">
        <f t="shared" si="27"/>
        <v>113.92299484931509</v>
      </c>
      <c r="D444">
        <v>15.4980001449585</v>
      </c>
      <c r="E444" s="604">
        <v>7982.47021484375</v>
      </c>
      <c r="F444" s="748">
        <f t="shared" si="24"/>
        <v>4.1295734353519187E-3</v>
      </c>
      <c r="G444" s="748">
        <f t="shared" si="24"/>
        <v>-3.2797085459294051E-3</v>
      </c>
      <c r="H444" s="1067">
        <f t="shared" si="25"/>
        <v>7.4092819812813238E-3</v>
      </c>
      <c r="I444">
        <f t="shared" si="26"/>
        <v>60.800797088836148</v>
      </c>
    </row>
    <row r="445" spans="1:9" ht="20.100000000000001" customHeight="1">
      <c r="A445" s="563">
        <v>43745</v>
      </c>
      <c r="B445">
        <f t="shared" si="27"/>
        <v>175.44532666786299</v>
      </c>
      <c r="C445">
        <f t="shared" si="27"/>
        <v>113.54936062952991</v>
      </c>
      <c r="D445">
        <v>15.5620002746582</v>
      </c>
      <c r="E445" s="604">
        <v>7956.2900390625</v>
      </c>
      <c r="F445" s="748">
        <f t="shared" si="24"/>
        <v>-1.9020721978386668E-2</v>
      </c>
      <c r="G445" s="748">
        <f t="shared" si="24"/>
        <v>-1.6654779206850545E-2</v>
      </c>
      <c r="H445" s="1067">
        <f t="shared" si="25"/>
        <v>-2.3659427715361225E-3</v>
      </c>
      <c r="I445">
        <f t="shared" si="26"/>
        <v>61.895966038333071</v>
      </c>
    </row>
    <row r="446" spans="1:9" ht="20.100000000000001" customHeight="1">
      <c r="A446" s="563">
        <v>43746</v>
      </c>
      <c r="B446">
        <f t="shared" si="27"/>
        <v>172.10822988690634</v>
      </c>
      <c r="C446">
        <f t="shared" si="27"/>
        <v>111.65822109916604</v>
      </c>
      <c r="D446">
        <v>15.265999794006349</v>
      </c>
      <c r="E446" s="604">
        <v>7823.77978515625</v>
      </c>
      <c r="F446" s="748">
        <f t="shared" si="24"/>
        <v>2.0437591960449142E-2</v>
      </c>
      <c r="G446" s="748">
        <f t="shared" si="24"/>
        <v>1.0220181474235313E-2</v>
      </c>
      <c r="H446" s="1067">
        <f t="shared" si="25"/>
        <v>1.0217410486213829E-2</v>
      </c>
      <c r="I446">
        <f t="shared" si="26"/>
        <v>60.450008787740302</v>
      </c>
    </row>
    <row r="447" spans="1:9" ht="20.100000000000001" customHeight="1">
      <c r="A447" s="563">
        <v>43747</v>
      </c>
      <c r="B447">
        <f t="shared" si="27"/>
        <v>175.6257076623701</v>
      </c>
      <c r="C447">
        <f t="shared" si="27"/>
        <v>112.79938838188981</v>
      </c>
      <c r="D447">
        <v>15.578000068664551</v>
      </c>
      <c r="E447" s="604">
        <v>7903.740234375</v>
      </c>
      <c r="F447" s="748">
        <f t="shared" si="24"/>
        <v>-3.7231743898594738E-3</v>
      </c>
      <c r="G447" s="748">
        <f t="shared" si="24"/>
        <v>5.951555768073602E-3</v>
      </c>
      <c r="H447" s="1067">
        <f t="shared" si="25"/>
        <v>-9.6747301579330758E-3</v>
      </c>
      <c r="I447">
        <f t="shared" si="26"/>
        <v>62.826319280480291</v>
      </c>
    </row>
    <row r="448" spans="1:9" ht="20.100000000000001" customHeight="1">
      <c r="A448" s="563">
        <v>43748</v>
      </c>
      <c r="B448">
        <f t="shared" si="27"/>
        <v>174.97182252540063</v>
      </c>
      <c r="C448">
        <f t="shared" si="27"/>
        <v>113.47072023244922</v>
      </c>
      <c r="D448">
        <v>15.52000045776367</v>
      </c>
      <c r="E448" s="604">
        <v>7950.77978515625</v>
      </c>
      <c r="F448" s="748">
        <f t="shared" si="24"/>
        <v>2.010304843952615E-2</v>
      </c>
      <c r="G448" s="748">
        <f t="shared" si="24"/>
        <v>1.3364758775564756E-2</v>
      </c>
      <c r="H448" s="1067">
        <f t="shared" si="25"/>
        <v>6.7382896639613943E-3</v>
      </c>
      <c r="I448">
        <f t="shared" si="26"/>
        <v>61.501102292951401</v>
      </c>
    </row>
    <row r="449" spans="1:9" ht="20.100000000000001" customHeight="1">
      <c r="A449" s="563">
        <v>43749</v>
      </c>
      <c r="B449">
        <f t="shared" si="27"/>
        <v>178.48928954918094</v>
      </c>
      <c r="C449">
        <f t="shared" si="27"/>
        <v>114.9872290364455</v>
      </c>
      <c r="D449">
        <v>15.83199977874756</v>
      </c>
      <c r="E449" s="604">
        <v>8057.0400390625</v>
      </c>
      <c r="F449" s="748">
        <f t="shared" si="24"/>
        <v>1.8949398095484682E-3</v>
      </c>
      <c r="G449" s="748">
        <f t="shared" si="24"/>
        <v>-1.0413423140598344E-3</v>
      </c>
      <c r="H449" s="1067">
        <f t="shared" si="25"/>
        <v>2.9362821236083025E-3</v>
      </c>
      <c r="I449">
        <f t="shared" si="26"/>
        <v>63.50206051273544</v>
      </c>
    </row>
    <row r="450" spans="1:9" ht="20.100000000000001" customHeight="1">
      <c r="A450" s="563">
        <v>43752</v>
      </c>
      <c r="B450">
        <f t="shared" si="27"/>
        <v>178.82751600952571</v>
      </c>
      <c r="C450">
        <f t="shared" si="27"/>
        <v>114.86748796927336</v>
      </c>
      <c r="D450">
        <v>15.86200046539307</v>
      </c>
      <c r="E450" s="604">
        <v>8048.64990234375</v>
      </c>
      <c r="F450" s="748">
        <f t="shared" si="24"/>
        <v>-7.9435380570572756E-3</v>
      </c>
      <c r="G450" s="748">
        <f t="shared" si="24"/>
        <v>1.2431905947929645E-2</v>
      </c>
      <c r="H450" s="1067">
        <f t="shared" si="25"/>
        <v>-2.037544400498692E-2</v>
      </c>
      <c r="I450">
        <f t="shared" si="26"/>
        <v>63.960028040252354</v>
      </c>
    </row>
    <row r="451" spans="1:9" ht="20.100000000000001" customHeight="1">
      <c r="A451" s="563">
        <v>43753</v>
      </c>
      <c r="B451">
        <f t="shared" si="27"/>
        <v>177.40699283045501</v>
      </c>
      <c r="C451">
        <f t="shared" si="27"/>
        <v>116.2955097761823</v>
      </c>
      <c r="D451">
        <v>15.73600006103516</v>
      </c>
      <c r="E451" s="604">
        <v>8148.7099609375</v>
      </c>
      <c r="F451" s="748">
        <f t="shared" ref="F451:G514" si="28">D452/D451-1</f>
        <v>-1.1565846435648619E-2</v>
      </c>
      <c r="G451" s="748">
        <f t="shared" si="28"/>
        <v>-3.0102660757148625E-3</v>
      </c>
      <c r="H451" s="1067">
        <f t="shared" ref="H451:H514" si="29">F451-G451</f>
        <v>-8.5555803599337565E-3</v>
      </c>
      <c r="I451">
        <f t="shared" ref="I451:I514" si="30">B451-C451</f>
        <v>61.111483054272711</v>
      </c>
    </row>
    <row r="452" spans="1:9" ht="20.100000000000001" customHeight="1">
      <c r="A452" s="563">
        <v>43754</v>
      </c>
      <c r="B452">
        <f t="shared" ref="B452:C515" si="31">B451*(1+F451)</f>
        <v>175.35513079476775</v>
      </c>
      <c r="C452">
        <f t="shared" si="31"/>
        <v>115.94542934834509</v>
      </c>
      <c r="D452">
        <v>15.553999900817869</v>
      </c>
      <c r="E452" s="604">
        <v>8124.18017578125</v>
      </c>
      <c r="F452" s="748">
        <f t="shared" si="28"/>
        <v>1.465858870057235E-2</v>
      </c>
      <c r="G452" s="748">
        <f t="shared" si="28"/>
        <v>4.0213192184475055E-3</v>
      </c>
      <c r="H452" s="1067">
        <f t="shared" si="29"/>
        <v>1.0637269482124845E-2</v>
      </c>
      <c r="I452">
        <f t="shared" si="30"/>
        <v>59.409701446422659</v>
      </c>
    </row>
    <row r="453" spans="1:9" ht="20.100000000000001" customHeight="1">
      <c r="A453" s="563">
        <v>43755</v>
      </c>
      <c r="B453">
        <f t="shared" si="31"/>
        <v>177.92558953362331</v>
      </c>
      <c r="C453">
        <f t="shared" si="31"/>
        <v>116.41168293167473</v>
      </c>
      <c r="D453">
        <v>15.781999588012701</v>
      </c>
      <c r="E453" s="604">
        <v>8156.85009765625</v>
      </c>
      <c r="F453" s="748">
        <f t="shared" si="28"/>
        <v>-2.9780720163716912E-2</v>
      </c>
      <c r="G453" s="748">
        <f t="shared" si="28"/>
        <v>-8.2519670936567202E-3</v>
      </c>
      <c r="H453" s="1067">
        <f t="shared" si="29"/>
        <v>-2.1528753070060191E-2</v>
      </c>
      <c r="I453">
        <f t="shared" si="30"/>
        <v>61.513906601948577</v>
      </c>
    </row>
    <row r="454" spans="1:9" ht="20.100000000000001" customHeight="1">
      <c r="A454" s="563">
        <v>43756</v>
      </c>
      <c r="B454">
        <f t="shared" si="31"/>
        <v>172.62683734175812</v>
      </c>
      <c r="C454">
        <f t="shared" si="31"/>
        <v>115.45105755480536</v>
      </c>
      <c r="D454">
        <v>15.3120002746582</v>
      </c>
      <c r="E454" s="604">
        <v>8089.5400390625</v>
      </c>
      <c r="F454" s="748">
        <f t="shared" si="28"/>
        <v>-3.6573085507562997E-3</v>
      </c>
      <c r="G454" s="748">
        <f t="shared" si="28"/>
        <v>9.0796503828185493E-3</v>
      </c>
      <c r="H454" s="1067">
        <f t="shared" si="29"/>
        <v>-1.2736958933574849E-2</v>
      </c>
      <c r="I454">
        <f t="shared" si="30"/>
        <v>57.175779786952759</v>
      </c>
    </row>
    <row r="455" spans="1:9" ht="20.100000000000001" customHeight="1">
      <c r="A455" s="563">
        <v>43759</v>
      </c>
      <c r="B455">
        <f t="shared" si="31"/>
        <v>171.99548773345808</v>
      </c>
      <c r="C455">
        <f t="shared" si="31"/>
        <v>116.49931279372966</v>
      </c>
      <c r="D455">
        <v>15.25599956512451</v>
      </c>
      <c r="E455" s="604">
        <v>8162.990234375</v>
      </c>
      <c r="F455" s="748">
        <f t="shared" si="28"/>
        <v>9.9633214196974684E-3</v>
      </c>
      <c r="G455" s="748">
        <f t="shared" si="28"/>
        <v>-7.189819906968653E-3</v>
      </c>
      <c r="H455" s="1067">
        <f t="shared" si="29"/>
        <v>1.7153141326666121E-2</v>
      </c>
      <c r="I455">
        <f t="shared" si="30"/>
        <v>55.496174939728419</v>
      </c>
    </row>
    <row r="456" spans="1:9" ht="20.100000000000001" customHeight="1">
      <c r="A456" s="563">
        <v>43760</v>
      </c>
      <c r="B456">
        <f t="shared" si="31"/>
        <v>173.70913406048416</v>
      </c>
      <c r="C456">
        <f t="shared" si="31"/>
        <v>115.66170371545714</v>
      </c>
      <c r="D456">
        <v>15.407999992370611</v>
      </c>
      <c r="E456" s="604">
        <v>8104.2998046875</v>
      </c>
      <c r="F456" s="748">
        <f t="shared" si="28"/>
        <v>1.3239906095760201E-2</v>
      </c>
      <c r="G456" s="748">
        <f t="shared" si="28"/>
        <v>1.9113599876994236E-3</v>
      </c>
      <c r="H456" s="1067">
        <f t="shared" si="29"/>
        <v>1.1328546108060777E-2</v>
      </c>
      <c r="I456">
        <f t="shared" si="30"/>
        <v>58.047430345027024</v>
      </c>
    </row>
    <row r="457" spans="1:9" ht="20.100000000000001" customHeight="1">
      <c r="A457" s="563">
        <v>43761</v>
      </c>
      <c r="B457">
        <f t="shared" si="31"/>
        <v>176.00902668342079</v>
      </c>
      <c r="C457">
        <f t="shared" si="31"/>
        <v>115.882774868048</v>
      </c>
      <c r="D457">
        <v>15.61200046539307</v>
      </c>
      <c r="E457" s="604">
        <v>8119.7900390625</v>
      </c>
      <c r="F457" s="748">
        <f t="shared" si="28"/>
        <v>3.7150842476427526E-2</v>
      </c>
      <c r="G457" s="748">
        <f t="shared" si="28"/>
        <v>8.1294916872778344E-3</v>
      </c>
      <c r="H457" s="1067">
        <f t="shared" si="29"/>
        <v>2.9021350789149691E-2</v>
      </c>
      <c r="I457">
        <f t="shared" si="30"/>
        <v>60.126251815372783</v>
      </c>
    </row>
    <row r="458" spans="1:9" ht="20.100000000000001" customHeight="1">
      <c r="A458" s="563">
        <v>43762</v>
      </c>
      <c r="B458">
        <f t="shared" si="31"/>
        <v>182.54791030816588</v>
      </c>
      <c r="C458">
        <f t="shared" si="31"/>
        <v>116.82484292303648</v>
      </c>
      <c r="D458">
        <v>16.191999435424801</v>
      </c>
      <c r="E458" s="604">
        <v>8185.7998046875</v>
      </c>
      <c r="F458" s="748">
        <f t="shared" si="28"/>
        <v>-5.9287776300224193E-3</v>
      </c>
      <c r="G458" s="748">
        <f t="shared" si="28"/>
        <v>7.0024083006741122E-3</v>
      </c>
      <c r="H458" s="1067">
        <f t="shared" si="29"/>
        <v>-1.2931185930696532E-2</v>
      </c>
      <c r="I458">
        <f t="shared" si="30"/>
        <v>65.723067385129397</v>
      </c>
    </row>
    <row r="459" spans="1:9" ht="20.100000000000001" customHeight="1">
      <c r="A459" s="563">
        <v>43763</v>
      </c>
      <c r="B459">
        <f t="shared" si="31"/>
        <v>181.46562434112349</v>
      </c>
      <c r="C459">
        <f t="shared" si="31"/>
        <v>117.6428981728457</v>
      </c>
      <c r="D459">
        <v>16.096000671386719</v>
      </c>
      <c r="E459" s="604">
        <v>8243.1201171875</v>
      </c>
      <c r="F459" s="748">
        <f t="shared" si="28"/>
        <v>-2.1123506032750816E-3</v>
      </c>
      <c r="G459" s="748">
        <f t="shared" si="28"/>
        <v>1.0053246344756017E-2</v>
      </c>
      <c r="H459" s="1067">
        <f t="shared" si="29"/>
        <v>-1.2165596948031099E-2</v>
      </c>
      <c r="I459">
        <f t="shared" si="30"/>
        <v>63.822726168277782</v>
      </c>
    </row>
    <row r="460" spans="1:9" ht="20.100000000000001" customHeight="1">
      <c r="A460" s="563">
        <v>43766</v>
      </c>
      <c r="B460">
        <f t="shared" si="31"/>
        <v>181.08230532007283</v>
      </c>
      <c r="C460">
        <f t="shared" si="31"/>
        <v>118.82559120888837</v>
      </c>
      <c r="D460">
        <v>16.0620002746582</v>
      </c>
      <c r="E460" s="604">
        <v>8325.990234375</v>
      </c>
      <c r="F460" s="748">
        <f t="shared" si="28"/>
        <v>5.4787288237636567E-3</v>
      </c>
      <c r="G460" s="748">
        <f t="shared" si="28"/>
        <v>-5.9020757431489379E-3</v>
      </c>
      <c r="H460" s="1067">
        <f t="shared" si="29"/>
        <v>1.1380804566912595E-2</v>
      </c>
      <c r="I460">
        <f t="shared" si="30"/>
        <v>62.256714111184465</v>
      </c>
    </row>
    <row r="461" spans="1:9" ht="20.100000000000001" customHeight="1">
      <c r="A461" s="563">
        <v>43767</v>
      </c>
      <c r="B461">
        <f t="shared" si="31"/>
        <v>182.07440616570349</v>
      </c>
      <c r="C461">
        <f t="shared" si="31"/>
        <v>118.12427356934906</v>
      </c>
      <c r="D461">
        <v>16.14999961853027</v>
      </c>
      <c r="E461" s="604">
        <v>8276.849609375</v>
      </c>
      <c r="F461" s="748">
        <f t="shared" si="28"/>
        <v>2.3157929297242141E-2</v>
      </c>
      <c r="G461" s="748">
        <f t="shared" si="28"/>
        <v>3.2779210273761183E-3</v>
      </c>
      <c r="H461" s="1067">
        <f t="shared" si="29"/>
        <v>1.9880008269866023E-2</v>
      </c>
      <c r="I461">
        <f t="shared" si="30"/>
        <v>63.950132596354436</v>
      </c>
    </row>
    <row r="462" spans="1:9" ht="20.100000000000001" customHeight="1">
      <c r="A462" s="563">
        <v>43768</v>
      </c>
      <c r="B462">
        <f t="shared" si="31"/>
        <v>186.2908723905262</v>
      </c>
      <c r="C462">
        <f t="shared" si="31"/>
        <v>118.51147560952556</v>
      </c>
      <c r="D462">
        <v>16.52400016784668</v>
      </c>
      <c r="E462" s="604">
        <v>8303.98046875</v>
      </c>
      <c r="F462" s="748">
        <f t="shared" si="28"/>
        <v>-1.2829816692994322E-2</v>
      </c>
      <c r="G462" s="748">
        <f t="shared" si="28"/>
        <v>-1.3993430296747045E-3</v>
      </c>
      <c r="H462" s="1067">
        <f t="shared" si="29"/>
        <v>-1.1430473663319618E-2</v>
      </c>
      <c r="I462">
        <f t="shared" si="30"/>
        <v>67.779396781000642</v>
      </c>
    </row>
    <row r="463" spans="1:9" ht="20.100000000000001" customHeight="1">
      <c r="A463" s="563">
        <v>43769</v>
      </c>
      <c r="B463">
        <f t="shared" si="31"/>
        <v>183.90079464617776</v>
      </c>
      <c r="C463">
        <f t="shared" si="31"/>
        <v>118.34563740219491</v>
      </c>
      <c r="D463">
        <v>16.3120002746582</v>
      </c>
      <c r="E463" s="604">
        <v>8292.3603515625</v>
      </c>
      <c r="F463" s="748">
        <f t="shared" si="28"/>
        <v>0.10507594198723047</v>
      </c>
      <c r="G463" s="748">
        <f t="shared" si="28"/>
        <v>1.1340563491645694E-2</v>
      </c>
      <c r="H463" s="1067">
        <f t="shared" si="29"/>
        <v>9.3735378495584776E-2</v>
      </c>
      <c r="I463">
        <f t="shared" si="30"/>
        <v>65.555157243982848</v>
      </c>
    </row>
    <row r="464" spans="1:9" ht="20.100000000000001" customHeight="1">
      <c r="A464" s="563">
        <v>43770</v>
      </c>
      <c r="B464">
        <f t="shared" si="31"/>
        <v>203.22434387582513</v>
      </c>
      <c r="C464">
        <f t="shared" si="31"/>
        <v>119.68774361711378</v>
      </c>
      <c r="D464">
        <v>18.025999069213871</v>
      </c>
      <c r="E464" s="604">
        <v>8386.400390625</v>
      </c>
      <c r="F464" s="748">
        <f t="shared" si="28"/>
        <v>1.9527416418583687E-2</v>
      </c>
      <c r="G464" s="748">
        <f t="shared" si="28"/>
        <v>5.5804400586234593E-3</v>
      </c>
      <c r="H464" s="1067">
        <f t="shared" si="29"/>
        <v>1.3946976359960228E-2</v>
      </c>
      <c r="I464">
        <f t="shared" si="30"/>
        <v>83.536600258711346</v>
      </c>
    </row>
    <row r="465" spans="1:9" ht="20.100000000000001" customHeight="1">
      <c r="A465" s="563">
        <v>43773</v>
      </c>
      <c r="B465">
        <f t="shared" si="31"/>
        <v>207.19279026508181</v>
      </c>
      <c r="C465">
        <f t="shared" si="31"/>
        <v>120.35565389612098</v>
      </c>
      <c r="D465">
        <v>18.378000259399411</v>
      </c>
      <c r="E465" s="604">
        <v>8433.2001953125</v>
      </c>
      <c r="F465" s="748">
        <f t="shared" si="28"/>
        <v>-2.7207064807612813E-3</v>
      </c>
      <c r="G465" s="748">
        <f t="shared" si="28"/>
        <v>1.7543662586394504E-4</v>
      </c>
      <c r="H465" s="1067">
        <f t="shared" si="29"/>
        <v>-2.8961431066252263E-3</v>
      </c>
      <c r="I465">
        <f t="shared" si="30"/>
        <v>86.837136368960827</v>
      </c>
    </row>
    <row r="466" spans="1:9" ht="20.100000000000001" customHeight="1">
      <c r="A466" s="563">
        <v>43774</v>
      </c>
      <c r="B466">
        <f t="shared" si="31"/>
        <v>206.62907949784059</v>
      </c>
      <c r="C466">
        <f t="shared" si="31"/>
        <v>120.37676868594417</v>
      </c>
      <c r="D466">
        <v>18.327999114990231</v>
      </c>
      <c r="E466" s="604">
        <v>8434.6796875</v>
      </c>
      <c r="F466" s="748">
        <f t="shared" si="28"/>
        <v>1.6041065026563661E-2</v>
      </c>
      <c r="G466" s="748">
        <f t="shared" si="28"/>
        <v>-2.8513002957469835E-3</v>
      </c>
      <c r="H466" s="1067">
        <f t="shared" si="29"/>
        <v>1.8892365322310645E-2</v>
      </c>
      <c r="I466">
        <f t="shared" si="30"/>
        <v>86.252310811896422</v>
      </c>
    </row>
    <row r="467" spans="1:9" ht="20.100000000000001" customHeight="1">
      <c r="A467" s="563">
        <v>43775</v>
      </c>
      <c r="B467">
        <f t="shared" si="31"/>
        <v>209.94362999844444</v>
      </c>
      <c r="C467">
        <f t="shared" si="31"/>
        <v>120.03353836978887</v>
      </c>
      <c r="D467">
        <v>18.621999740600589</v>
      </c>
      <c r="E467" s="604">
        <v>8410.6298828125</v>
      </c>
      <c r="F467" s="748">
        <f t="shared" si="28"/>
        <v>1.1384378484672553E-2</v>
      </c>
      <c r="G467" s="748">
        <f t="shared" si="28"/>
        <v>2.8404113330822156E-3</v>
      </c>
      <c r="H467" s="1067">
        <f t="shared" si="29"/>
        <v>8.543967151590337E-3</v>
      </c>
      <c r="I467">
        <f t="shared" si="30"/>
        <v>89.910091628655564</v>
      </c>
    </row>
    <row r="468" spans="1:9" ht="20.100000000000001" customHeight="1">
      <c r="A468" s="563">
        <v>43776</v>
      </c>
      <c r="B468">
        <f t="shared" si="31"/>
        <v>212.33370774279277</v>
      </c>
      <c r="C468">
        <f t="shared" si="31"/>
        <v>120.37448299252438</v>
      </c>
      <c r="D468">
        <v>18.833999633789059</v>
      </c>
      <c r="E468" s="604">
        <v>8434.51953125</v>
      </c>
      <c r="F468" s="748">
        <f t="shared" si="28"/>
        <v>2.1875367109426058E-2</v>
      </c>
      <c r="G468" s="748">
        <f t="shared" si="28"/>
        <v>4.8360833016478644E-3</v>
      </c>
      <c r="H468" s="1067">
        <f t="shared" si="29"/>
        <v>1.7039283807778194E-2</v>
      </c>
      <c r="I468">
        <f t="shared" si="30"/>
        <v>91.95922475026839</v>
      </c>
    </row>
    <row r="469" spans="1:9" ht="20.100000000000001" customHeight="1">
      <c r="A469" s="563">
        <v>43777</v>
      </c>
      <c r="B469">
        <f t="shared" si="31"/>
        <v>216.97858554937193</v>
      </c>
      <c r="C469">
        <f t="shared" si="31"/>
        <v>120.95662401966902</v>
      </c>
      <c r="D469">
        <v>19.246000289916989</v>
      </c>
      <c r="E469" s="604">
        <v>8475.3095703125</v>
      </c>
      <c r="F469" s="748">
        <f t="shared" si="28"/>
        <v>-2.9096827920503943E-3</v>
      </c>
      <c r="G469" s="748">
        <f t="shared" si="28"/>
        <v>-1.3013444268317187E-3</v>
      </c>
      <c r="H469" s="1067">
        <f t="shared" si="29"/>
        <v>-1.6083383652186756E-3</v>
      </c>
      <c r="I469">
        <f t="shared" si="30"/>
        <v>96.021961529702907</v>
      </c>
    </row>
    <row r="470" spans="1:9" ht="20.100000000000001" customHeight="1">
      <c r="A470" s="563">
        <v>43780</v>
      </c>
      <c r="B470">
        <f t="shared" si="31"/>
        <v>216.34724669275548</v>
      </c>
      <c r="C470">
        <f t="shared" si="31"/>
        <v>120.79921779111264</v>
      </c>
      <c r="D470">
        <v>19.190000534057621</v>
      </c>
      <c r="E470" s="604">
        <v>8464.2802734375</v>
      </c>
      <c r="F470" s="748">
        <f t="shared" si="28"/>
        <v>4.2105192013546677E-2</v>
      </c>
      <c r="G470" s="748">
        <f t="shared" si="28"/>
        <v>2.5766597522700607E-3</v>
      </c>
      <c r="H470" s="1067">
        <f t="shared" si="29"/>
        <v>3.9528532261276617E-2</v>
      </c>
      <c r="I470">
        <f t="shared" si="30"/>
        <v>95.548028901642837</v>
      </c>
    </row>
    <row r="471" spans="1:9" ht="20.100000000000001" customHeight="1">
      <c r="A471" s="563">
        <v>43781</v>
      </c>
      <c r="B471">
        <f t="shared" si="31"/>
        <v>225.45658905635611</v>
      </c>
      <c r="C471">
        <f t="shared" si="31"/>
        <v>121.1104762737007</v>
      </c>
      <c r="D471">
        <v>19.99799919128418</v>
      </c>
      <c r="E471" s="604">
        <v>8486.08984375</v>
      </c>
      <c r="F471" s="748">
        <f t="shared" si="28"/>
        <v>-3.2002789585712232E-3</v>
      </c>
      <c r="G471" s="748">
        <f t="shared" si="28"/>
        <v>-4.7020882979909029E-4</v>
      </c>
      <c r="H471" s="1067">
        <f t="shared" si="29"/>
        <v>-2.730070128772133E-3</v>
      </c>
      <c r="I471">
        <f t="shared" si="30"/>
        <v>104.34611278265541</v>
      </c>
    </row>
    <row r="472" spans="1:9" ht="20.100000000000001" customHeight="1">
      <c r="A472" s="563">
        <v>43782</v>
      </c>
      <c r="B472">
        <f t="shared" si="31"/>
        <v>224.73506507832781</v>
      </c>
      <c r="C472">
        <f t="shared" si="31"/>
        <v>121.05352905837563</v>
      </c>
      <c r="D472">
        <v>19.934000015258789</v>
      </c>
      <c r="E472" s="604">
        <v>8482.099609375</v>
      </c>
      <c r="F472" s="748">
        <f t="shared" si="28"/>
        <v>4.5149068184509034E-3</v>
      </c>
      <c r="G472" s="748">
        <f t="shared" si="28"/>
        <v>-3.6312685146910884E-4</v>
      </c>
      <c r="H472" s="1067">
        <f t="shared" si="29"/>
        <v>4.8780336699200122E-3</v>
      </c>
      <c r="I472">
        <f t="shared" si="30"/>
        <v>103.68153601995218</v>
      </c>
    </row>
    <row r="473" spans="1:9" ht="20.100000000000001" customHeight="1">
      <c r="A473" s="563">
        <v>43783</v>
      </c>
      <c r="B473">
        <f t="shared" si="31"/>
        <v>225.74972295599497</v>
      </c>
      <c r="C473">
        <f t="shared" si="31"/>
        <v>121.00957127150944</v>
      </c>
      <c r="D473">
        <v>20.02400016784668</v>
      </c>
      <c r="E473" s="604">
        <v>8479.01953125</v>
      </c>
      <c r="F473" s="748">
        <f t="shared" si="28"/>
        <v>1.4183000117256706E-2</v>
      </c>
      <c r="G473" s="748">
        <f t="shared" si="28"/>
        <v>7.2898224431721115E-3</v>
      </c>
      <c r="H473" s="1067">
        <f t="shared" si="29"/>
        <v>6.893177674084594E-3</v>
      </c>
      <c r="I473">
        <f t="shared" si="30"/>
        <v>104.74015168448553</v>
      </c>
    </row>
    <row r="474" spans="1:9" ht="20.100000000000001" customHeight="1">
      <c r="A474" s="563">
        <v>43784</v>
      </c>
      <c r="B474">
        <f t="shared" si="31"/>
        <v>228.95153130315052</v>
      </c>
      <c r="C474">
        <f t="shared" si="31"/>
        <v>121.89170956000312</v>
      </c>
      <c r="D474">
        <v>20.308000564575199</v>
      </c>
      <c r="E474" s="604">
        <v>8540.830078125</v>
      </c>
      <c r="F474" s="748">
        <f t="shared" si="28"/>
        <v>2.2651126240121666E-2</v>
      </c>
      <c r="G474" s="748">
        <f t="shared" si="28"/>
        <v>1.0666822169702606E-3</v>
      </c>
      <c r="H474" s="1067">
        <f t="shared" si="29"/>
        <v>2.1584444023151406E-2</v>
      </c>
      <c r="I474">
        <f t="shared" si="30"/>
        <v>107.0598217431474</v>
      </c>
    </row>
    <row r="475" spans="1:9" ht="20.100000000000001" customHeight="1">
      <c r="A475" s="563">
        <v>43787</v>
      </c>
      <c r="B475">
        <f t="shared" si="31"/>
        <v>234.13754134156736</v>
      </c>
      <c r="C475">
        <f t="shared" si="31"/>
        <v>122.02172927898688</v>
      </c>
      <c r="D475">
        <v>20.767999649047852</v>
      </c>
      <c r="E475" s="604">
        <v>8549.9404296875</v>
      </c>
      <c r="F475" s="748">
        <f t="shared" si="28"/>
        <v>1.184516053900575E-2</v>
      </c>
      <c r="G475" s="748">
        <f t="shared" si="28"/>
        <v>2.4233767162349373E-3</v>
      </c>
      <c r="H475" s="1067">
        <f t="shared" si="29"/>
        <v>9.4217838227708128E-3</v>
      </c>
      <c r="I475">
        <f t="shared" si="30"/>
        <v>112.11581206258047</v>
      </c>
    </row>
    <row r="476" spans="1:9" ht="20.100000000000001" customHeight="1">
      <c r="A476" s="563">
        <v>43788</v>
      </c>
      <c r="B476">
        <f t="shared" si="31"/>
        <v>236.91093810696631</v>
      </c>
      <c r="C476">
        <f t="shared" si="31"/>
        <v>122.3174338965963</v>
      </c>
      <c r="D476">
        <v>21.01399993896484</v>
      </c>
      <c r="E476" s="604">
        <v>8570.66015625</v>
      </c>
      <c r="F476" s="748">
        <f t="shared" si="28"/>
        <v>-2.4935765174104785E-2</v>
      </c>
      <c r="G476" s="748">
        <f t="shared" si="28"/>
        <v>-5.1255897094421021E-3</v>
      </c>
      <c r="H476" s="1067">
        <f t="shared" si="29"/>
        <v>-1.9810175464662683E-2</v>
      </c>
      <c r="I476">
        <f t="shared" si="30"/>
        <v>114.59350421037001</v>
      </c>
    </row>
    <row r="477" spans="1:9" ht="20.100000000000001" customHeight="1">
      <c r="A477" s="563">
        <v>43789</v>
      </c>
      <c r="B477">
        <f t="shared" si="31"/>
        <v>231.00338258715414</v>
      </c>
      <c r="C477">
        <f t="shared" si="31"/>
        <v>121.69048491613054</v>
      </c>
      <c r="D477">
        <v>20.489999771118161</v>
      </c>
      <c r="E477" s="604">
        <v>8526.73046875</v>
      </c>
      <c r="F477" s="748">
        <f t="shared" si="28"/>
        <v>5.5637053054173879E-3</v>
      </c>
      <c r="G477" s="748">
        <f t="shared" si="28"/>
        <v>-2.4066091789468613E-3</v>
      </c>
      <c r="H477" s="1067">
        <f t="shared" si="29"/>
        <v>7.9703144843642493E-3</v>
      </c>
      <c r="I477">
        <f t="shared" si="30"/>
        <v>109.31289767102359</v>
      </c>
    </row>
    <row r="478" spans="1:9" ht="20.100000000000001" customHeight="1">
      <c r="A478" s="563">
        <v>43790</v>
      </c>
      <c r="B478">
        <f t="shared" si="31"/>
        <v>232.28861733242366</v>
      </c>
      <c r="C478">
        <f t="shared" si="31"/>
        <v>121.39762347814089</v>
      </c>
      <c r="D478">
        <v>20.604000091552731</v>
      </c>
      <c r="E478" s="604">
        <v>8506.2099609375</v>
      </c>
      <c r="F478" s="748">
        <f t="shared" si="28"/>
        <v>7.6683672099704392E-3</v>
      </c>
      <c r="G478" s="748">
        <f t="shared" si="28"/>
        <v>1.6070520170294866E-3</v>
      </c>
      <c r="H478" s="1067">
        <f t="shared" si="29"/>
        <v>6.0613151929409526E-3</v>
      </c>
      <c r="I478">
        <f t="shared" si="30"/>
        <v>110.89099385428277</v>
      </c>
    </row>
    <row r="479" spans="1:9" ht="20.100000000000001" customHeight="1">
      <c r="A479" s="563">
        <v>43791</v>
      </c>
      <c r="B479">
        <f t="shared" si="31"/>
        <v>234.06989174882497</v>
      </c>
      <c r="C479">
        <f t="shared" si="31"/>
        <v>121.59271577381402</v>
      </c>
      <c r="D479">
        <v>20.76199913024902</v>
      </c>
      <c r="E479" s="604">
        <v>8519.8798828125</v>
      </c>
      <c r="F479" s="748">
        <f t="shared" si="28"/>
        <v>1.281190438415547E-2</v>
      </c>
      <c r="G479" s="748">
        <f t="shared" si="28"/>
        <v>1.3217363755288813E-2</v>
      </c>
      <c r="H479" s="1067">
        <f t="shared" si="29"/>
        <v>-4.0545937113334318E-4</v>
      </c>
      <c r="I479">
        <f t="shared" si="30"/>
        <v>112.47717597501095</v>
      </c>
    </row>
    <row r="480" spans="1:9" ht="20.100000000000001" customHeight="1">
      <c r="A480" s="563">
        <v>43794</v>
      </c>
      <c r="B480">
        <f t="shared" si="31"/>
        <v>237.06877282112055</v>
      </c>
      <c r="C480">
        <f t="shared" si="31"/>
        <v>123.19985092818996</v>
      </c>
      <c r="D480">
        <v>21.027999877929691</v>
      </c>
      <c r="E480" s="604">
        <v>8632.490234375</v>
      </c>
      <c r="F480" s="748">
        <f t="shared" si="28"/>
        <v>-7.3235366895219034E-3</v>
      </c>
      <c r="G480" s="748">
        <f t="shared" si="28"/>
        <v>1.7885283047895939E-3</v>
      </c>
      <c r="H480" s="1067">
        <f t="shared" si="29"/>
        <v>-9.1120649943114973E-3</v>
      </c>
      <c r="I480">
        <f t="shared" si="30"/>
        <v>113.86892189293059</v>
      </c>
    </row>
    <row r="481" spans="1:9" ht="20.100000000000001" customHeight="1">
      <c r="A481" s="563">
        <v>43795</v>
      </c>
      <c r="B481">
        <f t="shared" si="31"/>
        <v>235.33259096542514</v>
      </c>
      <c r="C481">
        <f t="shared" si="31"/>
        <v>123.42019734872089</v>
      </c>
      <c r="D481">
        <v>20.87400054931641</v>
      </c>
      <c r="E481" s="604">
        <v>8647.9296875</v>
      </c>
      <c r="F481" s="748">
        <f t="shared" si="28"/>
        <v>8.2398664910814379E-3</v>
      </c>
      <c r="G481" s="748">
        <f t="shared" si="28"/>
        <v>6.620081576605763E-3</v>
      </c>
      <c r="H481" s="1067">
        <f t="shared" si="29"/>
        <v>1.6197849144756749E-3</v>
      </c>
      <c r="I481">
        <f t="shared" si="30"/>
        <v>111.91239361670425</v>
      </c>
    </row>
    <row r="482" spans="1:9" ht="20.100000000000001" customHeight="1">
      <c r="A482" s="563">
        <v>43796</v>
      </c>
      <c r="B482">
        <f t="shared" si="31"/>
        <v>237.27170009598052</v>
      </c>
      <c r="C482">
        <f t="shared" si="31"/>
        <v>124.2372491233702</v>
      </c>
      <c r="D482">
        <v>21.045999526977539</v>
      </c>
      <c r="E482" s="604">
        <v>8705.1796875</v>
      </c>
      <c r="F482" s="748">
        <f t="shared" si="28"/>
        <v>-1.1403672140121168E-3</v>
      </c>
      <c r="G482" s="748">
        <f t="shared" si="28"/>
        <v>-4.5616474746087432E-3</v>
      </c>
      <c r="H482" s="1067">
        <f t="shared" si="29"/>
        <v>3.4212802605966264E-3</v>
      </c>
      <c r="I482">
        <f t="shared" si="30"/>
        <v>113.03445097261032</v>
      </c>
    </row>
    <row r="483" spans="1:9" ht="20.100000000000001" customHeight="1">
      <c r="A483" s="563">
        <v>43798</v>
      </c>
      <c r="B483">
        <f t="shared" si="31"/>
        <v>237.00112322837816</v>
      </c>
      <c r="C483">
        <f t="shared" si="31"/>
        <v>123.67052258965424</v>
      </c>
      <c r="D483">
        <v>21.021999359130859</v>
      </c>
      <c r="E483" s="604">
        <v>8665.4697265625</v>
      </c>
      <c r="F483" s="748">
        <f t="shared" si="28"/>
        <v>-1.1321423730277336E-2</v>
      </c>
      <c r="G483" s="748">
        <f t="shared" si="28"/>
        <v>-1.1249187322032173E-2</v>
      </c>
      <c r="H483" s="1067">
        <f t="shared" si="29"/>
        <v>-7.2236408245163197E-5</v>
      </c>
      <c r="I483">
        <f t="shared" si="30"/>
        <v>113.33060063872392</v>
      </c>
    </row>
    <row r="484" spans="1:9" ht="20.100000000000001" customHeight="1">
      <c r="A484" s="563">
        <v>43801</v>
      </c>
      <c r="B484">
        <f t="shared" si="31"/>
        <v>234.31793308775801</v>
      </c>
      <c r="C484">
        <f t="shared" si="31"/>
        <v>122.27932971482961</v>
      </c>
      <c r="D484">
        <v>20.784000396728519</v>
      </c>
      <c r="E484" s="604">
        <v>8567.990234375</v>
      </c>
      <c r="F484" s="748">
        <f t="shared" si="28"/>
        <v>-1.1547424648075122E-3</v>
      </c>
      <c r="G484" s="748">
        <f t="shared" si="28"/>
        <v>-5.5264519032162118E-3</v>
      </c>
      <c r="H484" s="1067">
        <f t="shared" si="29"/>
        <v>4.3717094384086996E-3</v>
      </c>
      <c r="I484">
        <f t="shared" si="30"/>
        <v>112.03860337292839</v>
      </c>
    </row>
    <row r="485" spans="1:9" ht="20.100000000000001" customHeight="1">
      <c r="A485" s="563">
        <v>43802</v>
      </c>
      <c r="B485">
        <f t="shared" si="31"/>
        <v>234.04735622015565</v>
      </c>
      <c r="C485">
        <f t="shared" si="31"/>
        <v>121.60355888040309</v>
      </c>
      <c r="D485">
        <v>20.760000228881839</v>
      </c>
      <c r="E485" s="604">
        <v>8520.6396484375</v>
      </c>
      <c r="F485" s="748">
        <f t="shared" si="28"/>
        <v>-2.2157768049320126E-3</v>
      </c>
      <c r="G485" s="748">
        <f t="shared" si="28"/>
        <v>5.402208676427378E-3</v>
      </c>
      <c r="H485" s="1067">
        <f t="shared" si="29"/>
        <v>-7.6179854813593906E-3</v>
      </c>
      <c r="I485">
        <f t="shared" si="30"/>
        <v>112.44379733975256</v>
      </c>
    </row>
    <row r="486" spans="1:9" ht="20.100000000000001" customHeight="1">
      <c r="A486" s="563">
        <v>43803</v>
      </c>
      <c r="B486">
        <f t="shared" si="31"/>
        <v>233.52875951698738</v>
      </c>
      <c r="C486">
        <f t="shared" si="31"/>
        <v>122.26048668127125</v>
      </c>
      <c r="D486">
        <v>20.7140007019043</v>
      </c>
      <c r="E486" s="604">
        <v>8566.669921875</v>
      </c>
      <c r="F486" s="748">
        <f t="shared" si="28"/>
        <v>1.2938092110000188E-2</v>
      </c>
      <c r="G486" s="748">
        <f t="shared" si="28"/>
        <v>4.7045975557069575E-4</v>
      </c>
      <c r="H486" s="1067">
        <f t="shared" si="29"/>
        <v>1.2467632354429492E-2</v>
      </c>
      <c r="I486">
        <f t="shared" si="30"/>
        <v>111.26827283571613</v>
      </c>
    </row>
    <row r="487" spans="1:9" ht="20.100000000000001" customHeight="1">
      <c r="A487" s="563">
        <v>43804</v>
      </c>
      <c r="B487">
        <f t="shared" si="31"/>
        <v>236.55017611795225</v>
      </c>
      <c r="C487">
        <f t="shared" si="31"/>
        <v>122.31800531995127</v>
      </c>
      <c r="D487">
        <v>20.982000350952148</v>
      </c>
      <c r="E487" s="604">
        <v>8570.7001953125</v>
      </c>
      <c r="F487" s="748">
        <f t="shared" si="28"/>
        <v>-1.2582210206324218E-2</v>
      </c>
      <c r="G487" s="748">
        <f t="shared" si="28"/>
        <v>1.0014360107000631E-2</v>
      </c>
      <c r="H487" s="1067">
        <f t="shared" si="29"/>
        <v>-2.2596570313324849E-2</v>
      </c>
      <c r="I487">
        <f t="shared" si="30"/>
        <v>114.23217079800098</v>
      </c>
    </row>
    <row r="488" spans="1:9" ht="20.100000000000001" customHeight="1">
      <c r="A488" s="563">
        <v>43805</v>
      </c>
      <c r="B488">
        <f t="shared" si="31"/>
        <v>233.57385207769315</v>
      </c>
      <c r="C488">
        <f t="shared" si="31"/>
        <v>123.54294187279528</v>
      </c>
      <c r="D488">
        <v>20.718000411987301</v>
      </c>
      <c r="E488" s="604">
        <v>8656.5302734375</v>
      </c>
      <c r="F488" s="748">
        <f t="shared" si="28"/>
        <v>2.5098969370751512E-3</v>
      </c>
      <c r="G488" s="748">
        <f t="shared" si="28"/>
        <v>-4.0085570334082998E-3</v>
      </c>
      <c r="H488" s="1067">
        <f t="shared" si="29"/>
        <v>6.518453970483451E-3</v>
      </c>
      <c r="I488">
        <f t="shared" si="30"/>
        <v>110.03091020489786</v>
      </c>
    </row>
    <row r="489" spans="1:9" ht="20.100000000000001" customHeight="1">
      <c r="A489" s="563">
        <v>43808</v>
      </c>
      <c r="B489">
        <f t="shared" si="31"/>
        <v>234.1600983736038</v>
      </c>
      <c r="C489">
        <f t="shared" si="31"/>
        <v>123.04771294422314</v>
      </c>
      <c r="D489">
        <v>20.770000457763668</v>
      </c>
      <c r="E489" s="604">
        <v>8621.830078125</v>
      </c>
      <c r="F489" s="748">
        <f t="shared" si="28"/>
        <v>-2.8888479522676258E-3</v>
      </c>
      <c r="G489" s="748">
        <f t="shared" si="28"/>
        <v>-6.5535861572307841E-4</v>
      </c>
      <c r="H489" s="1067">
        <f t="shared" si="29"/>
        <v>-2.2334893365445474E-3</v>
      </c>
      <c r="I489">
        <f t="shared" si="30"/>
        <v>111.11238542938067</v>
      </c>
    </row>
    <row r="490" spans="1:9" ht="20.100000000000001" customHeight="1">
      <c r="A490" s="563">
        <v>43809</v>
      </c>
      <c r="B490">
        <f t="shared" si="31"/>
        <v>233.48364545291443</v>
      </c>
      <c r="C490">
        <f t="shared" si="31"/>
        <v>122.96707256540012</v>
      </c>
      <c r="D490">
        <v>20.70999908447266</v>
      </c>
      <c r="E490" s="604">
        <v>8616.1796875</v>
      </c>
      <c r="F490" s="748">
        <f t="shared" si="28"/>
        <v>5.6977322903910554E-3</v>
      </c>
      <c r="G490" s="748">
        <f t="shared" si="28"/>
        <v>4.3952329873575557E-3</v>
      </c>
      <c r="H490" s="1067">
        <f t="shared" si="29"/>
        <v>1.3024993030334997E-3</v>
      </c>
      <c r="I490">
        <f t="shared" si="30"/>
        <v>110.51657288751431</v>
      </c>
    </row>
    <row r="491" spans="1:9" ht="20.100000000000001" customHeight="1">
      <c r="A491" s="563">
        <v>43810</v>
      </c>
      <c r="B491">
        <f t="shared" si="31"/>
        <v>234.81397275888972</v>
      </c>
      <c r="C491">
        <f t="shared" si="31"/>
        <v>123.50754149909835</v>
      </c>
      <c r="D491">
        <v>20.827999114990231</v>
      </c>
      <c r="E491" s="604">
        <v>8654.0498046875</v>
      </c>
      <c r="F491" s="748">
        <f t="shared" si="28"/>
        <v>2.4966414435338979E-3</v>
      </c>
      <c r="G491" s="748">
        <f t="shared" si="28"/>
        <v>7.3110866288554899E-3</v>
      </c>
      <c r="H491" s="1067">
        <f t="shared" si="29"/>
        <v>-4.8144451853215919E-3</v>
      </c>
      <c r="I491">
        <f t="shared" si="30"/>
        <v>111.30643125979137</v>
      </c>
    </row>
    <row r="492" spans="1:9" ht="20.100000000000001" customHeight="1">
      <c r="A492" s="563">
        <v>43811</v>
      </c>
      <c r="B492">
        <f t="shared" si="31"/>
        <v>235.4002190548004</v>
      </c>
      <c r="C492">
        <f t="shared" si="31"/>
        <v>124.41051583431522</v>
      </c>
      <c r="D492">
        <v>20.879999160766602</v>
      </c>
      <c r="E492" s="604">
        <v>8717.3203125</v>
      </c>
      <c r="F492" s="748">
        <f t="shared" si="28"/>
        <v>1.1877447729921498E-2</v>
      </c>
      <c r="G492" s="748">
        <f t="shared" si="28"/>
        <v>2.0143312030556082E-3</v>
      </c>
      <c r="H492" s="1067">
        <f t="shared" si="29"/>
        <v>9.8631165268658894E-3</v>
      </c>
      <c r="I492">
        <f t="shared" si="30"/>
        <v>110.98970322048518</v>
      </c>
    </row>
    <row r="493" spans="1:9" ht="20.100000000000001" customHeight="1">
      <c r="A493" s="563">
        <v>43812</v>
      </c>
      <c r="B493">
        <f t="shared" si="31"/>
        <v>238.19617285223586</v>
      </c>
      <c r="C493">
        <f t="shared" si="31"/>
        <v>124.66111981834852</v>
      </c>
      <c r="D493">
        <v>21.128000259399411</v>
      </c>
      <c r="E493" s="604">
        <v>8734.8798828125</v>
      </c>
      <c r="F493" s="748">
        <f t="shared" si="28"/>
        <v>1.5145763484258667E-2</v>
      </c>
      <c r="G493" s="748">
        <f t="shared" si="28"/>
        <v>9.0843362475581113E-3</v>
      </c>
      <c r="H493" s="1067">
        <f t="shared" si="29"/>
        <v>6.0614272367005562E-3</v>
      </c>
      <c r="I493">
        <f t="shared" si="30"/>
        <v>113.53505303388734</v>
      </c>
    </row>
    <row r="494" spans="1:9" ht="20.100000000000001" customHeight="1">
      <c r="A494" s="563">
        <v>43815</v>
      </c>
      <c r="B494">
        <f t="shared" si="31"/>
        <v>241.80383574911141</v>
      </c>
      <c r="C494">
        <f t="shared" si="31"/>
        <v>125.79358334777554</v>
      </c>
      <c r="D494">
        <v>21.447999954223629</v>
      </c>
      <c r="E494" s="604">
        <v>8814.23046875</v>
      </c>
      <c r="F494" s="748">
        <f t="shared" si="28"/>
        <v>-8.2991186516162552E-3</v>
      </c>
      <c r="G494" s="748">
        <f t="shared" si="28"/>
        <v>1.0358116735056377E-3</v>
      </c>
      <c r="H494" s="1067">
        <f t="shared" si="29"/>
        <v>-9.3349303251218929E-3</v>
      </c>
      <c r="I494">
        <f t="shared" si="30"/>
        <v>116.01025240133588</v>
      </c>
    </row>
    <row r="495" spans="1:9" ht="20.100000000000001" customHeight="1">
      <c r="A495" s="563">
        <v>43816</v>
      </c>
      <c r="B495">
        <f t="shared" si="31"/>
        <v>239.79707702581362</v>
      </c>
      <c r="C495">
        <f t="shared" si="31"/>
        <v>125.92388180985927</v>
      </c>
      <c r="D495">
        <v>21.270000457763668</v>
      </c>
      <c r="E495" s="604">
        <v>8823.3603515625</v>
      </c>
      <c r="F495" s="748">
        <f t="shared" si="28"/>
        <v>1.5514805670143295E-2</v>
      </c>
      <c r="G495" s="748">
        <f t="shared" si="28"/>
        <v>4.9639622977926123E-4</v>
      </c>
      <c r="H495" s="1067">
        <f t="shared" si="29"/>
        <v>1.5018409440364033E-2</v>
      </c>
      <c r="I495">
        <f t="shared" si="30"/>
        <v>113.87319521595435</v>
      </c>
    </row>
    <row r="496" spans="1:9" ht="20.100000000000001" customHeight="1">
      <c r="A496" s="563">
        <v>43817</v>
      </c>
      <c r="B496">
        <f t="shared" si="31"/>
        <v>243.5174820761375</v>
      </c>
      <c r="C496">
        <f t="shared" si="31"/>
        <v>125.98638995002885</v>
      </c>
      <c r="D496">
        <v>21.60000038146973</v>
      </c>
      <c r="E496" s="604">
        <v>8827.740234375</v>
      </c>
      <c r="F496" s="748">
        <f t="shared" si="28"/>
        <v>1.4166655113667659E-2</v>
      </c>
      <c r="G496" s="748">
        <f t="shared" si="28"/>
        <v>6.7377936604759991E-3</v>
      </c>
      <c r="H496" s="1067">
        <f t="shared" si="29"/>
        <v>7.4288614531916597E-3</v>
      </c>
      <c r="I496">
        <f t="shared" si="30"/>
        <v>117.53109212610865</v>
      </c>
    </row>
    <row r="497" spans="1:9" ht="20.100000000000001" customHeight="1">
      <c r="A497" s="563">
        <v>43818</v>
      </c>
      <c r="B497">
        <f t="shared" si="31"/>
        <v>246.96731025885887</v>
      </c>
      <c r="C497">
        <f t="shared" si="31"/>
        <v>126.83526024954041</v>
      </c>
      <c r="D497">
        <v>21.906000137329102</v>
      </c>
      <c r="E497" s="604">
        <v>8887.2197265625</v>
      </c>
      <c r="F497" s="748">
        <f t="shared" si="28"/>
        <v>-2.3829058516317003E-2</v>
      </c>
      <c r="G497" s="748">
        <f t="shared" si="28"/>
        <v>4.2465737920489577E-3</v>
      </c>
      <c r="H497" s="1067">
        <f t="shared" si="29"/>
        <v>-2.8075632308365961E-2</v>
      </c>
      <c r="I497">
        <f t="shared" si="30"/>
        <v>120.13205000931846</v>
      </c>
    </row>
    <row r="498" spans="1:9" ht="20.100000000000001" customHeight="1">
      <c r="A498" s="563">
        <v>43819</v>
      </c>
      <c r="B498">
        <f t="shared" si="31"/>
        <v>241.08231177108311</v>
      </c>
      <c r="C498">
        <f t="shared" si="31"/>
        <v>127.37387554162382</v>
      </c>
      <c r="D498">
        <v>21.384000778198239</v>
      </c>
      <c r="E498" s="604">
        <v>8924.9599609375</v>
      </c>
      <c r="F498" s="748">
        <f t="shared" si="28"/>
        <v>8.4174331872763908E-3</v>
      </c>
      <c r="G498" s="748">
        <f t="shared" si="28"/>
        <v>2.3182658273042112E-3</v>
      </c>
      <c r="H498" s="1067">
        <f t="shared" si="29"/>
        <v>6.0991673599721796E-3</v>
      </c>
      <c r="I498">
        <f t="shared" si="30"/>
        <v>113.70843622945929</v>
      </c>
    </row>
    <row r="499" spans="1:9" ht="20.100000000000001" customHeight="1">
      <c r="A499" s="563">
        <v>43822</v>
      </c>
      <c r="B499">
        <f t="shared" si="31"/>
        <v>243.11160602305034</v>
      </c>
      <c r="C499">
        <f t="shared" si="31"/>
        <v>127.66916204458326</v>
      </c>
      <c r="D499">
        <v>21.563999176025391</v>
      </c>
      <c r="E499" s="604">
        <v>8945.650390625</v>
      </c>
      <c r="F499" s="748">
        <f t="shared" si="28"/>
        <v>-3.7096181003870576E-4</v>
      </c>
      <c r="G499" s="748">
        <f t="shared" si="28"/>
        <v>8.0815724646199349E-4</v>
      </c>
      <c r="H499" s="1067">
        <f t="shared" si="29"/>
        <v>-1.1791190565006993E-3</v>
      </c>
      <c r="I499">
        <f t="shared" si="30"/>
        <v>115.44244397846708</v>
      </c>
    </row>
    <row r="500" spans="1:9" ht="20.100000000000001" customHeight="1">
      <c r="A500" s="563">
        <v>43823</v>
      </c>
      <c r="B500">
        <f t="shared" si="31"/>
        <v>243.02142090163861</v>
      </c>
      <c r="C500">
        <f t="shared" si="31"/>
        <v>127.77233880303932</v>
      </c>
      <c r="D500">
        <v>21.555999755859379</v>
      </c>
      <c r="E500" s="604">
        <v>8952.8798828125</v>
      </c>
      <c r="F500" s="748">
        <f t="shared" si="28"/>
        <v>4.2679978820607811E-3</v>
      </c>
      <c r="G500" s="748">
        <f t="shared" si="28"/>
        <v>7.7639560158115906E-3</v>
      </c>
      <c r="H500" s="1067">
        <f t="shared" si="29"/>
        <v>-3.4959581337508094E-3</v>
      </c>
      <c r="I500">
        <f t="shared" si="30"/>
        <v>115.24908209859929</v>
      </c>
    </row>
    <row r="501" spans="1:9" ht="20.100000000000001" customHeight="1">
      <c r="A501" s="563">
        <v>43825</v>
      </c>
      <c r="B501">
        <f t="shared" si="31"/>
        <v>244.05863581134221</v>
      </c>
      <c r="C501">
        <f t="shared" si="31"/>
        <v>128.7643576215435</v>
      </c>
      <c r="D501">
        <v>21.648000717163089</v>
      </c>
      <c r="E501" s="604">
        <v>9022.3896484375</v>
      </c>
      <c r="F501" s="748">
        <f t="shared" si="28"/>
        <v>-7.2986391727002387E-3</v>
      </c>
      <c r="G501" s="748">
        <f t="shared" si="28"/>
        <v>-1.7478220143962719E-3</v>
      </c>
      <c r="H501" s="1067">
        <f t="shared" si="29"/>
        <v>-5.5508171583039667E-3</v>
      </c>
      <c r="I501">
        <f t="shared" si="30"/>
        <v>115.29427818979872</v>
      </c>
    </row>
    <row r="502" spans="1:9" ht="20.100000000000001" customHeight="1">
      <c r="A502" s="563">
        <v>43826</v>
      </c>
      <c r="B502">
        <f t="shared" si="31"/>
        <v>242.27733989157377</v>
      </c>
      <c r="C502">
        <f t="shared" si="31"/>
        <v>128.53930044262296</v>
      </c>
      <c r="D502">
        <v>21.489999771118161</v>
      </c>
      <c r="E502" s="604">
        <v>9006.6201171875</v>
      </c>
      <c r="F502" s="748">
        <f t="shared" si="28"/>
        <v>-4.6533449294920981E-3</v>
      </c>
      <c r="G502" s="748">
        <f t="shared" si="28"/>
        <v>-6.7317020173637276E-3</v>
      </c>
      <c r="H502" s="1067">
        <f t="shared" si="29"/>
        <v>2.0783570878716295E-3</v>
      </c>
      <c r="I502">
        <f t="shared" si="30"/>
        <v>113.73803944895081</v>
      </c>
    </row>
    <row r="503" spans="1:9" ht="20.100000000000001" customHeight="1">
      <c r="A503" s="563">
        <v>43829</v>
      </c>
      <c r="B503">
        <f t="shared" si="31"/>
        <v>241.14993986045849</v>
      </c>
      <c r="C503">
        <f t="shared" si="31"/>
        <v>127.67401217452283</v>
      </c>
      <c r="D503">
        <v>21.389999389648441</v>
      </c>
      <c r="E503" s="604">
        <v>8945.990234375</v>
      </c>
      <c r="F503" s="748">
        <f t="shared" si="28"/>
        <v>-1.7765361335129182E-3</v>
      </c>
      <c r="G503" s="748">
        <f t="shared" si="28"/>
        <v>2.9744471324988364E-3</v>
      </c>
      <c r="H503" s="1067">
        <f t="shared" si="29"/>
        <v>-4.7509832660117546E-3</v>
      </c>
      <c r="I503">
        <f t="shared" si="30"/>
        <v>113.47592768593566</v>
      </c>
    </row>
    <row r="504" spans="1:9" ht="20.100000000000001" customHeight="1">
      <c r="A504" s="563">
        <v>43830</v>
      </c>
      <c r="B504">
        <f t="shared" si="31"/>
        <v>240.72152827870192</v>
      </c>
      <c r="C504">
        <f t="shared" si="31"/>
        <v>128.05377177392995</v>
      </c>
      <c r="D504">
        <v>21.351999282836911</v>
      </c>
      <c r="E504" s="604">
        <v>8972.599609375</v>
      </c>
      <c r="F504" s="748">
        <f t="shared" si="28"/>
        <v>2.7351140911995531E-2</v>
      </c>
      <c r="G504" s="748">
        <f t="shared" si="28"/>
        <v>1.3328447219192352E-2</v>
      </c>
      <c r="H504" s="1067">
        <f t="shared" si="29"/>
        <v>1.4022693692803179E-2</v>
      </c>
      <c r="I504">
        <f t="shared" si="30"/>
        <v>112.66775650477197</v>
      </c>
    </row>
    <row r="505" spans="1:9" ht="20.100000000000001" customHeight="1">
      <c r="A505" s="563">
        <v>43832</v>
      </c>
      <c r="B505">
        <f t="shared" si="31"/>
        <v>247.30553671920362</v>
      </c>
      <c r="C505">
        <f t="shared" si="31"/>
        <v>129.76052971223729</v>
      </c>
      <c r="D505">
        <v>21.936000823974609</v>
      </c>
      <c r="E505" s="604">
        <v>9092.1904296875</v>
      </c>
      <c r="F505" s="748">
        <f t="shared" si="28"/>
        <v>1.3949660118763862E-2</v>
      </c>
      <c r="G505" s="748">
        <f t="shared" si="28"/>
        <v>-7.8551916603395444E-3</v>
      </c>
      <c r="H505" s="1067">
        <f t="shared" si="29"/>
        <v>2.1804851779103407E-2</v>
      </c>
      <c r="I505">
        <f t="shared" si="30"/>
        <v>117.54500700696633</v>
      </c>
    </row>
    <row r="506" spans="1:9" ht="20.100000000000001" customHeight="1">
      <c r="A506" s="563">
        <v>43833</v>
      </c>
      <c r="B506">
        <f t="shared" si="31"/>
        <v>250.75536490192499</v>
      </c>
      <c r="C506">
        <f t="shared" si="31"/>
        <v>128.74123588140048</v>
      </c>
      <c r="D506">
        <v>22.242000579833981</v>
      </c>
      <c r="E506" s="604">
        <v>9020.76953125</v>
      </c>
      <c r="F506" s="748">
        <f t="shared" si="28"/>
        <v>7.1036343214352371E-3</v>
      </c>
      <c r="G506" s="748">
        <f t="shared" si="28"/>
        <v>5.6203847284717057E-3</v>
      </c>
      <c r="H506" s="1067">
        <f t="shared" si="29"/>
        <v>1.4832495929635314E-3</v>
      </c>
      <c r="I506">
        <f t="shared" si="30"/>
        <v>122.01412902052451</v>
      </c>
    </row>
    <row r="507" spans="1:9" ht="20.100000000000001" customHeight="1">
      <c r="A507" s="563">
        <v>43836</v>
      </c>
      <c r="B507">
        <f t="shared" si="31"/>
        <v>252.53663931832634</v>
      </c>
      <c r="C507">
        <f t="shared" si="31"/>
        <v>129.46481115747289</v>
      </c>
      <c r="D507">
        <v>22.39999961853027</v>
      </c>
      <c r="E507" s="604">
        <v>9071.4697265625</v>
      </c>
      <c r="F507" s="748">
        <f t="shared" si="28"/>
        <v>-9.8211426363870036E-4</v>
      </c>
      <c r="G507" s="748">
        <f t="shared" si="28"/>
        <v>-3.1854247708495986E-4</v>
      </c>
      <c r="H507" s="1067">
        <f t="shared" si="29"/>
        <v>-6.6357178655374049E-4</v>
      </c>
      <c r="I507">
        <f t="shared" si="30"/>
        <v>123.07182816085344</v>
      </c>
    </row>
    <row r="508" spans="1:9" ht="20.100000000000001" customHeight="1">
      <c r="A508" s="563">
        <v>43837</v>
      </c>
      <c r="B508">
        <f t="shared" si="31"/>
        <v>252.28861948276042</v>
      </c>
      <c r="C508">
        <f t="shared" si="31"/>
        <v>129.42357111583146</v>
      </c>
      <c r="D508">
        <v>22.378000259399411</v>
      </c>
      <c r="E508" s="604">
        <v>9068.580078125</v>
      </c>
      <c r="F508" s="748">
        <f t="shared" si="28"/>
        <v>1.5908436356836697E-2</v>
      </c>
      <c r="G508" s="748">
        <f t="shared" si="28"/>
        <v>6.6890467666842479E-3</v>
      </c>
      <c r="H508" s="1067">
        <f t="shared" si="29"/>
        <v>9.2193895901524492E-3</v>
      </c>
      <c r="I508">
        <f t="shared" si="30"/>
        <v>122.86504836692896</v>
      </c>
    </row>
    <row r="509" spans="1:9" ht="20.100000000000001" customHeight="1">
      <c r="A509" s="563">
        <v>43838</v>
      </c>
      <c r="B509">
        <f t="shared" si="31"/>
        <v>256.3021369293561</v>
      </c>
      <c r="C509">
        <f t="shared" si="31"/>
        <v>130.28929143573654</v>
      </c>
      <c r="D509">
        <v>22.733999252319339</v>
      </c>
      <c r="E509" s="604">
        <v>9129.240234375</v>
      </c>
      <c r="F509" s="748">
        <f t="shared" si="28"/>
        <v>7.1259198317867867E-3</v>
      </c>
      <c r="G509" s="748">
        <f t="shared" si="28"/>
        <v>8.126574744484083E-3</v>
      </c>
      <c r="H509" s="1067">
        <f t="shared" si="29"/>
        <v>-1.0006549126972963E-3</v>
      </c>
      <c r="I509">
        <f t="shared" si="30"/>
        <v>126.01284549361955</v>
      </c>
    </row>
    <row r="510" spans="1:9" ht="20.100000000000001" customHeight="1">
      <c r="A510" s="563">
        <v>43839</v>
      </c>
      <c r="B510">
        <f t="shared" si="31"/>
        <v>258.12852540983033</v>
      </c>
      <c r="C510">
        <f t="shared" si="31"/>
        <v>131.34809710099492</v>
      </c>
      <c r="D510">
        <v>22.895999908447269</v>
      </c>
      <c r="E510" s="604">
        <v>9203.4296875</v>
      </c>
      <c r="F510" s="748">
        <f t="shared" si="28"/>
        <v>-1.3976060508671395E-3</v>
      </c>
      <c r="G510" s="748">
        <f t="shared" si="28"/>
        <v>-2.6695847930331418E-3</v>
      </c>
      <c r="H510" s="1067">
        <f t="shared" si="29"/>
        <v>1.2719787421660023E-3</v>
      </c>
      <c r="I510">
        <f t="shared" si="30"/>
        <v>126.78042830883541</v>
      </c>
    </row>
    <row r="511" spans="1:9" ht="20.100000000000001" customHeight="1">
      <c r="A511" s="563">
        <v>43840</v>
      </c>
      <c r="B511">
        <f t="shared" si="31"/>
        <v>257.76776342081615</v>
      </c>
      <c r="C511">
        <f t="shared" si="31"/>
        <v>130.99745221838026</v>
      </c>
      <c r="D511">
        <v>22.86400032043457</v>
      </c>
      <c r="E511" s="604">
        <v>9178.8603515625</v>
      </c>
      <c r="F511" s="748">
        <f t="shared" si="28"/>
        <v>2.0731237613475173E-2</v>
      </c>
      <c r="G511" s="748">
        <f t="shared" si="28"/>
        <v>1.0357422631592339E-2</v>
      </c>
      <c r="H511" s="1067">
        <f t="shared" si="29"/>
        <v>1.0373814981882834E-2</v>
      </c>
      <c r="I511">
        <f t="shared" si="30"/>
        <v>126.77031120243589</v>
      </c>
    </row>
    <row r="512" spans="1:9" ht="20.100000000000001" customHeight="1">
      <c r="A512" s="563">
        <v>43843</v>
      </c>
      <c r="B512">
        <f t="shared" si="31"/>
        <v>263.11160817338714</v>
      </c>
      <c r="C512">
        <f t="shared" si="31"/>
        <v>132.35424819466786</v>
      </c>
      <c r="D512">
        <v>23.33799934387207</v>
      </c>
      <c r="E512" s="604">
        <v>9273.9296875</v>
      </c>
      <c r="F512" s="748">
        <f t="shared" si="28"/>
        <v>2.5711367587311074E-4</v>
      </c>
      <c r="G512" s="748">
        <f t="shared" si="28"/>
        <v>-2.4368967780142858E-3</v>
      </c>
      <c r="H512" s="1067">
        <f t="shared" si="29"/>
        <v>2.6940104538873966E-3</v>
      </c>
      <c r="I512">
        <f t="shared" si="30"/>
        <v>130.75735997871928</v>
      </c>
    </row>
    <row r="513" spans="1:9" ht="20.100000000000001" customHeight="1">
      <c r="A513" s="563">
        <v>43844</v>
      </c>
      <c r="B513">
        <f t="shared" si="31"/>
        <v>263.17925776612947</v>
      </c>
      <c r="C513">
        <f t="shared" si="31"/>
        <v>132.03171455368576</v>
      </c>
      <c r="D513">
        <v>23.343999862670898</v>
      </c>
      <c r="E513" s="604">
        <v>9251.330078125</v>
      </c>
      <c r="F513" s="748">
        <f t="shared" si="28"/>
        <v>2.8272783211735764E-3</v>
      </c>
      <c r="G513" s="748">
        <f t="shared" si="28"/>
        <v>7.9665487289526382E-4</v>
      </c>
      <c r="H513" s="1067">
        <f t="shared" si="29"/>
        <v>2.0306234482783125E-3</v>
      </c>
      <c r="I513">
        <f t="shared" si="30"/>
        <v>131.14754321244371</v>
      </c>
    </row>
    <row r="514" spans="1:9" ht="20.100000000000001" customHeight="1">
      <c r="A514" s="563">
        <v>43845</v>
      </c>
      <c r="B514">
        <f t="shared" si="31"/>
        <v>263.92333877619421</v>
      </c>
      <c r="C514">
        <f t="shared" si="31"/>
        <v>132.13689826246167</v>
      </c>
      <c r="D514">
        <v>23.409999847412109</v>
      </c>
      <c r="E514" s="604">
        <v>9258.7001953125</v>
      </c>
      <c r="F514" s="748">
        <f t="shared" si="28"/>
        <v>1.7428489906206712E-2</v>
      </c>
      <c r="G514" s="748">
        <f t="shared" si="28"/>
        <v>1.0631048141058974E-2</v>
      </c>
      <c r="H514" s="1067">
        <f t="shared" si="29"/>
        <v>6.7974417651477381E-3</v>
      </c>
      <c r="I514">
        <f t="shared" si="30"/>
        <v>131.78644051373254</v>
      </c>
    </row>
    <row r="515" spans="1:9" ht="20.100000000000001" customHeight="1">
      <c r="A515" s="563">
        <v>43846</v>
      </c>
      <c r="B515">
        <f t="shared" si="31"/>
        <v>268.52312402206746</v>
      </c>
      <c r="C515">
        <f t="shared" si="31"/>
        <v>133.5416519891001</v>
      </c>
      <c r="D515">
        <v>23.818000793457031</v>
      </c>
      <c r="E515" s="604">
        <v>9357.1298828125</v>
      </c>
      <c r="F515" s="748">
        <f t="shared" ref="F515:G578" si="32">D516/D515-1</f>
        <v>-1.3435283882464177E-2</v>
      </c>
      <c r="G515" s="748">
        <f t="shared" si="32"/>
        <v>3.3996051431786078E-3</v>
      </c>
      <c r="H515" s="1067">
        <f t="shared" ref="H515:H578" si="33">F515-G515</f>
        <v>-1.6834889025642785E-2</v>
      </c>
      <c r="I515">
        <f t="shared" ref="I515:I578" si="34">B515-C515</f>
        <v>134.98147203296736</v>
      </c>
    </row>
    <row r="516" spans="1:9" ht="20.100000000000001" customHeight="1">
      <c r="A516" s="563">
        <v>43847</v>
      </c>
      <c r="B516">
        <f t="shared" ref="B516:C579" si="35">B515*(1+F515)</f>
        <v>264.91543962182487</v>
      </c>
      <c r="C516">
        <f t="shared" si="35"/>
        <v>133.99564087603082</v>
      </c>
      <c r="D516">
        <v>23.49799919128418</v>
      </c>
      <c r="E516" s="604">
        <v>9388.9404296875</v>
      </c>
      <c r="F516" s="748">
        <f t="shared" si="32"/>
        <v>1.276733665759977E-3</v>
      </c>
      <c r="G516" s="748">
        <f t="shared" si="32"/>
        <v>-1.9310868474221587E-3</v>
      </c>
      <c r="H516" s="1067">
        <f t="shared" si="33"/>
        <v>3.2078205131821358E-3</v>
      </c>
      <c r="I516">
        <f t="shared" si="34"/>
        <v>130.91979874579405</v>
      </c>
    </row>
    <row r="517" spans="1:9" ht="20.100000000000001" customHeight="1">
      <c r="A517" s="563">
        <v>43851</v>
      </c>
      <c r="B517">
        <f t="shared" si="35"/>
        <v>265.25366608216967</v>
      </c>
      <c r="C517">
        <f t="shared" si="35"/>
        <v>133.73688365632322</v>
      </c>
      <c r="D517">
        <v>23.527999877929691</v>
      </c>
      <c r="E517" s="604">
        <v>9370.8095703125</v>
      </c>
      <c r="F517" s="748">
        <f t="shared" si="32"/>
        <v>1.2751056953910211E-3</v>
      </c>
      <c r="G517" s="748">
        <f t="shared" si="32"/>
        <v>1.3830140117838674E-3</v>
      </c>
      <c r="H517" s="1067">
        <f t="shared" si="33"/>
        <v>-1.0790831639284626E-4</v>
      </c>
      <c r="I517">
        <f t="shared" si="34"/>
        <v>131.51678242584646</v>
      </c>
    </row>
    <row r="518" spans="1:9" ht="20.100000000000001" customHeight="1">
      <c r="A518" s="563">
        <v>43852</v>
      </c>
      <c r="B518">
        <f t="shared" si="35"/>
        <v>265.59189254251442</v>
      </c>
      <c r="C518">
        <f t="shared" si="35"/>
        <v>133.92184364031223</v>
      </c>
      <c r="D518">
        <v>23.558000564575199</v>
      </c>
      <c r="E518" s="604">
        <v>9383.76953125</v>
      </c>
      <c r="F518" s="748">
        <f t="shared" si="32"/>
        <v>1.0866737639659618E-2</v>
      </c>
      <c r="G518" s="748">
        <f t="shared" si="32"/>
        <v>1.9939681423002398E-3</v>
      </c>
      <c r="H518" s="1067">
        <f t="shared" si="33"/>
        <v>8.8727694973593785E-3</v>
      </c>
      <c r="I518">
        <f t="shared" si="34"/>
        <v>131.67004890220218</v>
      </c>
    </row>
    <row r="519" spans="1:9" ht="20.100000000000001" customHeight="1">
      <c r="A519" s="563">
        <v>43853</v>
      </c>
      <c r="B519">
        <f t="shared" si="35"/>
        <v>268.47800995799457</v>
      </c>
      <c r="C519">
        <f t="shared" si="35"/>
        <v>134.18887953008914</v>
      </c>
      <c r="D519">
        <v>23.813999176025391</v>
      </c>
      <c r="E519" s="604">
        <v>9402.48046875</v>
      </c>
      <c r="F519" s="748">
        <f t="shared" si="32"/>
        <v>-9.0702784389501412E-3</v>
      </c>
      <c r="G519" s="748">
        <f t="shared" si="32"/>
        <v>-9.3135330396110216E-3</v>
      </c>
      <c r="H519" s="1067">
        <f t="shared" si="33"/>
        <v>2.4325460066088045E-4</v>
      </c>
      <c r="I519">
        <f t="shared" si="34"/>
        <v>134.28913042790543</v>
      </c>
    </row>
    <row r="520" spans="1:9" ht="20.100000000000001" customHeight="1">
      <c r="A520" s="563">
        <v>43854</v>
      </c>
      <c r="B520">
        <f t="shared" si="35"/>
        <v>266.04283965294036</v>
      </c>
      <c r="C520">
        <f t="shared" si="35"/>
        <v>132.93910696703728</v>
      </c>
      <c r="D520">
        <v>23.59799957275391</v>
      </c>
      <c r="E520" s="604">
        <v>9314.91015625</v>
      </c>
      <c r="F520" s="748">
        <f t="shared" si="32"/>
        <v>-3.0172044498659512E-2</v>
      </c>
      <c r="G520" s="748">
        <f t="shared" si="32"/>
        <v>-1.8851559810233676E-2</v>
      </c>
      <c r="H520" s="1067">
        <f t="shared" si="33"/>
        <v>-1.1320484688425836E-2</v>
      </c>
      <c r="I520">
        <f t="shared" si="34"/>
        <v>133.10373268590308</v>
      </c>
    </row>
    <row r="521" spans="1:9" ht="20.100000000000001" customHeight="1">
      <c r="A521" s="563">
        <v>43857</v>
      </c>
      <c r="B521">
        <f t="shared" si="35"/>
        <v>258.01578325638212</v>
      </c>
      <c r="C521">
        <f t="shared" si="35"/>
        <v>130.43299744092911</v>
      </c>
      <c r="D521">
        <v>22.88599967956543</v>
      </c>
      <c r="E521" s="604">
        <v>9139.3095703125</v>
      </c>
      <c r="F521" s="748">
        <f t="shared" si="32"/>
        <v>2.717817658434929E-2</v>
      </c>
      <c r="G521" s="748">
        <f t="shared" si="32"/>
        <v>1.4264766521421501E-2</v>
      </c>
      <c r="H521" s="1067">
        <f t="shared" si="33"/>
        <v>1.2913410062927788E-2</v>
      </c>
      <c r="I521">
        <f t="shared" si="34"/>
        <v>127.58278581545301</v>
      </c>
    </row>
    <row r="522" spans="1:9" ht="20.100000000000001" customHeight="1">
      <c r="A522" s="563">
        <v>43858</v>
      </c>
      <c r="B522">
        <f t="shared" si="35"/>
        <v>265.02818177527325</v>
      </c>
      <c r="C522">
        <f t="shared" si="35"/>
        <v>132.29359369611313</v>
      </c>
      <c r="D522">
        <v>23.507999420166019</v>
      </c>
      <c r="E522" s="604">
        <v>9269.6796875</v>
      </c>
      <c r="F522" s="748">
        <f t="shared" si="32"/>
        <v>-2.2970456217229485E-3</v>
      </c>
      <c r="G522" s="748">
        <f t="shared" si="32"/>
        <v>5.9122525640131762E-4</v>
      </c>
      <c r="H522" s="1067">
        <f t="shared" si="33"/>
        <v>-2.8882708781242661E-3</v>
      </c>
      <c r="I522">
        <f t="shared" si="34"/>
        <v>132.73458807916012</v>
      </c>
    </row>
    <row r="523" spans="1:9" ht="20.100000000000001" customHeight="1">
      <c r="A523" s="563">
        <v>43859</v>
      </c>
      <c r="B523">
        <f t="shared" si="35"/>
        <v>264.41939995069316</v>
      </c>
      <c r="C523">
        <f t="shared" si="35"/>
        <v>132.37180900996637</v>
      </c>
      <c r="D523">
        <v>23.454000473022461</v>
      </c>
      <c r="E523" s="604">
        <v>9275.16015625</v>
      </c>
      <c r="F523" s="748">
        <f t="shared" si="32"/>
        <v>9.0389651621405331E-3</v>
      </c>
      <c r="G523" s="748">
        <f t="shared" si="32"/>
        <v>2.562708443798023E-3</v>
      </c>
      <c r="H523" s="1067">
        <f t="shared" si="33"/>
        <v>6.4762567183425102E-3</v>
      </c>
      <c r="I523">
        <f t="shared" si="34"/>
        <v>132.04759094072679</v>
      </c>
    </row>
    <row r="524" spans="1:9" ht="20.100000000000001" customHeight="1">
      <c r="A524" s="563">
        <v>43860</v>
      </c>
      <c r="B524">
        <f t="shared" si="35"/>
        <v>266.80947769504161</v>
      </c>
      <c r="C524">
        <f t="shared" si="35"/>
        <v>132.71103936263702</v>
      </c>
      <c r="D524">
        <v>23.666000366210941</v>
      </c>
      <c r="E524" s="604">
        <v>9298.9296875</v>
      </c>
      <c r="F524" s="748">
        <f t="shared" si="32"/>
        <v>-2.5099292380599492E-2</v>
      </c>
      <c r="G524" s="748">
        <f t="shared" si="32"/>
        <v>-1.5914654996416755E-2</v>
      </c>
      <c r="H524" s="1067">
        <f t="shared" si="33"/>
        <v>-9.1846373841827367E-3</v>
      </c>
      <c r="I524">
        <f t="shared" si="34"/>
        <v>134.09843833240458</v>
      </c>
    </row>
    <row r="525" spans="1:9" ht="20.100000000000001" customHeight="1">
      <c r="A525" s="563">
        <v>43861</v>
      </c>
      <c r="B525">
        <f t="shared" si="35"/>
        <v>260.11274860445872</v>
      </c>
      <c r="C525">
        <f t="shared" si="35"/>
        <v>130.59898895696477</v>
      </c>
      <c r="D525">
        <v>23.072000503540039</v>
      </c>
      <c r="E525" s="604">
        <v>9150.9404296875</v>
      </c>
      <c r="F525" s="748">
        <f t="shared" si="32"/>
        <v>9.7954155348880523E-3</v>
      </c>
      <c r="G525" s="748">
        <f t="shared" si="32"/>
        <v>1.3382226873668079E-2</v>
      </c>
      <c r="H525" s="1067">
        <f t="shared" si="33"/>
        <v>-3.5868113387800271E-3</v>
      </c>
      <c r="I525">
        <f t="shared" si="34"/>
        <v>129.51375964749394</v>
      </c>
    </row>
    <row r="526" spans="1:9" ht="20.100000000000001" customHeight="1">
      <c r="A526" s="563">
        <v>43864</v>
      </c>
      <c r="B526">
        <f t="shared" si="35"/>
        <v>262.66066106296125</v>
      </c>
      <c r="C526">
        <f t="shared" si="35"/>
        <v>132.34669425665854</v>
      </c>
      <c r="D526">
        <v>23.298000335693359</v>
      </c>
      <c r="E526" s="604">
        <v>9273.400390625</v>
      </c>
      <c r="F526" s="748">
        <f t="shared" si="32"/>
        <v>3.0818113213231468E-2</v>
      </c>
      <c r="G526" s="748">
        <f t="shared" si="32"/>
        <v>2.098144453400308E-2</v>
      </c>
      <c r="H526" s="1067">
        <f t="shared" si="33"/>
        <v>9.8366686792283886E-3</v>
      </c>
      <c r="I526">
        <f t="shared" si="34"/>
        <v>130.31396680630272</v>
      </c>
    </row>
    <row r="527" spans="1:9" ht="20.100000000000001" customHeight="1">
      <c r="A527" s="563">
        <v>43865</v>
      </c>
      <c r="B527">
        <f t="shared" si="35"/>
        <v>270.75536705226182</v>
      </c>
      <c r="C527">
        <f t="shared" si="35"/>
        <v>135.12351908146329</v>
      </c>
      <c r="D527">
        <v>24.016000747680661</v>
      </c>
      <c r="E527" s="604">
        <v>9467.9697265625</v>
      </c>
      <c r="F527" s="748">
        <f t="shared" si="32"/>
        <v>-2.4983915482600372E-3</v>
      </c>
      <c r="G527" s="748">
        <f t="shared" si="32"/>
        <v>4.2997561370825554E-3</v>
      </c>
      <c r="H527" s="1067">
        <f t="shared" si="33"/>
        <v>-6.7981476853425926E-3</v>
      </c>
      <c r="I527">
        <f t="shared" si="34"/>
        <v>135.63184797079853</v>
      </c>
    </row>
    <row r="528" spans="1:9" ht="20.100000000000001" customHeight="1">
      <c r="A528" s="563">
        <v>43866</v>
      </c>
      <c r="B528">
        <f t="shared" si="35"/>
        <v>270.07891413157239</v>
      </c>
      <c r="C528">
        <f t="shared" si="35"/>
        <v>135.70451726189799</v>
      </c>
      <c r="D528">
        <v>23.955999374389648</v>
      </c>
      <c r="E528" s="604">
        <v>9508.6796875</v>
      </c>
      <c r="F528" s="748">
        <f t="shared" si="32"/>
        <v>1.2940448379808345E-2</v>
      </c>
      <c r="G528" s="748">
        <f t="shared" si="32"/>
        <v>6.6750279966247827E-3</v>
      </c>
      <c r="H528" s="1067">
        <f t="shared" si="33"/>
        <v>6.265420383183562E-3</v>
      </c>
      <c r="I528">
        <f t="shared" si="34"/>
        <v>134.3743968696744</v>
      </c>
    </row>
    <row r="529" spans="1:9" ht="20.100000000000001" customHeight="1">
      <c r="A529" s="563">
        <v>43867</v>
      </c>
      <c r="B529">
        <f t="shared" si="35"/>
        <v>273.57385637836671</v>
      </c>
      <c r="C529">
        <f t="shared" si="35"/>
        <v>136.61034871388961</v>
      </c>
      <c r="D529">
        <v>24.266000747680661</v>
      </c>
      <c r="E529" s="604">
        <v>9572.150390625</v>
      </c>
      <c r="F529" s="748">
        <f t="shared" si="32"/>
        <v>-3.4781168576019317E-2</v>
      </c>
      <c r="G529" s="748">
        <f t="shared" si="32"/>
        <v>-5.3948823297403914E-3</v>
      </c>
      <c r="H529" s="1067">
        <f t="shared" si="33"/>
        <v>-2.9386286246278925E-2</v>
      </c>
      <c r="I529">
        <f t="shared" si="34"/>
        <v>136.96350766447711</v>
      </c>
    </row>
    <row r="530" spans="1:9" ht="20.100000000000001" customHeight="1">
      <c r="A530" s="563">
        <v>43868</v>
      </c>
      <c r="B530">
        <f t="shared" si="35"/>
        <v>264.05863796167904</v>
      </c>
      <c r="C530">
        <f t="shared" si="35"/>
        <v>135.87335195755338</v>
      </c>
      <c r="D530">
        <v>23.422000885009769</v>
      </c>
      <c r="E530" s="604">
        <v>9520.509765625</v>
      </c>
      <c r="F530" s="748">
        <f t="shared" si="32"/>
        <v>1.3833122391972097E-2</v>
      </c>
      <c r="G530" s="748">
        <f t="shared" si="32"/>
        <v>1.1331313707803048E-2</v>
      </c>
      <c r="H530" s="1067">
        <f t="shared" si="33"/>
        <v>2.501808684169049E-3</v>
      </c>
      <c r="I530">
        <f t="shared" si="34"/>
        <v>128.18528600412566</v>
      </c>
    </row>
    <row r="531" spans="1:9" ht="20.100000000000001" customHeight="1">
      <c r="A531" s="563">
        <v>43871</v>
      </c>
      <c r="B531">
        <f t="shared" si="35"/>
        <v>267.71139341926039</v>
      </c>
      <c r="C531">
        <f t="shared" si="35"/>
        <v>137.41297553311514</v>
      </c>
      <c r="D531">
        <v>23.746000289916989</v>
      </c>
      <c r="E531" s="604">
        <v>9628.3896484375</v>
      </c>
      <c r="F531" s="748">
        <f t="shared" si="32"/>
        <v>-1.1875666831033915E-2</v>
      </c>
      <c r="G531" s="748">
        <f t="shared" si="32"/>
        <v>1.0957991559588098E-3</v>
      </c>
      <c r="H531" s="1067">
        <f t="shared" si="33"/>
        <v>-1.2971465986992725E-2</v>
      </c>
      <c r="I531">
        <f t="shared" si="34"/>
        <v>130.29841788614524</v>
      </c>
    </row>
    <row r="532" spans="1:9" ht="20.100000000000001" customHeight="1">
      <c r="A532" s="563">
        <v>43872</v>
      </c>
      <c r="B532">
        <f t="shared" si="35"/>
        <v>264.53214210414143</v>
      </c>
      <c r="C532">
        <f t="shared" si="35"/>
        <v>137.56355255572211</v>
      </c>
      <c r="D532">
        <v>23.4640007019043</v>
      </c>
      <c r="E532" s="604">
        <v>9638.9404296875</v>
      </c>
      <c r="F532" s="748">
        <f t="shared" si="32"/>
        <v>6.8184622628031377E-4</v>
      </c>
      <c r="G532" s="748">
        <f t="shared" si="32"/>
        <v>9.0279146224396811E-3</v>
      </c>
      <c r="H532" s="1067">
        <f t="shared" si="33"/>
        <v>-8.3460683961593674E-3</v>
      </c>
      <c r="I532">
        <f t="shared" si="34"/>
        <v>126.96858954841932</v>
      </c>
    </row>
    <row r="533" spans="1:9" ht="20.100000000000001" customHeight="1">
      <c r="A533" s="563">
        <v>43873</v>
      </c>
      <c r="B533">
        <f t="shared" si="35"/>
        <v>264.71251234696496</v>
      </c>
      <c r="C533">
        <f t="shared" si="35"/>
        <v>138.80546456335466</v>
      </c>
      <c r="D533">
        <v>23.479999542236332</v>
      </c>
      <c r="E533" s="604">
        <v>9725.9599609375</v>
      </c>
      <c r="F533" s="748">
        <f t="shared" si="32"/>
        <v>1.4480415639544164E-2</v>
      </c>
      <c r="G533" s="748">
        <f t="shared" si="32"/>
        <v>-1.4384425219915453E-3</v>
      </c>
      <c r="H533" s="1067">
        <f t="shared" si="33"/>
        <v>1.5918858161535709E-2</v>
      </c>
      <c r="I533">
        <f t="shared" si="34"/>
        <v>125.9070477836103</v>
      </c>
    </row>
    <row r="534" spans="1:9" ht="20.100000000000001" customHeight="1">
      <c r="A534" s="563">
        <v>43874</v>
      </c>
      <c r="B534">
        <f t="shared" si="35"/>
        <v>268.54565955073696</v>
      </c>
      <c r="C534">
        <f t="shared" si="35"/>
        <v>138.60580088084194</v>
      </c>
      <c r="D534">
        <v>23.819999694824219</v>
      </c>
      <c r="E534" s="604">
        <v>9711.9697265625</v>
      </c>
      <c r="F534" s="748">
        <f t="shared" si="32"/>
        <v>7.5565278247102796E-4</v>
      </c>
      <c r="G534" s="748">
        <f t="shared" si="32"/>
        <v>1.9779675470938951E-3</v>
      </c>
      <c r="H534" s="1067">
        <f t="shared" si="33"/>
        <v>-1.2223147646228671E-3</v>
      </c>
      <c r="I534">
        <f t="shared" si="34"/>
        <v>129.93985866989502</v>
      </c>
    </row>
    <row r="535" spans="1:9" ht="20.100000000000001" customHeight="1">
      <c r="A535" s="563">
        <v>43875</v>
      </c>
      <c r="B535">
        <f t="shared" si="35"/>
        <v>268.74858682559699</v>
      </c>
      <c r="C535">
        <f t="shared" si="35"/>
        <v>138.87995865682319</v>
      </c>
      <c r="D535">
        <v>23.83799934387207</v>
      </c>
      <c r="E535" s="604">
        <v>9731.1796875</v>
      </c>
      <c r="F535" s="748">
        <f t="shared" si="32"/>
        <v>2.1813930366492151E-3</v>
      </c>
      <c r="G535" s="748">
        <f t="shared" si="32"/>
        <v>1.6036564169130685E-4</v>
      </c>
      <c r="H535" s="1067">
        <f t="shared" si="33"/>
        <v>2.0210273949579083E-3</v>
      </c>
      <c r="I535">
        <f t="shared" si="34"/>
        <v>129.8686281687738</v>
      </c>
    </row>
    <row r="536" spans="1:9" ht="20.100000000000001" customHeight="1">
      <c r="A536" s="563">
        <v>43879</v>
      </c>
      <c r="B536">
        <f t="shared" si="35"/>
        <v>269.33483312150764</v>
      </c>
      <c r="C536">
        <f t="shared" si="35"/>
        <v>138.90223023051126</v>
      </c>
      <c r="D536">
        <v>23.889999389648441</v>
      </c>
      <c r="E536" s="604">
        <v>9732.740234375</v>
      </c>
      <c r="F536" s="748">
        <f t="shared" si="32"/>
        <v>-2.0928940283780895E-3</v>
      </c>
      <c r="G536" s="748">
        <f t="shared" si="32"/>
        <v>8.6758149392263118E-3</v>
      </c>
      <c r="H536" s="1067">
        <f t="shared" si="33"/>
        <v>-1.0768708967604401E-2</v>
      </c>
      <c r="I536">
        <f t="shared" si="34"/>
        <v>130.43260289099638</v>
      </c>
    </row>
    <row r="537" spans="1:9" ht="20.100000000000001" customHeight="1">
      <c r="A537" s="563">
        <v>43880</v>
      </c>
      <c r="B537">
        <f t="shared" si="35"/>
        <v>268.77114385763343</v>
      </c>
      <c r="C537">
        <f t="shared" si="35"/>
        <v>140.10732027463698</v>
      </c>
      <c r="D537">
        <v>23.840000152587891</v>
      </c>
      <c r="E537" s="604">
        <v>9817.1796875</v>
      </c>
      <c r="F537" s="748">
        <f t="shared" si="32"/>
        <v>-1.0067104428776896E-2</v>
      </c>
      <c r="G537" s="748">
        <f t="shared" si="32"/>
        <v>-6.7442955151165718E-3</v>
      </c>
      <c r="H537" s="1067">
        <f t="shared" si="33"/>
        <v>-3.3228089136603245E-3</v>
      </c>
      <c r="I537">
        <f t="shared" si="34"/>
        <v>128.66382358299646</v>
      </c>
    </row>
    <row r="538" spans="1:9" ht="20.100000000000001" customHeight="1">
      <c r="A538" s="563">
        <v>43881</v>
      </c>
      <c r="B538">
        <f t="shared" si="35"/>
        <v>266.0653966849768</v>
      </c>
      <c r="C538">
        <f t="shared" si="35"/>
        <v>139.16239510287375</v>
      </c>
      <c r="D538">
        <v>23.60000038146973</v>
      </c>
      <c r="E538" s="604">
        <v>9750.9697265625</v>
      </c>
      <c r="F538" s="748">
        <f t="shared" si="32"/>
        <v>-2.983052803572106E-2</v>
      </c>
      <c r="G538" s="748">
        <f t="shared" si="32"/>
        <v>-1.7883337524623233E-2</v>
      </c>
      <c r="H538" s="1067">
        <f t="shared" si="33"/>
        <v>-1.1947190511097827E-2</v>
      </c>
      <c r="I538">
        <f t="shared" si="34"/>
        <v>126.90300158210306</v>
      </c>
    </row>
    <row r="539" spans="1:9" ht="20.100000000000001" customHeight="1">
      <c r="A539" s="563">
        <v>43882</v>
      </c>
      <c r="B539">
        <f t="shared" si="35"/>
        <v>258.12852540983033</v>
      </c>
      <c r="C539">
        <f t="shared" si="35"/>
        <v>136.67370702051409</v>
      </c>
      <c r="D539">
        <v>22.895999908447269</v>
      </c>
      <c r="E539" s="604">
        <v>9576.58984375</v>
      </c>
      <c r="F539" s="748">
        <f t="shared" si="32"/>
        <v>-5.0489174613536414E-2</v>
      </c>
      <c r="G539" s="748">
        <f t="shared" si="32"/>
        <v>-3.7101888679547779E-2</v>
      </c>
      <c r="H539" s="1067">
        <f t="shared" si="33"/>
        <v>-1.3387285933988635E-2</v>
      </c>
      <c r="I539">
        <f t="shared" si="34"/>
        <v>121.45481838931624</v>
      </c>
    </row>
    <row r="540" spans="1:9" ht="20.100000000000001" customHeight="1">
      <c r="A540" s="563">
        <v>43885</v>
      </c>
      <c r="B540">
        <f t="shared" si="35"/>
        <v>245.09582921767873</v>
      </c>
      <c r="C540">
        <f t="shared" si="35"/>
        <v>131.60285435721784</v>
      </c>
      <c r="D540">
        <v>21.739999771118161</v>
      </c>
      <c r="E540" s="604">
        <v>9221.2802734375</v>
      </c>
      <c r="F540" s="748">
        <f t="shared" si="32"/>
        <v>-3.3578636150959573E-2</v>
      </c>
      <c r="G540" s="748">
        <f t="shared" si="32"/>
        <v>-2.7726076455074633E-2</v>
      </c>
      <c r="H540" s="1067">
        <f t="shared" si="33"/>
        <v>-5.8525596958849402E-3</v>
      </c>
      <c r="I540">
        <f t="shared" si="34"/>
        <v>113.49297486046089</v>
      </c>
    </row>
    <row r="541" spans="1:9" ht="20.100000000000001" customHeight="1">
      <c r="A541" s="563">
        <v>43886</v>
      </c>
      <c r="B541">
        <f t="shared" si="35"/>
        <v>236.86584554626057</v>
      </c>
      <c r="C541">
        <f t="shared" si="35"/>
        <v>127.95402355560357</v>
      </c>
      <c r="D541">
        <v>21.010000228881839</v>
      </c>
      <c r="E541" s="604">
        <v>8965.6103515625</v>
      </c>
      <c r="F541" s="748">
        <f t="shared" si="32"/>
        <v>1.1518352079849636E-2</v>
      </c>
      <c r="G541" s="748">
        <f t="shared" si="32"/>
        <v>1.6920121754293582E-3</v>
      </c>
      <c r="H541" s="1067">
        <f t="shared" si="33"/>
        <v>9.8263399044202782E-3</v>
      </c>
      <c r="I541">
        <f t="shared" si="34"/>
        <v>108.911821990657</v>
      </c>
    </row>
    <row r="542" spans="1:9" ht="20.100000000000001" customHeight="1">
      <c r="A542" s="563">
        <v>43887</v>
      </c>
      <c r="B542">
        <f t="shared" si="35"/>
        <v>239.59414975095368</v>
      </c>
      <c r="C542">
        <f t="shared" si="35"/>
        <v>128.17052332135484</v>
      </c>
      <c r="D542">
        <v>21.25200080871582</v>
      </c>
      <c r="E542" s="604">
        <v>8980.7802734375</v>
      </c>
      <c r="F542" s="748">
        <f t="shared" si="32"/>
        <v>-3.4067424394657597E-2</v>
      </c>
      <c r="G542" s="748">
        <f t="shared" si="32"/>
        <v>-4.6131827310470608E-2</v>
      </c>
      <c r="H542" s="1067">
        <f t="shared" si="33"/>
        <v>1.2064402915813011E-2</v>
      </c>
      <c r="I542">
        <f t="shared" si="34"/>
        <v>111.42362642959884</v>
      </c>
    </row>
    <row r="543" spans="1:9" ht="20.100000000000001" customHeight="1">
      <c r="A543" s="563">
        <v>43888</v>
      </c>
      <c r="B543">
        <f t="shared" si="35"/>
        <v>231.43179416891078</v>
      </c>
      <c r="C543">
        <f t="shared" si="35"/>
        <v>122.25778287320145</v>
      </c>
      <c r="D543">
        <v>20.527999877929691</v>
      </c>
      <c r="E543" s="604">
        <v>8566.48046875</v>
      </c>
      <c r="F543" s="748">
        <f t="shared" si="32"/>
        <v>-5.6507805188792393E-3</v>
      </c>
      <c r="G543" s="748">
        <f t="shared" si="32"/>
        <v>1.0385226940567982E-4</v>
      </c>
      <c r="H543" s="1067">
        <f t="shared" si="33"/>
        <v>-5.7546327882849191E-3</v>
      </c>
      <c r="I543">
        <f t="shared" si="34"/>
        <v>109.17401129570933</v>
      </c>
    </row>
    <row r="544" spans="1:9" ht="20.100000000000001" customHeight="1">
      <c r="A544" s="563">
        <v>43889</v>
      </c>
      <c r="B544">
        <f t="shared" si="35"/>
        <v>230.12402389497183</v>
      </c>
      <c r="C544">
        <f t="shared" si="35"/>
        <v>122.27047962140534</v>
      </c>
      <c r="D544">
        <v>20.41200065612793</v>
      </c>
      <c r="E544" s="604">
        <v>8567.3701171875</v>
      </c>
      <c r="F544" s="748">
        <f t="shared" si="32"/>
        <v>7.8777177638047924E-2</v>
      </c>
      <c r="G544" s="748">
        <f t="shared" si="32"/>
        <v>4.4914576985011001E-2</v>
      </c>
      <c r="H544" s="1067">
        <f t="shared" si="33"/>
        <v>3.3862600653036923E-2</v>
      </c>
      <c r="I544">
        <f t="shared" si="34"/>
        <v>107.85354427356648</v>
      </c>
    </row>
    <row r="545" spans="1:9" ht="20.100000000000001" customHeight="1">
      <c r="A545" s="563">
        <v>43892</v>
      </c>
      <c r="B545">
        <f t="shared" si="35"/>
        <v>248.25254500412842</v>
      </c>
      <c r="C545">
        <f t="shared" si="35"/>
        <v>127.76220649135517</v>
      </c>
      <c r="D545">
        <v>22.020000457763668</v>
      </c>
      <c r="E545" s="604">
        <v>8952.169921875</v>
      </c>
      <c r="F545" s="748">
        <f t="shared" si="32"/>
        <v>-5.9673072482191447E-2</v>
      </c>
      <c r="G545" s="748">
        <f t="shared" si="32"/>
        <v>-2.9945821009265572E-2</v>
      </c>
      <c r="H545" s="1067">
        <f t="shared" si="33"/>
        <v>-2.9727251472925875E-2</v>
      </c>
      <c r="I545">
        <f t="shared" si="34"/>
        <v>120.49033851277325</v>
      </c>
    </row>
    <row r="546" spans="1:9" ht="20.100000000000001" customHeight="1">
      <c r="A546" s="563">
        <v>43893</v>
      </c>
      <c r="B546">
        <f t="shared" si="35"/>
        <v>233.43855289220858</v>
      </c>
      <c r="C546">
        <f t="shared" si="35"/>
        <v>123.93626232401623</v>
      </c>
      <c r="D546">
        <v>20.705999374389648</v>
      </c>
      <c r="E546" s="604">
        <v>8684.08984375</v>
      </c>
      <c r="F546" s="748">
        <f t="shared" si="32"/>
        <v>3.3999830691254118E-2</v>
      </c>
      <c r="G546" s="748">
        <f t="shared" si="32"/>
        <v>3.8461140546626416E-2</v>
      </c>
      <c r="H546" s="1067">
        <f t="shared" si="33"/>
        <v>-4.4613098553722974E-3</v>
      </c>
      <c r="I546">
        <f t="shared" si="34"/>
        <v>109.50229056819235</v>
      </c>
    </row>
    <row r="547" spans="1:9" ht="20.100000000000001" customHeight="1">
      <c r="A547" s="563">
        <v>43894</v>
      </c>
      <c r="B547">
        <f t="shared" si="35"/>
        <v>241.37542416735505</v>
      </c>
      <c r="C547">
        <f t="shared" si="35"/>
        <v>128.70299232808378</v>
      </c>
      <c r="D547">
        <v>21.409999847412109</v>
      </c>
      <c r="E547" s="604">
        <v>9018.08984375</v>
      </c>
      <c r="F547" s="748">
        <f t="shared" si="32"/>
        <v>-2.8491387888790243E-2</v>
      </c>
      <c r="G547" s="748">
        <f t="shared" si="32"/>
        <v>-3.0993259641753035E-2</v>
      </c>
      <c r="H547" s="1067">
        <f t="shared" si="33"/>
        <v>2.5018717529627921E-3</v>
      </c>
      <c r="I547">
        <f t="shared" si="34"/>
        <v>112.67243183927127</v>
      </c>
    </row>
    <row r="548" spans="1:9" ht="20.100000000000001" customHeight="1">
      <c r="A548" s="563">
        <v>43895</v>
      </c>
      <c r="B548">
        <f t="shared" si="35"/>
        <v>234.49830333058165</v>
      </c>
      <c r="C548">
        <f t="shared" si="35"/>
        <v>124.71406707018893</v>
      </c>
      <c r="D548">
        <v>20.79999923706055</v>
      </c>
      <c r="E548" s="604">
        <v>8738.58984375</v>
      </c>
      <c r="F548" s="748">
        <f t="shared" si="32"/>
        <v>-4.3269214016445678E-2</v>
      </c>
      <c r="G548" s="748">
        <f t="shared" si="32"/>
        <v>-1.8649430797928912E-2</v>
      </c>
      <c r="H548" s="1067">
        <f t="shared" si="33"/>
        <v>-2.4619783218516766E-2</v>
      </c>
      <c r="I548">
        <f t="shared" si="34"/>
        <v>109.78423626039272</v>
      </c>
    </row>
    <row r="549" spans="1:9" ht="20.100000000000001" customHeight="1">
      <c r="A549" s="563">
        <v>43896</v>
      </c>
      <c r="B549">
        <f t="shared" si="35"/>
        <v>224.35174605727732</v>
      </c>
      <c r="C549">
        <f t="shared" si="35"/>
        <v>122.38822070683518</v>
      </c>
      <c r="D549">
        <v>19.89999961853027</v>
      </c>
      <c r="E549" s="604">
        <v>8575.6201171875</v>
      </c>
      <c r="F549" s="748">
        <f t="shared" si="32"/>
        <v>-0.12422111404306047</v>
      </c>
      <c r="G549" s="748">
        <f t="shared" si="32"/>
        <v>-7.2874023436943935E-2</v>
      </c>
      <c r="H549" s="1067">
        <f t="shared" si="33"/>
        <v>-5.134709060611653E-2</v>
      </c>
      <c r="I549">
        <f t="shared" si="34"/>
        <v>101.96352535044214</v>
      </c>
    </row>
    <row r="550" spans="1:9" ht="20.100000000000001" customHeight="1">
      <c r="A550" s="563">
        <v>43899</v>
      </c>
      <c r="B550">
        <f t="shared" si="35"/>
        <v>196.48252222453652</v>
      </c>
      <c r="C550">
        <f t="shared" si="35"/>
        <v>113.46929864263942</v>
      </c>
      <c r="D550">
        <v>17.427999496459961</v>
      </c>
      <c r="E550" s="604">
        <v>7950.68017578125</v>
      </c>
      <c r="F550" s="748">
        <f t="shared" si="32"/>
        <v>4.1083292630168078E-2</v>
      </c>
      <c r="G550" s="748">
        <f t="shared" si="32"/>
        <v>4.9501403089714513E-2</v>
      </c>
      <c r="H550" s="1067">
        <f t="shared" si="33"/>
        <v>-8.4181104595464351E-3</v>
      </c>
      <c r="I550">
        <f t="shared" si="34"/>
        <v>83.013223581897108</v>
      </c>
    </row>
    <row r="551" spans="1:9" ht="20.100000000000001" customHeight="1">
      <c r="A551" s="563">
        <v>43900</v>
      </c>
      <c r="B551">
        <f t="shared" si="35"/>
        <v>204.55467118180067</v>
      </c>
      <c r="C551">
        <f t="shared" si="35"/>
        <v>119.0861881330559</v>
      </c>
      <c r="D551">
        <v>18.143999099731449</v>
      </c>
      <c r="E551" s="604">
        <v>8344.25</v>
      </c>
      <c r="F551" s="748">
        <f t="shared" si="32"/>
        <v>-3.0533453187382431E-2</v>
      </c>
      <c r="G551" s="748">
        <f t="shared" si="32"/>
        <v>-4.7002450227701664E-2</v>
      </c>
      <c r="H551" s="1067">
        <f t="shared" si="33"/>
        <v>1.6468997040319233E-2</v>
      </c>
      <c r="I551">
        <f t="shared" si="34"/>
        <v>85.468483048744773</v>
      </c>
    </row>
    <row r="552" spans="1:9" ht="20.100000000000001" customHeight="1">
      <c r="A552" s="563">
        <v>43901</v>
      </c>
      <c r="B552">
        <f t="shared" si="35"/>
        <v>198.30891070501076</v>
      </c>
      <c r="C552">
        <f t="shared" si="35"/>
        <v>113.48884550252522</v>
      </c>
      <c r="D552">
        <v>17.590000152587891</v>
      </c>
      <c r="E552" s="604">
        <v>7952.0498046875</v>
      </c>
      <c r="F552" s="748">
        <f t="shared" si="32"/>
        <v>-0.13803299767323007</v>
      </c>
      <c r="G552" s="748">
        <f t="shared" si="32"/>
        <v>-9.4346743094811836E-2</v>
      </c>
      <c r="H552" s="1067">
        <f t="shared" si="33"/>
        <v>-4.3686254578418238E-2</v>
      </c>
      <c r="I552">
        <f t="shared" si="34"/>
        <v>84.820065202485537</v>
      </c>
    </row>
    <row r="553" spans="1:9" ht="20.100000000000001" customHeight="1">
      <c r="A553" s="563">
        <v>43902</v>
      </c>
      <c r="B553">
        <f t="shared" si="35"/>
        <v>170.93573729508523</v>
      </c>
      <c r="C553">
        <f t="shared" si="35"/>
        <v>102.78154255177168</v>
      </c>
      <c r="D553">
        <v>15.16199970245361</v>
      </c>
      <c r="E553" s="604">
        <v>7201.7998046875</v>
      </c>
      <c r="F553" s="748">
        <f t="shared" si="32"/>
        <v>9.0093668532062132E-2</v>
      </c>
      <c r="G553" s="748">
        <f t="shared" si="32"/>
        <v>9.3459981723861052E-2</v>
      </c>
      <c r="H553" s="1067">
        <f t="shared" si="33"/>
        <v>-3.3663131917989197E-3</v>
      </c>
      <c r="I553">
        <f t="shared" si="34"/>
        <v>68.154194743313553</v>
      </c>
    </row>
    <row r="554" spans="1:9" ht="20.100000000000001" customHeight="1">
      <c r="A554" s="563">
        <v>43903</v>
      </c>
      <c r="B554">
        <f t="shared" si="35"/>
        <v>186.33596495123228</v>
      </c>
      <c r="C554">
        <f t="shared" si="35"/>
        <v>112.38750364021051</v>
      </c>
      <c r="D554">
        <v>16.527999877929691</v>
      </c>
      <c r="E554" s="604">
        <v>7874.8798828125</v>
      </c>
      <c r="F554" s="748">
        <f t="shared" si="32"/>
        <v>-8.3978675269738789E-2</v>
      </c>
      <c r="G554" s="748">
        <f t="shared" si="32"/>
        <v>-0.12321331290147408</v>
      </c>
      <c r="H554" s="1067">
        <f t="shared" si="33"/>
        <v>3.9234637631735292E-2</v>
      </c>
      <c r="I554">
        <f t="shared" si="34"/>
        <v>73.948461311021774</v>
      </c>
    </row>
    <row r="555" spans="1:9" ht="20.100000000000001" customHeight="1">
      <c r="A555" s="563">
        <v>43906</v>
      </c>
      <c r="B555">
        <f t="shared" si="35"/>
        <v>170.68771745951932</v>
      </c>
      <c r="C555">
        <f t="shared" si="35"/>
        <v>98.539866987973696</v>
      </c>
      <c r="D555">
        <v>15.14000034332275</v>
      </c>
      <c r="E555" s="604">
        <v>6904.58984375</v>
      </c>
      <c r="F555" s="748">
        <f t="shared" si="32"/>
        <v>3.0647274617442211E-2</v>
      </c>
      <c r="G555" s="748">
        <f t="shared" si="32"/>
        <v>6.2304923412019209E-2</v>
      </c>
      <c r="H555" s="1067">
        <f t="shared" si="33"/>
        <v>-3.1657648794576998E-2</v>
      </c>
      <c r="I555">
        <f t="shared" si="34"/>
        <v>72.147850471545624</v>
      </c>
    </row>
    <row r="556" spans="1:9" ht="20.100000000000001" customHeight="1">
      <c r="A556" s="563">
        <v>43907</v>
      </c>
      <c r="B556">
        <f t="shared" si="35"/>
        <v>175.9188308103256</v>
      </c>
      <c r="C556">
        <f t="shared" si="35"/>
        <v>104.67938585368995</v>
      </c>
      <c r="D556">
        <v>15.604000091552731</v>
      </c>
      <c r="E556" s="604">
        <v>7334.77978515625</v>
      </c>
      <c r="F556" s="748">
        <f t="shared" si="32"/>
        <v>-1.9225851638982494E-2</v>
      </c>
      <c r="G556" s="748">
        <f t="shared" si="32"/>
        <v>-4.7027988775385166E-2</v>
      </c>
      <c r="H556" s="1067">
        <f t="shared" si="33"/>
        <v>2.7802137136402671E-2</v>
      </c>
      <c r="I556">
        <f t="shared" si="34"/>
        <v>71.239444956635651</v>
      </c>
    </row>
    <row r="557" spans="1:9" ht="20.100000000000001" customHeight="1">
      <c r="A557" s="563">
        <v>43908</v>
      </c>
      <c r="B557">
        <f t="shared" si="35"/>
        <v>172.53664146866302</v>
      </c>
      <c r="C557">
        <f t="shared" si="35"/>
        <v>99.756524870748407</v>
      </c>
      <c r="D557">
        <v>15.303999900817869</v>
      </c>
      <c r="E557" s="604">
        <v>6989.83984375</v>
      </c>
      <c r="F557" s="748">
        <f t="shared" si="32"/>
        <v>0.12598016614148322</v>
      </c>
      <c r="G557" s="748">
        <f t="shared" si="32"/>
        <v>2.2996268579562162E-2</v>
      </c>
      <c r="H557" s="1067">
        <f t="shared" si="33"/>
        <v>0.10298389756192106</v>
      </c>
      <c r="I557">
        <f t="shared" si="34"/>
        <v>72.780116597914613</v>
      </c>
    </row>
    <row r="558" spans="1:9" ht="20.100000000000001" customHeight="1">
      <c r="A558" s="563">
        <v>43909</v>
      </c>
      <c r="B558">
        <f t="shared" si="35"/>
        <v>194.2728362263787</v>
      </c>
      <c r="C558">
        <f t="shared" si="35"/>
        <v>102.05055270923991</v>
      </c>
      <c r="D558">
        <v>17.232000350952148</v>
      </c>
      <c r="E558" s="604">
        <v>7150.580078125</v>
      </c>
      <c r="F558" s="748">
        <f t="shared" si="32"/>
        <v>-1.4507891997935451E-2</v>
      </c>
      <c r="G558" s="748">
        <f t="shared" si="32"/>
        <v>-3.7907422283539605E-2</v>
      </c>
      <c r="H558" s="1067">
        <f t="shared" si="33"/>
        <v>2.3399530285604153E-2</v>
      </c>
      <c r="I558">
        <f t="shared" si="34"/>
        <v>92.222283517138791</v>
      </c>
    </row>
    <row r="559" spans="1:9" ht="20.100000000000001" customHeight="1">
      <c r="A559" s="563">
        <v>43910</v>
      </c>
      <c r="B559">
        <f t="shared" si="35"/>
        <v>191.4543469002738</v>
      </c>
      <c r="C559">
        <f t="shared" si="35"/>
        <v>98.182079313422136</v>
      </c>
      <c r="D559">
        <v>16.982000350952148</v>
      </c>
      <c r="E559" s="604">
        <v>6879.52001953125</v>
      </c>
      <c r="F559" s="748">
        <f t="shared" si="32"/>
        <v>1.165940113836661E-2</v>
      </c>
      <c r="G559" s="748">
        <f t="shared" si="32"/>
        <v>-2.7400309327879624E-3</v>
      </c>
      <c r="H559" s="1067">
        <f t="shared" si="33"/>
        <v>1.4399432071154572E-2</v>
      </c>
      <c r="I559">
        <f t="shared" si="34"/>
        <v>93.272267586851669</v>
      </c>
    </row>
    <row r="560" spans="1:9" ht="20.100000000000001" customHeight="1">
      <c r="A560" s="563">
        <v>43913</v>
      </c>
      <c r="B560">
        <f t="shared" si="35"/>
        <v>193.6865899304681</v>
      </c>
      <c r="C560">
        <f t="shared" si="35"/>
        <v>97.913057379057918</v>
      </c>
      <c r="D560">
        <v>17.180000305175781</v>
      </c>
      <c r="E560" s="604">
        <v>6860.669921875</v>
      </c>
      <c r="F560" s="748">
        <f t="shared" si="32"/>
        <v>0.16158317927256083</v>
      </c>
      <c r="G560" s="748">
        <f t="shared" si="32"/>
        <v>8.1215092367243891E-2</v>
      </c>
      <c r="H560" s="1067">
        <f t="shared" si="33"/>
        <v>8.0368086905316938E-2</v>
      </c>
      <c r="I560">
        <f t="shared" si="34"/>
        <v>95.773532551410185</v>
      </c>
    </row>
    <row r="561" spans="1:9" ht="20.100000000000001" customHeight="1">
      <c r="A561" s="563">
        <v>43914</v>
      </c>
      <c r="B561">
        <f t="shared" si="35"/>
        <v>224.98308491389392</v>
      </c>
      <c r="C561">
        <f t="shared" si="35"/>
        <v>105.86507537805736</v>
      </c>
      <c r="D561">
        <v>19.955999374389648</v>
      </c>
      <c r="E561" s="604">
        <v>7417.85986328125</v>
      </c>
      <c r="F561" s="748">
        <f t="shared" si="32"/>
        <v>-2.8462562833978411E-2</v>
      </c>
      <c r="G561" s="748">
        <f t="shared" si="32"/>
        <v>-4.5242238613691921E-3</v>
      </c>
      <c r="H561" s="1067">
        <f t="shared" si="33"/>
        <v>-2.3938338972609219E-2</v>
      </c>
      <c r="I561">
        <f t="shared" si="34"/>
        <v>119.11800953583656</v>
      </c>
    </row>
    <row r="562" spans="1:9" ht="20.100000000000001" customHeight="1">
      <c r="A562" s="563">
        <v>43915</v>
      </c>
      <c r="B562">
        <f t="shared" si="35"/>
        <v>218.57948972294992</v>
      </c>
      <c r="C562">
        <f t="shared" si="35"/>
        <v>105.38611807794631</v>
      </c>
      <c r="D562">
        <v>19.38800048828125</v>
      </c>
      <c r="E562" s="604">
        <v>7384.2998046875</v>
      </c>
      <c r="F562" s="748">
        <f t="shared" si="32"/>
        <v>2.5789147277060165E-2</v>
      </c>
      <c r="G562" s="748">
        <f t="shared" si="32"/>
        <v>5.5962006595761116E-2</v>
      </c>
      <c r="H562" s="1067">
        <f t="shared" si="33"/>
        <v>-3.0172859318700951E-2</v>
      </c>
      <c r="I562">
        <f t="shared" si="34"/>
        <v>113.19337164500361</v>
      </c>
    </row>
    <row r="563" spans="1:9" ht="20.100000000000001" customHeight="1">
      <c r="A563" s="563">
        <v>43916</v>
      </c>
      <c r="B563">
        <f t="shared" si="35"/>
        <v>224.21646837515974</v>
      </c>
      <c r="C563">
        <f t="shared" si="35"/>
        <v>111.283736712926</v>
      </c>
      <c r="D563">
        <v>19.88800048828125</v>
      </c>
      <c r="E563" s="604">
        <v>7797.5400390625</v>
      </c>
      <c r="F563" s="748">
        <f t="shared" si="32"/>
        <v>-2.1721696665592538E-2</v>
      </c>
      <c r="G563" s="748">
        <f t="shared" si="32"/>
        <v>-3.7852983732224232E-2</v>
      </c>
      <c r="H563" s="1067">
        <f t="shared" si="33"/>
        <v>1.6131287066631694E-2</v>
      </c>
      <c r="I563">
        <f t="shared" si="34"/>
        <v>112.93273166223373</v>
      </c>
    </row>
    <row r="564" spans="1:9" ht="20.100000000000001" customHeight="1">
      <c r="A564" s="563">
        <v>43917</v>
      </c>
      <c r="B564">
        <f t="shared" si="35"/>
        <v>219.3461062616841</v>
      </c>
      <c r="C564">
        <f t="shared" si="35"/>
        <v>107.07131523747049</v>
      </c>
      <c r="D564">
        <v>19.455999374389648</v>
      </c>
      <c r="E564" s="604">
        <v>7502.3798828125</v>
      </c>
      <c r="F564" s="748">
        <f t="shared" si="32"/>
        <v>3.7726212133526005E-2</v>
      </c>
      <c r="G564" s="748">
        <f t="shared" si="32"/>
        <v>3.6224507926325922E-2</v>
      </c>
      <c r="H564" s="1067">
        <f t="shared" si="33"/>
        <v>1.501704207200083E-3</v>
      </c>
      <c r="I564">
        <f t="shared" si="34"/>
        <v>112.27479102421361</v>
      </c>
    </row>
    <row r="565" spans="1:9" ht="20.100000000000001" customHeight="1">
      <c r="A565" s="563">
        <v>43920</v>
      </c>
      <c r="B565">
        <f t="shared" si="35"/>
        <v>227.62120399717534</v>
      </c>
      <c r="C565">
        <f t="shared" si="35"/>
        <v>110.94992094497238</v>
      </c>
      <c r="D565">
        <v>20.190000534057621</v>
      </c>
      <c r="E565" s="604">
        <v>7774.14990234375</v>
      </c>
      <c r="F565" s="748">
        <f t="shared" si="32"/>
        <v>2.17923314006363E-3</v>
      </c>
      <c r="G565" s="748">
        <f t="shared" si="32"/>
        <v>-9.5251320874550904E-3</v>
      </c>
      <c r="H565" s="1067">
        <f t="shared" si="33"/>
        <v>1.170436522751872E-2</v>
      </c>
      <c r="I565">
        <f t="shared" si="34"/>
        <v>116.67128305220297</v>
      </c>
    </row>
    <row r="566" spans="1:9" ht="20.100000000000001" customHeight="1">
      <c r="A566" s="563">
        <v>43921</v>
      </c>
      <c r="B566">
        <f t="shared" si="35"/>
        <v>228.11724366830717</v>
      </c>
      <c r="C566">
        <f t="shared" si="35"/>
        <v>109.89310829287882</v>
      </c>
      <c r="D566">
        <v>20.233999252319339</v>
      </c>
      <c r="E566" s="604">
        <v>7700.10009765625</v>
      </c>
      <c r="F566" s="748">
        <f t="shared" si="32"/>
        <v>-6.9190172393820415E-3</v>
      </c>
      <c r="G566" s="748">
        <f t="shared" si="32"/>
        <v>-4.4092935835287728E-2</v>
      </c>
      <c r="H566" s="1067">
        <f t="shared" si="33"/>
        <v>3.7173918595905686E-2</v>
      </c>
      <c r="I566">
        <f t="shared" si="34"/>
        <v>118.22413537542835</v>
      </c>
    </row>
    <row r="567" spans="1:9" ht="20.100000000000001" customHeight="1">
      <c r="A567" s="563">
        <v>43922</v>
      </c>
      <c r="B567">
        <f t="shared" si="35"/>
        <v>226.53889652676583</v>
      </c>
      <c r="C567">
        <f t="shared" si="35"/>
        <v>105.04759852018059</v>
      </c>
      <c r="D567">
        <v>20.093999862670898</v>
      </c>
      <c r="E567" s="604">
        <v>7360.580078125</v>
      </c>
      <c r="F567" s="748">
        <f t="shared" si="32"/>
        <v>4.4789565642968654E-3</v>
      </c>
      <c r="G567" s="748">
        <f t="shared" si="32"/>
        <v>1.7217390358319706E-2</v>
      </c>
      <c r="H567" s="1067">
        <f t="shared" si="33"/>
        <v>-1.2738433794022841E-2</v>
      </c>
      <c r="I567">
        <f t="shared" si="34"/>
        <v>121.49129800658524</v>
      </c>
    </row>
    <row r="568" spans="1:9" ht="20.100000000000001" customHeight="1">
      <c r="A568" s="563">
        <v>43923</v>
      </c>
      <c r="B568">
        <f t="shared" si="35"/>
        <v>227.55355440443296</v>
      </c>
      <c r="C568">
        <f t="shared" si="35"/>
        <v>106.85624403010658</v>
      </c>
      <c r="D568">
        <v>20.184000015258789</v>
      </c>
      <c r="E568" s="604">
        <v>7487.31005859375</v>
      </c>
      <c r="F568" s="748">
        <f t="shared" si="32"/>
        <v>5.1526006477462527E-3</v>
      </c>
      <c r="G568" s="748">
        <f t="shared" si="32"/>
        <v>-1.525647790392215E-2</v>
      </c>
      <c r="H568" s="1067">
        <f t="shared" si="33"/>
        <v>2.0409078551668403E-2</v>
      </c>
      <c r="I568">
        <f t="shared" si="34"/>
        <v>120.69731037432638</v>
      </c>
    </row>
    <row r="569" spans="1:9" ht="20.100000000000001" customHeight="1">
      <c r="A569" s="563">
        <v>43924</v>
      </c>
      <c r="B569">
        <f t="shared" si="35"/>
        <v>228.72604699625421</v>
      </c>
      <c r="C569">
        <f t="shared" si="35"/>
        <v>105.22599410416515</v>
      </c>
      <c r="D569">
        <v>20.28800010681152</v>
      </c>
      <c r="E569" s="604">
        <v>7373.080078125</v>
      </c>
      <c r="F569" s="748">
        <f t="shared" si="32"/>
        <v>6.3485809346929933E-2</v>
      </c>
      <c r="G569" s="748">
        <f t="shared" si="32"/>
        <v>7.3261127035984197E-2</v>
      </c>
      <c r="H569" s="1067">
        <f t="shared" si="33"/>
        <v>-9.7753176890542637E-3</v>
      </c>
      <c r="I569">
        <f t="shared" si="34"/>
        <v>123.50005289208906</v>
      </c>
    </row>
    <row r="570" spans="1:9" ht="20.100000000000001" customHeight="1">
      <c r="A570" s="563">
        <v>43927</v>
      </c>
      <c r="B570">
        <f t="shared" si="35"/>
        <v>243.24690520853534</v>
      </c>
      <c r="C570">
        <f t="shared" si="35"/>
        <v>112.93496902571812</v>
      </c>
      <c r="D570">
        <v>21.57600021362305</v>
      </c>
      <c r="E570" s="604">
        <v>7913.240234375</v>
      </c>
      <c r="F570" s="748">
        <f t="shared" si="32"/>
        <v>-1.10308151369366E-2</v>
      </c>
      <c r="G570" s="748">
        <f t="shared" si="32"/>
        <v>-3.2831644156512407E-3</v>
      </c>
      <c r="H570" s="1067">
        <f t="shared" si="33"/>
        <v>-7.7476507212853596E-3</v>
      </c>
      <c r="I570">
        <f t="shared" si="34"/>
        <v>130.31193618281722</v>
      </c>
    </row>
    <row r="571" spans="1:9" ht="20.100000000000001" customHeight="1">
      <c r="A571" s="563">
        <v>43928</v>
      </c>
      <c r="B571">
        <f t="shared" si="35"/>
        <v>240.56369356454803</v>
      </c>
      <c r="C571">
        <f t="shared" si="35"/>
        <v>112.56418495413021</v>
      </c>
      <c r="D571">
        <v>21.33799934387207</v>
      </c>
      <c r="E571" s="604">
        <v>7887.259765625</v>
      </c>
      <c r="F571" s="748">
        <f t="shared" si="32"/>
        <v>2.3338696876276099E-2</v>
      </c>
      <c r="G571" s="748">
        <f t="shared" si="32"/>
        <v>2.5818870275615025E-2</v>
      </c>
      <c r="H571" s="1067">
        <f t="shared" si="33"/>
        <v>-2.4801733993389252E-3</v>
      </c>
      <c r="I571">
        <f t="shared" si="34"/>
        <v>127.99950861041782</v>
      </c>
    </row>
    <row r="572" spans="1:9" ht="20.100000000000001" customHeight="1">
      <c r="A572" s="563">
        <v>43929</v>
      </c>
      <c r="B572">
        <f t="shared" si="35"/>
        <v>246.17813668808839</v>
      </c>
      <c r="C572">
        <f t="shared" si="35"/>
        <v>115.47046504314123</v>
      </c>
      <c r="D572">
        <v>21.836000442504879</v>
      </c>
      <c r="E572" s="604">
        <v>8090.89990234375</v>
      </c>
      <c r="F572" s="748">
        <f t="shared" si="32"/>
        <v>-6.6404136909474998E-2</v>
      </c>
      <c r="G572" s="748">
        <f t="shared" si="32"/>
        <v>7.7469968159034064E-3</v>
      </c>
      <c r="H572" s="1067">
        <f t="shared" si="33"/>
        <v>-7.4151133725378404E-2</v>
      </c>
      <c r="I572">
        <f t="shared" si="34"/>
        <v>130.70767164494714</v>
      </c>
    </row>
    <row r="573" spans="1:9" ht="20.100000000000001" customHeight="1">
      <c r="A573" s="563">
        <v>43930</v>
      </c>
      <c r="B573">
        <f t="shared" si="35"/>
        <v>229.83088999533311</v>
      </c>
      <c r="C573">
        <f t="shared" si="35"/>
        <v>116.36501436816133</v>
      </c>
      <c r="D573">
        <v>20.38599967956543</v>
      </c>
      <c r="E573" s="604">
        <v>8153.580078125</v>
      </c>
      <c r="F573" s="748">
        <f t="shared" si="32"/>
        <v>2.6586864780431707E-2</v>
      </c>
      <c r="G573" s="748">
        <f t="shared" si="32"/>
        <v>4.7635325069292911E-3</v>
      </c>
      <c r="H573" s="1067">
        <f t="shared" si="33"/>
        <v>2.1823332273502416E-2</v>
      </c>
      <c r="I573">
        <f t="shared" si="34"/>
        <v>113.46587562717178</v>
      </c>
    </row>
    <row r="574" spans="1:9" ht="20.100000000000001" customHeight="1">
      <c r="A574" s="563">
        <v>43934</v>
      </c>
      <c r="B574">
        <f t="shared" si="35"/>
        <v>235.94137279000532</v>
      </c>
      <c r="C574">
        <f t="shared" si="35"/>
        <v>116.91932289677335</v>
      </c>
      <c r="D574">
        <v>20.927999496459961</v>
      </c>
      <c r="E574" s="604">
        <v>8192.419921875</v>
      </c>
      <c r="F574" s="748">
        <f t="shared" si="32"/>
        <v>4.5011533134487136E-2</v>
      </c>
      <c r="G574" s="748">
        <f t="shared" si="32"/>
        <v>3.9465788568367355E-2</v>
      </c>
      <c r="H574" s="1067">
        <f t="shared" si="33"/>
        <v>5.5457445661197813E-3</v>
      </c>
      <c r="I574">
        <f t="shared" si="34"/>
        <v>119.02204989323197</v>
      </c>
    </row>
    <row r="575" spans="1:9" ht="20.100000000000001" customHeight="1">
      <c r="A575" s="563">
        <v>43935</v>
      </c>
      <c r="B575">
        <f t="shared" si="35"/>
        <v>246.56145570913901</v>
      </c>
      <c r="C575">
        <f t="shared" si="35"/>
        <v>121.53363617377408</v>
      </c>
      <c r="D575">
        <v>21.870000839233398</v>
      </c>
      <c r="E575" s="604">
        <v>8515.740234375</v>
      </c>
      <c r="F575" s="748">
        <f t="shared" si="32"/>
        <v>4.5724037624039759E-3</v>
      </c>
      <c r="G575" s="748">
        <f t="shared" si="32"/>
        <v>-1.4392236435332606E-2</v>
      </c>
      <c r="H575" s="1067">
        <f t="shared" si="33"/>
        <v>1.8964640197736582E-2</v>
      </c>
      <c r="I575">
        <f t="shared" si="34"/>
        <v>125.02781953536493</v>
      </c>
    </row>
    <row r="576" spans="1:9" ht="20.100000000000001" customHeight="1">
      <c r="A576" s="563">
        <v>43936</v>
      </c>
      <c r="B576">
        <f t="shared" si="35"/>
        <v>247.68883423688729</v>
      </c>
      <c r="C576">
        <f t="shared" si="35"/>
        <v>119.78449534711544</v>
      </c>
      <c r="D576">
        <v>21.969999313354489</v>
      </c>
      <c r="E576" s="604">
        <v>8393.1796875</v>
      </c>
      <c r="F576" s="748">
        <f t="shared" si="32"/>
        <v>3.6413257262795096E-3</v>
      </c>
      <c r="G576" s="748">
        <f t="shared" si="32"/>
        <v>1.6582590775434225E-2</v>
      </c>
      <c r="H576" s="1067">
        <f t="shared" si="33"/>
        <v>-1.2941265049154715E-2</v>
      </c>
      <c r="I576">
        <f t="shared" si="34"/>
        <v>127.90433888977185</v>
      </c>
    </row>
    <row r="577" spans="1:9" ht="20.100000000000001" customHeight="1">
      <c r="A577" s="563">
        <v>43937</v>
      </c>
      <c r="B577">
        <f t="shared" si="35"/>
        <v>248.59074996110624</v>
      </c>
      <c r="C577">
        <f t="shared" si="35"/>
        <v>121.77083261469856</v>
      </c>
      <c r="D577">
        <v>22.04999923706055</v>
      </c>
      <c r="E577" s="604">
        <v>8532.3603515625</v>
      </c>
      <c r="F577" s="748">
        <f t="shared" si="32"/>
        <v>2.4580491412605765E-2</v>
      </c>
      <c r="G577" s="748">
        <f t="shared" si="32"/>
        <v>1.3803835283800581E-2</v>
      </c>
      <c r="H577" s="1067">
        <f t="shared" si="33"/>
        <v>1.0776656128805184E-2</v>
      </c>
      <c r="I577">
        <f t="shared" si="34"/>
        <v>126.81991734640768</v>
      </c>
    </row>
    <row r="578" spans="1:9" ht="20.100000000000001" customHeight="1">
      <c r="A578" s="563">
        <v>43938</v>
      </c>
      <c r="B578">
        <f t="shared" si="35"/>
        <v>254.70123275577845</v>
      </c>
      <c r="C578">
        <f t="shared" si="35"/>
        <v>123.45173713048311</v>
      </c>
      <c r="D578">
        <v>22.591999053955082</v>
      </c>
      <c r="E578" s="604">
        <v>8650.1396484375</v>
      </c>
      <c r="F578" s="748">
        <f t="shared" si="32"/>
        <v>-5.4001303872768247E-3</v>
      </c>
      <c r="G578" s="748">
        <f t="shared" si="32"/>
        <v>-1.0336154480887538E-2</v>
      </c>
      <c r="H578" s="1067">
        <f t="shared" si="33"/>
        <v>4.9360240936107136E-3</v>
      </c>
      <c r="I578">
        <f t="shared" si="34"/>
        <v>131.24949562529534</v>
      </c>
    </row>
    <row r="579" spans="1:9" ht="20.100000000000001" customHeight="1">
      <c r="A579" s="563">
        <v>43941</v>
      </c>
      <c r="B579">
        <f t="shared" si="35"/>
        <v>253.32581288909711</v>
      </c>
      <c r="C579">
        <f t="shared" si="35"/>
        <v>122.17572090456852</v>
      </c>
      <c r="D579">
        <v>22.469999313354489</v>
      </c>
      <c r="E579" s="604">
        <v>8560.73046875</v>
      </c>
      <c r="F579" s="748">
        <f t="shared" ref="F579:G642" si="36">D580/D579-1</f>
        <v>-9.9421420586853659E-2</v>
      </c>
      <c r="G579" s="748">
        <f t="shared" si="36"/>
        <v>-3.4751707355580308E-2</v>
      </c>
      <c r="H579" s="1067">
        <f t="shared" ref="H579:H642" si="37">F579-G579</f>
        <v>-6.4669713231273351E-2</v>
      </c>
      <c r="I579">
        <f t="shared" ref="I579:I642" si="38">B579-C579</f>
        <v>131.15009198452859</v>
      </c>
    </row>
    <row r="580" spans="1:9" ht="20.100000000000001" customHeight="1">
      <c r="A580" s="563">
        <v>43942</v>
      </c>
      <c r="B580">
        <f t="shared" ref="B580:C643" si="39">B579*(1+F579)</f>
        <v>228.13980070034359</v>
      </c>
      <c r="C580">
        <f t="shared" si="39"/>
        <v>117.9299060057359</v>
      </c>
      <c r="D580">
        <v>20.23600006103516</v>
      </c>
      <c r="E580" s="604">
        <v>8263.23046875</v>
      </c>
      <c r="F580" s="748">
        <f t="shared" si="36"/>
        <v>3.0934940146050138E-2</v>
      </c>
      <c r="G580" s="748">
        <f t="shared" si="36"/>
        <v>2.8094268330097538E-2</v>
      </c>
      <c r="H580" s="1067">
        <f t="shared" si="37"/>
        <v>2.8406718159526001E-3</v>
      </c>
      <c r="I580">
        <f t="shared" si="38"/>
        <v>110.20989469460768</v>
      </c>
    </row>
    <row r="581" spans="1:9" ht="20.100000000000001" customHeight="1">
      <c r="A581" s="563">
        <v>43943</v>
      </c>
      <c r="B581">
        <f t="shared" si="39"/>
        <v>235.19729177994051</v>
      </c>
      <c r="C581">
        <f t="shared" si="39"/>
        <v>121.24306042920422</v>
      </c>
      <c r="D581">
        <v>20.86199951171875</v>
      </c>
      <c r="E581" s="604">
        <v>8495.3798828125</v>
      </c>
      <c r="F581" s="748">
        <f t="shared" si="36"/>
        <v>-3.566290377790704E-2</v>
      </c>
      <c r="G581" s="748">
        <f t="shared" si="36"/>
        <v>-7.4144160848499396E-5</v>
      </c>
      <c r="H581" s="1067">
        <f t="shared" si="37"/>
        <v>-3.5588759617058541E-2</v>
      </c>
      <c r="I581">
        <f t="shared" si="38"/>
        <v>113.95423135073629</v>
      </c>
    </row>
    <row r="582" spans="1:9" ht="20.100000000000001" customHeight="1">
      <c r="A582" s="563">
        <v>43944</v>
      </c>
      <c r="B582">
        <f t="shared" si="39"/>
        <v>226.80947339436815</v>
      </c>
      <c r="C582">
        <f t="shared" si="39"/>
        <v>121.23407096423</v>
      </c>
      <c r="D582">
        <v>20.118000030517582</v>
      </c>
      <c r="E582" s="604">
        <v>8494.75</v>
      </c>
      <c r="F582" s="748">
        <f t="shared" si="36"/>
        <v>2.6642772506343837E-2</v>
      </c>
      <c r="G582" s="748">
        <f t="shared" si="36"/>
        <v>1.6453636805085603E-2</v>
      </c>
      <c r="H582" s="1067">
        <f t="shared" si="37"/>
        <v>1.0189135701258234E-2</v>
      </c>
      <c r="I582">
        <f t="shared" si="38"/>
        <v>105.57540243013815</v>
      </c>
    </row>
    <row r="583" spans="1:9" ht="20.100000000000001" customHeight="1">
      <c r="A583" s="563">
        <v>43945</v>
      </c>
      <c r="B583">
        <f t="shared" si="39"/>
        <v>232.85230659629795</v>
      </c>
      <c r="C583">
        <f t="shared" si="39"/>
        <v>123.22881233627741</v>
      </c>
      <c r="D583">
        <v>20.653999328613281</v>
      </c>
      <c r="E583" s="604">
        <v>8634.51953125</v>
      </c>
      <c r="F583" s="748">
        <f t="shared" si="36"/>
        <v>2.294959553569198E-2</v>
      </c>
      <c r="G583" s="748">
        <f t="shared" si="36"/>
        <v>1.1076542783169163E-2</v>
      </c>
      <c r="H583" s="1067">
        <f t="shared" si="37"/>
        <v>1.1873052752522817E-2</v>
      </c>
      <c r="I583">
        <f t="shared" si="38"/>
        <v>109.62349426002054</v>
      </c>
    </row>
    <row r="584" spans="1:9" ht="20.100000000000001" customHeight="1">
      <c r="A584" s="563">
        <v>43948</v>
      </c>
      <c r="B584">
        <f t="shared" si="39"/>
        <v>238.19617285223592</v>
      </c>
      <c r="C584">
        <f t="shared" si="39"/>
        <v>124.59376154823931</v>
      </c>
      <c r="D584">
        <v>21.128000259399411</v>
      </c>
      <c r="E584" s="604">
        <v>8730.16015625</v>
      </c>
      <c r="F584" s="748">
        <f t="shared" si="36"/>
        <v>-1.8932655734678061E-3</v>
      </c>
      <c r="G584" s="748">
        <f t="shared" si="36"/>
        <v>-1.4023761913732113E-2</v>
      </c>
      <c r="H584" s="1067">
        <f t="shared" si="37"/>
        <v>1.2130496340264307E-2</v>
      </c>
      <c r="I584">
        <f t="shared" si="38"/>
        <v>113.6024113039966</v>
      </c>
    </row>
    <row r="585" spans="1:9" ht="20.100000000000001" customHeight="1">
      <c r="A585" s="563">
        <v>43949</v>
      </c>
      <c r="B585">
        <f t="shared" si="39"/>
        <v>237.74520423844299</v>
      </c>
      <c r="C585">
        <f t="shared" si="39"/>
        <v>122.8464883003505</v>
      </c>
      <c r="D585">
        <v>21.08799934387207</v>
      </c>
      <c r="E585" s="604">
        <v>8607.73046875</v>
      </c>
      <c r="F585" s="748">
        <f t="shared" si="36"/>
        <v>2.9210980098469674E-2</v>
      </c>
      <c r="G585" s="748">
        <f t="shared" si="36"/>
        <v>3.5663232405100942E-2</v>
      </c>
      <c r="H585" s="1067">
        <f t="shared" si="37"/>
        <v>-6.4522523066312676E-3</v>
      </c>
      <c r="I585">
        <f t="shared" si="38"/>
        <v>114.89871593809249</v>
      </c>
    </row>
    <row r="586" spans="1:9" ht="20.100000000000001" customHeight="1">
      <c r="A586" s="563">
        <v>43950</v>
      </c>
      <c r="B586">
        <f t="shared" si="39"/>
        <v>244.68997466795875</v>
      </c>
      <c r="C586">
        <f t="shared" si="39"/>
        <v>127.22759116275641</v>
      </c>
      <c r="D586">
        <v>21.704000473022461</v>
      </c>
      <c r="E586" s="604">
        <v>8914.7099609375</v>
      </c>
      <c r="F586" s="748">
        <f t="shared" si="36"/>
        <v>-7.187621356855689E-3</v>
      </c>
      <c r="G586" s="748">
        <f t="shared" si="36"/>
        <v>-2.8223191063138087E-3</v>
      </c>
      <c r="H586" s="1067">
        <f t="shared" si="37"/>
        <v>-4.3653022505418804E-3</v>
      </c>
      <c r="I586">
        <f t="shared" si="38"/>
        <v>117.46238350520234</v>
      </c>
    </row>
    <row r="587" spans="1:9" ht="20.100000000000001" customHeight="1">
      <c r="A587" s="563">
        <v>43951</v>
      </c>
      <c r="B587">
        <f t="shared" si="39"/>
        <v>242.93123578022684</v>
      </c>
      <c r="C587">
        <f t="shared" si="39"/>
        <v>126.86851430136748</v>
      </c>
      <c r="D587">
        <v>21.548000335693359</v>
      </c>
      <c r="E587" s="604">
        <v>8889.5498046875</v>
      </c>
      <c r="F587" s="748">
        <f t="shared" si="36"/>
        <v>-3.155746679887439E-2</v>
      </c>
      <c r="G587" s="748">
        <f t="shared" si="36"/>
        <v>-3.2015075636893209E-2</v>
      </c>
      <c r="H587" s="1067">
        <f t="shared" si="37"/>
        <v>4.5760883801881924E-4</v>
      </c>
      <c r="I587">
        <f t="shared" si="38"/>
        <v>116.06272147885936</v>
      </c>
    </row>
    <row r="588" spans="1:9" ht="20.100000000000001" customHeight="1">
      <c r="A588" s="563">
        <v>43952</v>
      </c>
      <c r="B588">
        <f t="shared" si="39"/>
        <v>235.26494137268281</v>
      </c>
      <c r="C588">
        <f t="shared" si="39"/>
        <v>122.80680922006894</v>
      </c>
      <c r="D588">
        <v>20.868000030517582</v>
      </c>
      <c r="E588" s="604">
        <v>8604.9501953125</v>
      </c>
      <c r="F588" s="748">
        <f t="shared" si="36"/>
        <v>1.3034280176973612E-2</v>
      </c>
      <c r="G588" s="748">
        <f t="shared" si="36"/>
        <v>1.229057266160738E-2</v>
      </c>
      <c r="H588" s="1067">
        <f t="shared" si="37"/>
        <v>7.4370751536623203E-4</v>
      </c>
      <c r="I588">
        <f t="shared" si="38"/>
        <v>112.45813215261387</v>
      </c>
    </row>
    <row r="589" spans="1:9" ht="20.100000000000001" customHeight="1">
      <c r="A589" s="563">
        <v>43955</v>
      </c>
      <c r="B589">
        <f t="shared" si="39"/>
        <v>238.33145053435362</v>
      </c>
      <c r="C589">
        <f t="shared" si="39"/>
        <v>124.31617523212836</v>
      </c>
      <c r="D589">
        <v>21.139999389648441</v>
      </c>
      <c r="E589" s="604">
        <v>8710.7099609375</v>
      </c>
      <c r="F589" s="748">
        <f t="shared" si="36"/>
        <v>2.7057735101928548E-2</v>
      </c>
      <c r="G589" s="748">
        <f t="shared" si="36"/>
        <v>1.1297604522629401E-2</v>
      </c>
      <c r="H589" s="1067">
        <f t="shared" si="37"/>
        <v>1.5760130579299148E-2</v>
      </c>
      <c r="I589">
        <f t="shared" si="38"/>
        <v>114.01527530222526</v>
      </c>
    </row>
    <row r="590" spans="1:9" ht="20.100000000000001" customHeight="1">
      <c r="A590" s="563">
        <v>43956</v>
      </c>
      <c r="B590">
        <f t="shared" si="39"/>
        <v>244.78015978937054</v>
      </c>
      <c r="C590">
        <f t="shared" si="39"/>
        <v>125.72065021566684</v>
      </c>
      <c r="D590">
        <v>21.71199989318848</v>
      </c>
      <c r="E590" s="604">
        <v>8809.1201171875</v>
      </c>
      <c r="F590" s="748">
        <f t="shared" si="36"/>
        <v>2.6713334863639693E-2</v>
      </c>
      <c r="G590" s="748">
        <f t="shared" si="36"/>
        <v>5.1389390367915233E-3</v>
      </c>
      <c r="H590" s="1067">
        <f t="shared" si="37"/>
        <v>2.1574395826848169E-2</v>
      </c>
      <c r="I590">
        <f t="shared" si="38"/>
        <v>119.05950957370371</v>
      </c>
    </row>
    <row r="591" spans="1:9" ht="20.100000000000001" customHeight="1">
      <c r="A591" s="563">
        <v>43957</v>
      </c>
      <c r="B591">
        <f t="shared" si="39"/>
        <v>251.31905416579923</v>
      </c>
      <c r="C591">
        <f t="shared" si="39"/>
        <v>126.36672097279094</v>
      </c>
      <c r="D591">
        <v>22.291999816894531</v>
      </c>
      <c r="E591" s="604">
        <v>8854.3896484375</v>
      </c>
      <c r="F591" s="748">
        <f t="shared" si="36"/>
        <v>0.21227347881843639</v>
      </c>
      <c r="G591" s="748">
        <f t="shared" si="36"/>
        <v>1.4147842232649754E-2</v>
      </c>
      <c r="H591" s="1067">
        <f t="shared" si="37"/>
        <v>0.19812563658578664</v>
      </c>
      <c r="I591">
        <f t="shared" si="38"/>
        <v>124.95233319300829</v>
      </c>
    </row>
    <row r="592" spans="1:9" ht="20.100000000000001" customHeight="1">
      <c r="A592" s="563">
        <v>43958</v>
      </c>
      <c r="B592">
        <f t="shared" si="39"/>
        <v>304.6674240869325</v>
      </c>
      <c r="C592">
        <f t="shared" si="39"/>
        <v>128.15453740457127</v>
      </c>
      <c r="D592">
        <v>27.02400016784668</v>
      </c>
      <c r="E592" s="604">
        <v>8979.66015625</v>
      </c>
      <c r="F592" s="748">
        <f t="shared" si="36"/>
        <v>1.2729420534869362E-2</v>
      </c>
      <c r="G592" s="748">
        <f t="shared" si="36"/>
        <v>1.5775670101657591E-2</v>
      </c>
      <c r="H592" s="1067">
        <f t="shared" si="37"/>
        <v>-3.0462495667882283E-3</v>
      </c>
      <c r="I592">
        <f t="shared" si="38"/>
        <v>176.51288668236123</v>
      </c>
    </row>
    <row r="593" spans="1:9" ht="20.100000000000001" customHeight="1">
      <c r="A593" s="563">
        <v>43959</v>
      </c>
      <c r="B593">
        <f t="shared" si="39"/>
        <v>308.54566385141044</v>
      </c>
      <c r="C593">
        <f t="shared" si="39"/>
        <v>130.17626110869634</v>
      </c>
      <c r="D593">
        <v>27.368000030517582</v>
      </c>
      <c r="E593" s="604">
        <v>9121.3203125</v>
      </c>
      <c r="F593" s="748">
        <f t="shared" si="36"/>
        <v>2.6454217430217142E-2</v>
      </c>
      <c r="G593" s="748">
        <f t="shared" si="36"/>
        <v>7.7861021011040865E-3</v>
      </c>
      <c r="H593" s="1067">
        <f t="shared" si="37"/>
        <v>1.8668115329113055E-2</v>
      </c>
      <c r="I593">
        <f t="shared" si="38"/>
        <v>178.3694027427141</v>
      </c>
    </row>
    <row r="594" spans="1:9" ht="20.100000000000001" customHeight="1">
      <c r="A594" s="563">
        <v>43962</v>
      </c>
      <c r="B594">
        <f t="shared" si="39"/>
        <v>316.70799793008632</v>
      </c>
      <c r="C594">
        <f t="shared" si="39"/>
        <v>131.18982676882862</v>
      </c>
      <c r="D594">
        <v>28.091999053955082</v>
      </c>
      <c r="E594" s="604">
        <v>9192.33984375</v>
      </c>
      <c r="F594" s="748">
        <f t="shared" si="36"/>
        <v>-1.473727649997314E-2</v>
      </c>
      <c r="G594" s="748">
        <f t="shared" si="36"/>
        <v>-2.0646542913830723E-2</v>
      </c>
      <c r="H594" s="1067">
        <f t="shared" si="37"/>
        <v>5.9092664138575834E-3</v>
      </c>
      <c r="I594">
        <f t="shared" si="38"/>
        <v>185.5181711612577</v>
      </c>
    </row>
    <row r="595" spans="1:9" ht="20.100000000000001" customHeight="1">
      <c r="A595" s="563">
        <v>43963</v>
      </c>
      <c r="B595">
        <f t="shared" si="39"/>
        <v>312.0405845948377</v>
      </c>
      <c r="C595">
        <f t="shared" si="39"/>
        <v>128.48121038058798</v>
      </c>
      <c r="D595">
        <v>27.677999496459961</v>
      </c>
      <c r="E595" s="604">
        <v>9002.5498046875</v>
      </c>
      <c r="F595" s="748">
        <f t="shared" si="36"/>
        <v>-8.8879360644708028E-3</v>
      </c>
      <c r="G595" s="748">
        <f t="shared" si="36"/>
        <v>-1.5482267339407163E-2</v>
      </c>
      <c r="H595" s="1067">
        <f t="shared" si="37"/>
        <v>6.5943312749363603E-3</v>
      </c>
      <c r="I595">
        <f t="shared" si="38"/>
        <v>183.55937421424971</v>
      </c>
    </row>
    <row r="596" spans="1:9" ht="20.100000000000001" customHeight="1">
      <c r="A596" s="563">
        <v>43964</v>
      </c>
      <c r="B596">
        <f t="shared" si="39"/>
        <v>309.26718782943868</v>
      </c>
      <c r="C596">
        <f t="shared" si="39"/>
        <v>126.4920299333851</v>
      </c>
      <c r="D596">
        <v>27.431999206542969</v>
      </c>
      <c r="E596" s="604">
        <v>8863.169921875</v>
      </c>
      <c r="F596" s="748">
        <f t="shared" si="36"/>
        <v>6.5616911046295634E-3</v>
      </c>
      <c r="G596" s="748">
        <f t="shared" si="36"/>
        <v>9.088148528969997E-3</v>
      </c>
      <c r="H596" s="1067">
        <f t="shared" si="37"/>
        <v>-2.5264574243404336E-3</v>
      </c>
      <c r="I596">
        <f t="shared" si="38"/>
        <v>182.7751578960536</v>
      </c>
    </row>
    <row r="597" spans="1:9" ht="20.100000000000001" customHeight="1">
      <c r="A597" s="563">
        <v>43965</v>
      </c>
      <c r="B597">
        <f t="shared" si="39"/>
        <v>311.29650358477289</v>
      </c>
      <c r="C597">
        <f t="shared" si="39"/>
        <v>127.64160828915062</v>
      </c>
      <c r="D597">
        <v>27.61199951171875</v>
      </c>
      <c r="E597" s="604">
        <v>8943.7197265625</v>
      </c>
      <c r="F597" s="748">
        <f t="shared" si="36"/>
        <v>3.889618032913722E-2</v>
      </c>
      <c r="G597" s="748">
        <f t="shared" si="36"/>
        <v>7.9206242945659699E-3</v>
      </c>
      <c r="H597" s="1067">
        <f t="shared" si="37"/>
        <v>3.097555603457125E-2</v>
      </c>
      <c r="I597">
        <f t="shared" si="38"/>
        <v>183.65489529562228</v>
      </c>
    </row>
    <row r="598" spans="1:9" ht="20.100000000000001" customHeight="1">
      <c r="A598" s="563">
        <v>43966</v>
      </c>
      <c r="B598">
        <f t="shared" si="39"/>
        <v>323.40474852403611</v>
      </c>
      <c r="C598">
        <f t="shared" si="39"/>
        <v>128.65260951276315</v>
      </c>
      <c r="D598">
        <v>28.686000823974609</v>
      </c>
      <c r="E598" s="604">
        <v>9014.5595703125</v>
      </c>
      <c r="F598" s="748">
        <f t="shared" si="36"/>
        <v>8.6453037774756325E-3</v>
      </c>
      <c r="G598" s="748">
        <f t="shared" si="36"/>
        <v>2.4434971680470374E-2</v>
      </c>
      <c r="H598" s="1067">
        <f t="shared" si="37"/>
        <v>-1.5789667902994742E-2</v>
      </c>
      <c r="I598">
        <f t="shared" si="38"/>
        <v>194.75213901127296</v>
      </c>
    </row>
    <row r="599" spans="1:9" ht="20.100000000000001" customHeight="1">
      <c r="A599" s="563">
        <v>43969</v>
      </c>
      <c r="B599">
        <f t="shared" si="39"/>
        <v>326.2006808181045</v>
      </c>
      <c r="C599">
        <f t="shared" si="39"/>
        <v>131.79623238282613</v>
      </c>
      <c r="D599">
        <v>28.934000015258789</v>
      </c>
      <c r="E599" s="604">
        <v>9234.830078125</v>
      </c>
      <c r="F599" s="748">
        <f t="shared" si="36"/>
        <v>1.0368661999615725E-3</v>
      </c>
      <c r="G599" s="748">
        <f t="shared" si="36"/>
        <v>-5.3850984077984387E-3</v>
      </c>
      <c r="H599" s="1067">
        <f t="shared" si="37"/>
        <v>6.4219646077600112E-3</v>
      </c>
      <c r="I599">
        <f t="shared" si="38"/>
        <v>194.40444843527837</v>
      </c>
    </row>
    <row r="600" spans="1:9" ht="20.100000000000001" customHeight="1">
      <c r="A600" s="563">
        <v>43970</v>
      </c>
      <c r="B600">
        <f t="shared" si="39"/>
        <v>326.53890727844924</v>
      </c>
      <c r="C600">
        <f t="shared" si="39"/>
        <v>131.08649670166756</v>
      </c>
      <c r="D600">
        <v>28.9640007019043</v>
      </c>
      <c r="E600" s="604">
        <v>9185.099609375</v>
      </c>
      <c r="F600" s="748">
        <f t="shared" si="36"/>
        <v>5.5240934793097107E-3</v>
      </c>
      <c r="G600" s="748">
        <f t="shared" si="36"/>
        <v>2.0759781839260194E-2</v>
      </c>
      <c r="H600" s="1067">
        <f t="shared" si="37"/>
        <v>-1.5235688359950483E-2</v>
      </c>
      <c r="I600">
        <f t="shared" si="38"/>
        <v>195.45241057678169</v>
      </c>
    </row>
    <row r="601" spans="1:9" ht="20.100000000000001" customHeight="1">
      <c r="A601" s="563">
        <v>43971</v>
      </c>
      <c r="B601">
        <f t="shared" si="39"/>
        <v>328.34273872688703</v>
      </c>
      <c r="C601">
        <f t="shared" si="39"/>
        <v>133.80782377526708</v>
      </c>
      <c r="D601">
        <v>29.12400054931641</v>
      </c>
      <c r="E601" s="604">
        <v>9375.7802734375</v>
      </c>
      <c r="F601" s="748">
        <f t="shared" si="36"/>
        <v>-1.5382500541607613E-2</v>
      </c>
      <c r="G601" s="748">
        <f t="shared" si="36"/>
        <v>-9.6952347403586048E-3</v>
      </c>
      <c r="H601" s="1067">
        <f t="shared" si="37"/>
        <v>-5.6872658012490085E-3</v>
      </c>
      <c r="I601">
        <f t="shared" si="38"/>
        <v>194.53491495161995</v>
      </c>
    </row>
    <row r="602" spans="1:9" ht="20.100000000000001" customHeight="1">
      <c r="A602" s="563">
        <v>43972</v>
      </c>
      <c r="B602">
        <f t="shared" si="39"/>
        <v>323.29200637058779</v>
      </c>
      <c r="C602">
        <f t="shared" si="39"/>
        <v>132.51052551366934</v>
      </c>
      <c r="D602">
        <v>28.67600059509277</v>
      </c>
      <c r="E602" s="604">
        <v>9284.8798828125</v>
      </c>
      <c r="F602" s="748">
        <f t="shared" si="36"/>
        <v>-5.1611352382383568E-3</v>
      </c>
      <c r="G602" s="748">
        <f t="shared" si="36"/>
        <v>4.2768416434775247E-3</v>
      </c>
      <c r="H602" s="1067">
        <f t="shared" si="37"/>
        <v>-9.4379768817158816E-3</v>
      </c>
      <c r="I602">
        <f t="shared" si="38"/>
        <v>190.78148085691845</v>
      </c>
    </row>
    <row r="603" spans="1:9" ht="20.100000000000001" customHeight="1">
      <c r="A603" s="563">
        <v>43973</v>
      </c>
      <c r="B603">
        <f t="shared" si="39"/>
        <v>321.62345260426775</v>
      </c>
      <c r="C603">
        <f t="shared" si="39"/>
        <v>133.07725204738529</v>
      </c>
      <c r="D603">
        <v>28.527999877929691</v>
      </c>
      <c r="E603" s="604">
        <v>9324.58984375</v>
      </c>
      <c r="F603" s="748">
        <f t="shared" si="36"/>
        <v>-3.5824430857542056E-2</v>
      </c>
      <c r="G603" s="748">
        <f t="shared" si="36"/>
        <v>1.6762005701491667E-3</v>
      </c>
      <c r="H603" s="1067">
        <f t="shared" si="37"/>
        <v>-3.7500631427691222E-2</v>
      </c>
      <c r="I603">
        <f t="shared" si="38"/>
        <v>188.54620055688247</v>
      </c>
    </row>
    <row r="604" spans="1:9" ht="20.100000000000001" customHeight="1">
      <c r="A604" s="563">
        <v>43977</v>
      </c>
      <c r="B604">
        <f t="shared" si="39"/>
        <v>310.1014754642822</v>
      </c>
      <c r="C604">
        <f t="shared" si="39"/>
        <v>133.300316213141</v>
      </c>
      <c r="D604">
        <v>27.506000518798832</v>
      </c>
      <c r="E604" s="604">
        <v>9340.2197265625</v>
      </c>
      <c r="F604" s="748">
        <f t="shared" si="36"/>
        <v>-4.6389913200591382E-2</v>
      </c>
      <c r="G604" s="748">
        <f t="shared" si="36"/>
        <v>7.7236539516132297E-3</v>
      </c>
      <c r="H604" s="1067">
        <f t="shared" si="37"/>
        <v>-5.4113567152204611E-2</v>
      </c>
      <c r="I604">
        <f t="shared" si="38"/>
        <v>176.8011592511412</v>
      </c>
    </row>
    <row r="605" spans="1:9" ht="20.100000000000001" customHeight="1">
      <c r="A605" s="563">
        <v>43978</v>
      </c>
      <c r="B605">
        <f t="shared" si="39"/>
        <v>295.71589493411881</v>
      </c>
      <c r="C605">
        <f t="shared" si="39"/>
        <v>134.32988172721193</v>
      </c>
      <c r="D605">
        <v>26.229999542236332</v>
      </c>
      <c r="E605" s="604">
        <v>9412.3603515625</v>
      </c>
      <c r="F605" s="748">
        <f t="shared" si="36"/>
        <v>2.6839515261479763E-2</v>
      </c>
      <c r="G605" s="748">
        <f t="shared" si="36"/>
        <v>-4.6077833367589305E-3</v>
      </c>
      <c r="H605" s="1067">
        <f t="shared" si="37"/>
        <v>3.1447298598238693E-2</v>
      </c>
      <c r="I605">
        <f t="shared" si="38"/>
        <v>161.38601320690688</v>
      </c>
    </row>
    <row r="606" spans="1:9" ht="20.100000000000001" customHeight="1">
      <c r="A606" s="563">
        <v>43979</v>
      </c>
      <c r="B606">
        <f t="shared" si="39"/>
        <v>303.65276620926522</v>
      </c>
      <c r="C606">
        <f t="shared" si="39"/>
        <v>133.71091873656047</v>
      </c>
      <c r="D606">
        <v>26.934000015258789</v>
      </c>
      <c r="E606" s="604">
        <v>9368.990234375</v>
      </c>
      <c r="F606" s="748">
        <f t="shared" si="36"/>
        <v>3.3637786322708418E-2</v>
      </c>
      <c r="G606" s="748">
        <f t="shared" si="36"/>
        <v>1.2902124966358564E-2</v>
      </c>
      <c r="H606" s="1067">
        <f t="shared" si="37"/>
        <v>2.0735661356349855E-2</v>
      </c>
      <c r="I606">
        <f t="shared" si="38"/>
        <v>169.94184747270475</v>
      </c>
    </row>
    <row r="607" spans="1:9" ht="20.100000000000001" customHeight="1">
      <c r="A607" s="563">
        <v>43980</v>
      </c>
      <c r="B607">
        <f t="shared" si="39"/>
        <v>313.86697307531182</v>
      </c>
      <c r="C607">
        <f t="shared" si="39"/>
        <v>135.43607371946618</v>
      </c>
      <c r="D607">
        <v>27.840000152587891</v>
      </c>
      <c r="E607" s="604">
        <v>9489.8701171875</v>
      </c>
      <c r="F607" s="748">
        <f t="shared" si="36"/>
        <v>3.9870711360192823E-2</v>
      </c>
      <c r="G607" s="748">
        <f t="shared" si="36"/>
        <v>6.552216914684994E-3</v>
      </c>
      <c r="H607" s="1067">
        <f t="shared" si="37"/>
        <v>3.3318494445507829E-2</v>
      </c>
      <c r="I607">
        <f t="shared" si="38"/>
        <v>178.43089935584564</v>
      </c>
    </row>
    <row r="608" spans="1:9" ht="20.100000000000001" customHeight="1">
      <c r="A608" s="563">
        <v>43983</v>
      </c>
      <c r="B608">
        <f t="shared" si="39"/>
        <v>326.38107256429498</v>
      </c>
      <c r="C608">
        <f t="shared" si="39"/>
        <v>136.32348025254939</v>
      </c>
      <c r="D608">
        <v>28.95000076293945</v>
      </c>
      <c r="E608" s="604">
        <v>9552.0498046875</v>
      </c>
      <c r="F608" s="748">
        <f t="shared" si="36"/>
        <v>-5.5958774389849308E-3</v>
      </c>
      <c r="G608" s="748">
        <f t="shared" si="36"/>
        <v>5.897171735574247E-3</v>
      </c>
      <c r="H608" s="1067">
        <f t="shared" si="37"/>
        <v>-1.1493049174559178E-2</v>
      </c>
      <c r="I608">
        <f t="shared" si="38"/>
        <v>190.05759231174559</v>
      </c>
    </row>
    <row r="609" spans="1:9" ht="20.100000000000001" customHeight="1">
      <c r="A609" s="563">
        <v>43984</v>
      </c>
      <c r="B609">
        <f t="shared" si="39"/>
        <v>324.55468408382075</v>
      </c>
      <c r="C609">
        <f t="shared" si="39"/>
        <v>137.12740322718983</v>
      </c>
      <c r="D609">
        <v>28.78800010681152</v>
      </c>
      <c r="E609" s="604">
        <v>9608.3798828125</v>
      </c>
      <c r="F609" s="748">
        <f t="shared" si="36"/>
        <v>-7.2947405530821019E-3</v>
      </c>
      <c r="G609" s="748">
        <f t="shared" si="36"/>
        <v>7.7567992051208456E-3</v>
      </c>
      <c r="H609" s="1067">
        <f t="shared" si="37"/>
        <v>-1.5051539758202948E-2</v>
      </c>
      <c r="I609">
        <f t="shared" si="38"/>
        <v>187.42728085663092</v>
      </c>
    </row>
    <row r="610" spans="1:9" ht="20.100000000000001" customHeight="1">
      <c r="A610" s="563">
        <v>43985</v>
      </c>
      <c r="B610">
        <f t="shared" si="39"/>
        <v>322.18714186814174</v>
      </c>
      <c r="C610">
        <f t="shared" si="39"/>
        <v>138.19107295954279</v>
      </c>
      <c r="D610">
        <v>28.577999114990231</v>
      </c>
      <c r="E610" s="604">
        <v>9682.91015625</v>
      </c>
      <c r="F610" s="748">
        <f t="shared" si="36"/>
        <v>-2.316462906012362E-2</v>
      </c>
      <c r="G610" s="748">
        <f t="shared" si="36"/>
        <v>-6.9297953667564194E-3</v>
      </c>
      <c r="H610" s="1067">
        <f t="shared" si="37"/>
        <v>-1.6234833693367201E-2</v>
      </c>
      <c r="I610">
        <f t="shared" si="38"/>
        <v>183.99606890859894</v>
      </c>
    </row>
    <row r="611" spans="1:9" ht="20.100000000000001" customHeight="1">
      <c r="A611" s="563">
        <v>43986</v>
      </c>
      <c r="B611">
        <f t="shared" si="39"/>
        <v>314.72379623882483</v>
      </c>
      <c r="C611">
        <f t="shared" si="39"/>
        <v>137.23343710242065</v>
      </c>
      <c r="D611">
        <v>27.916000366210941</v>
      </c>
      <c r="E611" s="604">
        <v>9615.8095703125</v>
      </c>
      <c r="F611" s="748">
        <f t="shared" si="36"/>
        <v>6.4479260214385103E-3</v>
      </c>
      <c r="G611" s="748">
        <f t="shared" si="36"/>
        <v>2.0619221539560639E-2</v>
      </c>
      <c r="H611" s="1067">
        <f t="shared" si="37"/>
        <v>-1.4171295518122129E-2</v>
      </c>
      <c r="I611">
        <f t="shared" si="38"/>
        <v>177.49035913640418</v>
      </c>
    </row>
    <row r="612" spans="1:9" ht="20.100000000000001" customHeight="1">
      <c r="A612" s="563">
        <v>43987</v>
      </c>
      <c r="B612">
        <f t="shared" si="39"/>
        <v>316.75311199415904</v>
      </c>
      <c r="C612">
        <f t="shared" si="39"/>
        <v>140.06308374467082</v>
      </c>
      <c r="D612">
        <v>28.096000671386719</v>
      </c>
      <c r="E612" s="604">
        <v>9814.080078125</v>
      </c>
      <c r="F612" s="748">
        <f t="shared" si="36"/>
        <v>-2.1141794151358861E-2</v>
      </c>
      <c r="G612" s="748">
        <f t="shared" si="36"/>
        <v>1.1276647530284345E-2</v>
      </c>
      <c r="H612" s="1067">
        <f t="shared" si="37"/>
        <v>-3.2418441681643206E-2</v>
      </c>
      <c r="I612">
        <f t="shared" si="38"/>
        <v>176.69002824948822</v>
      </c>
    </row>
    <row r="613" spans="1:9" ht="20.100000000000001" customHeight="1">
      <c r="A613" s="563">
        <v>43990</v>
      </c>
      <c r="B613">
        <f t="shared" si="39"/>
        <v>310.05638290357621</v>
      </c>
      <c r="C613">
        <f t="shared" si="39"/>
        <v>141.64252577206418</v>
      </c>
      <c r="D613">
        <v>27.50200080871582</v>
      </c>
      <c r="E613" s="604">
        <v>9924.75</v>
      </c>
      <c r="F613" s="748">
        <f t="shared" si="36"/>
        <v>-1.1562823943931044E-2</v>
      </c>
      <c r="G613" s="748">
        <f t="shared" si="36"/>
        <v>2.9219879593944675E-3</v>
      </c>
      <c r="H613" s="1067">
        <f t="shared" si="37"/>
        <v>-1.4484811903325512E-2</v>
      </c>
      <c r="I613">
        <f t="shared" si="38"/>
        <v>168.41385713151203</v>
      </c>
    </row>
    <row r="614" spans="1:9" ht="20.100000000000001" customHeight="1">
      <c r="A614" s="563">
        <v>43991</v>
      </c>
      <c r="B614">
        <f t="shared" si="39"/>
        <v>306.47125553537006</v>
      </c>
      <c r="C614">
        <f t="shared" si="39"/>
        <v>142.05640352690835</v>
      </c>
      <c r="D614">
        <v>27.184000015258789</v>
      </c>
      <c r="E614" s="604">
        <v>9953.75</v>
      </c>
      <c r="F614" s="748">
        <f t="shared" si="36"/>
        <v>1.2654497589678071E-2</v>
      </c>
      <c r="G614" s="748">
        <f t="shared" si="36"/>
        <v>6.6909063795053125E-3</v>
      </c>
      <c r="H614" s="1067">
        <f t="shared" si="37"/>
        <v>5.9635912101727584E-3</v>
      </c>
      <c r="I614">
        <f t="shared" si="38"/>
        <v>164.41485200846171</v>
      </c>
    </row>
    <row r="615" spans="1:9" ht="20.100000000000001" customHeight="1">
      <c r="A615" s="563">
        <v>43992</v>
      </c>
      <c r="B615">
        <f t="shared" si="39"/>
        <v>310.349495299848</v>
      </c>
      <c r="C615">
        <f t="shared" si="39"/>
        <v>143.00688962351612</v>
      </c>
      <c r="D615">
        <v>27.527999877929691</v>
      </c>
      <c r="E615" s="604">
        <v>10020.349609375</v>
      </c>
      <c r="F615" s="748">
        <f t="shared" si="36"/>
        <v>-4.2938070756481928E-2</v>
      </c>
      <c r="G615" s="748">
        <f t="shared" si="36"/>
        <v>-5.2654763675247573E-2</v>
      </c>
      <c r="H615" s="1067">
        <f t="shared" si="37"/>
        <v>9.7166929187656459E-3</v>
      </c>
      <c r="I615">
        <f t="shared" si="38"/>
        <v>167.34260567633189</v>
      </c>
    </row>
    <row r="616" spans="1:9" ht="20.100000000000001" customHeight="1">
      <c r="A616" s="563">
        <v>43993</v>
      </c>
      <c r="B616">
        <f t="shared" si="39"/>
        <v>297.02368671142466</v>
      </c>
      <c r="C616">
        <f t="shared" si="39"/>
        <v>135.47689564645765</v>
      </c>
      <c r="D616">
        <v>26.346000671386719</v>
      </c>
      <c r="E616" s="604">
        <v>9492.73046875</v>
      </c>
      <c r="F616" s="748">
        <f t="shared" si="36"/>
        <v>-1.0551881532122276E-2</v>
      </c>
      <c r="G616" s="748">
        <f t="shared" si="36"/>
        <v>1.0121334623245826E-2</v>
      </c>
      <c r="H616" s="1067">
        <f t="shared" si="37"/>
        <v>-2.0673216155368102E-2</v>
      </c>
      <c r="I616">
        <f t="shared" si="38"/>
        <v>161.54679106496701</v>
      </c>
    </row>
    <row r="617" spans="1:9" ht="20.100000000000001" customHeight="1">
      <c r="A617" s="563">
        <v>43994</v>
      </c>
      <c r="B617">
        <f t="shared" si="39"/>
        <v>293.88952795701152</v>
      </c>
      <c r="C617">
        <f t="shared" si="39"/>
        <v>136.84810264101401</v>
      </c>
      <c r="D617">
        <v>26.068000793457031</v>
      </c>
      <c r="E617" s="604">
        <v>9588.8095703125</v>
      </c>
      <c r="F617" s="748">
        <f t="shared" si="36"/>
        <v>4.273432481118955E-2</v>
      </c>
      <c r="G617" s="748">
        <f t="shared" si="36"/>
        <v>1.4309384280850601E-2</v>
      </c>
      <c r="H617" s="1067">
        <f t="shared" si="37"/>
        <v>2.8424940530338949E-2</v>
      </c>
      <c r="I617">
        <f t="shared" si="38"/>
        <v>157.04142531599751</v>
      </c>
    </row>
    <row r="618" spans="1:9" ht="20.100000000000001" customHeight="1">
      <c r="A618" s="563">
        <v>43997</v>
      </c>
      <c r="B618">
        <f t="shared" si="39"/>
        <v>306.44869850333362</v>
      </c>
      <c r="C618">
        <f t="shared" si="39"/>
        <v>138.80631472980957</v>
      </c>
      <c r="D618">
        <v>27.181999206542969</v>
      </c>
      <c r="E618" s="604">
        <v>9726.01953125</v>
      </c>
      <c r="F618" s="748">
        <f t="shared" si="36"/>
        <v>6.0334585251651252E-3</v>
      </c>
      <c r="G618" s="748">
        <f t="shared" si="36"/>
        <v>1.7463525072283215E-2</v>
      </c>
      <c r="H618" s="1067">
        <f t="shared" si="37"/>
        <v>-1.143006654711809E-2</v>
      </c>
      <c r="I618">
        <f t="shared" si="38"/>
        <v>167.64238377352405</v>
      </c>
    </row>
    <row r="619" spans="1:9" ht="20.100000000000001" customHeight="1">
      <c r="A619" s="563">
        <v>43998</v>
      </c>
      <c r="B619">
        <f t="shared" si="39"/>
        <v>308.2976440158443</v>
      </c>
      <c r="C619">
        <f t="shared" si="39"/>
        <v>141.23036228728483</v>
      </c>
      <c r="D619">
        <v>27.346000671386719</v>
      </c>
      <c r="E619" s="604">
        <v>9895.8701171875</v>
      </c>
      <c r="F619" s="748">
        <f t="shared" si="36"/>
        <v>-9.1421046537742967E-3</v>
      </c>
      <c r="G619" s="748">
        <f t="shared" si="36"/>
        <v>1.4814418617457026E-3</v>
      </c>
      <c r="H619" s="1067">
        <f t="shared" si="37"/>
        <v>-1.0623546515519999E-2</v>
      </c>
      <c r="I619">
        <f t="shared" si="38"/>
        <v>167.06728172855946</v>
      </c>
    </row>
    <row r="620" spans="1:9" ht="20.100000000000001" customHeight="1">
      <c r="A620" s="563">
        <v>43999</v>
      </c>
      <c r="B620">
        <f t="shared" si="39"/>
        <v>305.4791546897394</v>
      </c>
      <c r="C620">
        <f t="shared" si="39"/>
        <v>141.43958685812672</v>
      </c>
      <c r="D620">
        <v>27.096000671386719</v>
      </c>
      <c r="E620" s="604">
        <v>9910.5302734375</v>
      </c>
      <c r="F620" s="748">
        <f t="shared" si="36"/>
        <v>1.1809708894228166E-3</v>
      </c>
      <c r="G620" s="748">
        <f t="shared" si="36"/>
        <v>3.2813109241147664E-3</v>
      </c>
      <c r="H620" s="1067">
        <f t="shared" si="37"/>
        <v>-2.1003400346919499E-3</v>
      </c>
      <c r="I620">
        <f t="shared" si="38"/>
        <v>164.03956783161269</v>
      </c>
    </row>
    <row r="621" spans="1:9" ht="20.100000000000001" customHeight="1">
      <c r="A621" s="563">
        <v>44000</v>
      </c>
      <c r="B621">
        <f t="shared" si="39"/>
        <v>305.83991667875347</v>
      </c>
      <c r="C621">
        <f t="shared" si="39"/>
        <v>141.90369411958656</v>
      </c>
      <c r="D621">
        <v>27.128000259399411</v>
      </c>
      <c r="E621" s="604">
        <v>9943.0498046875</v>
      </c>
      <c r="F621" s="748">
        <f t="shared" si="36"/>
        <v>7.888483946822511E-3</v>
      </c>
      <c r="G621" s="748">
        <f t="shared" si="36"/>
        <v>3.0878981402193695E-4</v>
      </c>
      <c r="H621" s="1067">
        <f t="shared" si="37"/>
        <v>7.579694132800574E-3</v>
      </c>
      <c r="I621">
        <f t="shared" si="38"/>
        <v>163.93622255916691</v>
      </c>
    </row>
    <row r="622" spans="1:9" ht="20.100000000000001" customHeight="1">
      <c r="A622" s="563">
        <v>44001</v>
      </c>
      <c r="B622">
        <f t="shared" si="39"/>
        <v>308.25252995177135</v>
      </c>
      <c r="C622">
        <f t="shared" si="39"/>
        <v>141.94751253490278</v>
      </c>
      <c r="D622">
        <v>27.341999053955082</v>
      </c>
      <c r="E622" s="604">
        <v>9946.1201171875</v>
      </c>
      <c r="F622" s="748">
        <f t="shared" si="36"/>
        <v>4.5058898163261363E-2</v>
      </c>
      <c r="G622" s="748">
        <f t="shared" si="36"/>
        <v>1.1095819300612542E-2</v>
      </c>
      <c r="H622" s="1067">
        <f t="shared" si="37"/>
        <v>3.3963078862648821E-2</v>
      </c>
      <c r="I622">
        <f t="shared" si="38"/>
        <v>166.30501741686857</v>
      </c>
    </row>
    <row r="623" spans="1:9" ht="20.100000000000001" customHeight="1">
      <c r="A623" s="563">
        <v>44004</v>
      </c>
      <c r="B623">
        <f t="shared" si="39"/>
        <v>322.14204930743591</v>
      </c>
      <c r="C623">
        <f t="shared" si="39"/>
        <v>143.52253648416149</v>
      </c>
      <c r="D623">
        <v>28.57399940490723</v>
      </c>
      <c r="E623" s="604">
        <v>10056.48046875</v>
      </c>
      <c r="F623" s="748">
        <f t="shared" si="36"/>
        <v>-4.0596341834209348E-2</v>
      </c>
      <c r="G623" s="748">
        <f t="shared" si="36"/>
        <v>7.4469043787452893E-3</v>
      </c>
      <c r="H623" s="1067">
        <f t="shared" si="37"/>
        <v>-4.8043246212954638E-2</v>
      </c>
      <c r="I623">
        <f t="shared" si="38"/>
        <v>178.61951282327442</v>
      </c>
    </row>
    <row r="624" spans="1:9" ht="20.100000000000001" customHeight="1">
      <c r="A624" s="563">
        <v>44005</v>
      </c>
      <c r="B624">
        <f t="shared" si="39"/>
        <v>309.06426055457854</v>
      </c>
      <c r="C624">
        <f t="shared" si="39"/>
        <v>144.59133508955404</v>
      </c>
      <c r="D624">
        <v>27.413999557495121</v>
      </c>
      <c r="E624" s="604">
        <v>10131.3701171875</v>
      </c>
      <c r="F624" s="748">
        <f t="shared" si="36"/>
        <v>-1.9989798808599413E-2</v>
      </c>
      <c r="G624" s="748">
        <f t="shared" si="36"/>
        <v>-2.1931899905181185E-2</v>
      </c>
      <c r="H624" s="1067">
        <f t="shared" si="37"/>
        <v>1.942101096581772E-3</v>
      </c>
      <c r="I624">
        <f t="shared" si="38"/>
        <v>164.4729254650245</v>
      </c>
    </row>
    <row r="625" spans="1:9" ht="20.100000000000001" customHeight="1">
      <c r="A625" s="563">
        <v>44006</v>
      </c>
      <c r="B625">
        <f t="shared" si="39"/>
        <v>302.88612816716397</v>
      </c>
      <c r="C625">
        <f t="shared" si="39"/>
        <v>141.42017240121342</v>
      </c>
      <c r="D625">
        <v>26.865999221801761</v>
      </c>
      <c r="E625" s="604">
        <v>9909.169921875</v>
      </c>
      <c r="F625" s="748">
        <f t="shared" si="36"/>
        <v>1.1166573107235456E-2</v>
      </c>
      <c r="G625" s="748">
        <f t="shared" si="36"/>
        <v>1.0881847720358495E-2</v>
      </c>
      <c r="H625" s="1067">
        <f t="shared" si="37"/>
        <v>2.8472538687696058E-4</v>
      </c>
      <c r="I625">
        <f t="shared" si="38"/>
        <v>161.46595576595055</v>
      </c>
    </row>
    <row r="626" spans="1:9" ht="20.100000000000001" customHeight="1">
      <c r="A626" s="563">
        <v>44007</v>
      </c>
      <c r="B626">
        <f t="shared" si="39"/>
        <v>306.26832826051009</v>
      </c>
      <c r="C626">
        <f t="shared" si="39"/>
        <v>142.95908518187028</v>
      </c>
      <c r="D626">
        <v>27.166000366210941</v>
      </c>
      <c r="E626" s="604">
        <v>10017</v>
      </c>
      <c r="F626" s="748">
        <f t="shared" si="36"/>
        <v>-9.4235631063763758E-3</v>
      </c>
      <c r="G626" s="748">
        <f t="shared" si="36"/>
        <v>-2.5933939646351156E-2</v>
      </c>
      <c r="H626" s="1067">
        <f t="shared" si="37"/>
        <v>1.651037653997478E-2</v>
      </c>
      <c r="I626">
        <f t="shared" si="38"/>
        <v>163.30924307863981</v>
      </c>
    </row>
    <row r="627" spans="1:9" ht="20.100000000000001" customHeight="1">
      <c r="A627" s="563">
        <v>44008</v>
      </c>
      <c r="B627">
        <f t="shared" si="39"/>
        <v>303.38218934166275</v>
      </c>
      <c r="C627">
        <f t="shared" si="39"/>
        <v>139.25159289486609</v>
      </c>
      <c r="D627">
        <v>26.909999847412109</v>
      </c>
      <c r="E627" s="604">
        <v>9757.2197265625</v>
      </c>
      <c r="F627" s="748">
        <f t="shared" si="36"/>
        <v>-8.0267411555656754E-3</v>
      </c>
      <c r="G627" s="748">
        <f t="shared" si="36"/>
        <v>1.1984014641401863E-2</v>
      </c>
      <c r="H627" s="1067">
        <f t="shared" si="37"/>
        <v>-2.0010755796967539E-2</v>
      </c>
      <c r="I627">
        <f t="shared" si="38"/>
        <v>164.13059644679666</v>
      </c>
    </row>
    <row r="628" spans="1:9" ht="20.100000000000001" customHeight="1">
      <c r="A628" s="563">
        <v>44011</v>
      </c>
      <c r="B628">
        <f t="shared" si="39"/>
        <v>300.94701903660842</v>
      </c>
      <c r="C628">
        <f t="shared" si="39"/>
        <v>140.92038602295671</v>
      </c>
      <c r="D628">
        <v>26.694000244140621</v>
      </c>
      <c r="E628" s="604">
        <v>9874.150390625</v>
      </c>
      <c r="F628" s="748">
        <f t="shared" si="36"/>
        <v>2.8470825726041538E-2</v>
      </c>
      <c r="G628" s="748">
        <f t="shared" si="36"/>
        <v>1.8697217818384404E-2</v>
      </c>
      <c r="H628" s="1067">
        <f t="shared" si="37"/>
        <v>9.7736079076571336E-3</v>
      </c>
      <c r="I628">
        <f t="shared" si="38"/>
        <v>160.02663301365172</v>
      </c>
    </row>
    <row r="629" spans="1:9" ht="20.100000000000001" customHeight="1">
      <c r="A629" s="563">
        <v>44012</v>
      </c>
      <c r="B629">
        <f t="shared" si="39"/>
        <v>309.51522916837143</v>
      </c>
      <c r="C629">
        <f t="shared" si="39"/>
        <v>143.55520517547873</v>
      </c>
      <c r="D629">
        <v>27.454000473022461</v>
      </c>
      <c r="E629" s="604">
        <v>10058.76953125</v>
      </c>
      <c r="F629" s="748">
        <f t="shared" si="36"/>
        <v>1.4205557766769461E-2</v>
      </c>
      <c r="G629" s="748">
        <f t="shared" si="36"/>
        <v>9.5300276305851916E-3</v>
      </c>
      <c r="H629" s="1067">
        <f t="shared" si="37"/>
        <v>4.6755301361842694E-3</v>
      </c>
      <c r="I629">
        <f t="shared" si="38"/>
        <v>165.9600239928927</v>
      </c>
    </row>
    <row r="630" spans="1:9" ht="20.100000000000001" customHeight="1">
      <c r="A630" s="563">
        <v>44013</v>
      </c>
      <c r="B630">
        <f t="shared" si="39"/>
        <v>313.91206563601764</v>
      </c>
      <c r="C630">
        <f t="shared" si="39"/>
        <v>144.92329024731538</v>
      </c>
      <c r="D630">
        <v>27.843999862670898</v>
      </c>
      <c r="E630" s="604">
        <v>10154.6298828125</v>
      </c>
      <c r="F630" s="748">
        <f t="shared" si="36"/>
        <v>-5.6026482580988635E-3</v>
      </c>
      <c r="G630" s="748">
        <f t="shared" si="36"/>
        <v>5.2192941162441109E-3</v>
      </c>
      <c r="H630" s="1067">
        <f t="shared" si="37"/>
        <v>-1.0821942374342974E-2</v>
      </c>
      <c r="I630">
        <f t="shared" si="38"/>
        <v>168.98877538870227</v>
      </c>
    </row>
    <row r="631" spans="1:9" ht="20.100000000000001" customHeight="1">
      <c r="A631" s="563">
        <v>44014</v>
      </c>
      <c r="B631">
        <f t="shared" si="39"/>
        <v>312.15332674828579</v>
      </c>
      <c r="C631">
        <f t="shared" si="39"/>
        <v>145.67968752340994</v>
      </c>
      <c r="D631">
        <v>27.6879997253418</v>
      </c>
      <c r="E631" s="604">
        <v>10207.6298828125</v>
      </c>
      <c r="F631" s="748">
        <f t="shared" si="36"/>
        <v>9.1014450742417097E-3</v>
      </c>
      <c r="G631" s="748">
        <f t="shared" si="36"/>
        <v>2.2142310252948327E-2</v>
      </c>
      <c r="H631" s="1067">
        <f t="shared" si="37"/>
        <v>-1.3040865178706618E-2</v>
      </c>
      <c r="I631">
        <f t="shared" si="38"/>
        <v>166.47363922487585</v>
      </c>
    </row>
    <row r="632" spans="1:9" ht="20.100000000000001" customHeight="1">
      <c r="A632" s="563">
        <v>44018</v>
      </c>
      <c r="B632">
        <f t="shared" si="39"/>
        <v>314.99437310642713</v>
      </c>
      <c r="C632">
        <f t="shared" si="39"/>
        <v>148.90537236210585</v>
      </c>
      <c r="D632">
        <v>27.940000534057621</v>
      </c>
      <c r="E632" s="604">
        <v>10433.650390625</v>
      </c>
      <c r="F632" s="748">
        <f t="shared" si="36"/>
        <v>-1.2455314010403895E-2</v>
      </c>
      <c r="G632" s="748">
        <f t="shared" si="36"/>
        <v>-8.603004588705887E-3</v>
      </c>
      <c r="H632" s="1067">
        <f t="shared" si="37"/>
        <v>-3.8523094216980081E-3</v>
      </c>
      <c r="I632">
        <f t="shared" si="38"/>
        <v>166.08900074432128</v>
      </c>
    </row>
    <row r="633" spans="1:9" ht="20.100000000000001" customHeight="1">
      <c r="A633" s="563">
        <v>44019</v>
      </c>
      <c r="B633">
        <f t="shared" si="39"/>
        <v>311.07101927787625</v>
      </c>
      <c r="C633">
        <f t="shared" si="39"/>
        <v>147.62433876039171</v>
      </c>
      <c r="D633">
        <v>27.591999053955082</v>
      </c>
      <c r="E633" s="604">
        <v>10343.8896484375</v>
      </c>
      <c r="F633" s="748">
        <f t="shared" si="36"/>
        <v>6.0814781869458656E-2</v>
      </c>
      <c r="G633" s="748">
        <f t="shared" si="36"/>
        <v>1.436696993233566E-2</v>
      </c>
      <c r="H633" s="1067">
        <f t="shared" si="37"/>
        <v>4.6447811937122996E-2</v>
      </c>
      <c r="I633">
        <f t="shared" si="38"/>
        <v>163.44668051748454</v>
      </c>
    </row>
    <row r="634" spans="1:9" ht="20.100000000000001" customHeight="1">
      <c r="A634" s="563">
        <v>44020</v>
      </c>
      <c r="B634">
        <f t="shared" si="39"/>
        <v>329.98873546117045</v>
      </c>
      <c r="C634">
        <f t="shared" si="39"/>
        <v>149.74525319664318</v>
      </c>
      <c r="D634">
        <v>29.270000457763668</v>
      </c>
      <c r="E634" s="604">
        <v>10492.5</v>
      </c>
      <c r="F634" s="748">
        <f t="shared" si="36"/>
        <v>2.2207024542695963E-2</v>
      </c>
      <c r="G634" s="748">
        <f t="shared" si="36"/>
        <v>5.2656659518703908E-3</v>
      </c>
      <c r="H634" s="1067">
        <f t="shared" si="37"/>
        <v>1.6941358590825573E-2</v>
      </c>
      <c r="I634">
        <f t="shared" si="38"/>
        <v>180.24348226452727</v>
      </c>
    </row>
    <row r="635" spans="1:9" ht="20.100000000000001" customHeight="1">
      <c r="A635" s="563">
        <v>44021</v>
      </c>
      <c r="B635">
        <f t="shared" si="39"/>
        <v>337.31680340836988</v>
      </c>
      <c r="C635">
        <f t="shared" si="39"/>
        <v>150.53376167785495</v>
      </c>
      <c r="D635">
        <v>29.920000076293949</v>
      </c>
      <c r="E635" s="604">
        <v>10547.75</v>
      </c>
      <c r="F635" s="748">
        <f t="shared" si="36"/>
        <v>-2.5401077103739622E-2</v>
      </c>
      <c r="G635" s="748">
        <f t="shared" si="36"/>
        <v>6.6071370375198057E-3</v>
      </c>
      <c r="H635" s="1067">
        <f t="shared" si="37"/>
        <v>-3.2008214141259428E-2</v>
      </c>
      <c r="I635">
        <f t="shared" si="38"/>
        <v>186.78304173051492</v>
      </c>
    </row>
    <row r="636" spans="1:9" ht="20.100000000000001" customHeight="1">
      <c r="A636" s="563">
        <v>44022</v>
      </c>
      <c r="B636">
        <f t="shared" si="39"/>
        <v>328.74859327660687</v>
      </c>
      <c r="C636">
        <f t="shared" si="39"/>
        <v>151.52835887003388</v>
      </c>
      <c r="D636">
        <v>29.159999847412109</v>
      </c>
      <c r="E636" s="604">
        <v>10617.4404296875</v>
      </c>
      <c r="F636" s="748">
        <f t="shared" si="36"/>
        <v>-0.10068583443036416</v>
      </c>
      <c r="G636" s="748">
        <f t="shared" si="36"/>
        <v>-2.1342298780777758E-2</v>
      </c>
      <c r="H636" s="1067">
        <f t="shared" si="37"/>
        <v>-7.9343535649586405E-2</v>
      </c>
      <c r="I636">
        <f t="shared" si="38"/>
        <v>177.22023440657298</v>
      </c>
    </row>
    <row r="637" spans="1:9" ht="20.100000000000001" customHeight="1">
      <c r="A637" s="563">
        <v>44025</v>
      </c>
      <c r="B637">
        <f t="shared" si="39"/>
        <v>295.64826684474332</v>
      </c>
      <c r="C637">
        <f t="shared" si="39"/>
        <v>148.2943953612687</v>
      </c>
      <c r="D637">
        <v>26.224000930786129</v>
      </c>
      <c r="E637" s="604">
        <v>10390.83984375</v>
      </c>
      <c r="F637" s="748">
        <f t="shared" si="36"/>
        <v>2.5625341435685955E-2</v>
      </c>
      <c r="G637" s="748">
        <f t="shared" si="36"/>
        <v>9.4063844544567399E-3</v>
      </c>
      <c r="H637" s="1067">
        <f t="shared" si="37"/>
        <v>1.6218956981229216E-2</v>
      </c>
      <c r="I637">
        <f t="shared" si="38"/>
        <v>147.35387148347462</v>
      </c>
    </row>
    <row r="638" spans="1:9" ht="20.100000000000001" customHeight="1">
      <c r="A638" s="563">
        <v>44026</v>
      </c>
      <c r="B638">
        <f t="shared" si="39"/>
        <v>303.22435462750866</v>
      </c>
      <c r="C638">
        <f t="shared" si="39"/>
        <v>149.68930945647799</v>
      </c>
      <c r="D638">
        <v>26.895999908447269</v>
      </c>
      <c r="E638" s="604">
        <v>10488.580078125</v>
      </c>
      <c r="F638" s="748">
        <f t="shared" si="36"/>
        <v>-3.8370002659338875E-2</v>
      </c>
      <c r="G638" s="748">
        <f t="shared" si="36"/>
        <v>5.9026251207368041E-3</v>
      </c>
      <c r="H638" s="1067">
        <f t="shared" si="37"/>
        <v>-4.427262778007568E-2</v>
      </c>
      <c r="I638">
        <f t="shared" si="38"/>
        <v>153.53504517103067</v>
      </c>
    </row>
    <row r="639" spans="1:9" ht="20.100000000000001" customHeight="1">
      <c r="A639" s="563">
        <v>44027</v>
      </c>
      <c r="B639">
        <f t="shared" si="39"/>
        <v>291.58963533407484</v>
      </c>
      <c r="C639">
        <f t="shared" si="39"/>
        <v>150.57286933478153</v>
      </c>
      <c r="D639">
        <v>25.86400032043457</v>
      </c>
      <c r="E639" s="604">
        <v>10550.490234375</v>
      </c>
      <c r="F639" s="748">
        <f t="shared" si="36"/>
        <v>-1.5233567978608087E-2</v>
      </c>
      <c r="G639" s="748">
        <f t="shared" si="36"/>
        <v>-7.2660278856265803E-3</v>
      </c>
      <c r="H639" s="1067">
        <f t="shared" si="37"/>
        <v>-7.9675400929815066E-3</v>
      </c>
      <c r="I639">
        <f t="shared" si="38"/>
        <v>141.01676599929331</v>
      </c>
    </row>
    <row r="640" spans="1:9" ht="20.100000000000001" customHeight="1">
      <c r="A640" s="563">
        <v>44028</v>
      </c>
      <c r="B640">
        <f t="shared" si="39"/>
        <v>287.14768480235568</v>
      </c>
      <c r="C640">
        <f t="shared" si="39"/>
        <v>149.47880266737619</v>
      </c>
      <c r="D640">
        <v>25.469999313354489</v>
      </c>
      <c r="E640" s="604">
        <v>10473.830078125</v>
      </c>
      <c r="F640" s="748">
        <f t="shared" si="36"/>
        <v>1.3898708327295894E-2</v>
      </c>
      <c r="G640" s="748">
        <f t="shared" si="36"/>
        <v>2.8032106061965933E-3</v>
      </c>
      <c r="H640" s="1067">
        <f t="shared" si="37"/>
        <v>1.1095497721099301E-2</v>
      </c>
      <c r="I640">
        <f t="shared" si="38"/>
        <v>137.6688821349795</v>
      </c>
    </row>
    <row r="641" spans="1:9" ht="20.100000000000001" customHeight="1">
      <c r="A641" s="563">
        <v>44029</v>
      </c>
      <c r="B641">
        <f t="shared" si="39"/>
        <v>291.13866672028195</v>
      </c>
      <c r="C641">
        <f t="shared" si="39"/>
        <v>149.89782323241494</v>
      </c>
      <c r="D641">
        <v>25.82399940490723</v>
      </c>
      <c r="E641" s="604">
        <v>10503.1904296875</v>
      </c>
      <c r="F641" s="748">
        <f t="shared" si="36"/>
        <v>4.3912670551825794E-2</v>
      </c>
      <c r="G641" s="748">
        <f t="shared" si="36"/>
        <v>2.5125643091891581E-2</v>
      </c>
      <c r="H641" s="1067">
        <f t="shared" si="37"/>
        <v>1.8787027459934214E-2</v>
      </c>
      <c r="I641">
        <f t="shared" si="38"/>
        <v>141.24084348786701</v>
      </c>
    </row>
    <row r="642" spans="1:9" ht="20.100000000000001" customHeight="1">
      <c r="A642" s="563">
        <v>44032</v>
      </c>
      <c r="B642">
        <f t="shared" si="39"/>
        <v>303.92334307686747</v>
      </c>
      <c r="C642">
        <f t="shared" si="39"/>
        <v>153.66410243920404</v>
      </c>
      <c r="D642">
        <v>26.958000183105469</v>
      </c>
      <c r="E642" s="604">
        <v>10767.08984375</v>
      </c>
      <c r="F642" s="748">
        <f t="shared" si="36"/>
        <v>-8.3834049491161577E-3</v>
      </c>
      <c r="G642" s="748">
        <f t="shared" si="36"/>
        <v>-8.0550541925535901E-3</v>
      </c>
      <c r="H642" s="1067">
        <f t="shared" si="37"/>
        <v>-3.2835075656256762E-4</v>
      </c>
      <c r="I642">
        <f t="shared" si="38"/>
        <v>150.25924063766342</v>
      </c>
    </row>
    <row r="643" spans="1:9" ht="20.100000000000001" customHeight="1">
      <c r="A643" s="563">
        <v>44033</v>
      </c>
      <c r="B643">
        <f t="shared" si="39"/>
        <v>301.37543061836493</v>
      </c>
      <c r="C643">
        <f t="shared" si="39"/>
        <v>152.42632976660616</v>
      </c>
      <c r="D643">
        <v>26.732000350952148</v>
      </c>
      <c r="E643" s="604">
        <v>10680.3603515625</v>
      </c>
      <c r="F643" s="748">
        <f t="shared" ref="F643:G706" si="40">D644/D643-1</f>
        <v>4.7134314315950832E-3</v>
      </c>
      <c r="G643" s="748">
        <f t="shared" si="40"/>
        <v>2.4127960482371869E-3</v>
      </c>
      <c r="H643" s="1067">
        <f t="shared" ref="H643:H706" si="41">F643-G643</f>
        <v>2.3006353833578963E-3</v>
      </c>
      <c r="I643">
        <f t="shared" ref="I643:I706" si="42">B643-C643</f>
        <v>148.94910085175877</v>
      </c>
    </row>
    <row r="644" spans="1:9" ht="20.100000000000001" customHeight="1">
      <c r="A644" s="563">
        <v>44034</v>
      </c>
      <c r="B644">
        <f t="shared" ref="B644:C707" si="43">B643*(1+F643)</f>
        <v>302.79594304575204</v>
      </c>
      <c r="C644">
        <f t="shared" si="43"/>
        <v>152.79410341271432</v>
      </c>
      <c r="D644">
        <v>26.857999801635739</v>
      </c>
      <c r="E644" s="604">
        <v>10706.1298828125</v>
      </c>
      <c r="F644" s="748">
        <f t="shared" si="40"/>
        <v>6.4785087371383998E-3</v>
      </c>
      <c r="G644" s="748">
        <f t="shared" si="40"/>
        <v>-2.2856995349024745E-2</v>
      </c>
      <c r="H644" s="1067">
        <f t="shared" si="41"/>
        <v>2.9335504086163144E-2</v>
      </c>
      <c r="I644">
        <f t="shared" si="42"/>
        <v>150.00183963303772</v>
      </c>
    </row>
    <row r="645" spans="1:9" ht="20.100000000000001" customHeight="1">
      <c r="A645" s="563">
        <v>44035</v>
      </c>
      <c r="B645">
        <f t="shared" si="43"/>
        <v>304.75760920834398</v>
      </c>
      <c r="C645">
        <f t="shared" si="43"/>
        <v>149.30168930165149</v>
      </c>
      <c r="D645">
        <v>27.031999588012699</v>
      </c>
      <c r="E645" s="604">
        <v>10461.419921875</v>
      </c>
      <c r="F645" s="748">
        <f t="shared" si="40"/>
        <v>-1.5685106275489247E-2</v>
      </c>
      <c r="G645" s="748">
        <f t="shared" si="40"/>
        <v>-9.3907170449757382E-3</v>
      </c>
      <c r="H645" s="1067">
        <f t="shared" si="41"/>
        <v>-6.2943892305135085E-3</v>
      </c>
      <c r="I645">
        <f t="shared" si="42"/>
        <v>155.45591990669249</v>
      </c>
    </row>
    <row r="646" spans="1:9" ht="20.100000000000001" customHeight="1">
      <c r="A646" s="563">
        <v>44036</v>
      </c>
      <c r="B646">
        <f t="shared" si="43"/>
        <v>299.97745371964709</v>
      </c>
      <c r="C646">
        <f t="shared" si="43"/>
        <v>147.89963938308281</v>
      </c>
      <c r="D646">
        <v>26.607999801635739</v>
      </c>
      <c r="E646" s="604">
        <v>10363.1796875</v>
      </c>
      <c r="F646" s="748">
        <f t="shared" si="40"/>
        <v>2.7134701121950711E-2</v>
      </c>
      <c r="G646" s="748">
        <f t="shared" si="40"/>
        <v>1.6702387584650369E-2</v>
      </c>
      <c r="H646" s="1067">
        <f t="shared" si="41"/>
        <v>1.0432313537300342E-2</v>
      </c>
      <c r="I646">
        <f t="shared" si="42"/>
        <v>152.07781433656427</v>
      </c>
    </row>
    <row r="647" spans="1:9" ht="20.100000000000001" customHeight="1">
      <c r="A647" s="563">
        <v>44039</v>
      </c>
      <c r="B647">
        <f t="shared" si="43"/>
        <v>308.11725226965353</v>
      </c>
      <c r="C647">
        <f t="shared" si="43"/>
        <v>150.36991648368908</v>
      </c>
      <c r="D647">
        <v>27.329999923706051</v>
      </c>
      <c r="E647" s="604">
        <v>10536.26953125</v>
      </c>
      <c r="F647" s="748">
        <f t="shared" si="40"/>
        <v>-2.3637025622049945E-2</v>
      </c>
      <c r="G647" s="748">
        <f t="shared" si="40"/>
        <v>-1.2735028000378179E-2</v>
      </c>
      <c r="H647" s="1067">
        <f t="shared" si="41"/>
        <v>-1.0901997621671766E-2</v>
      </c>
      <c r="I647">
        <f t="shared" si="42"/>
        <v>157.74733578596445</v>
      </c>
    </row>
    <row r="648" spans="1:9" ht="20.100000000000001" customHeight="1">
      <c r="A648" s="563">
        <v>44040</v>
      </c>
      <c r="B648">
        <f t="shared" si="43"/>
        <v>300.8342768831601</v>
      </c>
      <c r="C648">
        <f t="shared" si="43"/>
        <v>148.45495138685476</v>
      </c>
      <c r="D648">
        <v>26.684000015258789</v>
      </c>
      <c r="E648" s="604">
        <v>10402.08984375</v>
      </c>
      <c r="F648" s="748">
        <f t="shared" si="40"/>
        <v>2.5633338887260493E-2</v>
      </c>
      <c r="G648" s="748">
        <f t="shared" si="40"/>
        <v>1.3540604633609066E-2</v>
      </c>
      <c r="H648" s="1067">
        <f t="shared" si="41"/>
        <v>1.2092734253651427E-2</v>
      </c>
      <c r="I648">
        <f t="shared" si="42"/>
        <v>152.37932549630534</v>
      </c>
    </row>
    <row r="649" spans="1:9" ht="20.100000000000001" customHeight="1">
      <c r="A649" s="563">
        <v>44041</v>
      </c>
      <c r="B649">
        <f t="shared" si="43"/>
        <v>308.5456638514101</v>
      </c>
      <c r="C649">
        <f t="shared" si="43"/>
        <v>150.46512118948581</v>
      </c>
      <c r="D649">
        <v>27.368000030517582</v>
      </c>
      <c r="E649" s="604">
        <v>10542.9404296875</v>
      </c>
      <c r="F649" s="748">
        <f t="shared" si="40"/>
        <v>-6.5768960200895954E-4</v>
      </c>
      <c r="G649" s="748">
        <f t="shared" si="40"/>
        <v>4.2558469265987497E-3</v>
      </c>
      <c r="H649" s="1067">
        <f t="shared" si="41"/>
        <v>-4.9135365286077093E-3</v>
      </c>
      <c r="I649">
        <f t="shared" si="42"/>
        <v>158.08054266192428</v>
      </c>
    </row>
    <row r="650" spans="1:9" ht="20.100000000000001" customHeight="1">
      <c r="A650" s="563">
        <v>44042</v>
      </c>
      <c r="B650">
        <f t="shared" si="43"/>
        <v>308.34273657655007</v>
      </c>
      <c r="C650">
        <f t="shared" si="43"/>
        <v>151.1054777130604</v>
      </c>
      <c r="D650">
        <v>27.35000038146973</v>
      </c>
      <c r="E650" s="604">
        <v>10587.8095703125</v>
      </c>
      <c r="F650" s="748">
        <f t="shared" si="40"/>
        <v>1.1334532417498933E-2</v>
      </c>
      <c r="G650" s="748">
        <f t="shared" si="40"/>
        <v>1.4871816487803668E-2</v>
      </c>
      <c r="H650" s="1067">
        <f t="shared" si="41"/>
        <v>-3.5372840703047359E-3</v>
      </c>
      <c r="I650">
        <f t="shared" si="42"/>
        <v>157.23725886348967</v>
      </c>
    </row>
    <row r="651" spans="1:9" ht="20.100000000000001" customHeight="1">
      <c r="A651" s="563">
        <v>44043</v>
      </c>
      <c r="B651">
        <f t="shared" si="43"/>
        <v>311.83765731997732</v>
      </c>
      <c r="C651">
        <f t="shared" si="43"/>
        <v>153.35269064791095</v>
      </c>
      <c r="D651">
        <v>27.659999847412109</v>
      </c>
      <c r="E651" s="604">
        <v>10745.26953125</v>
      </c>
      <c r="F651" s="748">
        <f t="shared" si="40"/>
        <v>-5.7847967349711205E-4</v>
      </c>
      <c r="G651" s="748">
        <f t="shared" si="40"/>
        <v>1.4660430152948933E-2</v>
      </c>
      <c r="H651" s="1067">
        <f t="shared" si="41"/>
        <v>-1.5238909826446045E-2</v>
      </c>
      <c r="I651">
        <f t="shared" si="42"/>
        <v>158.48496667206638</v>
      </c>
    </row>
    <row r="652" spans="1:9" ht="20.100000000000001" customHeight="1">
      <c r="A652" s="563">
        <v>44046</v>
      </c>
      <c r="B652">
        <f t="shared" si="43"/>
        <v>311.65726557378679</v>
      </c>
      <c r="C652">
        <f t="shared" si="43"/>
        <v>155.60090705792143</v>
      </c>
      <c r="D652">
        <v>27.643999099731449</v>
      </c>
      <c r="E652" s="604">
        <v>10902.7998046875</v>
      </c>
      <c r="F652" s="748">
        <f t="shared" si="40"/>
        <v>4.4133139893784978E-3</v>
      </c>
      <c r="G652" s="748">
        <f t="shared" si="40"/>
        <v>3.5192902625804656E-3</v>
      </c>
      <c r="H652" s="1067">
        <f t="shared" si="41"/>
        <v>8.9402372679803221E-4</v>
      </c>
      <c r="I652">
        <f t="shared" si="42"/>
        <v>156.05635851586536</v>
      </c>
    </row>
    <row r="653" spans="1:9" ht="20.100000000000001" customHeight="1">
      <c r="A653" s="563">
        <v>44047</v>
      </c>
      <c r="B653">
        <f t="shared" si="43"/>
        <v>313.03270694383502</v>
      </c>
      <c r="C653">
        <f t="shared" si="43"/>
        <v>156.14851181497906</v>
      </c>
      <c r="D653">
        <v>27.766000747680661</v>
      </c>
      <c r="E653" s="604">
        <v>10941.169921875</v>
      </c>
      <c r="F653" s="748">
        <f t="shared" si="40"/>
        <v>9.2919186493780614E-3</v>
      </c>
      <c r="G653" s="748">
        <f t="shared" si="40"/>
        <v>5.2307448982742422E-3</v>
      </c>
      <c r="H653" s="1067">
        <f t="shared" si="41"/>
        <v>4.0611737511038193E-3</v>
      </c>
      <c r="I653">
        <f t="shared" si="42"/>
        <v>156.88419512885596</v>
      </c>
    </row>
    <row r="654" spans="1:9" ht="20.100000000000001" customHeight="1">
      <c r="A654" s="563">
        <v>44048</v>
      </c>
      <c r="B654">
        <f t="shared" si="43"/>
        <v>315.94138139135174</v>
      </c>
      <c r="C654">
        <f t="shared" si="43"/>
        <v>156.96528484652836</v>
      </c>
      <c r="D654">
        <v>28.02400016784668</v>
      </c>
      <c r="E654" s="604">
        <v>10998.400390625</v>
      </c>
      <c r="F654" s="748">
        <f t="shared" si="40"/>
        <v>-4.3534020792851402E-3</v>
      </c>
      <c r="G654" s="748">
        <f t="shared" si="40"/>
        <v>9.9714429353274792E-3</v>
      </c>
      <c r="H654" s="1067">
        <f t="shared" si="41"/>
        <v>-1.4324845014612619E-2</v>
      </c>
      <c r="I654">
        <f t="shared" si="42"/>
        <v>158.97609654482338</v>
      </c>
    </row>
    <row r="655" spans="1:9" ht="20.100000000000001" customHeight="1">
      <c r="A655" s="563">
        <v>44049</v>
      </c>
      <c r="B655">
        <f t="shared" si="43"/>
        <v>314.5659615246704</v>
      </c>
      <c r="C655">
        <f t="shared" si="43"/>
        <v>158.53045522720294</v>
      </c>
      <c r="D655">
        <v>27.90200042724609</v>
      </c>
      <c r="E655" s="604">
        <v>11108.0703125</v>
      </c>
      <c r="F655" s="748">
        <f t="shared" si="40"/>
        <v>-6.0999198560854784E-2</v>
      </c>
      <c r="G655" s="748">
        <f t="shared" si="40"/>
        <v>-8.7404779604918215E-3</v>
      </c>
      <c r="H655" s="1067">
        <f t="shared" si="41"/>
        <v>-5.2258720600362962E-2</v>
      </c>
      <c r="I655">
        <f t="shared" si="42"/>
        <v>156.03550629746746</v>
      </c>
    </row>
    <row r="656" spans="1:9" ht="20.100000000000001" customHeight="1">
      <c r="A656" s="563">
        <v>44050</v>
      </c>
      <c r="B656">
        <f t="shared" si="43"/>
        <v>295.37768997714085</v>
      </c>
      <c r="C656">
        <f t="shared" si="43"/>
        <v>157.14482327722283</v>
      </c>
      <c r="D656">
        <v>26.20000076293945</v>
      </c>
      <c r="E656" s="604">
        <v>11010.98046875</v>
      </c>
      <c r="F656" s="748">
        <f t="shared" si="40"/>
        <v>-3.1450430849659705E-2</v>
      </c>
      <c r="G656" s="748">
        <f t="shared" si="40"/>
        <v>-3.8706922883442463E-3</v>
      </c>
      <c r="H656" s="1067">
        <f t="shared" si="41"/>
        <v>-2.7579738561315459E-2</v>
      </c>
      <c r="I656">
        <f t="shared" si="42"/>
        <v>138.23286669991802</v>
      </c>
    </row>
    <row r="657" spans="1:9" ht="20.100000000000001" customHeight="1">
      <c r="A657" s="563">
        <v>44053</v>
      </c>
      <c r="B657">
        <f t="shared" si="43"/>
        <v>286.08793436398258</v>
      </c>
      <c r="C657">
        <f t="shared" si="43"/>
        <v>156.53656402161047</v>
      </c>
      <c r="D657">
        <v>25.37599945068359</v>
      </c>
      <c r="E657" s="604">
        <v>10968.3603515625</v>
      </c>
      <c r="F657" s="748">
        <f t="shared" si="40"/>
        <v>-2.2855713462350824E-3</v>
      </c>
      <c r="G657" s="748">
        <f t="shared" si="40"/>
        <v>-1.6915932109767828E-2</v>
      </c>
      <c r="H657" s="1067">
        <f t="shared" si="41"/>
        <v>1.4630360763532746E-2</v>
      </c>
      <c r="I657">
        <f t="shared" si="42"/>
        <v>129.55137034237211</v>
      </c>
    </row>
    <row r="658" spans="1:9" ht="20.100000000000001" customHeight="1">
      <c r="A658" s="563">
        <v>44054</v>
      </c>
      <c r="B658">
        <f t="shared" si="43"/>
        <v>285.43405997869667</v>
      </c>
      <c r="C658">
        <f t="shared" si="43"/>
        <v>153.88860213192459</v>
      </c>
      <c r="D658">
        <v>25.318000793457031</v>
      </c>
      <c r="E658" s="604">
        <v>10782.8203125</v>
      </c>
      <c r="F658" s="748">
        <f t="shared" si="40"/>
        <v>8.6892165421459389E-4</v>
      </c>
      <c r="G658" s="748">
        <f t="shared" si="40"/>
        <v>2.1276430027220572E-2</v>
      </c>
      <c r="H658" s="1067">
        <f t="shared" si="41"/>
        <v>-2.0407508373005978E-2</v>
      </c>
      <c r="I658">
        <f t="shared" si="42"/>
        <v>131.54545784677208</v>
      </c>
    </row>
    <row r="659" spans="1:9" ht="20.100000000000001" customHeight="1">
      <c r="A659" s="563">
        <v>44055</v>
      </c>
      <c r="B659">
        <f t="shared" si="43"/>
        <v>285.68207981426252</v>
      </c>
      <c r="C659">
        <f t="shared" si="43"/>
        <v>157.16280220717127</v>
      </c>
      <c r="D659">
        <v>25.340000152587891</v>
      </c>
      <c r="E659" s="604">
        <v>11012.240234375</v>
      </c>
      <c r="F659" s="748">
        <f t="shared" si="40"/>
        <v>5.8405965379590974E-3</v>
      </c>
      <c r="G659" s="748">
        <f t="shared" si="40"/>
        <v>2.7478301400056804E-3</v>
      </c>
      <c r="H659" s="1067">
        <f t="shared" si="41"/>
        <v>3.092766397953417E-3</v>
      </c>
      <c r="I659">
        <f t="shared" si="42"/>
        <v>128.51927760709125</v>
      </c>
    </row>
    <row r="660" spans="1:9" ht="20.100000000000001" customHeight="1">
      <c r="A660" s="563">
        <v>44056</v>
      </c>
      <c r="B660">
        <f t="shared" si="43"/>
        <v>287.35063358058267</v>
      </c>
      <c r="C660">
        <f t="shared" si="43"/>
        <v>157.59465889196389</v>
      </c>
      <c r="D660">
        <v>25.48800086975098</v>
      </c>
      <c r="E660" s="604">
        <v>11042.5</v>
      </c>
      <c r="F660" s="748">
        <f t="shared" si="40"/>
        <v>1.255476574102854E-3</v>
      </c>
      <c r="G660" s="748">
        <f t="shared" si="40"/>
        <v>-2.100991198777491E-3</v>
      </c>
      <c r="H660" s="1067">
        <f t="shared" si="41"/>
        <v>3.3564677728803449E-3</v>
      </c>
      <c r="I660">
        <f t="shared" si="42"/>
        <v>129.75597468861878</v>
      </c>
    </row>
    <row r="661" spans="1:9" ht="20.100000000000001" customHeight="1">
      <c r="A661" s="563">
        <v>44057</v>
      </c>
      <c r="B661">
        <f t="shared" si="43"/>
        <v>287.71139556959668</v>
      </c>
      <c r="C661">
        <f t="shared" si="43"/>
        <v>157.26355390065754</v>
      </c>
      <c r="D661">
        <v>25.520000457763668</v>
      </c>
      <c r="E661" s="604">
        <v>11019.2998046875</v>
      </c>
      <c r="F661" s="748">
        <f t="shared" si="40"/>
        <v>1.2225715872324461E-2</v>
      </c>
      <c r="G661" s="748">
        <f t="shared" si="40"/>
        <v>1.0021568159487293E-2</v>
      </c>
      <c r="H661" s="1067">
        <f t="shared" si="41"/>
        <v>2.2041477128371678E-3</v>
      </c>
      <c r="I661">
        <f t="shared" si="42"/>
        <v>130.44784166893913</v>
      </c>
    </row>
    <row r="662" spans="1:9" ht="20.100000000000001" customHeight="1">
      <c r="A662" s="563">
        <v>44060</v>
      </c>
      <c r="B662">
        <f t="shared" si="43"/>
        <v>291.22887334506049</v>
      </c>
      <c r="C662">
        <f t="shared" si="43"/>
        <v>158.83958132507618</v>
      </c>
      <c r="D662">
        <v>25.832000732421879</v>
      </c>
      <c r="E662" s="604">
        <v>11129.73046875</v>
      </c>
      <c r="F662" s="748">
        <f t="shared" si="40"/>
        <v>5.8841172029964195E-3</v>
      </c>
      <c r="G662" s="748">
        <f t="shared" si="40"/>
        <v>7.2876315583507711E-3</v>
      </c>
      <c r="H662" s="1067">
        <f t="shared" si="41"/>
        <v>-1.4035143553543517E-3</v>
      </c>
      <c r="I662">
        <f t="shared" si="42"/>
        <v>132.38929201998431</v>
      </c>
    </row>
    <row r="663" spans="1:9" ht="20.100000000000001" customHeight="1">
      <c r="A663" s="563">
        <v>44061</v>
      </c>
      <c r="B663">
        <f t="shared" si="43"/>
        <v>292.94249816871945</v>
      </c>
      <c r="C663">
        <f t="shared" si="43"/>
        <v>159.99714567065604</v>
      </c>
      <c r="D663">
        <v>25.983999252319339</v>
      </c>
      <c r="E663" s="604">
        <v>11210.83984375</v>
      </c>
      <c r="F663" s="748">
        <f t="shared" si="40"/>
        <v>-3.1557430508288853E-3</v>
      </c>
      <c r="G663" s="748">
        <f t="shared" si="40"/>
        <v>-5.7426458418626813E-3</v>
      </c>
      <c r="H663" s="1067">
        <f t="shared" si="41"/>
        <v>2.5869027910337961E-3</v>
      </c>
      <c r="I663">
        <f t="shared" si="42"/>
        <v>132.94535249806341</v>
      </c>
    </row>
    <row r="664" spans="1:9" ht="20.100000000000001" customHeight="1">
      <c r="A664" s="563">
        <v>44062</v>
      </c>
      <c r="B664">
        <f t="shared" si="43"/>
        <v>292.01804691583106</v>
      </c>
      <c r="C664">
        <f t="shared" si="43"/>
        <v>159.07833872736055</v>
      </c>
      <c r="D664">
        <v>25.90200042724609</v>
      </c>
      <c r="E664" s="604">
        <v>11146.4599609375</v>
      </c>
      <c r="F664" s="748">
        <f t="shared" si="40"/>
        <v>3.1503357705255475E-2</v>
      </c>
      <c r="G664" s="748">
        <f t="shared" si="40"/>
        <v>1.0630301888693516E-2</v>
      </c>
      <c r="H664" s="1067">
        <f t="shared" si="41"/>
        <v>2.0873055816561958E-2</v>
      </c>
      <c r="I664">
        <f t="shared" si="42"/>
        <v>132.93970818847052</v>
      </c>
    </row>
    <row r="665" spans="1:9" ht="20.100000000000001" customHeight="1">
      <c r="A665" s="563">
        <v>44063</v>
      </c>
      <c r="B665">
        <f t="shared" si="43"/>
        <v>301.21759590421055</v>
      </c>
      <c r="C665">
        <f t="shared" si="43"/>
        <v>160.76938949198424</v>
      </c>
      <c r="D665">
        <v>26.718000411987301</v>
      </c>
      <c r="E665" s="604">
        <v>11264.9501953125</v>
      </c>
      <c r="F665" s="748">
        <f t="shared" si="40"/>
        <v>-1.4072960260286593E-2</v>
      </c>
      <c r="G665" s="748">
        <f t="shared" si="40"/>
        <v>4.1588829566681085E-3</v>
      </c>
      <c r="H665" s="1067">
        <f t="shared" si="41"/>
        <v>-1.8231843216954702E-2</v>
      </c>
      <c r="I665">
        <f t="shared" si="42"/>
        <v>140.44820641222631</v>
      </c>
    </row>
    <row r="666" spans="1:9" ht="20.100000000000001" customHeight="1">
      <c r="A666" s="563">
        <v>44064</v>
      </c>
      <c r="B666">
        <f t="shared" si="43"/>
        <v>296.97857264735154</v>
      </c>
      <c r="C666">
        <f t="shared" si="43"/>
        <v>161.43801056589641</v>
      </c>
      <c r="D666">
        <v>26.341999053955082</v>
      </c>
      <c r="E666" s="604">
        <v>11311.7998046875</v>
      </c>
      <c r="F666" s="748">
        <f t="shared" si="40"/>
        <v>1.0249808953779027E-2</v>
      </c>
      <c r="G666" s="748">
        <f t="shared" si="40"/>
        <v>6.0043426375750997E-3</v>
      </c>
      <c r="H666" s="1067">
        <f t="shared" si="41"/>
        <v>4.2454663162039274E-3</v>
      </c>
      <c r="I666">
        <f t="shared" si="42"/>
        <v>135.54056208145514</v>
      </c>
    </row>
    <row r="667" spans="1:9" ht="20.100000000000001" customHeight="1">
      <c r="A667" s="563">
        <v>44067</v>
      </c>
      <c r="B667">
        <f t="shared" si="43"/>
        <v>300.02254628035286</v>
      </c>
      <c r="C667">
        <f t="shared" si="43"/>
        <v>162.40733969606251</v>
      </c>
      <c r="D667">
        <v>26.61199951171875</v>
      </c>
      <c r="E667" s="604">
        <v>11379.7197265625</v>
      </c>
      <c r="F667" s="748">
        <f t="shared" si="40"/>
        <v>1.6534129872869396E-3</v>
      </c>
      <c r="G667" s="748">
        <f t="shared" si="40"/>
        <v>7.6232105960842844E-3</v>
      </c>
      <c r="H667" s="1067">
        <f t="shared" si="41"/>
        <v>-5.9697976087973448E-3</v>
      </c>
      <c r="I667">
        <f t="shared" si="42"/>
        <v>137.61520658429035</v>
      </c>
    </row>
    <row r="668" spans="1:9" ht="20.100000000000001" customHeight="1">
      <c r="A668" s="563">
        <v>44068</v>
      </c>
      <c r="B668">
        <f t="shared" si="43"/>
        <v>300.51860745485169</v>
      </c>
      <c r="C668">
        <f t="shared" si="43"/>
        <v>163.64540504891539</v>
      </c>
      <c r="D668">
        <v>26.656000137329102</v>
      </c>
      <c r="E668" s="604">
        <v>11466.4697265625</v>
      </c>
      <c r="F668" s="748">
        <f t="shared" si="40"/>
        <v>2.9561828584627081E-2</v>
      </c>
      <c r="G668" s="748">
        <f t="shared" si="40"/>
        <v>1.7319179179443367E-2</v>
      </c>
      <c r="H668" s="1067">
        <f t="shared" si="41"/>
        <v>1.2242649405183714E-2</v>
      </c>
      <c r="I668">
        <f t="shared" si="42"/>
        <v>136.8732024059363</v>
      </c>
    </row>
    <row r="669" spans="1:9" ht="20.100000000000001" customHeight="1">
      <c r="A669" s="563">
        <v>44069</v>
      </c>
      <c r="B669">
        <f t="shared" si="43"/>
        <v>309.40248701492283</v>
      </c>
      <c r="C669">
        <f t="shared" si="43"/>
        <v>166.47960914085016</v>
      </c>
      <c r="D669">
        <v>27.444000244140621</v>
      </c>
      <c r="E669" s="604">
        <v>11665.0595703125</v>
      </c>
      <c r="F669" s="748">
        <f t="shared" si="40"/>
        <v>-3.7530996847495279E-2</v>
      </c>
      <c r="G669" s="748">
        <f t="shared" si="40"/>
        <v>-3.4050170359684051E-3</v>
      </c>
      <c r="H669" s="1067">
        <f t="shared" si="41"/>
        <v>-3.4125979811526874E-2</v>
      </c>
      <c r="I669">
        <f t="shared" si="42"/>
        <v>142.92287787407267</v>
      </c>
    </row>
    <row r="670" spans="1:9" ht="20.100000000000001" customHeight="1">
      <c r="A670" s="563">
        <v>44070</v>
      </c>
      <c r="B670">
        <f t="shared" si="43"/>
        <v>297.79030325015856</v>
      </c>
      <c r="C670">
        <f t="shared" si="43"/>
        <v>165.9127432355842</v>
      </c>
      <c r="D670">
        <v>26.413999557495121</v>
      </c>
      <c r="E670" s="604">
        <v>11625.33984375</v>
      </c>
      <c r="F670" s="748">
        <f t="shared" si="40"/>
        <v>-1.0070373468169191E-2</v>
      </c>
      <c r="G670" s="748">
        <f t="shared" si="40"/>
        <v>6.0462782170009888E-3</v>
      </c>
      <c r="H670" s="1067">
        <f t="shared" si="41"/>
        <v>-1.611665168517018E-2</v>
      </c>
      <c r="I670">
        <f t="shared" si="42"/>
        <v>131.87756001457436</v>
      </c>
    </row>
    <row r="671" spans="1:9" ht="20.100000000000001" customHeight="1">
      <c r="A671" s="563">
        <v>44071</v>
      </c>
      <c r="B671">
        <f t="shared" si="43"/>
        <v>294.79144368123008</v>
      </c>
      <c r="C671">
        <f t="shared" si="43"/>
        <v>166.91589784093239</v>
      </c>
      <c r="D671">
        <v>26.148000717163089</v>
      </c>
      <c r="E671" s="604">
        <v>11695.6298828125</v>
      </c>
      <c r="F671" s="748">
        <f t="shared" si="40"/>
        <v>9.7139247023303454E-3</v>
      </c>
      <c r="G671" s="748">
        <f t="shared" si="40"/>
        <v>6.8256330719147496E-3</v>
      </c>
      <c r="H671" s="1067">
        <f t="shared" si="41"/>
        <v>2.8882916304155959E-3</v>
      </c>
      <c r="I671">
        <f t="shared" si="42"/>
        <v>127.87554584029769</v>
      </c>
    </row>
    <row r="672" spans="1:9" ht="20.100000000000001" customHeight="1">
      <c r="A672" s="563">
        <v>44074</v>
      </c>
      <c r="B672">
        <f t="shared" si="43"/>
        <v>297.6550255680408</v>
      </c>
      <c r="C672">
        <f t="shared" si="43"/>
        <v>168.05520451346379</v>
      </c>
      <c r="D672">
        <v>26.40200042724609</v>
      </c>
      <c r="E672" s="604">
        <v>11775.4599609375</v>
      </c>
      <c r="F672" s="748">
        <f t="shared" si="40"/>
        <v>-1.1287036242368709E-2</v>
      </c>
      <c r="G672" s="748">
        <f t="shared" si="40"/>
        <v>1.3945099510527026E-2</v>
      </c>
      <c r="H672" s="1067">
        <f t="shared" si="41"/>
        <v>-2.5232135752895735E-2</v>
      </c>
      <c r="I672">
        <f t="shared" si="42"/>
        <v>129.59982105457701</v>
      </c>
    </row>
    <row r="673" spans="1:9" ht="20.100000000000001" customHeight="1">
      <c r="A673" s="563">
        <v>44075</v>
      </c>
      <c r="B673">
        <f t="shared" si="43"/>
        <v>294.29538250673113</v>
      </c>
      <c r="C673">
        <f t="shared" si="43"/>
        <v>170.39875106366603</v>
      </c>
      <c r="D673">
        <v>26.104000091552731</v>
      </c>
      <c r="E673" s="604">
        <v>11939.669921875</v>
      </c>
      <c r="F673" s="748">
        <f t="shared" si="40"/>
        <v>1.5936268953107957E-2</v>
      </c>
      <c r="G673" s="748">
        <f t="shared" si="40"/>
        <v>9.7800448904004078E-3</v>
      </c>
      <c r="H673" s="1067">
        <f t="shared" si="41"/>
        <v>6.1562240627075493E-3</v>
      </c>
      <c r="I673">
        <f t="shared" si="42"/>
        <v>123.8966314430651</v>
      </c>
    </row>
    <row r="674" spans="1:9" ht="20.100000000000001" customHeight="1">
      <c r="A674" s="563">
        <v>44076</v>
      </c>
      <c r="B674">
        <f t="shared" si="43"/>
        <v>298.9853528740162</v>
      </c>
      <c r="C674">
        <f t="shared" si="43"/>
        <v>172.06525849833685</v>
      </c>
      <c r="D674">
        <v>26.520000457763668</v>
      </c>
      <c r="E674" s="604">
        <v>12056.4404296875</v>
      </c>
      <c r="F674" s="748">
        <f t="shared" si="40"/>
        <v>-8.9743628470356551E-2</v>
      </c>
      <c r="G674" s="748">
        <f t="shared" si="40"/>
        <v>-4.9628314741983037E-2</v>
      </c>
      <c r="H674" s="1067">
        <f t="shared" si="41"/>
        <v>-4.0115313728373514E-2</v>
      </c>
      <c r="I674">
        <f t="shared" si="42"/>
        <v>126.92009437567935</v>
      </c>
    </row>
    <row r="675" spans="1:9" ht="20.100000000000001" customHeight="1">
      <c r="A675" s="563">
        <v>44077</v>
      </c>
      <c r="B675">
        <f t="shared" si="43"/>
        <v>272.15332244761203</v>
      </c>
      <c r="C675">
        <f t="shared" si="43"/>
        <v>163.5259496934207</v>
      </c>
      <c r="D675">
        <v>24.139999389648441</v>
      </c>
      <c r="E675" s="604">
        <v>11458.099609375</v>
      </c>
      <c r="F675" s="748">
        <f t="shared" si="40"/>
        <v>-2.5352093089993311E-2</v>
      </c>
      <c r="G675" s="748">
        <f t="shared" si="40"/>
        <v>-1.2652161484430269E-2</v>
      </c>
      <c r="H675" s="1067">
        <f t="shared" si="41"/>
        <v>-1.2699931605563042E-2</v>
      </c>
      <c r="I675">
        <f t="shared" si="42"/>
        <v>108.62737275419133</v>
      </c>
    </row>
    <row r="676" spans="1:9" ht="20.100000000000001" customHeight="1">
      <c r="A676" s="563">
        <v>44078</v>
      </c>
      <c r="B676">
        <f t="shared" si="43"/>
        <v>265.25366608216922</v>
      </c>
      <c r="C676">
        <f t="shared" si="43"/>
        <v>161.45699297100472</v>
      </c>
      <c r="D676">
        <v>23.527999877929691</v>
      </c>
      <c r="E676" s="604">
        <v>11313.1298828125</v>
      </c>
      <c r="F676" s="748">
        <f t="shared" si="40"/>
        <v>-1.8871142742444724E-2</v>
      </c>
      <c r="G676" s="748">
        <f t="shared" si="40"/>
        <v>-4.1141528290249751E-2</v>
      </c>
      <c r="H676" s="1067">
        <f t="shared" si="41"/>
        <v>2.2270385547805027E-2</v>
      </c>
      <c r="I676">
        <f t="shared" si="42"/>
        <v>103.79667311116449</v>
      </c>
    </row>
    <row r="677" spans="1:9" ht="20.100000000000001" customHeight="1">
      <c r="A677" s="563">
        <v>44082</v>
      </c>
      <c r="B677">
        <f t="shared" si="43"/>
        <v>260.24802628657585</v>
      </c>
      <c r="C677">
        <f t="shared" si="43"/>
        <v>154.81440552702946</v>
      </c>
      <c r="D677">
        <v>23.083999633789059</v>
      </c>
      <c r="E677" s="604">
        <v>10847.6904296875</v>
      </c>
      <c r="F677" s="748">
        <f t="shared" si="40"/>
        <v>1.4642230834467806E-2</v>
      </c>
      <c r="G677" s="748">
        <f t="shared" si="40"/>
        <v>2.7090479999387851E-2</v>
      </c>
      <c r="H677" s="1067">
        <f t="shared" si="41"/>
        <v>-1.2448249164920044E-2</v>
      </c>
      <c r="I677">
        <f t="shared" si="42"/>
        <v>105.43362075954639</v>
      </c>
    </row>
    <row r="678" spans="1:9" ht="20.100000000000001" customHeight="1">
      <c r="A678" s="563">
        <v>44083</v>
      </c>
      <c r="B678">
        <f t="shared" si="43"/>
        <v>264.05863796167853</v>
      </c>
      <c r="C678">
        <f t="shared" si="43"/>
        <v>159.00840208357658</v>
      </c>
      <c r="D678">
        <v>23.422000885009769</v>
      </c>
      <c r="E678" s="604">
        <v>11141.5595703125</v>
      </c>
      <c r="F678" s="748">
        <f t="shared" si="40"/>
        <v>-2.9887114476910837E-3</v>
      </c>
      <c r="G678" s="748">
        <f t="shared" si="40"/>
        <v>-1.9922680048667041E-2</v>
      </c>
      <c r="H678" s="1067">
        <f t="shared" si="41"/>
        <v>1.6933968600975957E-2</v>
      </c>
      <c r="I678">
        <f t="shared" si="42"/>
        <v>105.05023587810194</v>
      </c>
    </row>
    <row r="679" spans="1:9" ht="20.100000000000001" customHeight="1">
      <c r="A679" s="563">
        <v>44084</v>
      </c>
      <c r="B679">
        <f t="shared" si="43"/>
        <v>263.26944288754072</v>
      </c>
      <c r="C679">
        <f t="shared" si="43"/>
        <v>155.8405285638157</v>
      </c>
      <c r="D679">
        <v>23.351999282836911</v>
      </c>
      <c r="E679" s="604">
        <v>10919.58984375</v>
      </c>
      <c r="F679" s="748">
        <f t="shared" si="40"/>
        <v>-1.3617630004901238E-2</v>
      </c>
      <c r="G679" s="748">
        <f t="shared" si="40"/>
        <v>-6.0478497825904309E-3</v>
      </c>
      <c r="H679" s="1067">
        <f t="shared" si="41"/>
        <v>-7.5697802223108068E-3</v>
      </c>
      <c r="I679">
        <f t="shared" si="42"/>
        <v>107.42891432372502</v>
      </c>
    </row>
    <row r="680" spans="1:9" ht="20.100000000000001" customHeight="1">
      <c r="A680" s="563">
        <v>44085</v>
      </c>
      <c r="B680">
        <f t="shared" si="43"/>
        <v>259.6843370227017</v>
      </c>
      <c r="C680">
        <f t="shared" si="43"/>
        <v>154.89802845702224</v>
      </c>
      <c r="D680">
        <v>23.034000396728519</v>
      </c>
      <c r="E680" s="604">
        <v>10853.5498046875</v>
      </c>
      <c r="F680" s="748">
        <f t="shared" si="40"/>
        <v>2.4659150660996998E-2</v>
      </c>
      <c r="G680" s="748">
        <f t="shared" si="40"/>
        <v>1.8712825719911841E-2</v>
      </c>
      <c r="H680" s="1067">
        <f t="shared" si="41"/>
        <v>5.9463249410851571E-3</v>
      </c>
      <c r="I680">
        <f t="shared" si="42"/>
        <v>104.78630856567946</v>
      </c>
    </row>
    <row r="681" spans="1:9" ht="20.100000000000001" customHeight="1">
      <c r="A681" s="563">
        <v>44088</v>
      </c>
      <c r="B681">
        <f t="shared" si="43"/>
        <v>266.08793221364562</v>
      </c>
      <c r="C681">
        <f t="shared" si="43"/>
        <v>157.79660826789643</v>
      </c>
      <c r="D681">
        <v>23.601999282836911</v>
      </c>
      <c r="E681" s="604">
        <v>11056.650390625</v>
      </c>
      <c r="F681" s="748">
        <f t="shared" si="40"/>
        <v>1.6100376224976731E-3</v>
      </c>
      <c r="G681" s="748">
        <f t="shared" si="40"/>
        <v>1.2089549470456262E-2</v>
      </c>
      <c r="H681" s="1067">
        <f t="shared" si="41"/>
        <v>-1.0479511847958589E-2</v>
      </c>
      <c r="I681">
        <f t="shared" si="42"/>
        <v>108.29132394574918</v>
      </c>
    </row>
    <row r="682" spans="1:9" ht="20.100000000000001" customHeight="1">
      <c r="A682" s="563">
        <v>44089</v>
      </c>
      <c r="B682">
        <f t="shared" si="43"/>
        <v>266.51634379540218</v>
      </c>
      <c r="C682">
        <f t="shared" si="43"/>
        <v>159.70429816982139</v>
      </c>
      <c r="D682">
        <v>23.639999389648441</v>
      </c>
      <c r="E682" s="604">
        <v>11190.3203125</v>
      </c>
      <c r="F682" s="748">
        <f t="shared" si="40"/>
        <v>-1.0744488859599222E-2</v>
      </c>
      <c r="G682" s="748">
        <f t="shared" si="40"/>
        <v>-1.2497460486567302E-2</v>
      </c>
      <c r="H682" s="1067">
        <f t="shared" si="41"/>
        <v>1.7529716269680806E-3</v>
      </c>
      <c r="I682">
        <f t="shared" si="42"/>
        <v>106.81204562558079</v>
      </c>
    </row>
    <row r="683" spans="1:9" ht="20.100000000000001" customHeight="1">
      <c r="A683" s="563">
        <v>44090</v>
      </c>
      <c r="B683">
        <f t="shared" si="43"/>
        <v>263.65276190859134</v>
      </c>
      <c r="C683">
        <f t="shared" si="43"/>
        <v>157.70840001390908</v>
      </c>
      <c r="D683">
        <v>23.38599967956543</v>
      </c>
      <c r="E683" s="604">
        <v>11050.4697265625</v>
      </c>
      <c r="F683" s="748">
        <f t="shared" si="40"/>
        <v>-1.3512357353589244E-2</v>
      </c>
      <c r="G683" s="748">
        <f t="shared" si="40"/>
        <v>-1.2686289053217337E-2</v>
      </c>
      <c r="H683" s="1067">
        <f t="shared" si="41"/>
        <v>-8.2606830037190715E-4</v>
      </c>
      <c r="I683">
        <f t="shared" si="42"/>
        <v>105.94436189468226</v>
      </c>
    </row>
    <row r="684" spans="1:9" ht="20.100000000000001" customHeight="1">
      <c r="A684" s="563">
        <v>44091</v>
      </c>
      <c r="B684">
        <f t="shared" si="43"/>
        <v>260.0901915724217</v>
      </c>
      <c r="C684">
        <f t="shared" si="43"/>
        <v>155.7076656652122</v>
      </c>
      <c r="D684">
        <v>23.069999694824219</v>
      </c>
      <c r="E684" s="604">
        <v>10910.2802734375</v>
      </c>
      <c r="F684" s="748">
        <f t="shared" si="40"/>
        <v>1.673167250418417E-2</v>
      </c>
      <c r="G684" s="748">
        <f t="shared" si="40"/>
        <v>-1.0723830833645143E-2</v>
      </c>
      <c r="H684" s="1067">
        <f t="shared" si="41"/>
        <v>2.7455503337829312E-2</v>
      </c>
      <c r="I684">
        <f t="shared" si="42"/>
        <v>104.3825259072095</v>
      </c>
    </row>
    <row r="685" spans="1:9" ht="20.100000000000001" customHeight="1">
      <c r="A685" s="563">
        <v>44092</v>
      </c>
      <c r="B685">
        <f t="shared" si="43"/>
        <v>264.44193547936197</v>
      </c>
      <c r="C685">
        <f t="shared" si="43"/>
        <v>154.0378829991167</v>
      </c>
      <c r="D685">
        <v>23.455999374389648</v>
      </c>
      <c r="E685" s="604">
        <v>10793.2802734375</v>
      </c>
      <c r="F685" s="748">
        <f t="shared" si="40"/>
        <v>4.7749583072409507E-3</v>
      </c>
      <c r="G685" s="748">
        <f t="shared" si="40"/>
        <v>-1.3416188946410168E-3</v>
      </c>
      <c r="H685" s="1067">
        <f t="shared" si="41"/>
        <v>6.1165772018819675E-3</v>
      </c>
      <c r="I685">
        <f t="shared" si="42"/>
        <v>110.40405248024527</v>
      </c>
    </row>
    <row r="686" spans="1:9" ht="20.100000000000001" customHeight="1">
      <c r="A686" s="563">
        <v>44095</v>
      </c>
      <c r="B686">
        <f t="shared" si="43"/>
        <v>265.70463469596206</v>
      </c>
      <c r="C686">
        <f t="shared" si="43"/>
        <v>153.8312228647946</v>
      </c>
      <c r="D686">
        <v>23.568000793457031</v>
      </c>
      <c r="E686" s="604">
        <v>10778.7998046875</v>
      </c>
      <c r="F686" s="748">
        <f t="shared" si="40"/>
        <v>7.1282782553523383E-3</v>
      </c>
      <c r="G686" s="748">
        <f t="shared" si="40"/>
        <v>1.7148462454012359E-2</v>
      </c>
      <c r="H686" s="1067">
        <f t="shared" si="41"/>
        <v>-1.002018419866002E-2</v>
      </c>
      <c r="I686">
        <f t="shared" si="42"/>
        <v>111.87341183116746</v>
      </c>
    </row>
    <row r="687" spans="1:9" ht="20.100000000000001" customHeight="1">
      <c r="A687" s="563">
        <v>44096</v>
      </c>
      <c r="B687">
        <f t="shared" si="43"/>
        <v>267.59865126581161</v>
      </c>
      <c r="C687">
        <f t="shared" si="43"/>
        <v>156.46919181434635</v>
      </c>
      <c r="D687">
        <v>23.73600006103516</v>
      </c>
      <c r="E687" s="604">
        <v>10963.6396484375</v>
      </c>
      <c r="F687" s="748">
        <f t="shared" si="40"/>
        <v>-2.8732693157619837E-2</v>
      </c>
      <c r="G687" s="748">
        <f t="shared" si="40"/>
        <v>-3.0158726906864608E-2</v>
      </c>
      <c r="H687" s="1067">
        <f t="shared" si="41"/>
        <v>1.4260337492447706E-3</v>
      </c>
      <c r="I687">
        <f t="shared" si="42"/>
        <v>111.12945945146527</v>
      </c>
    </row>
    <row r="688" spans="1:9" ht="20.100000000000001" customHeight="1">
      <c r="A688" s="563">
        <v>44097</v>
      </c>
      <c r="B688">
        <f t="shared" si="43"/>
        <v>259.90982132959812</v>
      </c>
      <c r="C688">
        <f t="shared" si="43"/>
        <v>151.75028018907966</v>
      </c>
      <c r="D688">
        <v>23.054000854492191</v>
      </c>
      <c r="E688" s="604">
        <v>10632.990234375</v>
      </c>
      <c r="F688" s="748">
        <f t="shared" si="40"/>
        <v>1.9952947546011401E-3</v>
      </c>
      <c r="G688" s="748">
        <f t="shared" si="40"/>
        <v>3.694096957600479E-3</v>
      </c>
      <c r="H688" s="1067">
        <f t="shared" si="41"/>
        <v>-1.6988022029993388E-3</v>
      </c>
      <c r="I688">
        <f t="shared" si="42"/>
        <v>108.15954114051846</v>
      </c>
    </row>
    <row r="689" spans="1:9" ht="20.100000000000001" customHeight="1">
      <c r="A689" s="563">
        <v>44098</v>
      </c>
      <c r="B689">
        <f t="shared" si="43"/>
        <v>260.42841803276639</v>
      </c>
      <c r="C689">
        <f t="shared" si="43"/>
        <v>152.31086043744116</v>
      </c>
      <c r="D689">
        <v>23.10000038146973</v>
      </c>
      <c r="E689" s="604">
        <v>10672.26953125</v>
      </c>
      <c r="F689" s="748">
        <f t="shared" si="40"/>
        <v>1.1341953503134494E-2</v>
      </c>
      <c r="G689" s="748">
        <f t="shared" si="40"/>
        <v>2.2609065331040012E-2</v>
      </c>
      <c r="H689" s="1067">
        <f t="shared" si="41"/>
        <v>-1.1267111827905518E-2</v>
      </c>
      <c r="I689">
        <f t="shared" si="42"/>
        <v>108.11755759532522</v>
      </c>
    </row>
    <row r="690" spans="1:9" ht="20.100000000000001" customHeight="1">
      <c r="A690" s="563">
        <v>44099</v>
      </c>
      <c r="B690">
        <f t="shared" si="43"/>
        <v>263.38218504098887</v>
      </c>
      <c r="C690">
        <f t="shared" si="43"/>
        <v>155.75446663169819</v>
      </c>
      <c r="D690">
        <v>23.36199951171875</v>
      </c>
      <c r="E690" s="604">
        <v>10913.5595703125</v>
      </c>
      <c r="F690" s="748">
        <f t="shared" si="40"/>
        <v>4.2804718585653934E-3</v>
      </c>
      <c r="G690" s="748">
        <f t="shared" si="40"/>
        <v>1.8689658659109654E-2</v>
      </c>
      <c r="H690" s="1067">
        <f t="shared" si="41"/>
        <v>-1.440918680054426E-2</v>
      </c>
      <c r="I690">
        <f t="shared" si="42"/>
        <v>107.62771840929068</v>
      </c>
    </row>
    <row r="691" spans="1:9" ht="20.100000000000001" customHeight="1">
      <c r="A691" s="563">
        <v>44102</v>
      </c>
      <c r="B691">
        <f t="shared" si="43"/>
        <v>264.5095850721043</v>
      </c>
      <c r="C691">
        <f t="shared" si="43"/>
        <v>158.66546444767633</v>
      </c>
      <c r="D691">
        <v>23.46199989318848</v>
      </c>
      <c r="E691" s="604">
        <v>11117.5302734375</v>
      </c>
      <c r="F691" s="748">
        <f t="shared" si="40"/>
        <v>-1.7901209225870129E-3</v>
      </c>
      <c r="G691" s="748">
        <f t="shared" si="40"/>
        <v>-2.9035471587268713E-3</v>
      </c>
      <c r="H691" s="1067">
        <f t="shared" si="41"/>
        <v>1.1134262361398584E-3</v>
      </c>
      <c r="I691">
        <f t="shared" si="42"/>
        <v>105.84412062442797</v>
      </c>
    </row>
    <row r="692" spans="1:9" ht="20.100000000000001" customHeight="1">
      <c r="A692" s="563">
        <v>44103</v>
      </c>
      <c r="B692">
        <f t="shared" si="43"/>
        <v>264.03608092964191</v>
      </c>
      <c r="C692">
        <f t="shared" si="43"/>
        <v>158.2047717891912</v>
      </c>
      <c r="D692">
        <v>23.420000076293949</v>
      </c>
      <c r="E692" s="604">
        <v>11085.25</v>
      </c>
      <c r="F692" s="748">
        <f t="shared" si="40"/>
        <v>6.0632023015227965E-3</v>
      </c>
      <c r="G692" s="748">
        <f t="shared" si="40"/>
        <v>7.4206504702194476E-3</v>
      </c>
      <c r="H692" s="1067">
        <f t="shared" si="41"/>
        <v>-1.3574481686966511E-3</v>
      </c>
      <c r="I692">
        <f t="shared" si="42"/>
        <v>105.83130914045071</v>
      </c>
    </row>
    <row r="693" spans="1:9" ht="20.100000000000001" customHeight="1">
      <c r="A693" s="563">
        <v>44104</v>
      </c>
      <c r="B693">
        <f t="shared" si="43"/>
        <v>265.63698510321956</v>
      </c>
      <c r="C693">
        <f t="shared" si="43"/>
        <v>159.37875410335963</v>
      </c>
      <c r="D693">
        <v>23.5620002746582</v>
      </c>
      <c r="E693" s="604">
        <v>11167.509765625</v>
      </c>
      <c r="F693" s="748">
        <f t="shared" si="40"/>
        <v>2.071127055062516E-2</v>
      </c>
      <c r="G693" s="748">
        <f t="shared" si="40"/>
        <v>1.4237731001536469E-2</v>
      </c>
      <c r="H693" s="1067">
        <f t="shared" si="41"/>
        <v>6.4735395490886916E-3</v>
      </c>
      <c r="I693">
        <f t="shared" si="42"/>
        <v>106.25823099985993</v>
      </c>
    </row>
    <row r="694" spans="1:9" ht="20.100000000000001" customHeight="1">
      <c r="A694" s="563">
        <v>44105</v>
      </c>
      <c r="B694">
        <f t="shared" si="43"/>
        <v>271.13866456994475</v>
      </c>
      <c r="C694">
        <f t="shared" si="43"/>
        <v>161.64794593164328</v>
      </c>
      <c r="D694">
        <v>24.04999923706055</v>
      </c>
      <c r="E694" s="604">
        <v>11326.509765625</v>
      </c>
      <c r="F694" s="748">
        <f t="shared" si="40"/>
        <v>-3.2182960182965847E-2</v>
      </c>
      <c r="G694" s="748">
        <f t="shared" si="40"/>
        <v>-2.2203683180343159E-2</v>
      </c>
      <c r="H694" s="1067">
        <f t="shared" si="41"/>
        <v>-9.9792770026226885E-3</v>
      </c>
      <c r="I694">
        <f t="shared" si="42"/>
        <v>109.49071863830147</v>
      </c>
    </row>
    <row r="695" spans="1:9" ht="20.100000000000001" customHeight="1">
      <c r="A695" s="563">
        <v>44106</v>
      </c>
      <c r="B695">
        <f t="shared" si="43"/>
        <v>262.41261972402771</v>
      </c>
      <c r="C695">
        <f t="shared" si="43"/>
        <v>158.05876615342382</v>
      </c>
      <c r="D695">
        <v>23.275999069213871</v>
      </c>
      <c r="E695" s="604">
        <v>11075.01953125</v>
      </c>
      <c r="F695" s="748">
        <f t="shared" si="40"/>
        <v>2.328586294540802E-2</v>
      </c>
      <c r="G695" s="748">
        <f t="shared" si="40"/>
        <v>2.3247878019402535E-2</v>
      </c>
      <c r="H695" s="1067">
        <f t="shared" si="41"/>
        <v>3.798492600548542E-5</v>
      </c>
      <c r="I695">
        <f t="shared" si="42"/>
        <v>104.35385357060389</v>
      </c>
    </row>
    <row r="696" spans="1:9" ht="20.100000000000001" customHeight="1">
      <c r="A696" s="563">
        <v>44109</v>
      </c>
      <c r="B696">
        <f t="shared" si="43"/>
        <v>268.5231240220669</v>
      </c>
      <c r="C696">
        <f t="shared" si="43"/>
        <v>161.73329706885588</v>
      </c>
      <c r="D696">
        <v>23.818000793457031</v>
      </c>
      <c r="E696" s="604">
        <v>11332.490234375</v>
      </c>
      <c r="F696" s="748">
        <f t="shared" si="40"/>
        <v>-6.6336779234773546E-3</v>
      </c>
      <c r="G696" s="748">
        <f t="shared" si="40"/>
        <v>-1.5697399364210551E-2</v>
      </c>
      <c r="H696" s="1067">
        <f t="shared" si="41"/>
        <v>9.0637214407331967E-3</v>
      </c>
      <c r="I696">
        <f t="shared" si="42"/>
        <v>106.78982695321102</v>
      </c>
    </row>
    <row r="697" spans="1:9" ht="20.100000000000001" customHeight="1">
      <c r="A697" s="563">
        <v>44110</v>
      </c>
      <c r="B697">
        <f t="shared" si="43"/>
        <v>266.74182810229854</v>
      </c>
      <c r="C697">
        <f t="shared" si="43"/>
        <v>159.19450491427554</v>
      </c>
      <c r="D697">
        <v>23.659999847412109</v>
      </c>
      <c r="E697" s="604">
        <v>11154.599609375</v>
      </c>
      <c r="F697" s="748">
        <f t="shared" si="40"/>
        <v>2.0202901265928164E-2</v>
      </c>
      <c r="G697" s="748">
        <f t="shared" si="40"/>
        <v>1.8826314467038641E-2</v>
      </c>
      <c r="H697" s="1067">
        <f t="shared" si="41"/>
        <v>1.3765867988895231E-3</v>
      </c>
      <c r="I697">
        <f t="shared" si="42"/>
        <v>107.547323188023</v>
      </c>
    </row>
    <row r="698" spans="1:9" ht="20.100000000000001" customHeight="1">
      <c r="A698" s="563">
        <v>44111</v>
      </c>
      <c r="B698">
        <f t="shared" si="43"/>
        <v>272.13078691894248</v>
      </c>
      <c r="C698">
        <f t="shared" si="43"/>
        <v>162.19155072521622</v>
      </c>
      <c r="D698">
        <v>24.13800048828125</v>
      </c>
      <c r="E698" s="604">
        <v>11364.599609375</v>
      </c>
      <c r="F698" s="748">
        <f t="shared" si="40"/>
        <v>7.8713490291468791E-3</v>
      </c>
      <c r="G698" s="748">
        <f t="shared" si="40"/>
        <v>4.9610950946736843E-3</v>
      </c>
      <c r="H698" s="1067">
        <f t="shared" si="41"/>
        <v>2.9102539344731948E-3</v>
      </c>
      <c r="I698">
        <f t="shared" si="42"/>
        <v>109.93923619372626</v>
      </c>
    </row>
    <row r="699" spans="1:9" ht="20.100000000000001" customHeight="1">
      <c r="A699" s="563">
        <v>44112</v>
      </c>
      <c r="B699">
        <f t="shared" si="43"/>
        <v>274.27282332435789</v>
      </c>
      <c r="C699">
        <f t="shared" si="43"/>
        <v>162.99619843191661</v>
      </c>
      <c r="D699">
        <v>24.327999114990231</v>
      </c>
      <c r="E699" s="604">
        <v>11420.98046875</v>
      </c>
      <c r="F699" s="748">
        <f t="shared" si="40"/>
        <v>3.7323289176109942E-2</v>
      </c>
      <c r="G699" s="748">
        <f t="shared" si="40"/>
        <v>1.3918241202884873E-2</v>
      </c>
      <c r="H699" s="1067">
        <f t="shared" si="41"/>
        <v>2.3405047973225068E-2</v>
      </c>
      <c r="I699">
        <f t="shared" si="42"/>
        <v>111.27662489244128</v>
      </c>
    </row>
    <row r="700" spans="1:9" ht="20.100000000000001" customHeight="1">
      <c r="A700" s="563">
        <v>44113</v>
      </c>
      <c r="B700">
        <f t="shared" si="43"/>
        <v>284.50958722244098</v>
      </c>
      <c r="C700">
        <f t="shared" si="43"/>
        <v>165.26481883684531</v>
      </c>
      <c r="D700">
        <v>25.23600006103516</v>
      </c>
      <c r="E700" s="604">
        <v>11579.9404296875</v>
      </c>
      <c r="F700" s="748">
        <f t="shared" si="40"/>
        <v>2.1397963499472317E-2</v>
      </c>
      <c r="G700" s="748">
        <f t="shared" si="40"/>
        <v>2.5589020749867242E-2</v>
      </c>
      <c r="H700" s="1067">
        <f t="shared" si="41"/>
        <v>-4.191057250394925E-3</v>
      </c>
      <c r="I700">
        <f t="shared" si="42"/>
        <v>119.24476838559568</v>
      </c>
    </row>
    <row r="701" spans="1:9" ht="20.100000000000001" customHeight="1">
      <c r="A701" s="563">
        <v>44116</v>
      </c>
      <c r="B701">
        <f t="shared" si="43"/>
        <v>290.59751298507672</v>
      </c>
      <c r="C701">
        <f t="shared" si="43"/>
        <v>169.49378371528439</v>
      </c>
      <c r="D701">
        <v>25.775999069213871</v>
      </c>
      <c r="E701" s="604">
        <v>11876.259765625</v>
      </c>
      <c r="F701" s="748">
        <f t="shared" si="40"/>
        <v>1.342336607235417E-2</v>
      </c>
      <c r="G701" s="748">
        <f t="shared" si="40"/>
        <v>-1.0406790726970039E-3</v>
      </c>
      <c r="H701" s="1067">
        <f t="shared" si="41"/>
        <v>1.4464045145051174E-2</v>
      </c>
      <c r="I701">
        <f t="shared" si="42"/>
        <v>121.10372926979232</v>
      </c>
    </row>
    <row r="702" spans="1:9" ht="20.100000000000001" customHeight="1">
      <c r="A702" s="563">
        <v>44117</v>
      </c>
      <c r="B702">
        <f t="shared" si="43"/>
        <v>294.4983097815911</v>
      </c>
      <c r="C702">
        <f t="shared" si="43"/>
        <v>169.31739508161968</v>
      </c>
      <c r="D702">
        <v>26.121999740600589</v>
      </c>
      <c r="E702" s="604">
        <v>11863.900390625</v>
      </c>
      <c r="F702" s="748">
        <f t="shared" si="40"/>
        <v>-3.5984941277217297E-3</v>
      </c>
      <c r="G702" s="748">
        <f t="shared" si="40"/>
        <v>-8.0218072254049089E-3</v>
      </c>
      <c r="H702" s="1067">
        <f t="shared" si="41"/>
        <v>4.4233130976831792E-3</v>
      </c>
      <c r="I702">
        <f t="shared" si="42"/>
        <v>125.18091469997142</v>
      </c>
    </row>
    <row r="703" spans="1:9" ht="20.100000000000001" customHeight="1">
      <c r="A703" s="563">
        <v>44118</v>
      </c>
      <c r="B703">
        <f t="shared" si="43"/>
        <v>293.43855934321806</v>
      </c>
      <c r="C703">
        <f t="shared" si="43"/>
        <v>167.9591635783672</v>
      </c>
      <c r="D703">
        <v>26.027999877929691</v>
      </c>
      <c r="E703" s="604">
        <v>11768.73046875</v>
      </c>
      <c r="F703" s="748">
        <f t="shared" si="40"/>
        <v>1.2371311858391243E-2</v>
      </c>
      <c r="G703" s="748">
        <f t="shared" si="40"/>
        <v>-4.6615352189578463E-3</v>
      </c>
      <c r="H703" s="1067">
        <f t="shared" si="41"/>
        <v>1.7032847077349089E-2</v>
      </c>
      <c r="I703">
        <f t="shared" si="42"/>
        <v>125.47939576485086</v>
      </c>
    </row>
    <row r="704" spans="1:9" ht="20.100000000000001" customHeight="1">
      <c r="A704" s="563">
        <v>44119</v>
      </c>
      <c r="B704">
        <f t="shared" si="43"/>
        <v>297.06877927213003</v>
      </c>
      <c r="C704">
        <f t="shared" si="43"/>
        <v>167.17621602199995</v>
      </c>
      <c r="D704">
        <v>26.35000038146973</v>
      </c>
      <c r="E704" s="604">
        <v>11713.8701171875</v>
      </c>
      <c r="F704" s="748">
        <f t="shared" si="40"/>
        <v>-1.5939209216887518E-3</v>
      </c>
      <c r="G704" s="748">
        <f t="shared" si="40"/>
        <v>-3.612004098706767E-3</v>
      </c>
      <c r="H704" s="1067">
        <f t="shared" si="41"/>
        <v>2.0180831770180152E-3</v>
      </c>
      <c r="I704">
        <f t="shared" si="42"/>
        <v>129.89256325013008</v>
      </c>
    </row>
    <row r="705" spans="1:9" ht="20.100000000000001" customHeight="1">
      <c r="A705" s="563">
        <v>44120</v>
      </c>
      <c r="B705">
        <f t="shared" si="43"/>
        <v>296.59527512966764</v>
      </c>
      <c r="C705">
        <f t="shared" si="43"/>
        <v>166.57237484452219</v>
      </c>
      <c r="D705">
        <v>26.308000564575199</v>
      </c>
      <c r="E705" s="604">
        <v>11671.5595703125</v>
      </c>
      <c r="F705" s="748">
        <f t="shared" si="40"/>
        <v>-2.0678144060209513E-2</v>
      </c>
      <c r="G705" s="748">
        <f t="shared" si="40"/>
        <v>-1.6508478266271776E-2</v>
      </c>
      <c r="H705" s="1067">
        <f t="shared" si="41"/>
        <v>-4.169665793937738E-3</v>
      </c>
      <c r="I705">
        <f t="shared" si="42"/>
        <v>130.02290028514545</v>
      </c>
    </row>
    <row r="706" spans="1:9" ht="20.100000000000001" customHeight="1">
      <c r="A706" s="563">
        <v>44123</v>
      </c>
      <c r="B706">
        <f t="shared" si="43"/>
        <v>290.4622353029589</v>
      </c>
      <c r="C706">
        <f t="shared" si="43"/>
        <v>163.82251841464011</v>
      </c>
      <c r="D706">
        <v>25.76399993896484</v>
      </c>
      <c r="E706" s="604">
        <v>11478.8798828125</v>
      </c>
      <c r="F706" s="748">
        <f t="shared" si="40"/>
        <v>2.8722239282380047E-2</v>
      </c>
      <c r="G706" s="748">
        <f t="shared" si="40"/>
        <v>3.2764827183890954E-3</v>
      </c>
      <c r="H706" s="1067">
        <f t="shared" si="41"/>
        <v>2.5445756563990951E-2</v>
      </c>
      <c r="I706">
        <f t="shared" si="42"/>
        <v>126.63971688831879</v>
      </c>
    </row>
    <row r="707" spans="1:9" ht="20.100000000000001" customHeight="1">
      <c r="A707" s="563">
        <v>44124</v>
      </c>
      <c r="B707">
        <f t="shared" si="43"/>
        <v>298.80496112782549</v>
      </c>
      <c r="C707">
        <f t="shared" si="43"/>
        <v>164.35928006510866</v>
      </c>
      <c r="D707">
        <v>26.503999710083011</v>
      </c>
      <c r="E707" s="604">
        <v>11516.490234375</v>
      </c>
      <c r="F707" s="748">
        <f t="shared" ref="F707:G770" si="44">D708/D707-1</f>
        <v>-1.9166896533460265E-2</v>
      </c>
      <c r="G707" s="748">
        <f t="shared" si="44"/>
        <v>-2.7612409718876796E-3</v>
      </c>
      <c r="H707" s="1067">
        <f t="shared" ref="H707:H770" si="45">F707-G707</f>
        <v>-1.6405655561572585E-2</v>
      </c>
      <c r="I707">
        <f t="shared" ref="I707:I770" si="46">B707-C707</f>
        <v>134.44568106271683</v>
      </c>
    </row>
    <row r="708" spans="1:9" ht="20.100000000000001" customHeight="1">
      <c r="A708" s="563">
        <v>44125</v>
      </c>
      <c r="B708">
        <f t="shared" ref="B708:C771" si="47">B707*(1+F707)</f>
        <v>293.07779735420382</v>
      </c>
      <c r="C708">
        <f t="shared" si="47"/>
        <v>163.90544448688291</v>
      </c>
      <c r="D708">
        <v>25.996000289916989</v>
      </c>
      <c r="E708" s="604">
        <v>11484.6904296875</v>
      </c>
      <c r="F708" s="748">
        <f t="shared" si="44"/>
        <v>-1.4002166347711342E-2</v>
      </c>
      <c r="G708" s="748">
        <f t="shared" si="44"/>
        <v>1.8563265651803107E-3</v>
      </c>
      <c r="H708" s="1067">
        <f t="shared" si="45"/>
        <v>-1.5858492912891653E-2</v>
      </c>
      <c r="I708">
        <f t="shared" si="46"/>
        <v>129.17235286732091</v>
      </c>
    </row>
    <row r="709" spans="1:9" ht="20.100000000000001" customHeight="1">
      <c r="A709" s="563">
        <v>44126</v>
      </c>
      <c r="B709">
        <f t="shared" si="47"/>
        <v>288.97407328282941</v>
      </c>
      <c r="C709">
        <f t="shared" si="47"/>
        <v>164.2097065176616</v>
      </c>
      <c r="D709">
        <v>25.631999969482418</v>
      </c>
      <c r="E709" s="604">
        <v>11506.009765625</v>
      </c>
      <c r="F709" s="748">
        <f t="shared" si="44"/>
        <v>1.7322106923738367E-2</v>
      </c>
      <c r="G709" s="748">
        <f t="shared" si="44"/>
        <v>3.6737764588716804E-3</v>
      </c>
      <c r="H709" s="1067">
        <f t="shared" si="45"/>
        <v>1.3648330464866687E-2</v>
      </c>
      <c r="I709">
        <f t="shared" si="46"/>
        <v>124.76436676516781</v>
      </c>
    </row>
    <row r="710" spans="1:9" ht="20.100000000000001" customHeight="1">
      <c r="A710" s="563">
        <v>44127</v>
      </c>
      <c r="B710">
        <f t="shared" si="47"/>
        <v>293.97971307842278</v>
      </c>
      <c r="C710">
        <f t="shared" si="47"/>
        <v>164.81297627178441</v>
      </c>
      <c r="D710">
        <v>26.07600021362305</v>
      </c>
      <c r="E710" s="604">
        <v>11548.2802734375</v>
      </c>
      <c r="F710" s="748">
        <f t="shared" si="44"/>
        <v>-5.5223213769775681E-2</v>
      </c>
      <c r="G710" s="748">
        <f t="shared" si="44"/>
        <v>-1.6395501257923661E-2</v>
      </c>
      <c r="H710" s="1067">
        <f t="shared" si="45"/>
        <v>-3.8827712511852019E-2</v>
      </c>
      <c r="I710">
        <f t="shared" si="46"/>
        <v>129.16673680663837</v>
      </c>
    </row>
    <row r="711" spans="1:9" ht="20.100000000000001" customHeight="1">
      <c r="A711" s="563">
        <v>44130</v>
      </c>
      <c r="B711">
        <f t="shared" si="47"/>
        <v>277.74520853911571</v>
      </c>
      <c r="C711">
        <f t="shared" si="47"/>
        <v>162.11078491199822</v>
      </c>
      <c r="D711">
        <v>24.63599967956543</v>
      </c>
      <c r="E711" s="604">
        <v>11358.9404296875</v>
      </c>
      <c r="F711" s="748">
        <f t="shared" si="44"/>
        <v>8.524151426884341E-3</v>
      </c>
      <c r="G711" s="748">
        <f t="shared" si="44"/>
        <v>6.374642083539106E-3</v>
      </c>
      <c r="H711" s="1067">
        <f t="shared" si="45"/>
        <v>2.149509343345235E-3</v>
      </c>
      <c r="I711">
        <f t="shared" si="46"/>
        <v>115.63442362711749</v>
      </c>
    </row>
    <row r="712" spans="1:9" ht="20.100000000000001" customHeight="1">
      <c r="A712" s="563">
        <v>44131</v>
      </c>
      <c r="B712">
        <f t="shared" si="47"/>
        <v>280.11275075479472</v>
      </c>
      <c r="C712">
        <f t="shared" si="47"/>
        <v>163.14418314369379</v>
      </c>
      <c r="D712">
        <v>24.846000671386719</v>
      </c>
      <c r="E712" s="604">
        <v>11431.349609375</v>
      </c>
      <c r="F712" s="748">
        <f t="shared" si="44"/>
        <v>-4.2501800182091043E-2</v>
      </c>
      <c r="G712" s="748">
        <f t="shared" si="44"/>
        <v>-3.7307886361706455E-2</v>
      </c>
      <c r="H712" s="1067">
        <f t="shared" si="45"/>
        <v>-5.193913820384588E-3</v>
      </c>
      <c r="I712">
        <f t="shared" si="46"/>
        <v>116.96856761110092</v>
      </c>
    </row>
    <row r="713" spans="1:9" ht="20.100000000000001" customHeight="1">
      <c r="A713" s="563">
        <v>44132</v>
      </c>
      <c r="B713">
        <f t="shared" si="47"/>
        <v>268.20745459375854</v>
      </c>
      <c r="C713">
        <f t="shared" si="47"/>
        <v>157.05761849839544</v>
      </c>
      <c r="D713">
        <v>23.79000091552734</v>
      </c>
      <c r="E713" s="604">
        <v>11004.8701171875</v>
      </c>
      <c r="F713" s="748">
        <f t="shared" si="44"/>
        <v>-7.9865711116303695E-3</v>
      </c>
      <c r="G713" s="748">
        <f t="shared" si="44"/>
        <v>1.642179549945344E-2</v>
      </c>
      <c r="H713" s="1067">
        <f t="shared" si="45"/>
        <v>-2.4408366611083809E-2</v>
      </c>
      <c r="I713">
        <f t="shared" si="46"/>
        <v>111.1498360953631</v>
      </c>
    </row>
    <row r="714" spans="1:9" ht="20.100000000000001" customHeight="1">
      <c r="A714" s="563">
        <v>44133</v>
      </c>
      <c r="B714">
        <f t="shared" si="47"/>
        <v>266.06539668497612</v>
      </c>
      <c r="C714">
        <f t="shared" si="47"/>
        <v>159.63678659100728</v>
      </c>
      <c r="D714">
        <v>23.60000038146973</v>
      </c>
      <c r="E714" s="604">
        <v>11185.58984375</v>
      </c>
      <c r="F714" s="748">
        <f t="shared" si="44"/>
        <v>-6.4661057283739942E-2</v>
      </c>
      <c r="G714" s="748">
        <f t="shared" si="44"/>
        <v>-2.4495802530529853E-2</v>
      </c>
      <c r="H714" s="1067">
        <f t="shared" si="45"/>
        <v>-4.0165254753210089E-2</v>
      </c>
      <c r="I714">
        <f t="shared" si="46"/>
        <v>106.42861009396884</v>
      </c>
    </row>
    <row r="715" spans="1:9" ht="20.100000000000001" customHeight="1">
      <c r="A715" s="563">
        <v>44134</v>
      </c>
      <c r="B715">
        <f t="shared" si="47"/>
        <v>248.86132682870789</v>
      </c>
      <c r="C715">
        <f t="shared" si="47"/>
        <v>155.72635539006563</v>
      </c>
      <c r="D715">
        <v>22.07399940490723</v>
      </c>
      <c r="E715" s="604">
        <v>10911.58984375</v>
      </c>
      <c r="F715" s="748">
        <f t="shared" si="44"/>
        <v>1.9933236747560201E-3</v>
      </c>
      <c r="G715" s="748">
        <f t="shared" si="44"/>
        <v>4.2175804325030875E-3</v>
      </c>
      <c r="H715" s="1067">
        <f t="shared" si="45"/>
        <v>-2.2242567577470673E-3</v>
      </c>
      <c r="I715">
        <f t="shared" si="46"/>
        <v>93.134971438642253</v>
      </c>
    </row>
    <row r="716" spans="1:9" ht="20.100000000000001" customHeight="1">
      <c r="A716" s="563">
        <v>44137</v>
      </c>
      <c r="B716">
        <f t="shared" si="47"/>
        <v>249.35738800320675</v>
      </c>
      <c r="C716">
        <f t="shared" si="47"/>
        <v>156.3831438193838</v>
      </c>
      <c r="D716">
        <v>22.118000030517582</v>
      </c>
      <c r="E716" s="604">
        <v>10957.6103515625</v>
      </c>
      <c r="F716" s="748">
        <f t="shared" si="44"/>
        <v>1.6457198658664129E-2</v>
      </c>
      <c r="G716" s="748">
        <f t="shared" si="44"/>
        <v>1.8522283091455094E-2</v>
      </c>
      <c r="H716" s="1067">
        <f t="shared" si="45"/>
        <v>-2.0650844327909645E-3</v>
      </c>
      <c r="I716">
        <f t="shared" si="46"/>
        <v>92.974244183822947</v>
      </c>
    </row>
    <row r="717" spans="1:9" ht="20.100000000000001" customHeight="1">
      <c r="A717" s="563">
        <v>44138</v>
      </c>
      <c r="B717">
        <f t="shared" si="47"/>
        <v>253.46111207458111</v>
      </c>
      <c r="C717">
        <f t="shared" si="47"/>
        <v>159.27971667993816</v>
      </c>
      <c r="D717">
        <v>22.482000350952148</v>
      </c>
      <c r="E717" s="604">
        <v>11160.5703125</v>
      </c>
      <c r="F717" s="748">
        <f t="shared" si="44"/>
        <v>3.4071649691954198E-2</v>
      </c>
      <c r="G717" s="748">
        <f t="shared" si="44"/>
        <v>3.8547309760295967E-2</v>
      </c>
      <c r="H717" s="1067">
        <f t="shared" si="45"/>
        <v>-4.4756600683417691E-3</v>
      </c>
      <c r="I717">
        <f t="shared" si="46"/>
        <v>94.181395394642948</v>
      </c>
    </row>
    <row r="718" spans="1:9" ht="20.100000000000001" customHeight="1">
      <c r="A718" s="563">
        <v>44139</v>
      </c>
      <c r="B718">
        <f t="shared" si="47"/>
        <v>262.09695029571935</v>
      </c>
      <c r="C718">
        <f t="shared" si="47"/>
        <v>165.41952125733192</v>
      </c>
      <c r="D718">
        <v>23.24799919128418</v>
      </c>
      <c r="E718" s="604">
        <v>11590.7802734375</v>
      </c>
      <c r="F718" s="748">
        <f t="shared" si="44"/>
        <v>2.8131506310749455E-2</v>
      </c>
      <c r="G718" s="748">
        <f t="shared" si="44"/>
        <v>2.5895531360416779E-2</v>
      </c>
      <c r="H718" s="1067">
        <f t="shared" si="45"/>
        <v>2.2359749503326753E-3</v>
      </c>
      <c r="I718">
        <f t="shared" si="46"/>
        <v>96.67742903838743</v>
      </c>
    </row>
    <row r="719" spans="1:9" ht="20.100000000000001" customHeight="1">
      <c r="A719" s="563">
        <v>44140</v>
      </c>
      <c r="B719">
        <f t="shared" si="47"/>
        <v>269.47013230699156</v>
      </c>
      <c r="C719">
        <f t="shared" si="47"/>
        <v>169.70314765767628</v>
      </c>
      <c r="D719">
        <v>23.90200042724609</v>
      </c>
      <c r="E719" s="604">
        <v>11890.9296875</v>
      </c>
      <c r="F719" s="748">
        <f t="shared" si="44"/>
        <v>-1.9245292594712304E-2</v>
      </c>
      <c r="G719" s="748">
        <f t="shared" si="44"/>
        <v>3.6168587007301412E-4</v>
      </c>
      <c r="H719" s="1067">
        <f t="shared" si="45"/>
        <v>-1.9606978464785318E-2</v>
      </c>
      <c r="I719">
        <f t="shared" si="46"/>
        <v>99.766984649315276</v>
      </c>
    </row>
    <row r="720" spans="1:9" ht="20.100000000000001" customHeight="1">
      <c r="A720" s="563">
        <v>44141</v>
      </c>
      <c r="B720">
        <f t="shared" si="47"/>
        <v>264.28410076520765</v>
      </c>
      <c r="C720">
        <f t="shared" si="47"/>
        <v>169.76452688829099</v>
      </c>
      <c r="D720">
        <v>23.441999435424801</v>
      </c>
      <c r="E720" s="604">
        <v>11895.23046875</v>
      </c>
      <c r="F720" s="748">
        <f t="shared" si="44"/>
        <v>-8.5310770824487125E-4</v>
      </c>
      <c r="G720" s="748">
        <f t="shared" si="44"/>
        <v>-1.5254029401884139E-2</v>
      </c>
      <c r="H720" s="1067">
        <f t="shared" si="45"/>
        <v>1.4400921693639268E-2</v>
      </c>
      <c r="I720">
        <f t="shared" si="46"/>
        <v>94.519573876916667</v>
      </c>
    </row>
    <row r="721" spans="1:9" ht="20.100000000000001" customHeight="1">
      <c r="A721" s="563">
        <v>44144</v>
      </c>
      <c r="B721">
        <f t="shared" si="47"/>
        <v>264.0586379616783</v>
      </c>
      <c r="C721">
        <f t="shared" si="47"/>
        <v>167.17493380374003</v>
      </c>
      <c r="D721">
        <v>23.422000885009769</v>
      </c>
      <c r="E721" s="604">
        <v>11713.7802734375</v>
      </c>
      <c r="F721" s="748">
        <f t="shared" si="44"/>
        <v>-4.961150252844615E-2</v>
      </c>
      <c r="G721" s="748">
        <f t="shared" si="44"/>
        <v>-1.3652289708527277E-2</v>
      </c>
      <c r="H721" s="1067">
        <f t="shared" si="45"/>
        <v>-3.5959212819918873E-2</v>
      </c>
      <c r="I721">
        <f t="shared" si="46"/>
        <v>96.883704157938269</v>
      </c>
    </row>
    <row r="722" spans="1:9" ht="20.100000000000001" customHeight="1">
      <c r="A722" s="563">
        <v>44145</v>
      </c>
      <c r="B722">
        <f t="shared" si="47"/>
        <v>250.95829217678445</v>
      </c>
      <c r="C722">
        <f t="shared" si="47"/>
        <v>164.89261317544751</v>
      </c>
      <c r="D722">
        <v>22.260000228881839</v>
      </c>
      <c r="E722" s="604">
        <v>11553.8603515625</v>
      </c>
      <c r="F722" s="748">
        <f t="shared" si="44"/>
        <v>2.9559704938481701E-2</v>
      </c>
      <c r="G722" s="748">
        <f t="shared" si="44"/>
        <v>2.0129145485651367E-2</v>
      </c>
      <c r="H722" s="1067">
        <f t="shared" si="45"/>
        <v>9.4305594528303338E-3</v>
      </c>
      <c r="I722">
        <f t="shared" si="46"/>
        <v>86.065679001336946</v>
      </c>
    </row>
    <row r="723" spans="1:9" ht="20.100000000000001" customHeight="1">
      <c r="A723" s="563">
        <v>44146</v>
      </c>
      <c r="B723">
        <f t="shared" si="47"/>
        <v>258.3765452453955</v>
      </c>
      <c r="C723">
        <f t="shared" si="47"/>
        <v>168.21176057556534</v>
      </c>
      <c r="D723">
        <v>22.917999267578121</v>
      </c>
      <c r="E723" s="604">
        <v>11786.4296875</v>
      </c>
      <c r="F723" s="748">
        <f t="shared" si="44"/>
        <v>-8.6394956170429138E-3</v>
      </c>
      <c r="G723" s="748">
        <f t="shared" si="44"/>
        <v>-6.5193485887835578E-3</v>
      </c>
      <c r="H723" s="1067">
        <f t="shared" si="45"/>
        <v>-2.120147028259356E-3</v>
      </c>
      <c r="I723">
        <f t="shared" si="46"/>
        <v>90.164784669830169</v>
      </c>
    </row>
    <row r="724" spans="1:9" ht="20.100000000000001" customHeight="1">
      <c r="A724" s="563">
        <v>44147</v>
      </c>
      <c r="B724">
        <f t="shared" si="47"/>
        <v>256.14430221520121</v>
      </c>
      <c r="C724">
        <f t="shared" si="47"/>
        <v>167.11512947164022</v>
      </c>
      <c r="D724">
        <v>22.719999313354489</v>
      </c>
      <c r="E724" s="604">
        <v>11709.58984375</v>
      </c>
      <c r="F724" s="748">
        <f t="shared" si="44"/>
        <v>2.0422566722155144E-2</v>
      </c>
      <c r="G724" s="748">
        <f t="shared" si="44"/>
        <v>1.0222407181613713E-2</v>
      </c>
      <c r="H724" s="1067">
        <f t="shared" si="45"/>
        <v>1.0200159540541431E-2</v>
      </c>
      <c r="I724">
        <f t="shared" si="46"/>
        <v>89.029172743560991</v>
      </c>
    </row>
    <row r="725" spans="1:9" ht="20.100000000000001" customHeight="1">
      <c r="A725" s="563">
        <v>44148</v>
      </c>
      <c r="B725">
        <f t="shared" si="47"/>
        <v>261.37542631769105</v>
      </c>
      <c r="C725">
        <f t="shared" si="47"/>
        <v>168.82344837130742</v>
      </c>
      <c r="D725">
        <v>23.184000015258789</v>
      </c>
      <c r="E725" s="604">
        <v>11829.2900390625</v>
      </c>
      <c r="F725" s="748">
        <f t="shared" si="44"/>
        <v>6.9013046629919916E-3</v>
      </c>
      <c r="G725" s="748">
        <f t="shared" si="44"/>
        <v>8.0173741143230171E-3</v>
      </c>
      <c r="H725" s="1067">
        <f t="shared" si="45"/>
        <v>-1.1160694513310254E-3</v>
      </c>
      <c r="I725">
        <f t="shared" si="46"/>
        <v>92.55197794638363</v>
      </c>
    </row>
    <row r="726" spans="1:9" ht="20.100000000000001" customHeight="1">
      <c r="A726" s="563">
        <v>44151</v>
      </c>
      <c r="B726">
        <f t="shared" si="47"/>
        <v>263.17925776612884</v>
      </c>
      <c r="C726">
        <f t="shared" si="47"/>
        <v>170.17696911617028</v>
      </c>
      <c r="D726">
        <v>23.343999862670898</v>
      </c>
      <c r="E726" s="604">
        <v>11924.1298828125</v>
      </c>
      <c r="F726" s="748">
        <f t="shared" si="44"/>
        <v>1.4564777012853858E-2</v>
      </c>
      <c r="G726" s="748">
        <f t="shared" si="44"/>
        <v>-2.0789809660017866E-3</v>
      </c>
      <c r="H726" s="1067">
        <f t="shared" si="45"/>
        <v>1.6643757978855644E-2</v>
      </c>
      <c r="I726">
        <f t="shared" si="46"/>
        <v>93.002288649958558</v>
      </c>
    </row>
    <row r="727" spans="1:9" ht="20.100000000000001" customHeight="1">
      <c r="A727" s="563">
        <v>44152</v>
      </c>
      <c r="B727">
        <f t="shared" si="47"/>
        <v>267.0124049699009</v>
      </c>
      <c r="C727">
        <f t="shared" si="47"/>
        <v>169.8231744365259</v>
      </c>
      <c r="D727">
        <v>23.684000015258789</v>
      </c>
      <c r="E727" s="604">
        <v>11899.33984375</v>
      </c>
      <c r="F727" s="748">
        <f t="shared" si="44"/>
        <v>-1.4693445892995483E-2</v>
      </c>
      <c r="G727" s="748">
        <f t="shared" si="44"/>
        <v>-8.2139207433710171E-3</v>
      </c>
      <c r="H727" s="1067">
        <f t="shared" si="45"/>
        <v>-6.4795251496244655E-3</v>
      </c>
      <c r="I727">
        <f t="shared" si="46"/>
        <v>97.189230533374996</v>
      </c>
    </row>
    <row r="728" spans="1:9" ht="20.100000000000001" customHeight="1">
      <c r="A728" s="563">
        <v>44153</v>
      </c>
      <c r="B728">
        <f t="shared" si="47"/>
        <v>263.08907264471708</v>
      </c>
      <c r="C728">
        <f t="shared" si="47"/>
        <v>168.42826034131662</v>
      </c>
      <c r="D728">
        <v>23.336000442504879</v>
      </c>
      <c r="E728" s="604">
        <v>11801.599609375</v>
      </c>
      <c r="F728" s="748">
        <f t="shared" si="44"/>
        <v>2.9996440476887098E-3</v>
      </c>
      <c r="G728" s="748">
        <f t="shared" si="44"/>
        <v>8.7369810004900295E-3</v>
      </c>
      <c r="H728" s="1067">
        <f t="shared" si="45"/>
        <v>-5.7373369528013196E-3</v>
      </c>
      <c r="I728">
        <f t="shared" si="46"/>
        <v>94.660812303400462</v>
      </c>
    </row>
    <row r="729" spans="1:9" ht="20.100000000000001" customHeight="1">
      <c r="A729" s="563">
        <v>44154</v>
      </c>
      <c r="B729">
        <f t="shared" si="47"/>
        <v>263.87824621548776</v>
      </c>
      <c r="C729">
        <f t="shared" si="47"/>
        <v>169.89981485186428</v>
      </c>
      <c r="D729">
        <v>23.406000137329102</v>
      </c>
      <c r="E729" s="604">
        <v>11904.7099609375</v>
      </c>
      <c r="F729" s="748">
        <f t="shared" si="44"/>
        <v>9.3138686964129302E-3</v>
      </c>
      <c r="G729" s="748">
        <f t="shared" si="44"/>
        <v>-4.1781979181526596E-3</v>
      </c>
      <c r="H729" s="1067">
        <f t="shared" si="45"/>
        <v>1.349206661456559E-2</v>
      </c>
      <c r="I729">
        <f t="shared" si="46"/>
        <v>93.978431363623486</v>
      </c>
    </row>
    <row r="730" spans="1:9" ht="20.100000000000001" customHeight="1">
      <c r="A730" s="563">
        <v>44155</v>
      </c>
      <c r="B730">
        <f t="shared" si="47"/>
        <v>266.33597355257854</v>
      </c>
      <c r="C730">
        <f t="shared" si="47"/>
        <v>169.1899397991557</v>
      </c>
      <c r="D730">
        <v>23.62400054931641</v>
      </c>
      <c r="E730" s="604">
        <v>11854.9697265625</v>
      </c>
      <c r="F730" s="748">
        <f t="shared" si="44"/>
        <v>-8.8046130320416083E-3</v>
      </c>
      <c r="G730" s="748">
        <f t="shared" si="44"/>
        <v>2.1645062654613856E-3</v>
      </c>
      <c r="H730" s="1067">
        <f t="shared" si="45"/>
        <v>-1.0969119297502994E-2</v>
      </c>
      <c r="I730">
        <f t="shared" si="46"/>
        <v>97.146033753422842</v>
      </c>
    </row>
    <row r="731" spans="1:9" ht="20.100000000000001" customHeight="1">
      <c r="A731" s="563">
        <v>44158</v>
      </c>
      <c r="B731">
        <f t="shared" si="47"/>
        <v>263.99098836893603</v>
      </c>
      <c r="C731">
        <f t="shared" si="47"/>
        <v>169.55615248390401</v>
      </c>
      <c r="D731">
        <v>23.416000366210941</v>
      </c>
      <c r="E731" s="604">
        <v>11880.6298828125</v>
      </c>
      <c r="F731" s="748">
        <f t="shared" si="44"/>
        <v>1.2897166085295453E-2</v>
      </c>
      <c r="G731" s="748">
        <f t="shared" si="44"/>
        <v>1.314409739132727E-2</v>
      </c>
      <c r="H731" s="1067">
        <f t="shared" si="45"/>
        <v>-2.4693130603181679E-4</v>
      </c>
      <c r="I731">
        <f t="shared" si="46"/>
        <v>94.434835885032015</v>
      </c>
    </row>
    <row r="732" spans="1:9" ht="20.100000000000001" customHeight="1">
      <c r="A732" s="563">
        <v>44159</v>
      </c>
      <c r="B732">
        <f t="shared" si="47"/>
        <v>267.39572399095152</v>
      </c>
      <c r="C732">
        <f t="shared" si="47"/>
        <v>171.7848150654512</v>
      </c>
      <c r="D732">
        <v>23.718000411987301</v>
      </c>
      <c r="E732" s="604">
        <v>12036.7900390625</v>
      </c>
      <c r="F732" s="748">
        <f t="shared" si="44"/>
        <v>1.0709153624714141E-2</v>
      </c>
      <c r="G732" s="748">
        <f t="shared" si="44"/>
        <v>4.7861889569842386E-3</v>
      </c>
      <c r="H732" s="1067">
        <f t="shared" si="45"/>
        <v>5.9229646677299019E-3</v>
      </c>
      <c r="I732">
        <f t="shared" si="46"/>
        <v>95.610908925500325</v>
      </c>
    </row>
    <row r="733" spans="1:9" ht="20.100000000000001" customHeight="1">
      <c r="A733" s="563">
        <v>44160</v>
      </c>
      <c r="B733">
        <f t="shared" si="47"/>
        <v>270.2593058777623</v>
      </c>
      <c r="C733">
        <f t="shared" si="47"/>
        <v>172.60700965029503</v>
      </c>
      <c r="D733">
        <v>23.972000122070309</v>
      </c>
      <c r="E733" s="604">
        <v>12094.400390625</v>
      </c>
      <c r="F733" s="748">
        <f t="shared" si="44"/>
        <v>3.2788223514652159E-2</v>
      </c>
      <c r="G733" s="748">
        <f t="shared" si="44"/>
        <v>9.2149437053854477E-3</v>
      </c>
      <c r="H733" s="1067">
        <f t="shared" si="45"/>
        <v>2.3573279809266712E-2</v>
      </c>
      <c r="I733">
        <f t="shared" si="46"/>
        <v>97.652296227467275</v>
      </c>
    </row>
    <row r="734" spans="1:9" ht="20.100000000000001" customHeight="1">
      <c r="A734" s="563">
        <v>44162</v>
      </c>
      <c r="B734">
        <f t="shared" si="47"/>
        <v>279.12062840579711</v>
      </c>
      <c r="C734">
        <f t="shared" si="47"/>
        <v>174.19757352737741</v>
      </c>
      <c r="D734">
        <v>24.757999420166019</v>
      </c>
      <c r="E734" s="604">
        <v>12205.849609375</v>
      </c>
      <c r="F734" s="748">
        <f t="shared" si="44"/>
        <v>-4.5237706737937255E-3</v>
      </c>
      <c r="G734" s="748">
        <f t="shared" si="44"/>
        <v>-5.8245638177778503E-4</v>
      </c>
      <c r="H734" s="1067">
        <f t="shared" si="45"/>
        <v>-3.9413142920159405E-3</v>
      </c>
      <c r="I734">
        <f t="shared" si="46"/>
        <v>104.92305487841969</v>
      </c>
    </row>
    <row r="735" spans="1:9" ht="20.100000000000001" customHeight="1">
      <c r="A735" s="563">
        <v>44165</v>
      </c>
      <c r="B735">
        <f t="shared" si="47"/>
        <v>277.85795069256409</v>
      </c>
      <c r="C735">
        <f t="shared" si="47"/>
        <v>174.09611103898618</v>
      </c>
      <c r="D735">
        <v>24.645999908447269</v>
      </c>
      <c r="E735" s="604">
        <v>12198.740234375</v>
      </c>
      <c r="F735" s="748">
        <f t="shared" si="44"/>
        <v>-4.7877964357669889E-3</v>
      </c>
      <c r="G735" s="748">
        <f t="shared" si="44"/>
        <v>1.2818546356685445E-2</v>
      </c>
      <c r="H735" s="1067">
        <f t="shared" si="45"/>
        <v>-1.7606342792452434E-2</v>
      </c>
      <c r="I735">
        <f t="shared" si="46"/>
        <v>103.76183965357791</v>
      </c>
    </row>
    <row r="736" spans="1:9" ht="20.100000000000001" customHeight="1">
      <c r="A736" s="563">
        <v>44166</v>
      </c>
      <c r="B736">
        <f t="shared" si="47"/>
        <v>276.52762338658869</v>
      </c>
      <c r="C736">
        <f t="shared" si="47"/>
        <v>176.32777010885809</v>
      </c>
      <c r="D736">
        <v>24.527999877929691</v>
      </c>
      <c r="E736" s="604">
        <v>12355.1103515625</v>
      </c>
      <c r="F736" s="748">
        <f t="shared" si="44"/>
        <v>1.9569608582945541E-3</v>
      </c>
      <c r="G736" s="748">
        <f t="shared" si="44"/>
        <v>-4.6460405546067118E-4</v>
      </c>
      <c r="H736" s="1067">
        <f t="shared" si="45"/>
        <v>2.4215649137552253E-3</v>
      </c>
      <c r="I736">
        <f t="shared" si="46"/>
        <v>100.1998532777306</v>
      </c>
    </row>
    <row r="737" spans="1:9" ht="20.100000000000001" customHeight="1">
      <c r="A737" s="563">
        <v>44167</v>
      </c>
      <c r="B737">
        <f t="shared" si="47"/>
        <v>277.06877712179346</v>
      </c>
      <c r="C737">
        <f t="shared" si="47"/>
        <v>176.24584751177517</v>
      </c>
      <c r="D737">
        <v>24.57600021362305</v>
      </c>
      <c r="E737" s="604">
        <v>12349.3701171875</v>
      </c>
      <c r="F737" s="748">
        <f t="shared" si="44"/>
        <v>2.6123054719391359E-2</v>
      </c>
      <c r="G737" s="748">
        <f t="shared" si="44"/>
        <v>2.2519019228190995E-3</v>
      </c>
      <c r="H737" s="1067">
        <f t="shared" si="45"/>
        <v>2.3871152796572259E-2</v>
      </c>
      <c r="I737">
        <f t="shared" si="46"/>
        <v>100.82292961001829</v>
      </c>
    </row>
    <row r="738" spans="1:9" ht="20.100000000000001" customHeight="1">
      <c r="A738" s="563">
        <v>44168</v>
      </c>
      <c r="B738">
        <f t="shared" si="47"/>
        <v>284.3066599475809</v>
      </c>
      <c r="C738">
        <f t="shared" si="47"/>
        <v>176.64273587467582</v>
      </c>
      <c r="D738">
        <v>25.218000411987301</v>
      </c>
      <c r="E738" s="604">
        <v>12377.1796875</v>
      </c>
      <c r="F738" s="748">
        <f t="shared" si="44"/>
        <v>1.3561703876906472E-2</v>
      </c>
      <c r="G738" s="748">
        <f t="shared" si="44"/>
        <v>7.0331677690609329E-3</v>
      </c>
      <c r="H738" s="1067">
        <f t="shared" si="45"/>
        <v>6.5285361078455395E-3</v>
      </c>
      <c r="I738">
        <f t="shared" si="46"/>
        <v>107.66392407290508</v>
      </c>
    </row>
    <row r="739" spans="1:9" ht="20.100000000000001" customHeight="1">
      <c r="A739" s="563">
        <v>44169</v>
      </c>
      <c r="B739">
        <f t="shared" si="47"/>
        <v>288.16234268002233</v>
      </c>
      <c r="C739">
        <f t="shared" si="47"/>
        <v>177.88509387126834</v>
      </c>
      <c r="D739">
        <v>25.559999465942379</v>
      </c>
      <c r="E739" s="604">
        <v>12464.23046875</v>
      </c>
      <c r="F739" s="748">
        <f t="shared" si="44"/>
        <v>2.1909138117941485E-3</v>
      </c>
      <c r="G739" s="748">
        <f t="shared" si="44"/>
        <v>4.4703703692097196E-3</v>
      </c>
      <c r="H739" s="1067">
        <f t="shared" si="45"/>
        <v>-2.2794565574155712E-3</v>
      </c>
      <c r="I739">
        <f t="shared" si="46"/>
        <v>110.277248808754</v>
      </c>
    </row>
    <row r="740" spans="1:9" ht="20.100000000000001" customHeight="1">
      <c r="A740" s="563">
        <v>44172</v>
      </c>
      <c r="B740">
        <f t="shared" si="47"/>
        <v>288.79368153663893</v>
      </c>
      <c r="C740">
        <f t="shared" si="47"/>
        <v>178.68030612403456</v>
      </c>
      <c r="D740">
        <v>25.615999221801761</v>
      </c>
      <c r="E740" s="604">
        <v>12519.9501953125</v>
      </c>
      <c r="F740" s="748">
        <f t="shared" si="44"/>
        <v>2.7951340270604419E-2</v>
      </c>
      <c r="G740" s="748">
        <f t="shared" si="44"/>
        <v>5.0175388046687086E-3</v>
      </c>
      <c r="H740" s="1067">
        <f t="shared" si="45"/>
        <v>2.293380146593571E-2</v>
      </c>
      <c r="I740">
        <f t="shared" si="46"/>
        <v>110.11337541260437</v>
      </c>
    </row>
    <row r="741" spans="1:9" ht="20.100000000000001" customHeight="1">
      <c r="A741" s="563">
        <v>44173</v>
      </c>
      <c r="B741">
        <f t="shared" si="47"/>
        <v>296.86585199727011</v>
      </c>
      <c r="C741">
        <f t="shared" si="47"/>
        <v>179.57684149364198</v>
      </c>
      <c r="D741">
        <v>26.332000732421879</v>
      </c>
      <c r="E741" s="604">
        <v>12582.76953125</v>
      </c>
      <c r="F741" s="748">
        <f t="shared" si="44"/>
        <v>-4.800242684971967E-2</v>
      </c>
      <c r="G741" s="748">
        <f t="shared" si="44"/>
        <v>-1.9377239274069313E-2</v>
      </c>
      <c r="H741" s="1067">
        <f t="shared" si="45"/>
        <v>-2.8625187575650357E-2</v>
      </c>
      <c r="I741">
        <f t="shared" si="46"/>
        <v>117.28901050362813</v>
      </c>
    </row>
    <row r="742" spans="1:9" ht="20.100000000000001" customHeight="1">
      <c r="A742" s="563">
        <v>44174</v>
      </c>
      <c r="B742">
        <f t="shared" si="47"/>
        <v>282.61557065259143</v>
      </c>
      <c r="C742">
        <f t="shared" si="47"/>
        <v>176.09713806793806</v>
      </c>
      <c r="D742">
        <v>25.068000793457031</v>
      </c>
      <c r="E742" s="604">
        <v>12338.9501953125</v>
      </c>
      <c r="F742" s="748">
        <f t="shared" si="44"/>
        <v>1.7711756930687272E-2</v>
      </c>
      <c r="G742" s="748">
        <f t="shared" si="44"/>
        <v>5.4185626768636919E-3</v>
      </c>
      <c r="H742" s="1067">
        <f t="shared" si="45"/>
        <v>1.2293194253823581E-2</v>
      </c>
      <c r="I742">
        <f t="shared" si="46"/>
        <v>106.51843258465337</v>
      </c>
    </row>
    <row r="743" spans="1:9" ht="20.100000000000001" customHeight="1">
      <c r="A743" s="563">
        <v>44175</v>
      </c>
      <c r="B743">
        <f t="shared" si="47"/>
        <v>287.62118894481762</v>
      </c>
      <c r="C743">
        <f t="shared" si="47"/>
        <v>177.05133144777551</v>
      </c>
      <c r="D743">
        <v>25.51199913024902</v>
      </c>
      <c r="E743" s="604">
        <v>12405.8095703125</v>
      </c>
      <c r="F743" s="748">
        <f t="shared" si="44"/>
        <v>6.2716274778733538E-3</v>
      </c>
      <c r="G743" s="748">
        <f t="shared" si="44"/>
        <v>-2.2521265514070521E-3</v>
      </c>
      <c r="H743" s="1067">
        <f t="shared" si="45"/>
        <v>8.5237540292804059E-3</v>
      </c>
      <c r="I743">
        <f t="shared" si="46"/>
        <v>110.56985749704211</v>
      </c>
    </row>
    <row r="744" spans="1:9" ht="20.100000000000001" customHeight="1">
      <c r="A744" s="563">
        <v>44176</v>
      </c>
      <c r="B744">
        <f t="shared" si="47"/>
        <v>289.42504189662253</v>
      </c>
      <c r="C744">
        <f t="shared" si="47"/>
        <v>176.65258944326001</v>
      </c>
      <c r="D744">
        <v>25.672000885009769</v>
      </c>
      <c r="E744" s="604">
        <v>12377.8701171875</v>
      </c>
      <c r="F744" s="748">
        <f t="shared" si="44"/>
        <v>1.8152056217152213E-2</v>
      </c>
      <c r="G744" s="748">
        <f t="shared" si="44"/>
        <v>5.0226671702324754E-3</v>
      </c>
      <c r="H744" s="1067">
        <f t="shared" si="45"/>
        <v>1.3129389046919737E-2</v>
      </c>
      <c r="I744">
        <f t="shared" si="46"/>
        <v>112.77245245336252</v>
      </c>
    </row>
    <row r="745" spans="1:9" ht="20.100000000000001" customHeight="1">
      <c r="A745" s="563">
        <v>44179</v>
      </c>
      <c r="B745">
        <f t="shared" si="47"/>
        <v>294.67870152778164</v>
      </c>
      <c r="C745">
        <f t="shared" si="47"/>
        <v>177.53985660479324</v>
      </c>
      <c r="D745">
        <v>26.13800048828125</v>
      </c>
      <c r="E745" s="604">
        <v>12440.0400390625</v>
      </c>
      <c r="F745" s="748">
        <f t="shared" si="44"/>
        <v>8.646408597882127E-3</v>
      </c>
      <c r="G745" s="748">
        <f t="shared" si="44"/>
        <v>1.2461337002391382E-2</v>
      </c>
      <c r="H745" s="1067">
        <f t="shared" si="45"/>
        <v>-3.8149284045092546E-3</v>
      </c>
      <c r="I745">
        <f t="shared" si="46"/>
        <v>117.1388449229884</v>
      </c>
    </row>
    <row r="746" spans="1:9" ht="20.100000000000001" customHeight="1">
      <c r="A746" s="563">
        <v>44180</v>
      </c>
      <c r="B746">
        <f t="shared" si="47"/>
        <v>297.22661398628418</v>
      </c>
      <c r="C746">
        <f t="shared" si="47"/>
        <v>179.75224058930181</v>
      </c>
      <c r="D746">
        <v>26.36400032043457</v>
      </c>
      <c r="E746" s="604">
        <v>12595.0595703125</v>
      </c>
      <c r="F746" s="748">
        <f t="shared" si="44"/>
        <v>1.1455016010688324E-2</v>
      </c>
      <c r="G746" s="748">
        <f t="shared" si="44"/>
        <v>5.0123509954493883E-3</v>
      </c>
      <c r="H746" s="1067">
        <f t="shared" si="45"/>
        <v>6.4426650152389353E-3</v>
      </c>
      <c r="I746">
        <f t="shared" si="46"/>
        <v>117.47437339698237</v>
      </c>
    </row>
    <row r="747" spans="1:9" ht="20.100000000000001" customHeight="1">
      <c r="A747" s="563">
        <v>44181</v>
      </c>
      <c r="B747">
        <f t="shared" si="47"/>
        <v>300.63134960829973</v>
      </c>
      <c r="C747">
        <f t="shared" si="47"/>
        <v>180.65322191135385</v>
      </c>
      <c r="D747">
        <v>26.666000366210941</v>
      </c>
      <c r="E747" s="604">
        <v>12658.1904296875</v>
      </c>
      <c r="F747" s="748">
        <f t="shared" si="44"/>
        <v>2.3175580215646363E-2</v>
      </c>
      <c r="G747" s="748">
        <f t="shared" si="44"/>
        <v>8.418230939438498E-3</v>
      </c>
      <c r="H747" s="1067">
        <f t="shared" si="45"/>
        <v>1.4757349276207865E-2</v>
      </c>
      <c r="I747">
        <f t="shared" si="46"/>
        <v>119.97812769694588</v>
      </c>
    </row>
    <row r="748" spans="1:9" ht="20.100000000000001" customHeight="1">
      <c r="A748" s="563">
        <v>44182</v>
      </c>
      <c r="B748">
        <f t="shared" si="47"/>
        <v>307.59865556648492</v>
      </c>
      <c r="C748">
        <f t="shared" si="47"/>
        <v>182.17400245335728</v>
      </c>
      <c r="D748">
        <v>27.284000396728519</v>
      </c>
      <c r="E748" s="604">
        <v>12764.75</v>
      </c>
      <c r="F748" s="748">
        <f t="shared" si="44"/>
        <v>6.9124749015601505E-2</v>
      </c>
      <c r="G748" s="748">
        <f t="shared" si="44"/>
        <v>-7.137117109617952E-4</v>
      </c>
      <c r="H748" s="1067">
        <f t="shared" si="45"/>
        <v>6.9838460726563301E-2</v>
      </c>
      <c r="I748">
        <f t="shared" si="46"/>
        <v>125.42465311312765</v>
      </c>
    </row>
    <row r="749" spans="1:9" ht="20.100000000000001" customHeight="1">
      <c r="A749" s="563">
        <v>44183</v>
      </c>
      <c r="B749">
        <f t="shared" si="47"/>
        <v>328.86133543005462</v>
      </c>
      <c r="C749">
        <f t="shared" si="47"/>
        <v>182.04398273437354</v>
      </c>
      <c r="D749">
        <v>29.170000076293949</v>
      </c>
      <c r="E749" s="604">
        <v>12755.6396484375</v>
      </c>
      <c r="F749" s="748">
        <f t="shared" si="44"/>
        <v>7.5417754793671854E-4</v>
      </c>
      <c r="G749" s="748">
        <f t="shared" si="44"/>
        <v>-1.0285738347199924E-3</v>
      </c>
      <c r="H749" s="1067">
        <f t="shared" si="45"/>
        <v>1.782751382656711E-3</v>
      </c>
      <c r="I749">
        <f t="shared" si="46"/>
        <v>146.81735269568108</v>
      </c>
    </row>
    <row r="750" spans="1:9" ht="20.100000000000001" customHeight="1">
      <c r="A750" s="563">
        <v>44186</v>
      </c>
      <c r="B750">
        <f t="shared" si="47"/>
        <v>329.10935526562048</v>
      </c>
      <c r="C750">
        <f t="shared" si="47"/>
        <v>181.85673705696476</v>
      </c>
      <c r="D750">
        <v>29.191999435424801</v>
      </c>
      <c r="E750" s="604">
        <v>12742.51953125</v>
      </c>
      <c r="F750" s="748">
        <f t="shared" si="44"/>
        <v>4.2408909759317659E-2</v>
      </c>
      <c r="G750" s="748">
        <f t="shared" si="44"/>
        <v>5.1324536301169399E-3</v>
      </c>
      <c r="H750" s="1067">
        <f t="shared" si="45"/>
        <v>3.7276456129200719E-2</v>
      </c>
      <c r="I750">
        <f t="shared" si="46"/>
        <v>147.25261820865572</v>
      </c>
    </row>
    <row r="751" spans="1:9" ht="20.100000000000001" customHeight="1">
      <c r="A751" s="563">
        <v>44187</v>
      </c>
      <c r="B751">
        <f t="shared" si="47"/>
        <v>343.06652421402737</v>
      </c>
      <c r="C751">
        <f t="shared" si="47"/>
        <v>182.79010832723401</v>
      </c>
      <c r="D751">
        <v>30.430000305175781</v>
      </c>
      <c r="E751" s="604">
        <v>12807.919921875</v>
      </c>
      <c r="F751" s="748">
        <f t="shared" si="44"/>
        <v>-1.2553400119994396E-2</v>
      </c>
      <c r="G751" s="748">
        <f t="shared" si="44"/>
        <v>-2.8739694296208151E-3</v>
      </c>
      <c r="H751" s="1067">
        <f t="shared" si="45"/>
        <v>-9.6794306903735805E-3</v>
      </c>
      <c r="I751">
        <f t="shared" si="46"/>
        <v>160.27641588679336</v>
      </c>
    </row>
    <row r="752" spans="1:9" ht="20.100000000000001" customHeight="1">
      <c r="A752" s="563">
        <v>44188</v>
      </c>
      <c r="B752">
        <f t="shared" si="47"/>
        <v>338.75987286779292</v>
      </c>
      <c r="C752">
        <f t="shared" si="47"/>
        <v>182.26477514386445</v>
      </c>
      <c r="D752">
        <v>30.048000335693359</v>
      </c>
      <c r="E752" s="604">
        <v>12771.1103515625</v>
      </c>
      <c r="F752" s="748">
        <f t="shared" si="44"/>
        <v>-2.9952127124074357E-3</v>
      </c>
      <c r="G752" s="748">
        <f t="shared" si="44"/>
        <v>2.6325132476352486E-3</v>
      </c>
      <c r="H752" s="1067">
        <f t="shared" si="45"/>
        <v>-5.6277259600426843E-3</v>
      </c>
      <c r="I752">
        <f t="shared" si="46"/>
        <v>156.49509772392847</v>
      </c>
    </row>
    <row r="753" spans="1:9" ht="20.100000000000001" customHeight="1">
      <c r="A753" s="563">
        <v>44189</v>
      </c>
      <c r="B753">
        <f t="shared" si="47"/>
        <v>337.74521499012576</v>
      </c>
      <c r="C753">
        <f t="shared" si="47"/>
        <v>182.74458957900794</v>
      </c>
      <c r="D753">
        <v>29.958000183105469</v>
      </c>
      <c r="E753" s="604">
        <v>12804.73046875</v>
      </c>
      <c r="F753" s="748">
        <f t="shared" si="44"/>
        <v>-3.3380192555751975E-3</v>
      </c>
      <c r="G753" s="748">
        <f t="shared" si="44"/>
        <v>7.3948806151047375E-3</v>
      </c>
      <c r="H753" s="1067">
        <f t="shared" si="45"/>
        <v>-1.0732899870679935E-2</v>
      </c>
      <c r="I753">
        <f t="shared" si="46"/>
        <v>155.00062541111782</v>
      </c>
    </row>
    <row r="754" spans="1:9" ht="20.100000000000001" customHeight="1">
      <c r="A754" s="563">
        <v>44193</v>
      </c>
      <c r="B754">
        <f t="shared" si="47"/>
        <v>336.61781495901033</v>
      </c>
      <c r="C754">
        <f t="shared" si="47"/>
        <v>184.09596400200101</v>
      </c>
      <c r="D754">
        <v>29.857999801635739</v>
      </c>
      <c r="E754" s="604">
        <v>12899.419921875</v>
      </c>
      <c r="F754" s="748">
        <f t="shared" si="44"/>
        <v>-1.1789111299331689E-2</v>
      </c>
      <c r="G754" s="748">
        <f t="shared" si="44"/>
        <v>-3.8141401404465647E-3</v>
      </c>
      <c r="H754" s="1067">
        <f t="shared" si="45"/>
        <v>-7.9749711588851246E-3</v>
      </c>
      <c r="I754">
        <f t="shared" si="46"/>
        <v>152.52185095700932</v>
      </c>
    </row>
    <row r="755" spans="1:9" ht="20.100000000000001" customHeight="1">
      <c r="A755" s="563">
        <v>44194</v>
      </c>
      <c r="B755">
        <f t="shared" si="47"/>
        <v>332.64939007312074</v>
      </c>
      <c r="C755">
        <f t="shared" si="47"/>
        <v>183.39379619600678</v>
      </c>
      <c r="D755">
        <v>29.506000518798832</v>
      </c>
      <c r="E755" s="604">
        <v>12850.2197265625</v>
      </c>
      <c r="F755" s="748">
        <f t="shared" si="44"/>
        <v>3.3213438294175113E-3</v>
      </c>
      <c r="G755" s="748">
        <f t="shared" si="44"/>
        <v>1.5392945691514726E-3</v>
      </c>
      <c r="H755" s="1067">
        <f t="shared" si="45"/>
        <v>1.7820492602660387E-3</v>
      </c>
      <c r="I755">
        <f t="shared" si="46"/>
        <v>149.25559387711397</v>
      </c>
    </row>
    <row r="756" spans="1:9" ht="20.100000000000001" customHeight="1">
      <c r="A756" s="563">
        <v>44195</v>
      </c>
      <c r="B756">
        <f t="shared" si="47"/>
        <v>333.75423307219961</v>
      </c>
      <c r="C756">
        <f t="shared" si="47"/>
        <v>183.67609327050735</v>
      </c>
      <c r="D756">
        <v>29.604000091552731</v>
      </c>
      <c r="E756" s="604">
        <v>12870</v>
      </c>
      <c r="F756" s="748">
        <f t="shared" si="44"/>
        <v>3.4454561046304288E-3</v>
      </c>
      <c r="G756" s="748">
        <f t="shared" si="44"/>
        <v>1.4203786664723772E-3</v>
      </c>
      <c r="H756" s="1067">
        <f t="shared" si="45"/>
        <v>2.0250774381580516E-3</v>
      </c>
      <c r="I756">
        <f t="shared" si="46"/>
        <v>150.07813980169226</v>
      </c>
    </row>
    <row r="757" spans="1:9" ht="20.100000000000001" customHeight="1">
      <c r="A757" s="563">
        <v>44196</v>
      </c>
      <c r="B757">
        <f t="shared" si="47"/>
        <v>334.90416863198448</v>
      </c>
      <c r="C757">
        <f t="shared" si="47"/>
        <v>183.93698287492978</v>
      </c>
      <c r="D757">
        <v>29.705999374389648</v>
      </c>
      <c r="E757" s="604">
        <v>12888.2802734375</v>
      </c>
      <c r="F757" s="748">
        <f t="shared" si="44"/>
        <v>-1.9995956210212551E-2</v>
      </c>
      <c r="G757" s="748">
        <f t="shared" si="44"/>
        <v>-1.4728891217258511E-2</v>
      </c>
      <c r="H757" s="1067">
        <f t="shared" si="45"/>
        <v>-5.2670649929540403E-3</v>
      </c>
      <c r="I757">
        <f t="shared" si="46"/>
        <v>150.96718575705469</v>
      </c>
    </row>
    <row r="758" spans="1:9" ht="20.100000000000001" customHeight="1">
      <c r="A758" s="563">
        <v>44200</v>
      </c>
      <c r="B758">
        <f t="shared" si="47"/>
        <v>328.2074395414017</v>
      </c>
      <c r="C758">
        <f t="shared" si="47"/>
        <v>181.22779506333421</v>
      </c>
      <c r="D758">
        <v>29.11199951171875</v>
      </c>
      <c r="E758" s="604">
        <v>12698.4501953125</v>
      </c>
      <c r="F758" s="748">
        <f t="shared" si="44"/>
        <v>-2.6243471825330933E-2</v>
      </c>
      <c r="G758" s="748">
        <f t="shared" si="44"/>
        <v>9.4901160197868872E-3</v>
      </c>
      <c r="H758" s="1067">
        <f t="shared" si="45"/>
        <v>-3.573358784511782E-2</v>
      </c>
      <c r="I758">
        <f t="shared" si="46"/>
        <v>146.97964447806748</v>
      </c>
    </row>
    <row r="759" spans="1:9" ht="20.100000000000001" customHeight="1">
      <c r="A759" s="563">
        <v>44201</v>
      </c>
      <c r="B759">
        <f t="shared" si="47"/>
        <v>319.59413684893292</v>
      </c>
      <c r="C759">
        <f t="shared" si="47"/>
        <v>182.94766786449543</v>
      </c>
      <c r="D759">
        <v>28.34799957275391</v>
      </c>
      <c r="E759" s="604">
        <v>12818.9599609375</v>
      </c>
      <c r="F759" s="748">
        <f t="shared" si="44"/>
        <v>-2.5610266794666492E-2</v>
      </c>
      <c r="G759" s="748">
        <f t="shared" si="44"/>
        <v>-6.0979925136830371E-3</v>
      </c>
      <c r="H759" s="1067">
        <f t="shared" si="45"/>
        <v>-1.9512274280983455E-2</v>
      </c>
      <c r="I759">
        <f t="shared" si="46"/>
        <v>136.64646898443749</v>
      </c>
    </row>
    <row r="760" spans="1:9" ht="20.100000000000001" customHeight="1">
      <c r="A760" s="563">
        <v>44202</v>
      </c>
      <c r="B760">
        <f t="shared" si="47"/>
        <v>311.40924573822059</v>
      </c>
      <c r="C760">
        <f t="shared" si="47"/>
        <v>181.83205435546196</v>
      </c>
      <c r="D760">
        <v>27.621999740600589</v>
      </c>
      <c r="E760" s="604">
        <v>12740.7900390625</v>
      </c>
      <c r="F760" s="748">
        <f t="shared" si="44"/>
        <v>3.7216707247254899E-2</v>
      </c>
      <c r="G760" s="748">
        <f t="shared" si="44"/>
        <v>2.5641300789502663E-2</v>
      </c>
      <c r="H760" s="1067">
        <f t="shared" si="45"/>
        <v>1.1575406457752235E-2</v>
      </c>
      <c r="I760">
        <f t="shared" si="46"/>
        <v>129.57719138275863</v>
      </c>
    </row>
    <row r="761" spans="1:9" ht="20.100000000000001" customHeight="1">
      <c r="A761" s="563">
        <v>44203</v>
      </c>
      <c r="B761">
        <f t="shared" si="47"/>
        <v>322.99887247094841</v>
      </c>
      <c r="C761">
        <f t="shared" si="47"/>
        <v>186.49446475436355</v>
      </c>
      <c r="D761">
        <v>28.64999961853027</v>
      </c>
      <c r="E761" s="604">
        <v>13067.48046875</v>
      </c>
      <c r="F761" s="748">
        <f t="shared" si="44"/>
        <v>3.4136148477872608E-2</v>
      </c>
      <c r="G761" s="748">
        <f t="shared" si="44"/>
        <v>1.0292726308001487E-2</v>
      </c>
      <c r="H761" s="1067">
        <f t="shared" si="45"/>
        <v>2.384342216987112E-2</v>
      </c>
      <c r="I761">
        <f t="shared" si="46"/>
        <v>136.50440771658486</v>
      </c>
    </row>
    <row r="762" spans="1:9" ht="20.100000000000001" customHeight="1">
      <c r="A762" s="563">
        <v>44204</v>
      </c>
      <c r="B762">
        <f t="shared" si="47"/>
        <v>334.02480993980214</v>
      </c>
      <c r="C762">
        <f t="shared" si="47"/>
        <v>188.41400123803743</v>
      </c>
      <c r="D762">
        <v>29.628000259399411</v>
      </c>
      <c r="E762" s="604">
        <v>13201.98046875</v>
      </c>
      <c r="F762" s="748">
        <f t="shared" si="44"/>
        <v>2.025286467628451E-4</v>
      </c>
      <c r="G762" s="748">
        <f t="shared" si="44"/>
        <v>-1.2539844430301206E-2</v>
      </c>
      <c r="H762" s="1067">
        <f t="shared" si="45"/>
        <v>1.2742373077064051E-2</v>
      </c>
      <c r="I762">
        <f t="shared" si="46"/>
        <v>145.61080870176471</v>
      </c>
    </row>
    <row r="763" spans="1:9" ht="20.100000000000001" customHeight="1">
      <c r="A763" s="563">
        <v>44207</v>
      </c>
      <c r="B763">
        <f t="shared" si="47"/>
        <v>334.09245953254447</v>
      </c>
      <c r="C763">
        <f t="shared" si="47"/>
        <v>186.05131897402185</v>
      </c>
      <c r="D763">
        <v>29.634000778198239</v>
      </c>
      <c r="E763" s="604">
        <v>13036.4296875</v>
      </c>
      <c r="F763" s="748">
        <f t="shared" si="44"/>
        <v>3.1990279048689452E-2</v>
      </c>
      <c r="G763" s="748">
        <f t="shared" si="44"/>
        <v>2.761492284541589E-3</v>
      </c>
      <c r="H763" s="1067">
        <f t="shared" si="45"/>
        <v>2.9228786764147863E-2</v>
      </c>
      <c r="I763">
        <f t="shared" si="46"/>
        <v>148.04114055852261</v>
      </c>
    </row>
    <row r="764" spans="1:9" ht="20.100000000000001" customHeight="1">
      <c r="A764" s="563">
        <v>44208</v>
      </c>
      <c r="B764">
        <f t="shared" si="47"/>
        <v>344.78017054105356</v>
      </c>
      <c r="C764">
        <f t="shared" si="47"/>
        <v>186.5650982558974</v>
      </c>
      <c r="D764">
        <v>30.582000732421879</v>
      </c>
      <c r="E764" s="604">
        <v>13072.4296875</v>
      </c>
      <c r="F764" s="748">
        <f t="shared" si="44"/>
        <v>-3.2764396858232514E-2</v>
      </c>
      <c r="G764" s="748">
        <f t="shared" si="44"/>
        <v>4.3236421356731558E-3</v>
      </c>
      <c r="H764" s="1067">
        <f t="shared" si="45"/>
        <v>-3.708803899390567E-2</v>
      </c>
      <c r="I764">
        <f t="shared" si="46"/>
        <v>158.21507228515617</v>
      </c>
    </row>
    <row r="765" spans="1:9" ht="20.100000000000001" customHeight="1">
      <c r="A765" s="563">
        <v>44209</v>
      </c>
      <c r="B765">
        <f t="shared" si="47"/>
        <v>333.48365620459742</v>
      </c>
      <c r="C765">
        <f t="shared" si="47"/>
        <v>187.37173897576261</v>
      </c>
      <c r="D765">
        <v>29.579999923706051</v>
      </c>
      <c r="E765" s="604">
        <v>13128.9501953125</v>
      </c>
      <c r="F765" s="748">
        <f t="shared" si="44"/>
        <v>-2.5016702196781759E-3</v>
      </c>
      <c r="G765" s="748">
        <f t="shared" si="44"/>
        <v>-1.2423344313411411E-3</v>
      </c>
      <c r="H765" s="1067">
        <f t="shared" si="45"/>
        <v>-1.2593357883370349E-3</v>
      </c>
      <c r="I765">
        <f t="shared" si="46"/>
        <v>146.11191722883481</v>
      </c>
    </row>
    <row r="766" spans="1:9" ht="20.100000000000001" customHeight="1">
      <c r="A766" s="563">
        <v>44210</v>
      </c>
      <c r="B766">
        <f t="shared" si="47"/>
        <v>332.64939007312097</v>
      </c>
      <c r="C766">
        <f t="shared" si="47"/>
        <v>187.13896061297277</v>
      </c>
      <c r="D766">
        <v>29.506000518798832</v>
      </c>
      <c r="E766" s="604">
        <v>13112.6396484375</v>
      </c>
      <c r="F766" s="748">
        <f t="shared" si="44"/>
        <v>-6.7783081211575391E-3</v>
      </c>
      <c r="G766" s="748">
        <f t="shared" si="44"/>
        <v>-8.7045516004171652E-3</v>
      </c>
      <c r="H766" s="1067">
        <f t="shared" si="45"/>
        <v>1.9262434792596261E-3</v>
      </c>
      <c r="I766">
        <f t="shared" si="46"/>
        <v>145.5104294601482</v>
      </c>
    </row>
    <row r="767" spans="1:9" ht="20.100000000000001" customHeight="1">
      <c r="A767" s="563">
        <v>44211</v>
      </c>
      <c r="B767">
        <f t="shared" si="47"/>
        <v>330.39459001089023</v>
      </c>
      <c r="C767">
        <f t="shared" si="47"/>
        <v>185.50999987386871</v>
      </c>
      <c r="D767">
        <v>29.305999755859379</v>
      </c>
      <c r="E767" s="604">
        <v>12998.5</v>
      </c>
      <c r="F767" s="748">
        <f t="shared" si="44"/>
        <v>1.1465244158329835E-2</v>
      </c>
      <c r="G767" s="748">
        <f t="shared" si="44"/>
        <v>1.5284816517290523E-2</v>
      </c>
      <c r="H767" s="1067">
        <f t="shared" si="45"/>
        <v>-3.8195723589606878E-3</v>
      </c>
      <c r="I767">
        <f t="shared" si="46"/>
        <v>144.88459013702152</v>
      </c>
    </row>
    <row r="768" spans="1:9" ht="20.100000000000001" customHeight="1">
      <c r="A768" s="563">
        <v>44215</v>
      </c>
      <c r="B768">
        <f t="shared" si="47"/>
        <v>334.18264465395634</v>
      </c>
      <c r="C768">
        <f t="shared" si="47"/>
        <v>188.34548618406339</v>
      </c>
      <c r="D768">
        <v>29.642000198364261</v>
      </c>
      <c r="E768" s="604">
        <v>13197.1796875</v>
      </c>
      <c r="F768" s="748">
        <f t="shared" si="44"/>
        <v>1.4034153006783123E-2</v>
      </c>
      <c r="G768" s="748">
        <f t="shared" si="44"/>
        <v>1.97065068945248E-2</v>
      </c>
      <c r="H768" s="1067">
        <f t="shared" si="45"/>
        <v>-5.6723538877416768E-3</v>
      </c>
      <c r="I768">
        <f t="shared" si="46"/>
        <v>145.83715846989296</v>
      </c>
    </row>
    <row r="769" spans="1:9" ht="20.100000000000001" customHeight="1">
      <c r="A769" s="563">
        <v>44216</v>
      </c>
      <c r="B769">
        <f t="shared" si="47"/>
        <v>338.87261502124142</v>
      </c>
      <c r="C769">
        <f t="shared" si="47"/>
        <v>192.05711780610227</v>
      </c>
      <c r="D769">
        <v>30.058000564575199</v>
      </c>
      <c r="E769" s="604">
        <v>13457.25</v>
      </c>
      <c r="F769" s="748">
        <f t="shared" si="44"/>
        <v>-3.5265452883611603E-3</v>
      </c>
      <c r="G769" s="748">
        <f t="shared" si="44"/>
        <v>5.4736410670828128E-3</v>
      </c>
      <c r="H769" s="1067">
        <f t="shared" si="45"/>
        <v>-9.0001863554439732E-3</v>
      </c>
      <c r="I769">
        <f t="shared" si="46"/>
        <v>146.81549721513915</v>
      </c>
    </row>
    <row r="770" spans="1:9" ht="20.100000000000001" customHeight="1">
      <c r="A770" s="563">
        <v>44217</v>
      </c>
      <c r="B770">
        <f t="shared" si="47"/>
        <v>337.6775653973836</v>
      </c>
      <c r="C770">
        <f t="shared" si="47"/>
        <v>193.10836953335132</v>
      </c>
      <c r="D770">
        <v>29.951999664306641</v>
      </c>
      <c r="E770" s="604">
        <v>13530.91015625</v>
      </c>
      <c r="F770" s="748">
        <f t="shared" si="44"/>
        <v>9.8157261253146721E-3</v>
      </c>
      <c r="G770" s="748">
        <f t="shared" si="44"/>
        <v>8.9790072672157883E-4</v>
      </c>
      <c r="H770" s="1067">
        <f t="shared" si="45"/>
        <v>8.9178253985930933E-3</v>
      </c>
      <c r="I770">
        <f t="shared" si="46"/>
        <v>144.56919586403228</v>
      </c>
    </row>
    <row r="771" spans="1:9" ht="20.100000000000001" customHeight="1">
      <c r="A771" s="563">
        <v>44218</v>
      </c>
      <c r="B771">
        <f t="shared" si="47"/>
        <v>340.99211589798733</v>
      </c>
      <c r="C771">
        <f t="shared" si="47"/>
        <v>193.28176167869134</v>
      </c>
      <c r="D771">
        <v>30.246000289916989</v>
      </c>
      <c r="E771" s="604">
        <v>13543.0595703125</v>
      </c>
      <c r="F771" s="748">
        <f t="shared" ref="F771:G834" si="48">D772/D771-1</f>
        <v>3.9013432978416418E-3</v>
      </c>
      <c r="G771" s="748">
        <f t="shared" si="48"/>
        <v>6.8618662998582991E-3</v>
      </c>
      <c r="H771" s="1067">
        <f t="shared" ref="H771:H834" si="49">F771-G771</f>
        <v>-2.9605230020166573E-3</v>
      </c>
      <c r="I771">
        <f t="shared" ref="I771:I834" si="50">B771-C771</f>
        <v>147.71035421929599</v>
      </c>
    </row>
    <row r="772" spans="1:9" ht="20.100000000000001" customHeight="1">
      <c r="A772" s="563">
        <v>44221</v>
      </c>
      <c r="B772">
        <f t="shared" ref="B772:C835" si="51">B771*(1+F771)</f>
        <v>342.32244320396279</v>
      </c>
      <c r="C772">
        <f t="shared" si="51"/>
        <v>194.6080352855316</v>
      </c>
      <c r="D772">
        <v>30.36400032043457</v>
      </c>
      <c r="E772" s="604">
        <v>13635.990234375</v>
      </c>
      <c r="F772" s="748">
        <f t="shared" si="48"/>
        <v>-1.4293242348792701E-2</v>
      </c>
      <c r="G772" s="748">
        <f t="shared" si="48"/>
        <v>-7.2826863996033886E-4</v>
      </c>
      <c r="H772" s="1067">
        <f t="shared" si="49"/>
        <v>-1.3564973708832362E-2</v>
      </c>
      <c r="I772">
        <f t="shared" si="50"/>
        <v>147.71440791843119</v>
      </c>
    </row>
    <row r="773" spans="1:9" ht="20.100000000000001" customHeight="1">
      <c r="A773" s="563">
        <v>44222</v>
      </c>
      <c r="B773">
        <f t="shared" si="51"/>
        <v>337.42954556181775</v>
      </c>
      <c r="C773">
        <f t="shared" si="51"/>
        <v>194.46630835634886</v>
      </c>
      <c r="D773">
        <v>29.930000305175781</v>
      </c>
      <c r="E773" s="604">
        <v>13626.0595703125</v>
      </c>
      <c r="F773" s="748">
        <f t="shared" si="48"/>
        <v>-2.5593075171075008E-2</v>
      </c>
      <c r="G773" s="748">
        <f t="shared" si="48"/>
        <v>-2.6086775791876904E-2</v>
      </c>
      <c r="H773" s="1067">
        <f t="shared" si="49"/>
        <v>4.937006208018957E-4</v>
      </c>
      <c r="I773">
        <f t="shared" si="50"/>
        <v>142.96323720546889</v>
      </c>
    </row>
    <row r="774" spans="1:9" ht="20.100000000000001" customHeight="1">
      <c r="A774" s="563">
        <v>44223</v>
      </c>
      <c r="B774">
        <f t="shared" si="51"/>
        <v>328.79368583731247</v>
      </c>
      <c r="C774">
        <f t="shared" si="51"/>
        <v>189.3933093711828</v>
      </c>
      <c r="D774">
        <v>29.163999557495121</v>
      </c>
      <c r="E774" s="604">
        <v>13270.599609375</v>
      </c>
      <c r="F774" s="748">
        <f t="shared" si="48"/>
        <v>1.8584550305797531E-2</v>
      </c>
      <c r="G774" s="748">
        <f t="shared" si="48"/>
        <v>5.0156397475800141E-3</v>
      </c>
      <c r="H774" s="1067">
        <f t="shared" si="49"/>
        <v>1.3568910558217517E-2</v>
      </c>
      <c r="I774">
        <f t="shared" si="50"/>
        <v>139.40037646612967</v>
      </c>
    </row>
    <row r="775" spans="1:9" ht="20.100000000000001" customHeight="1">
      <c r="A775" s="563">
        <v>44224</v>
      </c>
      <c r="B775">
        <f t="shared" si="51"/>
        <v>334.90416863198459</v>
      </c>
      <c r="C775">
        <f t="shared" si="51"/>
        <v>190.34323798159062</v>
      </c>
      <c r="D775">
        <v>29.705999374389648</v>
      </c>
      <c r="E775" s="604">
        <v>13337.16015625</v>
      </c>
      <c r="F775" s="748">
        <f t="shared" si="48"/>
        <v>-2.5449357953665319E-2</v>
      </c>
      <c r="G775" s="748">
        <f t="shared" si="48"/>
        <v>-1.9979495142946724E-2</v>
      </c>
      <c r="H775" s="1067">
        <f t="shared" si="49"/>
        <v>-5.4698628107185954E-3</v>
      </c>
      <c r="I775">
        <f t="shared" si="50"/>
        <v>144.56093065039397</v>
      </c>
    </row>
    <row r="776" spans="1:9" ht="20.100000000000001" customHeight="1">
      <c r="A776" s="563">
        <v>44225</v>
      </c>
      <c r="B776">
        <f t="shared" si="51"/>
        <v>326.38107256429453</v>
      </c>
      <c r="C776">
        <f t="shared" si="51"/>
        <v>186.54027618284468</v>
      </c>
      <c r="D776">
        <v>28.95000076293945</v>
      </c>
      <c r="E776" s="604">
        <v>13070.6904296875</v>
      </c>
      <c r="F776" s="748">
        <f t="shared" si="48"/>
        <v>2.5146760426081327E-2</v>
      </c>
      <c r="G776" s="748">
        <f t="shared" si="48"/>
        <v>2.5453836623223758E-2</v>
      </c>
      <c r="H776" s="1067">
        <f t="shared" si="49"/>
        <v>-3.0707619714243073E-4</v>
      </c>
      <c r="I776">
        <f t="shared" si="50"/>
        <v>139.84079638144985</v>
      </c>
    </row>
    <row r="777" spans="1:9" ht="20.100000000000001" customHeight="1">
      <c r="A777" s="563">
        <v>44228</v>
      </c>
      <c r="B777">
        <f t="shared" si="51"/>
        <v>334.58849920367629</v>
      </c>
      <c r="C777">
        <f t="shared" si="51"/>
        <v>191.28844189645383</v>
      </c>
      <c r="D777">
        <v>29.677999496459961</v>
      </c>
      <c r="E777" s="604">
        <v>13403.3896484375</v>
      </c>
      <c r="F777" s="748">
        <f t="shared" si="48"/>
        <v>3.6525360609914514E-2</v>
      </c>
      <c r="G777" s="748">
        <f t="shared" si="48"/>
        <v>1.5622214267598356E-2</v>
      </c>
      <c r="H777" s="1067">
        <f t="shared" si="49"/>
        <v>2.0903146342316159E-2</v>
      </c>
      <c r="I777">
        <f t="shared" si="50"/>
        <v>143.30005730722246</v>
      </c>
    </row>
    <row r="778" spans="1:9" ht="20.100000000000001" customHeight="1">
      <c r="A778" s="563">
        <v>44229</v>
      </c>
      <c r="B778">
        <f t="shared" si="51"/>
        <v>346.80946479302065</v>
      </c>
      <c r="C778">
        <f t="shared" si="51"/>
        <v>194.27679092267527</v>
      </c>
      <c r="D778">
        <v>30.76199913024902</v>
      </c>
      <c r="E778" s="604">
        <v>13612.7802734375</v>
      </c>
      <c r="F778" s="748">
        <f t="shared" si="48"/>
        <v>-1.8789387274309788E-2</v>
      </c>
      <c r="G778" s="748">
        <f t="shared" si="48"/>
        <v>-1.645684665440017E-4</v>
      </c>
      <c r="H778" s="1067">
        <f t="shared" si="49"/>
        <v>-1.8624818807765786E-2</v>
      </c>
      <c r="I778">
        <f t="shared" si="50"/>
        <v>152.53267387034538</v>
      </c>
    </row>
    <row r="779" spans="1:9" ht="20.100000000000001" customHeight="1">
      <c r="A779" s="563">
        <v>44230</v>
      </c>
      <c r="B779">
        <f t="shared" si="51"/>
        <v>340.29312744862847</v>
      </c>
      <c r="C779">
        <f t="shared" si="51"/>
        <v>194.24481908910803</v>
      </c>
      <c r="D779">
        <v>30.184000015258789</v>
      </c>
      <c r="E779" s="604">
        <v>13610.5400390625</v>
      </c>
      <c r="F779" s="748">
        <f t="shared" si="48"/>
        <v>4.0220007331387198E-2</v>
      </c>
      <c r="G779" s="748">
        <f t="shared" si="48"/>
        <v>1.2284611399153267E-2</v>
      </c>
      <c r="H779" s="1067">
        <f t="shared" si="49"/>
        <v>2.7935395932233931E-2</v>
      </c>
      <c r="I779">
        <f t="shared" si="50"/>
        <v>146.04830835952043</v>
      </c>
    </row>
    <row r="780" spans="1:9" ht="20.100000000000001" customHeight="1">
      <c r="A780" s="563">
        <v>44231</v>
      </c>
      <c r="B780">
        <f t="shared" si="51"/>
        <v>353.979719529433</v>
      </c>
      <c r="C780">
        <f t="shared" si="51"/>
        <v>196.63104120791655</v>
      </c>
      <c r="D780">
        <v>31.398000717163089</v>
      </c>
      <c r="E780" s="604">
        <v>13777.740234375</v>
      </c>
      <c r="F780" s="748">
        <f t="shared" si="48"/>
        <v>-9.6184482730866661E-3</v>
      </c>
      <c r="G780" s="748">
        <f t="shared" si="48"/>
        <v>5.7019198341754507E-3</v>
      </c>
      <c r="H780" s="1067">
        <f t="shared" si="49"/>
        <v>-1.5320368107262117E-2</v>
      </c>
      <c r="I780">
        <f t="shared" si="50"/>
        <v>157.34867832151645</v>
      </c>
    </row>
    <row r="781" spans="1:9" ht="20.100000000000001" customHeight="1">
      <c r="A781" s="563">
        <v>44232</v>
      </c>
      <c r="B781">
        <f t="shared" si="51"/>
        <v>350.57498390741745</v>
      </c>
      <c r="C781">
        <f t="shared" si="51"/>
        <v>197.75221564179455</v>
      </c>
      <c r="D781">
        <v>31.096000671386719</v>
      </c>
      <c r="E781" s="604">
        <v>13856.2998046875</v>
      </c>
      <c r="F781" s="748">
        <f t="shared" si="48"/>
        <v>2.5405164365899902E-2</v>
      </c>
      <c r="G781" s="748">
        <f t="shared" si="48"/>
        <v>9.478709727799739E-3</v>
      </c>
      <c r="H781" s="1067">
        <f t="shared" si="49"/>
        <v>1.5926454638100163E-2</v>
      </c>
      <c r="I781">
        <f t="shared" si="50"/>
        <v>152.8227682656229</v>
      </c>
    </row>
    <row r="782" spans="1:9" ht="20.100000000000001" customHeight="1">
      <c r="A782" s="563">
        <v>44235</v>
      </c>
      <c r="B782">
        <f t="shared" si="51"/>
        <v>359.48139899615808</v>
      </c>
      <c r="C782">
        <f t="shared" si="51"/>
        <v>199.62665149189237</v>
      </c>
      <c r="D782">
        <v>31.88599967956543</v>
      </c>
      <c r="E782" s="604">
        <v>13987.6396484375</v>
      </c>
      <c r="F782" s="748">
        <f t="shared" si="48"/>
        <v>3.3243712392208025E-3</v>
      </c>
      <c r="G782" s="748">
        <f t="shared" si="48"/>
        <v>1.4341624018918697E-3</v>
      </c>
      <c r="H782" s="1067">
        <f t="shared" si="49"/>
        <v>1.8902088373289327E-3</v>
      </c>
      <c r="I782">
        <f t="shared" si="50"/>
        <v>159.8547475042657</v>
      </c>
    </row>
    <row r="783" spans="1:9" ht="20.100000000000001" customHeight="1">
      <c r="A783" s="563">
        <v>44236</v>
      </c>
      <c r="B783">
        <f t="shared" si="51"/>
        <v>360.67644862001578</v>
      </c>
      <c r="C783">
        <f t="shared" si="51"/>
        <v>199.91294852987761</v>
      </c>
      <c r="D783">
        <v>31.992000579833981</v>
      </c>
      <c r="E783" s="604">
        <v>14007.7001953125</v>
      </c>
      <c r="F783" s="748">
        <f t="shared" si="48"/>
        <v>8.502105345119082E-3</v>
      </c>
      <c r="G783" s="748">
        <f t="shared" si="48"/>
        <v>-2.5107563257792398E-3</v>
      </c>
      <c r="H783" s="1067">
        <f t="shared" si="49"/>
        <v>1.1012861670898322E-2</v>
      </c>
      <c r="I783">
        <f t="shared" si="50"/>
        <v>160.76350009013817</v>
      </c>
    </row>
    <row r="784" spans="1:9" ht="20.100000000000001" customHeight="1">
      <c r="A784" s="563">
        <v>44237</v>
      </c>
      <c r="B784">
        <f t="shared" si="51"/>
        <v>363.74295778168658</v>
      </c>
      <c r="C784">
        <f t="shared" si="51"/>
        <v>199.41101582975105</v>
      </c>
      <c r="D784">
        <v>32.263999938964837</v>
      </c>
      <c r="E784" s="604">
        <v>13972.5302734375</v>
      </c>
      <c r="F784" s="748">
        <f t="shared" si="48"/>
        <v>1.0476111203202354E-2</v>
      </c>
      <c r="G784" s="748">
        <f t="shared" si="48"/>
        <v>3.8102803694552989E-3</v>
      </c>
      <c r="H784" s="1067">
        <f t="shared" si="49"/>
        <v>6.6658308337470551E-3</v>
      </c>
      <c r="I784">
        <f t="shared" si="50"/>
        <v>164.33194195193553</v>
      </c>
    </row>
    <row r="785" spans="1:9" ht="20.100000000000001" customHeight="1">
      <c r="A785" s="563">
        <v>44238</v>
      </c>
      <c r="B785">
        <f t="shared" si="51"/>
        <v>367.55356945678926</v>
      </c>
      <c r="C785">
        <f t="shared" si="51"/>
        <v>200.1708277088203</v>
      </c>
      <c r="D785">
        <v>32.602001190185547</v>
      </c>
      <c r="E785" s="604">
        <v>14025.76953125</v>
      </c>
      <c r="F785" s="748">
        <f t="shared" si="48"/>
        <v>1.0551436806456538E-2</v>
      </c>
      <c r="G785" s="748">
        <f t="shared" si="48"/>
        <v>4.9694382299099171E-3</v>
      </c>
      <c r="H785" s="1067">
        <f t="shared" si="49"/>
        <v>5.5819985765466207E-3</v>
      </c>
      <c r="I785">
        <f t="shared" si="50"/>
        <v>167.38274174796896</v>
      </c>
    </row>
    <row r="786" spans="1:9" ht="20.100000000000001" customHeight="1">
      <c r="A786" s="563">
        <v>44239</v>
      </c>
      <c r="B786">
        <f t="shared" si="51"/>
        <v>371.43178771790014</v>
      </c>
      <c r="C786">
        <f t="shared" si="51"/>
        <v>201.16556427254923</v>
      </c>
      <c r="D786">
        <v>32.945999145507813</v>
      </c>
      <c r="E786" s="604">
        <v>14095.4697265625</v>
      </c>
      <c r="F786" s="748">
        <f t="shared" si="48"/>
        <v>9.7133176080022032E-4</v>
      </c>
      <c r="G786" s="748">
        <f t="shared" si="48"/>
        <v>-3.4032017018987837E-3</v>
      </c>
      <c r="H786" s="1067">
        <f t="shared" si="49"/>
        <v>4.374533462699004E-3</v>
      </c>
      <c r="I786">
        <f t="shared" si="50"/>
        <v>170.2662234453509</v>
      </c>
    </row>
    <row r="787" spans="1:9" ht="20.100000000000001" customHeight="1">
      <c r="A787" s="563">
        <v>44243</v>
      </c>
      <c r="B787">
        <f t="shared" si="51"/>
        <v>371.79257121028132</v>
      </c>
      <c r="C787">
        <f t="shared" si="51"/>
        <v>200.48095728185348</v>
      </c>
      <c r="D787">
        <v>32.978000640869141</v>
      </c>
      <c r="E787" s="604">
        <v>14047.5</v>
      </c>
      <c r="F787" s="748">
        <f t="shared" si="48"/>
        <v>8.1265612375267526E-3</v>
      </c>
      <c r="G787" s="748">
        <f t="shared" si="48"/>
        <v>-5.8380327905320772E-3</v>
      </c>
      <c r="H787" s="1067">
        <f t="shared" si="49"/>
        <v>1.396459402805883E-2</v>
      </c>
      <c r="I787">
        <f t="shared" si="50"/>
        <v>171.31161392842785</v>
      </c>
    </row>
    <row r="788" spans="1:9" ht="20.100000000000001" customHeight="1">
      <c r="A788" s="563">
        <v>44244</v>
      </c>
      <c r="B788">
        <f t="shared" si="51"/>
        <v>374.81396630787918</v>
      </c>
      <c r="C788">
        <f t="shared" si="51"/>
        <v>199.31054287936476</v>
      </c>
      <c r="D788">
        <v>33.245998382568359</v>
      </c>
      <c r="E788" s="604">
        <v>13965.490234375</v>
      </c>
      <c r="F788" s="748">
        <f t="shared" si="48"/>
        <v>8.7830064098071148E-3</v>
      </c>
      <c r="G788" s="748">
        <f t="shared" si="48"/>
        <v>-7.1698079431568029E-3</v>
      </c>
      <c r="H788" s="1067">
        <f t="shared" si="49"/>
        <v>1.5952814352963918E-2</v>
      </c>
      <c r="I788">
        <f t="shared" si="50"/>
        <v>175.50342342851442</v>
      </c>
    </row>
    <row r="789" spans="1:9" ht="20.100000000000001" customHeight="1">
      <c r="A789" s="563">
        <v>44245</v>
      </c>
      <c r="B789">
        <f t="shared" si="51"/>
        <v>378.10595977644653</v>
      </c>
      <c r="C789">
        <f t="shared" si="51"/>
        <v>197.88152456587341</v>
      </c>
      <c r="D789">
        <v>33.537998199462891</v>
      </c>
      <c r="E789" s="604">
        <v>13865.3603515625</v>
      </c>
      <c r="F789" s="748">
        <f t="shared" si="48"/>
        <v>2.5284853985851674E-2</v>
      </c>
      <c r="G789" s="748">
        <f t="shared" si="48"/>
        <v>6.5628365540271183E-4</v>
      </c>
      <c r="H789" s="1067">
        <f t="shared" si="49"/>
        <v>2.4628570330448962E-2</v>
      </c>
      <c r="I789">
        <f t="shared" si="50"/>
        <v>180.22443521057312</v>
      </c>
    </row>
    <row r="790" spans="1:9" ht="20.100000000000001" customHeight="1">
      <c r="A790" s="563">
        <v>44246</v>
      </c>
      <c r="B790">
        <f t="shared" si="51"/>
        <v>387.66631376057427</v>
      </c>
      <c r="C790">
        <f t="shared" si="51"/>
        <v>198.01139097615217</v>
      </c>
      <c r="D790">
        <v>34.386001586914063</v>
      </c>
      <c r="E790" s="604">
        <v>13874.4599609375</v>
      </c>
      <c r="F790" s="748">
        <f t="shared" si="48"/>
        <v>-9.1898411419285564E-3</v>
      </c>
      <c r="G790" s="748">
        <f t="shared" si="48"/>
        <v>-2.4607095138204582E-2</v>
      </c>
      <c r="H790" s="1067">
        <f t="shared" si="49"/>
        <v>1.5417253996276026E-2</v>
      </c>
      <c r="I790">
        <f t="shared" si="50"/>
        <v>189.6549227844221</v>
      </c>
    </row>
    <row r="791" spans="1:9" ht="20.100000000000001" customHeight="1">
      <c r="A791" s="563">
        <v>44249</v>
      </c>
      <c r="B791">
        <f t="shared" si="51"/>
        <v>384.10372192103756</v>
      </c>
      <c r="C791">
        <f t="shared" si="51"/>
        <v>193.13890583995376</v>
      </c>
      <c r="D791">
        <v>34.069999694824219</v>
      </c>
      <c r="E791" s="604">
        <v>13533.0498046875</v>
      </c>
      <c r="F791" s="748">
        <f t="shared" si="48"/>
        <v>-9.2749656654850243E-3</v>
      </c>
      <c r="G791" s="748">
        <f t="shared" si="48"/>
        <v>-5.0136229714826674E-3</v>
      </c>
      <c r="H791" s="1067">
        <f t="shared" si="49"/>
        <v>-4.2613426940023569E-3</v>
      </c>
      <c r="I791">
        <f t="shared" si="50"/>
        <v>190.9648160810838</v>
      </c>
    </row>
    <row r="792" spans="1:9" ht="20.100000000000001" customHeight="1">
      <c r="A792" s="563">
        <v>44250</v>
      </c>
      <c r="B792">
        <f t="shared" si="51"/>
        <v>380.54117308823493</v>
      </c>
      <c r="C792">
        <f t="shared" si="51"/>
        <v>192.17058018494754</v>
      </c>
      <c r="D792">
        <v>33.754001617431641</v>
      </c>
      <c r="E792" s="604">
        <v>13465.2001953125</v>
      </c>
      <c r="F792" s="748">
        <f t="shared" si="48"/>
        <v>6.3992295112034192E-3</v>
      </c>
      <c r="G792" s="748">
        <f t="shared" si="48"/>
        <v>9.8601973475462845E-3</v>
      </c>
      <c r="H792" s="1067">
        <f t="shared" si="49"/>
        <v>-3.4609678363428653E-3</v>
      </c>
      <c r="I792">
        <f t="shared" si="50"/>
        <v>188.37059290328739</v>
      </c>
    </row>
    <row r="793" spans="1:9" ht="20.100000000000001" customHeight="1">
      <c r="A793" s="563">
        <v>44251</v>
      </c>
      <c r="B793">
        <f t="shared" si="51"/>
        <v>382.97634339328914</v>
      </c>
      <c r="C793">
        <f t="shared" si="51"/>
        <v>194.06542002996358</v>
      </c>
      <c r="D793">
        <v>33.970001220703118</v>
      </c>
      <c r="E793" s="604">
        <v>13597.9697265625</v>
      </c>
      <c r="F793" s="748">
        <f t="shared" si="48"/>
        <v>-1.0892043958966147E-2</v>
      </c>
      <c r="G793" s="748">
        <f t="shared" si="48"/>
        <v>-3.5192021212380853E-2</v>
      </c>
      <c r="H793" s="1067">
        <f t="shared" si="49"/>
        <v>2.4299977253414706E-2</v>
      </c>
      <c r="I793">
        <f t="shared" si="50"/>
        <v>188.91092336332557</v>
      </c>
    </row>
    <row r="794" spans="1:9" ht="20.100000000000001" customHeight="1">
      <c r="A794" s="563">
        <v>44252</v>
      </c>
      <c r="B794">
        <f t="shared" si="51"/>
        <v>378.80494822580533</v>
      </c>
      <c r="C794">
        <f t="shared" si="51"/>
        <v>187.23586565167949</v>
      </c>
      <c r="D794">
        <v>33.599998474121087</v>
      </c>
      <c r="E794" s="604">
        <v>13119.4296875</v>
      </c>
      <c r="F794" s="748">
        <f t="shared" si="48"/>
        <v>5.0595830762767413E-3</v>
      </c>
      <c r="G794" s="748">
        <f t="shared" si="48"/>
        <v>5.5581624820533193E-3</v>
      </c>
      <c r="H794" s="1067">
        <f t="shared" si="49"/>
        <v>-4.98579405776578E-4</v>
      </c>
      <c r="I794">
        <f t="shared" si="50"/>
        <v>191.56908257412584</v>
      </c>
    </row>
    <row r="795" spans="1:9" ht="20.100000000000001" customHeight="1">
      <c r="A795" s="563">
        <v>44253</v>
      </c>
      <c r="B795">
        <f t="shared" si="51"/>
        <v>380.72154333105851</v>
      </c>
      <c r="C795">
        <f t="shared" si="51"/>
        <v>188.27655301543942</v>
      </c>
      <c r="D795">
        <v>33.770000457763672</v>
      </c>
      <c r="E795" s="604">
        <v>13192.349609375</v>
      </c>
      <c r="F795" s="748">
        <f t="shared" si="48"/>
        <v>2.6117854827557352E-2</v>
      </c>
      <c r="G795" s="748">
        <f t="shared" si="48"/>
        <v>3.0053817590480314E-2</v>
      </c>
      <c r="H795" s="1067">
        <f t="shared" si="49"/>
        <v>-3.9359627629229621E-3</v>
      </c>
      <c r="I795">
        <f t="shared" si="50"/>
        <v>192.44499031561909</v>
      </c>
    </row>
    <row r="796" spans="1:9" ht="20.100000000000001" customHeight="1">
      <c r="A796" s="563">
        <v>44256</v>
      </c>
      <c r="B796">
        <f t="shared" si="51"/>
        <v>390.66517332950269</v>
      </c>
      <c r="C796">
        <f t="shared" si="51"/>
        <v>193.93498219632983</v>
      </c>
      <c r="D796">
        <v>34.652000427246087</v>
      </c>
      <c r="E796" s="604">
        <v>13588.830078125</v>
      </c>
      <c r="F796" s="748">
        <f t="shared" si="48"/>
        <v>5.1938535949780373E-4</v>
      </c>
      <c r="G796" s="748">
        <f t="shared" si="48"/>
        <v>-1.6928612525136666E-2</v>
      </c>
      <c r="H796" s="1067">
        <f t="shared" si="49"/>
        <v>1.744799788463447E-2</v>
      </c>
      <c r="I796">
        <f t="shared" si="50"/>
        <v>196.73019113317287</v>
      </c>
    </row>
    <row r="797" spans="1:9" ht="20.100000000000001" customHeight="1">
      <c r="A797" s="563">
        <v>44257</v>
      </c>
      <c r="B797">
        <f t="shared" si="51"/>
        <v>390.86807910099571</v>
      </c>
      <c r="C797">
        <f t="shared" si="51"/>
        <v>190.65193202765889</v>
      </c>
      <c r="D797">
        <v>34.669998168945313</v>
      </c>
      <c r="E797" s="604">
        <v>13358.7900390625</v>
      </c>
      <c r="F797" s="748">
        <f t="shared" si="48"/>
        <v>-2.0017204098527697E-2</v>
      </c>
      <c r="G797" s="748">
        <f t="shared" si="48"/>
        <v>-2.7026402691170515E-2</v>
      </c>
      <c r="H797" s="1067">
        <f t="shared" si="49"/>
        <v>7.009198592642818E-3</v>
      </c>
      <c r="I797">
        <f t="shared" si="50"/>
        <v>200.21614707333683</v>
      </c>
    </row>
    <row r="798" spans="1:9" ht="20.100000000000001" customHeight="1">
      <c r="A798" s="563">
        <v>44258</v>
      </c>
      <c r="B798">
        <f t="shared" si="51"/>
        <v>383.04399298603164</v>
      </c>
      <c r="C798">
        <f t="shared" si="51"/>
        <v>185.49929613882972</v>
      </c>
      <c r="D798">
        <v>33.976001739501953</v>
      </c>
      <c r="E798" s="604">
        <v>12997.75</v>
      </c>
      <c r="F798" s="748">
        <f t="shared" si="48"/>
        <v>-3.5024793397708809E-2</v>
      </c>
      <c r="G798" s="748">
        <f t="shared" si="48"/>
        <v>-2.1102134864688149E-2</v>
      </c>
      <c r="H798" s="1067">
        <f t="shared" si="49"/>
        <v>-1.392265853302066E-2</v>
      </c>
      <c r="I798">
        <f t="shared" si="50"/>
        <v>197.54469684720192</v>
      </c>
    </row>
    <row r="799" spans="1:9" ht="20.100000000000001" customHeight="1">
      <c r="A799" s="563">
        <v>44259</v>
      </c>
      <c r="B799">
        <f t="shared" si="51"/>
        <v>369.62795626946246</v>
      </c>
      <c r="C799">
        <f t="shared" si="51"/>
        <v>181.58486497440342</v>
      </c>
      <c r="D799">
        <v>32.785999298095703</v>
      </c>
      <c r="E799" s="604">
        <v>12723.4697265625</v>
      </c>
      <c r="F799" s="748">
        <f t="shared" si="48"/>
        <v>2.2204619546594584E-2</v>
      </c>
      <c r="G799" s="748">
        <f t="shared" si="48"/>
        <v>1.5458099739247499E-2</v>
      </c>
      <c r="H799" s="1067">
        <f t="shared" si="49"/>
        <v>6.7465198073470845E-3</v>
      </c>
      <c r="I799">
        <f t="shared" si="50"/>
        <v>188.04309129505904</v>
      </c>
    </row>
    <row r="800" spans="1:9" ht="20.100000000000001" customHeight="1">
      <c r="A800" s="563">
        <v>44260</v>
      </c>
      <c r="B800">
        <f t="shared" si="51"/>
        <v>377.83540441221118</v>
      </c>
      <c r="C800">
        <f t="shared" si="51"/>
        <v>184.39182192831552</v>
      </c>
      <c r="D800">
        <v>33.513999938964837</v>
      </c>
      <c r="E800" s="604">
        <v>12920.150390625</v>
      </c>
      <c r="F800" s="748">
        <f t="shared" si="48"/>
        <v>-8.1159921115420142E-3</v>
      </c>
      <c r="G800" s="748">
        <f t="shared" si="48"/>
        <v>-2.407017139681733E-2</v>
      </c>
      <c r="H800" s="1067">
        <f t="shared" si="49"/>
        <v>1.5954179285275316E-2</v>
      </c>
      <c r="I800">
        <f t="shared" si="50"/>
        <v>193.44358248389565</v>
      </c>
    </row>
    <row r="801" spans="1:9" ht="20.100000000000001" customHeight="1">
      <c r="A801" s="563">
        <v>44263</v>
      </c>
      <c r="B801">
        <f t="shared" si="51"/>
        <v>374.76889525054037</v>
      </c>
      <c r="C801">
        <f t="shared" si="51"/>
        <v>179.95347917032956</v>
      </c>
      <c r="D801">
        <v>33.242000579833977</v>
      </c>
      <c r="E801" s="604">
        <v>12609.16015625</v>
      </c>
      <c r="F801" s="748">
        <f t="shared" si="48"/>
        <v>5.7517559576098609E-2</v>
      </c>
      <c r="G801" s="748">
        <f t="shared" si="48"/>
        <v>3.6850999629795433E-2</v>
      </c>
      <c r="H801" s="1067">
        <f t="shared" si="49"/>
        <v>2.0666559946303176E-2</v>
      </c>
      <c r="I801">
        <f t="shared" si="50"/>
        <v>194.81541608021081</v>
      </c>
    </row>
    <row r="802" spans="1:9" ht="20.100000000000001" customHeight="1">
      <c r="A802" s="563">
        <v>44264</v>
      </c>
      <c r="B802">
        <f t="shared" si="51"/>
        <v>396.32468751038198</v>
      </c>
      <c r="C802">
        <f t="shared" si="51"/>
        <v>186.58494476461578</v>
      </c>
      <c r="D802">
        <v>35.153999328613281</v>
      </c>
      <c r="E802" s="604">
        <v>13073.8203125</v>
      </c>
      <c r="F802" s="748">
        <f t="shared" si="48"/>
        <v>2.6682589271665558E-2</v>
      </c>
      <c r="G802" s="748">
        <f t="shared" si="48"/>
        <v>-3.8169672335397475E-4</v>
      </c>
      <c r="H802" s="1067">
        <f t="shared" si="49"/>
        <v>2.7064285995019532E-2</v>
      </c>
      <c r="I802">
        <f t="shared" si="50"/>
        <v>209.73974274576619</v>
      </c>
    </row>
    <row r="803" spans="1:9" ht="20.100000000000001" customHeight="1">
      <c r="A803" s="563">
        <v>44265</v>
      </c>
      <c r="B803">
        <f t="shared" si="51"/>
        <v>406.8996563654427</v>
      </c>
      <c r="C803">
        <f t="shared" si="51"/>
        <v>186.51372590257193</v>
      </c>
      <c r="D803">
        <v>36.091999053955078</v>
      </c>
      <c r="E803" s="604">
        <v>13068.830078125</v>
      </c>
      <c r="F803" s="748">
        <f t="shared" si="48"/>
        <v>3.917769871183685E-2</v>
      </c>
      <c r="G803" s="748">
        <f t="shared" si="48"/>
        <v>2.5238666489519668E-2</v>
      </c>
      <c r="H803" s="1067">
        <f t="shared" si="49"/>
        <v>1.3939032222317183E-2</v>
      </c>
      <c r="I803">
        <f t="shared" si="50"/>
        <v>220.38593046287076</v>
      </c>
    </row>
    <row r="804" spans="1:9" ht="20.100000000000001" customHeight="1">
      <c r="A804" s="563">
        <v>44266</v>
      </c>
      <c r="B804">
        <f t="shared" si="51"/>
        <v>422.84104850847797</v>
      </c>
      <c r="C804">
        <f t="shared" si="51"/>
        <v>191.22108362634464</v>
      </c>
      <c r="D804">
        <v>37.506000518798828</v>
      </c>
      <c r="E804" s="604">
        <v>13398.669921875</v>
      </c>
      <c r="F804" s="748">
        <f t="shared" si="48"/>
        <v>4.3725709987201267E-3</v>
      </c>
      <c r="G804" s="748">
        <f t="shared" si="48"/>
        <v>-5.8818950516748014E-3</v>
      </c>
      <c r="H804" s="1067">
        <f t="shared" si="49"/>
        <v>1.0254466050394928E-2</v>
      </c>
      <c r="I804">
        <f t="shared" si="50"/>
        <v>231.61996488213333</v>
      </c>
    </row>
    <row r="805" spans="1:9" ht="20.100000000000001" customHeight="1">
      <c r="A805" s="563">
        <v>44267</v>
      </c>
      <c r="B805">
        <f t="shared" si="51"/>
        <v>424.68995101425458</v>
      </c>
      <c r="C805">
        <f t="shared" si="51"/>
        <v>190.09634128078696</v>
      </c>
      <c r="D805">
        <v>37.669998168945313</v>
      </c>
      <c r="E805" s="604">
        <v>13319.8603515625</v>
      </c>
      <c r="F805" s="748">
        <f t="shared" si="48"/>
        <v>1.9538096543946892E-2</v>
      </c>
      <c r="G805" s="748">
        <f t="shared" si="48"/>
        <v>1.0499329999251517E-2</v>
      </c>
      <c r="H805" s="1067">
        <f t="shared" si="49"/>
        <v>9.0387665446953758E-3</v>
      </c>
      <c r="I805">
        <f t="shared" si="50"/>
        <v>234.59360973346762</v>
      </c>
    </row>
    <row r="806" spans="1:9" ht="20.100000000000001" customHeight="1">
      <c r="A806" s="563">
        <v>44270</v>
      </c>
      <c r="B806">
        <f t="shared" si="51"/>
        <v>432.98758427841517</v>
      </c>
      <c r="C806">
        <f t="shared" si="51"/>
        <v>192.09222549954427</v>
      </c>
      <c r="D806">
        <v>38.405998229980469</v>
      </c>
      <c r="E806" s="604">
        <v>13459.7099609375</v>
      </c>
      <c r="F806" s="748">
        <f t="shared" si="48"/>
        <v>-1.3070846339187647E-2</v>
      </c>
      <c r="G806" s="748">
        <f t="shared" si="48"/>
        <v>8.8117437871404469E-4</v>
      </c>
      <c r="H806" s="1067">
        <f t="shared" si="49"/>
        <v>-1.3952020717901692E-2</v>
      </c>
      <c r="I806">
        <f t="shared" si="50"/>
        <v>240.8953587788709</v>
      </c>
    </row>
    <row r="807" spans="1:9" ht="20.100000000000001" customHeight="1">
      <c r="A807" s="563">
        <v>44271</v>
      </c>
      <c r="B807">
        <f t="shared" si="51"/>
        <v>427.32807009753594</v>
      </c>
      <c r="C807">
        <f t="shared" si="51"/>
        <v>192.26149224700464</v>
      </c>
      <c r="D807">
        <v>37.903999328613281</v>
      </c>
      <c r="E807" s="604">
        <v>13471.5703125</v>
      </c>
      <c r="F807" s="748">
        <f t="shared" si="48"/>
        <v>-3.6196650948551734E-2</v>
      </c>
      <c r="G807" s="748">
        <f t="shared" si="48"/>
        <v>3.9809674424322594E-3</v>
      </c>
      <c r="H807" s="1067">
        <f t="shared" si="49"/>
        <v>-4.0177618390983993E-2</v>
      </c>
      <c r="I807">
        <f t="shared" si="50"/>
        <v>235.0665778505313</v>
      </c>
    </row>
    <row r="808" spans="1:9" ht="20.100000000000001" customHeight="1">
      <c r="A808" s="563">
        <v>44272</v>
      </c>
      <c r="B808">
        <f t="shared" si="51"/>
        <v>411.86022510369719</v>
      </c>
      <c r="C808">
        <f t="shared" si="51"/>
        <v>193.02687898807341</v>
      </c>
      <c r="D808">
        <v>36.532001495361328</v>
      </c>
      <c r="E808" s="604">
        <v>13525.2001953125</v>
      </c>
      <c r="F808" s="748">
        <f t="shared" si="48"/>
        <v>-5.2556714799389503E-2</v>
      </c>
      <c r="G808" s="748">
        <f t="shared" si="48"/>
        <v>-3.0242086440928184E-2</v>
      </c>
      <c r="H808" s="1067">
        <f t="shared" si="49"/>
        <v>-2.2314628358461319E-2</v>
      </c>
      <c r="I808">
        <f t="shared" si="50"/>
        <v>218.83334611562378</v>
      </c>
    </row>
    <row r="809" spans="1:9" ht="20.100000000000001" customHeight="1">
      <c r="A809" s="563">
        <v>44273</v>
      </c>
      <c r="B809">
        <f t="shared" si="51"/>
        <v>390.2142047157098</v>
      </c>
      <c r="C809">
        <f t="shared" si="51"/>
        <v>187.18934342829351</v>
      </c>
      <c r="D809">
        <v>34.61199951171875</v>
      </c>
      <c r="E809" s="604">
        <v>13116.169921875</v>
      </c>
      <c r="F809" s="748">
        <f t="shared" si="48"/>
        <v>8.2630100002998308E-3</v>
      </c>
      <c r="G809" s="748">
        <f t="shared" si="48"/>
        <v>7.5532959004116496E-3</v>
      </c>
      <c r="H809" s="1067">
        <f t="shared" si="49"/>
        <v>7.0971409988818124E-4</v>
      </c>
      <c r="I809">
        <f t="shared" si="50"/>
        <v>203.02486128741629</v>
      </c>
    </row>
    <row r="810" spans="1:9" ht="20.100000000000001" customHeight="1">
      <c r="A810" s="563">
        <v>44274</v>
      </c>
      <c r="B810">
        <f t="shared" si="51"/>
        <v>393.43854859153475</v>
      </c>
      <c r="C810">
        <f t="shared" si="51"/>
        <v>188.6032399286112</v>
      </c>
      <c r="D810">
        <v>34.897998809814453</v>
      </c>
      <c r="E810" s="604">
        <v>13215.240234375</v>
      </c>
      <c r="F810" s="748">
        <f t="shared" si="48"/>
        <v>2.6534544501760404E-2</v>
      </c>
      <c r="G810" s="748">
        <f t="shared" si="48"/>
        <v>1.2281260257784199E-2</v>
      </c>
      <c r="H810" s="1067">
        <f t="shared" si="49"/>
        <v>1.4253284243976205E-2</v>
      </c>
      <c r="I810">
        <f t="shared" si="50"/>
        <v>204.83530866292355</v>
      </c>
    </row>
    <row r="811" spans="1:9" ht="20.100000000000001" customHeight="1">
      <c r="A811" s="563">
        <v>44277</v>
      </c>
      <c r="B811">
        <f t="shared" si="51"/>
        <v>403.87826126784483</v>
      </c>
      <c r="C811">
        <f t="shared" si="51"/>
        <v>190.91952540363579</v>
      </c>
      <c r="D811">
        <v>35.824001312255859</v>
      </c>
      <c r="E811" s="604">
        <v>13377.5400390625</v>
      </c>
      <c r="F811" s="748">
        <f t="shared" si="48"/>
        <v>-1.7027707347221255E-2</v>
      </c>
      <c r="G811" s="748">
        <f t="shared" si="48"/>
        <v>-1.1200851824211822E-2</v>
      </c>
      <c r="H811" s="1067">
        <f t="shared" si="49"/>
        <v>-5.8268555230094332E-3</v>
      </c>
      <c r="I811">
        <f t="shared" si="50"/>
        <v>212.95873586420905</v>
      </c>
    </row>
    <row r="812" spans="1:9" ht="20.100000000000001" customHeight="1">
      <c r="A812" s="563">
        <v>44278</v>
      </c>
      <c r="B812">
        <f t="shared" si="51"/>
        <v>397.00114043107141</v>
      </c>
      <c r="C812">
        <f t="shared" si="51"/>
        <v>188.78106408924083</v>
      </c>
      <c r="D812">
        <v>35.214000701904297</v>
      </c>
      <c r="E812" s="604">
        <v>13227.7001953125</v>
      </c>
      <c r="F812" s="748">
        <f t="shared" si="48"/>
        <v>-2.709156475706842E-2</v>
      </c>
      <c r="G812" s="748">
        <f t="shared" si="48"/>
        <v>-2.0094993305729392E-2</v>
      </c>
      <c r="H812" s="1067">
        <f t="shared" si="49"/>
        <v>-6.9965714513390287E-3</v>
      </c>
      <c r="I812">
        <f t="shared" si="50"/>
        <v>208.22007634183058</v>
      </c>
    </row>
    <row r="813" spans="1:9" ht="20.100000000000001" customHeight="1">
      <c r="A813" s="563">
        <v>44279</v>
      </c>
      <c r="B813">
        <f t="shared" si="51"/>
        <v>386.24575832645303</v>
      </c>
      <c r="C813">
        <f t="shared" si="51"/>
        <v>184.98750987011906</v>
      </c>
      <c r="D813">
        <v>34.259998321533203</v>
      </c>
      <c r="E813" s="604">
        <v>12961.8896484375</v>
      </c>
      <c r="F813" s="748">
        <f t="shared" si="48"/>
        <v>-4.0863805168500633E-4</v>
      </c>
      <c r="G813" s="748">
        <f t="shared" si="48"/>
        <v>1.2181895920093666E-3</v>
      </c>
      <c r="H813" s="1067">
        <f t="shared" si="49"/>
        <v>-1.6268276436943729E-3</v>
      </c>
      <c r="I813">
        <f t="shared" si="50"/>
        <v>201.25824845633397</v>
      </c>
    </row>
    <row r="814" spans="1:9" ht="20.100000000000001" customHeight="1">
      <c r="A814" s="563">
        <v>44280</v>
      </c>
      <c r="B814">
        <f t="shared" si="51"/>
        <v>386.08792361229894</v>
      </c>
      <c r="C814">
        <f t="shared" si="51"/>
        <v>185.21285972929456</v>
      </c>
      <c r="D814">
        <v>34.245998382568359</v>
      </c>
      <c r="E814" s="604">
        <v>12977.6796875</v>
      </c>
      <c r="F814" s="748">
        <f t="shared" si="48"/>
        <v>6.7394807595932971E-2</v>
      </c>
      <c r="G814" s="748">
        <f t="shared" si="48"/>
        <v>1.2409828654125432E-2</v>
      </c>
      <c r="H814" s="1067">
        <f t="shared" si="49"/>
        <v>5.4984978941807539E-2</v>
      </c>
      <c r="I814">
        <f t="shared" si="50"/>
        <v>200.87506388300437</v>
      </c>
    </row>
    <row r="815" spans="1:9" ht="20.100000000000001" customHeight="1">
      <c r="A815" s="563">
        <v>44281</v>
      </c>
      <c r="B815">
        <f t="shared" si="51"/>
        <v>412.1082449392631</v>
      </c>
      <c r="C815">
        <f t="shared" si="51"/>
        <v>187.51131958307568</v>
      </c>
      <c r="D815">
        <v>36.554000854492188</v>
      </c>
      <c r="E815" s="604">
        <v>13138.73046875</v>
      </c>
      <c r="F815" s="748">
        <f t="shared" si="48"/>
        <v>4.9242299329228523E-3</v>
      </c>
      <c r="G815" s="748">
        <f t="shared" si="48"/>
        <v>-6.0188523018330775E-3</v>
      </c>
      <c r="H815" s="1067">
        <f t="shared" si="49"/>
        <v>1.094308223475593E-2</v>
      </c>
      <c r="I815">
        <f t="shared" si="50"/>
        <v>224.59692535618743</v>
      </c>
    </row>
    <row r="816" spans="1:9" ht="20.100000000000001" customHeight="1">
      <c r="A816" s="563">
        <v>44284</v>
      </c>
      <c r="B816">
        <f t="shared" si="51"/>
        <v>414.13756069459731</v>
      </c>
      <c r="C816">
        <f t="shared" si="51"/>
        <v>186.38271664558332</v>
      </c>
      <c r="D816">
        <v>36.734001159667969</v>
      </c>
      <c r="E816" s="604">
        <v>13059.650390625</v>
      </c>
      <c r="F816" s="748">
        <f t="shared" si="48"/>
        <v>-1.2740303385458063E-2</v>
      </c>
      <c r="G816" s="748">
        <f t="shared" si="48"/>
        <v>-1.0919696746045648E-3</v>
      </c>
      <c r="H816" s="1067">
        <f t="shared" si="49"/>
        <v>-1.1648333710853498E-2</v>
      </c>
      <c r="I816">
        <f t="shared" si="50"/>
        <v>227.754844049014</v>
      </c>
    </row>
    <row r="817" spans="1:9" ht="20.100000000000001" customHeight="1">
      <c r="A817" s="563">
        <v>44285</v>
      </c>
      <c r="B817">
        <f t="shared" si="51"/>
        <v>408.86132252803458</v>
      </c>
      <c r="C817">
        <f t="shared" si="51"/>
        <v>186.17919237113591</v>
      </c>
      <c r="D817">
        <v>36.265998840332031</v>
      </c>
      <c r="E817" s="604">
        <v>13045.3896484375</v>
      </c>
      <c r="F817" s="748">
        <f t="shared" si="48"/>
        <v>1.7040755812033126E-2</v>
      </c>
      <c r="G817" s="748">
        <f t="shared" si="48"/>
        <v>1.5444572694241598E-2</v>
      </c>
      <c r="H817" s="1067">
        <f t="shared" si="49"/>
        <v>1.5961831177915276E-3</v>
      </c>
      <c r="I817">
        <f t="shared" si="50"/>
        <v>222.68213015689867</v>
      </c>
    </row>
    <row r="818" spans="1:9" ht="20.100000000000001" customHeight="1">
      <c r="A818" s="563">
        <v>44286</v>
      </c>
      <c r="B818">
        <f t="shared" si="51"/>
        <v>415.82862848621971</v>
      </c>
      <c r="C818">
        <f t="shared" si="51"/>
        <v>189.05465044186712</v>
      </c>
      <c r="D818">
        <v>36.883998870849609</v>
      </c>
      <c r="E818" s="604">
        <v>13246.8701171875</v>
      </c>
      <c r="F818" s="748">
        <f t="shared" si="48"/>
        <v>1.068216622768281E-2</v>
      </c>
      <c r="G818" s="748">
        <f t="shared" si="48"/>
        <v>1.7607195685596322E-2</v>
      </c>
      <c r="H818" s="1067">
        <f t="shared" si="49"/>
        <v>-6.9250294579135119E-3</v>
      </c>
      <c r="I818">
        <f t="shared" si="50"/>
        <v>226.77397804435259</v>
      </c>
    </row>
    <row r="819" spans="1:9" ht="20.100000000000001" customHeight="1">
      <c r="A819" s="563">
        <v>44287</v>
      </c>
      <c r="B819">
        <f t="shared" si="51"/>
        <v>420.27057901793887</v>
      </c>
      <c r="C819">
        <f t="shared" si="51"/>
        <v>192.38337266746908</v>
      </c>
      <c r="D819">
        <v>37.277999877929688</v>
      </c>
      <c r="E819" s="604">
        <v>13480.1103515625</v>
      </c>
      <c r="F819" s="748">
        <f t="shared" si="48"/>
        <v>2.6181708855034236E-2</v>
      </c>
      <c r="G819" s="748">
        <f t="shared" si="48"/>
        <v>1.6726828364677537E-2</v>
      </c>
      <c r="H819" s="1067">
        <f t="shared" si="49"/>
        <v>9.4548804903566985E-3</v>
      </c>
      <c r="I819">
        <f t="shared" si="50"/>
        <v>227.8872063504698</v>
      </c>
    </row>
    <row r="820" spans="1:9" ht="20.100000000000001" customHeight="1">
      <c r="A820" s="563">
        <v>44291</v>
      </c>
      <c r="B820">
        <f t="shared" si="51"/>
        <v>431.27398095812322</v>
      </c>
      <c r="C820">
        <f t="shared" si="51"/>
        <v>195.60133632229562</v>
      </c>
      <c r="D820">
        <v>38.254001617431641</v>
      </c>
      <c r="E820" s="604">
        <v>13705.58984375</v>
      </c>
      <c r="F820" s="748">
        <f t="shared" si="48"/>
        <v>1.7828179476841788E-2</v>
      </c>
      <c r="G820" s="748">
        <f t="shared" si="48"/>
        <v>-5.2605987919507324E-4</v>
      </c>
      <c r="H820" s="1067">
        <f t="shared" si="49"/>
        <v>1.8354239356036861E-2</v>
      </c>
      <c r="I820">
        <f t="shared" si="50"/>
        <v>235.6726446358276</v>
      </c>
    </row>
    <row r="821" spans="1:9" ht="20.100000000000001" customHeight="1">
      <c r="A821" s="563">
        <v>44292</v>
      </c>
      <c r="B821">
        <f t="shared" si="51"/>
        <v>438.96281089433671</v>
      </c>
      <c r="C821">
        <f t="shared" si="51"/>
        <v>195.49843830693953</v>
      </c>
      <c r="D821">
        <v>38.936000823974609</v>
      </c>
      <c r="E821" s="604">
        <v>13698.3798828125</v>
      </c>
      <c r="F821" s="748">
        <f t="shared" si="48"/>
        <v>-9.5027461489303189E-3</v>
      </c>
      <c r="G821" s="748">
        <f t="shared" si="48"/>
        <v>-6.964355744338846E-4</v>
      </c>
      <c r="H821" s="1067">
        <f t="shared" si="49"/>
        <v>-8.8063105744964343E-3</v>
      </c>
      <c r="I821">
        <f t="shared" si="50"/>
        <v>243.46437258739718</v>
      </c>
    </row>
    <row r="822" spans="1:9" ht="20.100000000000001" customHeight="1">
      <c r="A822" s="563">
        <v>44293</v>
      </c>
      <c r="B822">
        <f t="shared" si="51"/>
        <v>434.79145873358692</v>
      </c>
      <c r="C822">
        <f t="shared" si="51"/>
        <v>195.36228623975632</v>
      </c>
      <c r="D822">
        <v>38.566001892089837</v>
      </c>
      <c r="E822" s="604">
        <v>13688.83984375</v>
      </c>
      <c r="F822" s="748">
        <f t="shared" si="48"/>
        <v>1.9447180501067862E-2</v>
      </c>
      <c r="G822" s="748">
        <f t="shared" si="48"/>
        <v>1.0261623933502051E-2</v>
      </c>
      <c r="H822" s="1067">
        <f t="shared" si="49"/>
        <v>9.1855565675658113E-3</v>
      </c>
      <c r="I822">
        <f t="shared" si="50"/>
        <v>239.42917249383061</v>
      </c>
    </row>
    <row r="823" spans="1:9" ht="20.100000000000001" customHeight="1">
      <c r="A823" s="563">
        <v>44294</v>
      </c>
      <c r="B823">
        <f t="shared" si="51"/>
        <v>443.24692671190161</v>
      </c>
      <c r="C823">
        <f t="shared" si="51"/>
        <v>197.36702055193788</v>
      </c>
      <c r="D823">
        <v>39.316001892089837</v>
      </c>
      <c r="E823" s="604">
        <v>13829.3095703125</v>
      </c>
      <c r="F823" s="748">
        <f t="shared" si="48"/>
        <v>5.290374361541117E-3</v>
      </c>
      <c r="G823" s="748">
        <f t="shared" si="48"/>
        <v>5.1254083954530572E-3</v>
      </c>
      <c r="H823" s="1067">
        <f t="shared" si="49"/>
        <v>1.649659660880598E-4</v>
      </c>
      <c r="I823">
        <f t="shared" si="50"/>
        <v>245.87990615996372</v>
      </c>
    </row>
    <row r="824" spans="1:9" ht="20.100000000000001" customHeight="1">
      <c r="A824" s="563">
        <v>44295</v>
      </c>
      <c r="B824">
        <f t="shared" si="51"/>
        <v>445.59186888881015</v>
      </c>
      <c r="C824">
        <f t="shared" si="51"/>
        <v>198.37860713606034</v>
      </c>
      <c r="D824">
        <v>39.523998260498047</v>
      </c>
      <c r="E824" s="604">
        <v>13900.1904296875</v>
      </c>
      <c r="F824" s="748">
        <f t="shared" si="48"/>
        <v>-2.6818894237699009E-3</v>
      </c>
      <c r="G824" s="748">
        <f t="shared" si="48"/>
        <v>-3.6107728121699267E-3</v>
      </c>
      <c r="H824" s="1067">
        <f t="shared" si="49"/>
        <v>9.2888338840002582E-4</v>
      </c>
      <c r="I824">
        <f t="shared" si="50"/>
        <v>247.21326175274982</v>
      </c>
    </row>
    <row r="825" spans="1:9" ht="20.100000000000001" customHeight="1">
      <c r="A825" s="563">
        <v>44298</v>
      </c>
      <c r="B825">
        <f t="shared" si="51"/>
        <v>444.39684076831941</v>
      </c>
      <c r="C825">
        <f t="shared" si="51"/>
        <v>197.66230705489733</v>
      </c>
      <c r="D825">
        <v>39.417999267578118</v>
      </c>
      <c r="E825" s="604">
        <v>13850</v>
      </c>
      <c r="F825" s="748">
        <f t="shared" si="48"/>
        <v>1.4967785365838981E-2</v>
      </c>
      <c r="G825" s="748">
        <f t="shared" si="48"/>
        <v>1.0548708258122819E-2</v>
      </c>
      <c r="H825" s="1067">
        <f t="shared" si="49"/>
        <v>4.4190771077161628E-3</v>
      </c>
      <c r="I825">
        <f t="shared" si="50"/>
        <v>246.73453371342208</v>
      </c>
    </row>
    <row r="826" spans="1:9" ht="20.100000000000001" customHeight="1">
      <c r="A826" s="563">
        <v>44299</v>
      </c>
      <c r="B826">
        <f t="shared" si="51"/>
        <v>451.04847729819653</v>
      </c>
      <c r="C826">
        <f t="shared" si="51"/>
        <v>199.74738906564693</v>
      </c>
      <c r="D826">
        <v>40.007999420166023</v>
      </c>
      <c r="E826" s="604">
        <v>13996.099609375</v>
      </c>
      <c r="F826" s="748">
        <f t="shared" si="48"/>
        <v>-3.5993053681034892E-3</v>
      </c>
      <c r="G826" s="748">
        <f t="shared" si="48"/>
        <v>-9.8784496741070038E-3</v>
      </c>
      <c r="H826" s="1067">
        <f t="shared" si="49"/>
        <v>6.2791443060035146E-3</v>
      </c>
      <c r="I826">
        <f t="shared" si="50"/>
        <v>251.3010882325496</v>
      </c>
    </row>
    <row r="827" spans="1:9" ht="20.100000000000001" customHeight="1">
      <c r="A827" s="563">
        <v>44300</v>
      </c>
      <c r="B827">
        <f t="shared" si="51"/>
        <v>449.42501609258221</v>
      </c>
      <c r="C827">
        <f t="shared" si="51"/>
        <v>197.77419453522765</v>
      </c>
      <c r="D827">
        <v>39.863998413085938</v>
      </c>
      <c r="E827" s="604">
        <v>13857.83984375</v>
      </c>
      <c r="F827" s="748">
        <f t="shared" si="48"/>
        <v>3.1206184663354897E-2</v>
      </c>
      <c r="G827" s="748">
        <f t="shared" si="48"/>
        <v>1.3055420174782562E-2</v>
      </c>
      <c r="H827" s="1067">
        <f t="shared" si="49"/>
        <v>1.8150764488572335E-2</v>
      </c>
      <c r="I827">
        <f t="shared" si="50"/>
        <v>251.65082155735456</v>
      </c>
    </row>
    <row r="828" spans="1:9" ht="20.100000000000001" customHeight="1">
      <c r="A828" s="563">
        <v>44301</v>
      </c>
      <c r="B828">
        <f t="shared" si="51"/>
        <v>463.44985613709855</v>
      </c>
      <c r="C828">
        <f t="shared" si="51"/>
        <v>200.35621974461424</v>
      </c>
      <c r="D828">
        <v>41.108001708984382</v>
      </c>
      <c r="E828" s="604">
        <v>14038.759765625</v>
      </c>
      <c r="F828" s="748">
        <f t="shared" si="48"/>
        <v>2.2866096967617544E-3</v>
      </c>
      <c r="G828" s="748">
        <f t="shared" si="48"/>
        <v>9.6732748132444257E-4</v>
      </c>
      <c r="H828" s="1067">
        <f t="shared" si="49"/>
        <v>1.3192822154373118E-3</v>
      </c>
      <c r="I828">
        <f t="shared" si="50"/>
        <v>263.09363639248431</v>
      </c>
    </row>
    <row r="829" spans="1:9" ht="20.100000000000001" customHeight="1">
      <c r="A829" s="563">
        <v>44302</v>
      </c>
      <c r="B829">
        <f t="shared" si="51"/>
        <v>464.50958507210447</v>
      </c>
      <c r="C829">
        <f t="shared" si="51"/>
        <v>200.55002982202748</v>
      </c>
      <c r="D829">
        <v>41.201999664306641</v>
      </c>
      <c r="E829" s="604">
        <v>14052.33984375</v>
      </c>
      <c r="F829" s="748">
        <f t="shared" si="48"/>
        <v>6.3106103524934731E-4</v>
      </c>
      <c r="G829" s="748">
        <f t="shared" si="48"/>
        <v>-9.7898509450855542E-3</v>
      </c>
      <c r="H829" s="1067">
        <f t="shared" si="49"/>
        <v>1.0420911980334902E-2</v>
      </c>
      <c r="I829">
        <f t="shared" si="50"/>
        <v>263.95955525007696</v>
      </c>
    </row>
    <row r="830" spans="1:9" ht="20.100000000000001" customHeight="1">
      <c r="A830" s="563">
        <v>44305</v>
      </c>
      <c r="B830">
        <f t="shared" si="51"/>
        <v>464.80271897174333</v>
      </c>
      <c r="C830">
        <f t="shared" si="51"/>
        <v>198.58667492303738</v>
      </c>
      <c r="D830">
        <v>41.228000640869141</v>
      </c>
      <c r="E830" s="604">
        <v>13914.76953125</v>
      </c>
      <c r="F830" s="748">
        <f t="shared" si="48"/>
        <v>-1.6202562753332539E-2</v>
      </c>
      <c r="G830" s="748">
        <f t="shared" si="48"/>
        <v>-9.2347918311843635E-3</v>
      </c>
      <c r="H830" s="1067">
        <f t="shared" si="49"/>
        <v>-6.9677709221481754E-3</v>
      </c>
      <c r="I830">
        <f t="shared" si="50"/>
        <v>266.21604404870595</v>
      </c>
    </row>
    <row r="831" spans="1:9" ht="20.100000000000001" customHeight="1">
      <c r="A831" s="563">
        <v>44306</v>
      </c>
      <c r="B831">
        <f t="shared" si="51"/>
        <v>457.2717237496841</v>
      </c>
      <c r="C831">
        <f t="shared" si="51"/>
        <v>196.75276831967605</v>
      </c>
      <c r="D831">
        <v>40.560001373291023</v>
      </c>
      <c r="E831" s="604">
        <v>13786.26953125</v>
      </c>
      <c r="F831" s="748">
        <f t="shared" si="48"/>
        <v>-4.3393120434486177E-3</v>
      </c>
      <c r="G831" s="748">
        <f t="shared" si="48"/>
        <v>1.189228129776998E-2</v>
      </c>
      <c r="H831" s="1067">
        <f t="shared" si="49"/>
        <v>-1.6231593341218598E-2</v>
      </c>
      <c r="I831">
        <f t="shared" si="50"/>
        <v>260.51895543000808</v>
      </c>
    </row>
    <row r="832" spans="1:9" ht="20.100000000000001" customHeight="1">
      <c r="A832" s="563">
        <v>44307</v>
      </c>
      <c r="B832">
        <f t="shared" si="51"/>
        <v>455.28747905168859</v>
      </c>
      <c r="C832">
        <f t="shared" si="51"/>
        <v>199.0926075866486</v>
      </c>
      <c r="D832">
        <v>40.383998870849609</v>
      </c>
      <c r="E832" s="604">
        <v>13950.2197265625</v>
      </c>
      <c r="F832" s="748">
        <f t="shared" si="48"/>
        <v>-3.7638775627989451E-3</v>
      </c>
      <c r="G832" s="748">
        <f t="shared" si="48"/>
        <v>-9.4485658933043393E-3</v>
      </c>
      <c r="H832" s="1067">
        <f t="shared" si="49"/>
        <v>5.6846883305053941E-3</v>
      </c>
      <c r="I832">
        <f t="shared" si="50"/>
        <v>256.19487146504002</v>
      </c>
    </row>
    <row r="833" spans="1:9" ht="20.100000000000001" customHeight="1">
      <c r="A833" s="563">
        <v>44308</v>
      </c>
      <c r="B833">
        <f t="shared" si="51"/>
        <v>453.57383272466262</v>
      </c>
      <c r="C833">
        <f t="shared" si="51"/>
        <v>197.21146796499636</v>
      </c>
      <c r="D833">
        <v>40.231998443603523</v>
      </c>
      <c r="E833" s="604">
        <v>13818.41015625</v>
      </c>
      <c r="F833" s="748">
        <f t="shared" si="48"/>
        <v>2.9827687220220778E-3</v>
      </c>
      <c r="G833" s="748">
        <f t="shared" si="48"/>
        <v>1.4357615081555863E-2</v>
      </c>
      <c r="H833" s="1067">
        <f t="shared" si="49"/>
        <v>-1.1374846359533786E-2</v>
      </c>
      <c r="I833">
        <f t="shared" si="50"/>
        <v>256.36236475966626</v>
      </c>
    </row>
    <row r="834" spans="1:9" ht="20.100000000000001" customHeight="1">
      <c r="A834" s="563">
        <v>44309</v>
      </c>
      <c r="B834">
        <f t="shared" si="51"/>
        <v>454.92673856604142</v>
      </c>
      <c r="C834">
        <f t="shared" si="51"/>
        <v>200.04295431170635</v>
      </c>
      <c r="D834">
        <v>40.352001190185547</v>
      </c>
      <c r="E834" s="604">
        <v>14016.8095703125</v>
      </c>
      <c r="F834" s="748">
        <f t="shared" si="48"/>
        <v>1.0606601320566789E-2</v>
      </c>
      <c r="G834" s="748">
        <f t="shared" si="48"/>
        <v>8.701745037853259E-3</v>
      </c>
      <c r="H834" s="1067">
        <f t="shared" si="49"/>
        <v>1.9048562827135296E-3</v>
      </c>
      <c r="I834">
        <f t="shared" si="50"/>
        <v>254.88378425433507</v>
      </c>
    </row>
    <row r="835" spans="1:9" ht="20.100000000000001" customHeight="1">
      <c r="A835" s="563">
        <v>44312</v>
      </c>
      <c r="B835">
        <f t="shared" si="51"/>
        <v>459.75196511207713</v>
      </c>
      <c r="C835">
        <f t="shared" si="51"/>
        <v>201.78367709674575</v>
      </c>
      <c r="D835">
        <v>40.779998779296882</v>
      </c>
      <c r="E835" s="604">
        <v>14138.7802734375</v>
      </c>
      <c r="F835" s="748">
        <f t="shared" ref="F835:G898" si="52">D836/D835-1</f>
        <v>-1.2996537399749819E-2</v>
      </c>
      <c r="G835" s="748">
        <f t="shared" si="52"/>
        <v>-3.4345640809080313E-3</v>
      </c>
      <c r="H835" s="1067">
        <f t="shared" ref="H835:H898" si="53">F835-G835</f>
        <v>-9.5619733188417877E-3</v>
      </c>
      <c r="I835">
        <f t="shared" ref="I835:I898" si="54">B835-C835</f>
        <v>257.96828801533138</v>
      </c>
    </row>
    <row r="836" spans="1:9" ht="20.100000000000001" customHeight="1">
      <c r="A836" s="563">
        <v>44313</v>
      </c>
      <c r="B836">
        <f t="shared" ref="B836:C899" si="55">B835*(1+F835)</f>
        <v>453.77678150288955</v>
      </c>
      <c r="C836">
        <f t="shared" si="55"/>
        <v>201.09063812727572</v>
      </c>
      <c r="D836">
        <v>40.25</v>
      </c>
      <c r="E836" s="604">
        <v>14090.2197265625</v>
      </c>
      <c r="F836" s="748">
        <f t="shared" si="52"/>
        <v>-1.6099349312160283E-2</v>
      </c>
      <c r="G836" s="748">
        <f t="shared" si="52"/>
        <v>-2.7813230656098531E-3</v>
      </c>
      <c r="H836" s="1067">
        <f t="shared" si="53"/>
        <v>-1.331802624655043E-2</v>
      </c>
      <c r="I836">
        <f t="shared" si="54"/>
        <v>252.68614337561382</v>
      </c>
    </row>
    <row r="837" spans="1:9" ht="20.100000000000001" customHeight="1">
      <c r="A837" s="563">
        <v>44314</v>
      </c>
      <c r="B837">
        <f t="shared" si="55"/>
        <v>446.47127058772668</v>
      </c>
      <c r="C837">
        <f t="shared" si="55"/>
        <v>200.53134009717414</v>
      </c>
      <c r="D837">
        <v>39.602001190185547</v>
      </c>
      <c r="E837" s="604">
        <v>14051.0302734375</v>
      </c>
      <c r="F837" s="748">
        <f t="shared" si="52"/>
        <v>-1.2827619940880997E-2</v>
      </c>
      <c r="G837" s="748">
        <f t="shared" si="52"/>
        <v>2.2432185139893424E-3</v>
      </c>
      <c r="H837" s="1067">
        <f t="shared" si="53"/>
        <v>-1.5070838454870339E-2</v>
      </c>
      <c r="I837">
        <f t="shared" si="54"/>
        <v>245.93993049055254</v>
      </c>
    </row>
    <row r="838" spans="1:9" ht="20.100000000000001" customHeight="1">
      <c r="A838" s="563">
        <v>44315</v>
      </c>
      <c r="B838">
        <f t="shared" si="55"/>
        <v>440.74410681410507</v>
      </c>
      <c r="C838">
        <f t="shared" si="55"/>
        <v>200.9811757119152</v>
      </c>
      <c r="D838">
        <v>39.094001770019531</v>
      </c>
      <c r="E838" s="604">
        <v>14082.5498046875</v>
      </c>
      <c r="F838" s="748">
        <f t="shared" si="52"/>
        <v>4.481503100331774E-2</v>
      </c>
      <c r="G838" s="748">
        <f t="shared" si="52"/>
        <v>-8.5119611753547986E-3</v>
      </c>
      <c r="H838" s="1067">
        <f t="shared" si="53"/>
        <v>5.3326992178672539E-2</v>
      </c>
      <c r="I838">
        <f t="shared" si="54"/>
        <v>239.76293110218987</v>
      </c>
    </row>
    <row r="839" spans="1:9" ht="20.100000000000001" customHeight="1">
      <c r="A839" s="563">
        <v>44316</v>
      </c>
      <c r="B839">
        <f t="shared" si="55"/>
        <v>460.49606762550877</v>
      </c>
      <c r="C839">
        <f t="shared" si="55"/>
        <v>199.27043174727822</v>
      </c>
      <c r="D839">
        <v>40.846000671386719</v>
      </c>
      <c r="E839" s="604">
        <v>13962.6796875</v>
      </c>
      <c r="F839" s="748">
        <f t="shared" si="52"/>
        <v>-5.1412398036746465E-3</v>
      </c>
      <c r="G839" s="748">
        <f t="shared" si="52"/>
        <v>-4.8385819788576701E-3</v>
      </c>
      <c r="H839" s="1067">
        <f t="shared" si="53"/>
        <v>-3.0265782481697645E-4</v>
      </c>
      <c r="I839">
        <f t="shared" si="54"/>
        <v>261.22563587823055</v>
      </c>
    </row>
    <row r="840" spans="1:9" ht="20.100000000000001" customHeight="1">
      <c r="A840" s="563">
        <v>44319</v>
      </c>
      <c r="B840">
        <f t="shared" si="55"/>
        <v>458.12854691319683</v>
      </c>
      <c r="C840">
        <f t="shared" si="55"/>
        <v>198.30624542730666</v>
      </c>
      <c r="D840">
        <v>40.636001586914063</v>
      </c>
      <c r="E840" s="604">
        <v>13895.1201171875</v>
      </c>
      <c r="F840" s="748">
        <f t="shared" si="52"/>
        <v>1.771821483139524E-2</v>
      </c>
      <c r="G840" s="748">
        <f t="shared" si="52"/>
        <v>-1.8828201194453165E-2</v>
      </c>
      <c r="H840" s="1067">
        <f t="shared" si="53"/>
        <v>3.6546416025848405E-2</v>
      </c>
      <c r="I840">
        <f t="shared" si="54"/>
        <v>259.82230148589019</v>
      </c>
    </row>
    <row r="841" spans="1:9" ht="20.100000000000001" customHeight="1">
      <c r="A841" s="563">
        <v>44320</v>
      </c>
      <c r="B841">
        <f t="shared" si="55"/>
        <v>466.24576692779976</v>
      </c>
      <c r="C841">
        <f t="shared" si="55"/>
        <v>194.57249554028473</v>
      </c>
      <c r="D841">
        <v>41.355998992919922</v>
      </c>
      <c r="E841" s="604">
        <v>13633.5</v>
      </c>
      <c r="F841" s="748">
        <f t="shared" si="52"/>
        <v>1.2573761254145666E-2</v>
      </c>
      <c r="G841" s="748">
        <f t="shared" si="52"/>
        <v>-3.7466591942640903E-3</v>
      </c>
      <c r="H841" s="1067">
        <f t="shared" si="53"/>
        <v>1.6320420448409756E-2</v>
      </c>
      <c r="I841">
        <f t="shared" si="54"/>
        <v>271.673271387515</v>
      </c>
    </row>
    <row r="842" spans="1:9" ht="20.100000000000001" customHeight="1">
      <c r="A842" s="563">
        <v>44321</v>
      </c>
      <c r="B842">
        <f t="shared" si="55"/>
        <v>472.10822988690597</v>
      </c>
      <c r="C842">
        <f t="shared" si="55"/>
        <v>193.84349871091783</v>
      </c>
      <c r="D842">
        <v>41.875999450683587</v>
      </c>
      <c r="E842" s="604">
        <v>13582.419921875</v>
      </c>
      <c r="F842" s="748">
        <f t="shared" si="52"/>
        <v>-1.370716686850304E-2</v>
      </c>
      <c r="G842" s="748">
        <f t="shared" si="52"/>
        <v>3.7121457122524237E-3</v>
      </c>
      <c r="H842" s="1067">
        <f t="shared" si="53"/>
        <v>-1.7419312580755464E-2</v>
      </c>
      <c r="I842">
        <f t="shared" si="54"/>
        <v>278.26473117598812</v>
      </c>
    </row>
    <row r="843" spans="1:9" ht="20.100000000000001" customHeight="1">
      <c r="A843" s="563">
        <v>44322</v>
      </c>
      <c r="B843">
        <f t="shared" si="55"/>
        <v>465.63696359985255</v>
      </c>
      <c r="C843">
        <f t="shared" si="55"/>
        <v>194.56307402350558</v>
      </c>
      <c r="D843">
        <v>41.301998138427727</v>
      </c>
      <c r="E843" s="604">
        <v>13632.83984375</v>
      </c>
      <c r="F843" s="748">
        <f t="shared" si="52"/>
        <v>2.5470969941916888E-2</v>
      </c>
      <c r="G843" s="748">
        <f t="shared" si="52"/>
        <v>8.7582918888129413E-3</v>
      </c>
      <c r="H843" s="1067">
        <f t="shared" si="53"/>
        <v>1.6712678053103946E-2</v>
      </c>
      <c r="I843">
        <f t="shared" si="54"/>
        <v>271.07388957634697</v>
      </c>
    </row>
    <row r="844" spans="1:9" ht="20.100000000000001" customHeight="1">
      <c r="A844" s="563">
        <v>44323</v>
      </c>
      <c r="B844">
        <f t="shared" si="55"/>
        <v>477.49718870354985</v>
      </c>
      <c r="C844">
        <f t="shared" si="55"/>
        <v>196.26711421658817</v>
      </c>
      <c r="D844">
        <v>42.354000091552727</v>
      </c>
      <c r="E844" s="604">
        <v>13752.240234375</v>
      </c>
      <c r="F844" s="748">
        <f t="shared" si="52"/>
        <v>-3.5321300923987886E-2</v>
      </c>
      <c r="G844" s="748">
        <f t="shared" si="52"/>
        <v>-2.5478022259725619E-2</v>
      </c>
      <c r="H844" s="1067">
        <f t="shared" si="53"/>
        <v>-9.8432786642622672E-3</v>
      </c>
      <c r="I844">
        <f t="shared" si="54"/>
        <v>281.23007448696171</v>
      </c>
    </row>
    <row r="845" spans="1:9" ht="20.100000000000001" customHeight="1">
      <c r="A845" s="563">
        <v>44326</v>
      </c>
      <c r="B845">
        <f t="shared" si="55"/>
        <v>460.63136681099354</v>
      </c>
      <c r="C845">
        <f t="shared" si="55"/>
        <v>191.26661631172581</v>
      </c>
      <c r="D845">
        <v>40.858001708984382</v>
      </c>
      <c r="E845" s="604">
        <v>13401.8603515625</v>
      </c>
      <c r="F845" s="748">
        <f t="shared" si="52"/>
        <v>1.0866817046162991E-2</v>
      </c>
      <c r="G845" s="748">
        <f t="shared" si="52"/>
        <v>-9.2753272578693924E-4</v>
      </c>
      <c r="H845" s="1067">
        <f t="shared" si="53"/>
        <v>1.179434977194993E-2</v>
      </c>
      <c r="I845">
        <f t="shared" si="54"/>
        <v>269.36475049926776</v>
      </c>
    </row>
    <row r="846" spans="1:9" ht="20.100000000000001" customHeight="1">
      <c r="A846" s="563">
        <v>44327</v>
      </c>
      <c r="B846">
        <f t="shared" si="55"/>
        <v>465.63696359985261</v>
      </c>
      <c r="C846">
        <f t="shared" si="55"/>
        <v>191.08921026574615</v>
      </c>
      <c r="D846">
        <v>41.301998138427727</v>
      </c>
      <c r="E846" s="604">
        <v>13389.4296875</v>
      </c>
      <c r="F846" s="748">
        <f t="shared" si="52"/>
        <v>-4.5905767127600638E-2</v>
      </c>
      <c r="G846" s="748">
        <f t="shared" si="52"/>
        <v>-2.6718837795905892E-2</v>
      </c>
      <c r="H846" s="1067">
        <f t="shared" si="53"/>
        <v>-1.9186929331694746E-2</v>
      </c>
      <c r="I846">
        <f t="shared" si="54"/>
        <v>274.54775333410646</v>
      </c>
    </row>
    <row r="847" spans="1:9" ht="20.100000000000001" customHeight="1">
      <c r="A847" s="563">
        <v>44328</v>
      </c>
      <c r="B847">
        <f t="shared" si="55"/>
        <v>444.2615415828347</v>
      </c>
      <c r="C847">
        <f t="shared" si="55"/>
        <v>185.98352865210791</v>
      </c>
      <c r="D847">
        <v>39.405998229980469</v>
      </c>
      <c r="E847" s="604">
        <v>13031.6796875</v>
      </c>
      <c r="F847" s="748">
        <f t="shared" si="52"/>
        <v>6.9025830088267348E-3</v>
      </c>
      <c r="G847" s="748">
        <f t="shared" si="52"/>
        <v>7.1602854821932738E-3</v>
      </c>
      <c r="H847" s="1067">
        <f t="shared" si="53"/>
        <v>-2.5770247336653895E-4</v>
      </c>
      <c r="I847">
        <f t="shared" si="54"/>
        <v>258.27801293072679</v>
      </c>
    </row>
    <row r="848" spans="1:9" ht="20.100000000000001" customHeight="1">
      <c r="A848" s="563">
        <v>44329</v>
      </c>
      <c r="B848">
        <f t="shared" si="55"/>
        <v>447.32809375123952</v>
      </c>
      <c r="C848">
        <f t="shared" si="55"/>
        <v>187.31522381224266</v>
      </c>
      <c r="D848">
        <v>39.678001403808587</v>
      </c>
      <c r="E848" s="604">
        <v>13124.990234375</v>
      </c>
      <c r="F848" s="748">
        <f t="shared" si="52"/>
        <v>3.7653093108106495E-2</v>
      </c>
      <c r="G848" s="748">
        <f t="shared" si="52"/>
        <v>2.3237368480184983E-2</v>
      </c>
      <c r="H848" s="1067">
        <f t="shared" si="53"/>
        <v>1.4415724627921511E-2</v>
      </c>
      <c r="I848">
        <f t="shared" si="54"/>
        <v>260.01286993899686</v>
      </c>
    </row>
    <row r="849" spans="1:9" ht="20.100000000000001" customHeight="1">
      <c r="A849" s="563">
        <v>44330</v>
      </c>
      <c r="B849">
        <f t="shared" si="55"/>
        <v>464.17138011512674</v>
      </c>
      <c r="C849">
        <f t="shared" si="55"/>
        <v>191.66793668991608</v>
      </c>
      <c r="D849">
        <v>41.172000885009773</v>
      </c>
      <c r="E849" s="604">
        <v>13429.98046875</v>
      </c>
      <c r="F849" s="748">
        <f t="shared" si="52"/>
        <v>-7.3836793927321009E-3</v>
      </c>
      <c r="G849" s="748">
        <f t="shared" si="52"/>
        <v>-3.7923111043243196E-3</v>
      </c>
      <c r="H849" s="1067">
        <f t="shared" si="53"/>
        <v>-3.5913682884077813E-3</v>
      </c>
      <c r="I849">
        <f t="shared" si="54"/>
        <v>272.50344342521066</v>
      </c>
    </row>
    <row r="850" spans="1:9" ht="20.100000000000001" customHeight="1">
      <c r="A850" s="563">
        <v>44333</v>
      </c>
      <c r="B850">
        <f t="shared" si="55"/>
        <v>460.74408746107468</v>
      </c>
      <c r="C850">
        <f t="shared" si="55"/>
        <v>190.94107224526397</v>
      </c>
      <c r="D850">
        <v>40.868000030517578</v>
      </c>
      <c r="E850" s="604">
        <v>13379.0498046875</v>
      </c>
      <c r="F850" s="748">
        <f t="shared" si="52"/>
        <v>-4.4048048309308641E-4</v>
      </c>
      <c r="G850" s="748">
        <f t="shared" si="52"/>
        <v>-5.6364358718195007E-3</v>
      </c>
      <c r="H850" s="1067">
        <f t="shared" si="53"/>
        <v>5.1959553887264143E-3</v>
      </c>
      <c r="I850">
        <f t="shared" si="54"/>
        <v>269.80301521581072</v>
      </c>
    </row>
    <row r="851" spans="1:9" ht="20.100000000000001" customHeight="1">
      <c r="A851" s="563">
        <v>44334</v>
      </c>
      <c r="B851">
        <f t="shared" si="55"/>
        <v>460.54113868284753</v>
      </c>
      <c r="C851">
        <f t="shared" si="55"/>
        <v>189.86484513625709</v>
      </c>
      <c r="D851">
        <v>40.849998474121087</v>
      </c>
      <c r="E851" s="604">
        <v>13303.6396484375</v>
      </c>
      <c r="F851" s="748">
        <f t="shared" si="52"/>
        <v>1.6401517960081158E-2</v>
      </c>
      <c r="G851" s="748">
        <f t="shared" si="52"/>
        <v>-2.9310881574862169E-4</v>
      </c>
      <c r="H851" s="1067">
        <f t="shared" si="53"/>
        <v>1.6694626775829779E-2</v>
      </c>
      <c r="I851">
        <f t="shared" si="54"/>
        <v>270.67629354659044</v>
      </c>
    </row>
    <row r="852" spans="1:9" ht="20.100000000000001" customHeight="1">
      <c r="A852" s="563">
        <v>44335</v>
      </c>
      <c r="B852">
        <f t="shared" si="55"/>
        <v>468.0947124403105</v>
      </c>
      <c r="C852">
        <f t="shared" si="55"/>
        <v>189.8091940763469</v>
      </c>
      <c r="D852">
        <v>41.520000457763672</v>
      </c>
      <c r="E852" s="604">
        <v>13299.740234375</v>
      </c>
      <c r="F852" s="748">
        <f t="shared" si="52"/>
        <v>2.2736036457921216E-2</v>
      </c>
      <c r="G852" s="748">
        <f t="shared" si="52"/>
        <v>1.7744707478573485E-2</v>
      </c>
      <c r="H852" s="1067">
        <f t="shared" si="53"/>
        <v>4.9913289793477311E-3</v>
      </c>
      <c r="I852">
        <f t="shared" si="54"/>
        <v>278.2855183639636</v>
      </c>
    </row>
    <row r="853" spans="1:9" ht="20.100000000000001" customHeight="1">
      <c r="A853" s="563">
        <v>44336</v>
      </c>
      <c r="B853">
        <f t="shared" si="55"/>
        <v>478.73733088811355</v>
      </c>
      <c r="C853">
        <f t="shared" si="55"/>
        <v>193.17730270197546</v>
      </c>
      <c r="D853">
        <v>42.464000701904297</v>
      </c>
      <c r="E853" s="604">
        <v>13535.740234375</v>
      </c>
      <c r="F853" s="748">
        <f t="shared" si="52"/>
        <v>-7.0177169076769408E-3</v>
      </c>
      <c r="G853" s="748">
        <f t="shared" si="52"/>
        <v>-4.783631990481263E-3</v>
      </c>
      <c r="H853" s="1067">
        <f t="shared" si="53"/>
        <v>-2.2340849171956778E-3</v>
      </c>
      <c r="I853">
        <f t="shared" si="54"/>
        <v>285.56002818613808</v>
      </c>
    </row>
    <row r="854" spans="1:9" ht="20.100000000000001" customHeight="1">
      <c r="A854" s="563">
        <v>44337</v>
      </c>
      <c r="B854">
        <f t="shared" si="55"/>
        <v>475.37768782680388</v>
      </c>
      <c r="C854">
        <f t="shared" si="55"/>
        <v>192.25321357693542</v>
      </c>
      <c r="D854">
        <v>42.166000366210938</v>
      </c>
      <c r="E854" s="604">
        <v>13470.990234375</v>
      </c>
      <c r="F854" s="748">
        <f t="shared" si="52"/>
        <v>1.0624627495710914E-2</v>
      </c>
      <c r="G854" s="748">
        <f t="shared" si="52"/>
        <v>1.4117721428874797E-2</v>
      </c>
      <c r="H854" s="1067">
        <f t="shared" si="53"/>
        <v>-3.4930939331638822E-3</v>
      </c>
      <c r="I854">
        <f t="shared" si="54"/>
        <v>283.12447424986846</v>
      </c>
    </row>
    <row r="855" spans="1:9" ht="20.100000000000001" customHeight="1">
      <c r="A855" s="563">
        <v>44340</v>
      </c>
      <c r="B855">
        <f t="shared" si="55"/>
        <v>480.42839867973601</v>
      </c>
      <c r="C855">
        <f t="shared" si="55"/>
        <v>194.96739089002057</v>
      </c>
      <c r="D855">
        <v>42.613998413085938</v>
      </c>
      <c r="E855" s="604">
        <v>13661.169921875</v>
      </c>
      <c r="F855" s="748">
        <f t="shared" si="52"/>
        <v>7.0400118019831037E-3</v>
      </c>
      <c r="G855" s="748">
        <f t="shared" si="52"/>
        <v>-2.9280069151282895E-4</v>
      </c>
      <c r="H855" s="1067">
        <f t="shared" si="53"/>
        <v>7.3328124934959327E-3</v>
      </c>
      <c r="I855">
        <f t="shared" si="54"/>
        <v>285.46100778971544</v>
      </c>
    </row>
    <row r="856" spans="1:9" ht="20.100000000000001" customHeight="1">
      <c r="A856" s="563">
        <v>44341</v>
      </c>
      <c r="B856">
        <f t="shared" si="55"/>
        <v>483.81062027644919</v>
      </c>
      <c r="C856">
        <f t="shared" si="55"/>
        <v>194.91030430314552</v>
      </c>
      <c r="D856">
        <v>42.91400146484375</v>
      </c>
      <c r="E856" s="604">
        <v>13657.169921875</v>
      </c>
      <c r="F856" s="748">
        <f t="shared" si="52"/>
        <v>5.3128773451398548E-3</v>
      </c>
      <c r="G856" s="748">
        <f t="shared" si="52"/>
        <v>5.9185086359314631E-3</v>
      </c>
      <c r="H856" s="1067">
        <f t="shared" si="53"/>
        <v>-6.0563129079160838E-4</v>
      </c>
      <c r="I856">
        <f t="shared" si="54"/>
        <v>288.90031597330369</v>
      </c>
    </row>
    <row r="857" spans="1:9" ht="20.100000000000001" customHeight="1">
      <c r="A857" s="563">
        <v>44342</v>
      </c>
      <c r="B857">
        <f t="shared" si="55"/>
        <v>486.38104676025398</v>
      </c>
      <c r="C857">
        <f t="shared" si="55"/>
        <v>196.06388262239571</v>
      </c>
      <c r="D857">
        <v>43.141998291015618</v>
      </c>
      <c r="E857" s="604">
        <v>13738</v>
      </c>
      <c r="F857" s="748">
        <f t="shared" si="52"/>
        <v>2.9206636310841194E-3</v>
      </c>
      <c r="G857" s="748">
        <f t="shared" si="52"/>
        <v>-1.2518027096375395E-4</v>
      </c>
      <c r="H857" s="1067">
        <f t="shared" si="53"/>
        <v>3.0458439020478734E-3</v>
      </c>
      <c r="I857">
        <f t="shared" si="54"/>
        <v>290.3171641378583</v>
      </c>
    </row>
    <row r="858" spans="1:9" ht="20.100000000000001" customHeight="1">
      <c r="A858" s="563">
        <v>44343</v>
      </c>
      <c r="B858">
        <f t="shared" si="55"/>
        <v>487.80160219437528</v>
      </c>
      <c r="C858">
        <f t="shared" si="55"/>
        <v>196.03933929244283</v>
      </c>
      <c r="D858">
        <v>43.268001556396477</v>
      </c>
      <c r="E858" s="604">
        <v>13736.2802734375</v>
      </c>
      <c r="F858" s="748">
        <f t="shared" si="52"/>
        <v>1.0169146040532651E-2</v>
      </c>
      <c r="G858" s="748">
        <f t="shared" si="52"/>
        <v>9.0708406420580978E-4</v>
      </c>
      <c r="H858" s="1067">
        <f t="shared" si="53"/>
        <v>9.2620619763268408E-3</v>
      </c>
      <c r="I858">
        <f t="shared" si="54"/>
        <v>291.76226290193244</v>
      </c>
    </row>
    <row r="859" spans="1:9" ht="20.100000000000001" customHeight="1">
      <c r="A859" s="563">
        <v>44344</v>
      </c>
      <c r="B859">
        <f t="shared" si="55"/>
        <v>492.7621279258957</v>
      </c>
      <c r="C859">
        <f t="shared" si="55"/>
        <v>196.21716345307243</v>
      </c>
      <c r="D859">
        <v>43.708000183105469</v>
      </c>
      <c r="E859" s="604">
        <v>13748.740234375</v>
      </c>
      <c r="F859" s="748">
        <f t="shared" si="52"/>
        <v>-1.6244144813266748E-2</v>
      </c>
      <c r="G859" s="748">
        <f t="shared" si="52"/>
        <v>-8.917010152208471E-4</v>
      </c>
      <c r="H859" s="1067">
        <f t="shared" si="53"/>
        <v>-1.5352443798045901E-2</v>
      </c>
      <c r="I859">
        <f t="shared" si="54"/>
        <v>296.54496447282327</v>
      </c>
    </row>
    <row r="860" spans="1:9" ht="20.100000000000001" customHeight="1">
      <c r="A860" s="563">
        <v>44348</v>
      </c>
      <c r="B860">
        <f t="shared" si="55"/>
        <v>484.75762856137396</v>
      </c>
      <c r="C860">
        <f t="shared" si="55"/>
        <v>196.04219640921758</v>
      </c>
      <c r="D860">
        <v>42.998001098632813</v>
      </c>
      <c r="E860" s="604">
        <v>13736.48046875</v>
      </c>
      <c r="F860" s="748">
        <f t="shared" si="52"/>
        <v>6.418837034589675E-3</v>
      </c>
      <c r="G860" s="748">
        <f t="shared" si="52"/>
        <v>1.4450287626555092E-3</v>
      </c>
      <c r="H860" s="1067">
        <f t="shared" si="53"/>
        <v>4.9738082719341659E-3</v>
      </c>
      <c r="I860">
        <f t="shared" si="54"/>
        <v>288.71543215215638</v>
      </c>
    </row>
    <row r="861" spans="1:9" ht="20.100000000000001" customHeight="1">
      <c r="A861" s="563">
        <v>44349</v>
      </c>
      <c r="B861">
        <f t="shared" si="55"/>
        <v>487.86920878038359</v>
      </c>
      <c r="C861">
        <f t="shared" si="55"/>
        <v>196.32548302172307</v>
      </c>
      <c r="D861">
        <v>43.273998260498047</v>
      </c>
      <c r="E861" s="604">
        <v>13756.330078125</v>
      </c>
      <c r="F861" s="748">
        <f t="shared" si="52"/>
        <v>-4.5754507287055768E-3</v>
      </c>
      <c r="G861" s="748">
        <f t="shared" si="52"/>
        <v>-1.0309458387126047E-2</v>
      </c>
      <c r="H861" s="1067">
        <f t="shared" si="53"/>
        <v>5.7340076584204702E-3</v>
      </c>
      <c r="I861">
        <f t="shared" si="54"/>
        <v>291.54372575866051</v>
      </c>
    </row>
    <row r="862" spans="1:9" ht="20.100000000000001" customHeight="1">
      <c r="A862" s="563">
        <v>44350</v>
      </c>
      <c r="B862">
        <f t="shared" si="55"/>
        <v>485.63698725355636</v>
      </c>
      <c r="C862">
        <f t="shared" si="55"/>
        <v>194.30147362417819</v>
      </c>
      <c r="D862">
        <v>43.076000213623047</v>
      </c>
      <c r="E862" s="604">
        <v>13614.509765625</v>
      </c>
      <c r="F862" s="748">
        <f t="shared" si="52"/>
        <v>2.9622085853713065E-2</v>
      </c>
      <c r="G862" s="748">
        <f t="shared" si="52"/>
        <v>1.4688774858050868E-2</v>
      </c>
      <c r="H862" s="1067">
        <f t="shared" si="53"/>
        <v>1.4933310995662197E-2</v>
      </c>
      <c r="I862">
        <f t="shared" si="54"/>
        <v>291.33551362937817</v>
      </c>
    </row>
    <row r="863" spans="1:9" ht="20.100000000000001" customHeight="1">
      <c r="A863" s="563">
        <v>44351</v>
      </c>
      <c r="B863">
        <f t="shared" si="55"/>
        <v>500.02256778371975</v>
      </c>
      <c r="C863">
        <f t="shared" si="55"/>
        <v>197.15552422483125</v>
      </c>
      <c r="D863">
        <v>44.352001190185547</v>
      </c>
      <c r="E863" s="604">
        <v>13814.490234375</v>
      </c>
      <c r="F863" s="748">
        <f t="shared" si="52"/>
        <v>8.0266726047684145E-3</v>
      </c>
      <c r="G863" s="748">
        <f t="shared" si="52"/>
        <v>4.8665923278305989E-3</v>
      </c>
      <c r="H863" s="1067">
        <f t="shared" si="53"/>
        <v>3.1600802769378156E-3</v>
      </c>
      <c r="I863">
        <f t="shared" si="54"/>
        <v>302.8670435588885</v>
      </c>
    </row>
    <row r="864" spans="1:9" ht="20.100000000000001" customHeight="1">
      <c r="A864" s="563">
        <v>44354</v>
      </c>
      <c r="B864">
        <f t="shared" si="55"/>
        <v>504.03608523031528</v>
      </c>
      <c r="C864">
        <f t="shared" si="55"/>
        <v>198.11499978641325</v>
      </c>
      <c r="D864">
        <v>44.708000183105469</v>
      </c>
      <c r="E864" s="604">
        <v>13881.7197265625</v>
      </c>
      <c r="F864" s="748">
        <f t="shared" si="52"/>
        <v>1.7088662785984976E-2</v>
      </c>
      <c r="G864" s="748">
        <f t="shared" si="52"/>
        <v>3.1113169361038917E-3</v>
      </c>
      <c r="H864" s="1067">
        <f t="shared" si="53"/>
        <v>1.3977345849881084E-2</v>
      </c>
      <c r="I864">
        <f t="shared" si="54"/>
        <v>305.92108544390203</v>
      </c>
    </row>
    <row r="865" spans="1:9" ht="20.100000000000001" customHeight="1">
      <c r="A865" s="563">
        <v>44355</v>
      </c>
      <c r="B865">
        <f t="shared" si="55"/>
        <v>512.64938792278417</v>
      </c>
      <c r="C865">
        <f t="shared" si="55"/>
        <v>198.73139834054493</v>
      </c>
      <c r="D865">
        <v>45.472000122070313</v>
      </c>
      <c r="E865" s="604">
        <v>13924.91015625</v>
      </c>
      <c r="F865" s="748">
        <f t="shared" si="52"/>
        <v>-8.0928929787491555E-3</v>
      </c>
      <c r="G865" s="748">
        <f t="shared" si="52"/>
        <v>-9.4508015508398824E-4</v>
      </c>
      <c r="H865" s="1067">
        <f t="shared" si="53"/>
        <v>-7.1478128236651672E-3</v>
      </c>
      <c r="I865">
        <f t="shared" si="54"/>
        <v>313.91798958223922</v>
      </c>
    </row>
    <row r="866" spans="1:9" ht="20.100000000000001" customHeight="1">
      <c r="A866" s="563">
        <v>44356</v>
      </c>
      <c r="B866">
        <f t="shared" si="55"/>
        <v>508.50057129070382</v>
      </c>
      <c r="C866">
        <f t="shared" si="55"/>
        <v>198.54358123978119</v>
      </c>
      <c r="D866">
        <v>45.104000091552727</v>
      </c>
      <c r="E866" s="604">
        <v>13911.75</v>
      </c>
      <c r="F866" s="748">
        <f t="shared" si="52"/>
        <v>1.5209312313368084E-2</v>
      </c>
      <c r="G866" s="748">
        <f t="shared" si="52"/>
        <v>7.8049187287725363E-3</v>
      </c>
      <c r="H866" s="1067">
        <f t="shared" si="53"/>
        <v>7.4043935845955478E-3</v>
      </c>
      <c r="I866">
        <f t="shared" si="54"/>
        <v>309.95699005092263</v>
      </c>
    </row>
    <row r="867" spans="1:9" ht="20.100000000000001" customHeight="1">
      <c r="A867" s="563">
        <v>44357</v>
      </c>
      <c r="B867">
        <f t="shared" si="55"/>
        <v>516.2345152909902</v>
      </c>
      <c r="C867">
        <f t="shared" si="55"/>
        <v>200.09319775547712</v>
      </c>
      <c r="D867">
        <v>45.790000915527337</v>
      </c>
      <c r="E867" s="604">
        <v>14020.330078125</v>
      </c>
      <c r="F867" s="748">
        <f t="shared" si="52"/>
        <v>-4.3736973671215651E-5</v>
      </c>
      <c r="G867" s="748">
        <f t="shared" si="52"/>
        <v>3.5013329555337869E-3</v>
      </c>
      <c r="H867" s="1067">
        <f t="shared" si="53"/>
        <v>-3.5450699292050025E-3</v>
      </c>
      <c r="I867">
        <f t="shared" si="54"/>
        <v>316.14131753551305</v>
      </c>
    </row>
    <row r="868" spans="1:9" ht="20.100000000000001" customHeight="1">
      <c r="A868" s="563">
        <v>44358</v>
      </c>
      <c r="B868">
        <f t="shared" si="55"/>
        <v>516.21193675558675</v>
      </c>
      <c r="C868">
        <f t="shared" si="55"/>
        <v>200.79379066295652</v>
      </c>
      <c r="D868">
        <v>45.787998199462891</v>
      </c>
      <c r="E868" s="604">
        <v>14069.419921875</v>
      </c>
      <c r="F868" s="748">
        <f t="shared" si="52"/>
        <v>1.1007286565271945E-2</v>
      </c>
      <c r="G868" s="748">
        <f t="shared" si="52"/>
        <v>7.4430734986936642E-3</v>
      </c>
      <c r="H868" s="1067">
        <f t="shared" si="53"/>
        <v>3.5642130665782812E-3</v>
      </c>
      <c r="I868">
        <f t="shared" si="54"/>
        <v>315.4181460926302</v>
      </c>
    </row>
    <row r="869" spans="1:9" ht="20.100000000000001" customHeight="1">
      <c r="A869" s="563">
        <v>44361</v>
      </c>
      <c r="B869">
        <f t="shared" si="55"/>
        <v>521.89402947186954</v>
      </c>
      <c r="C869">
        <f t="shared" si="55"/>
        <v>202.28831360494223</v>
      </c>
      <c r="D869">
        <v>46.291999816894531</v>
      </c>
      <c r="E869" s="604">
        <v>14174.1396484375</v>
      </c>
      <c r="F869" s="748">
        <f t="shared" si="52"/>
        <v>-6.0485349607791727E-3</v>
      </c>
      <c r="G869" s="748">
        <f t="shared" si="52"/>
        <v>-7.1453576292487275E-3</v>
      </c>
      <c r="H869" s="1067">
        <f t="shared" si="53"/>
        <v>1.0968226684695548E-3</v>
      </c>
      <c r="I869">
        <f t="shared" si="54"/>
        <v>319.60571586692731</v>
      </c>
    </row>
    <row r="870" spans="1:9" ht="20.100000000000001" customHeight="1">
      <c r="A870" s="563">
        <v>44362</v>
      </c>
      <c r="B870">
        <f t="shared" si="55"/>
        <v>518.73733518878703</v>
      </c>
      <c r="C870">
        <f t="shared" si="55"/>
        <v>200.8428912600173</v>
      </c>
      <c r="D870">
        <v>46.012001037597663</v>
      </c>
      <c r="E870" s="604">
        <v>14072.8603515625</v>
      </c>
      <c r="F870" s="748">
        <f t="shared" si="52"/>
        <v>9.1280135502480597E-4</v>
      </c>
      <c r="G870" s="748">
        <f t="shared" si="52"/>
        <v>-2.3577768295566237E-3</v>
      </c>
      <c r="H870" s="1067">
        <f t="shared" si="53"/>
        <v>3.2705781845814297E-3</v>
      </c>
      <c r="I870">
        <f t="shared" si="54"/>
        <v>317.89444392876976</v>
      </c>
    </row>
    <row r="871" spans="1:9" ht="20.100000000000001" customHeight="1">
      <c r="A871" s="563">
        <v>44363</v>
      </c>
      <c r="B871">
        <f t="shared" si="55"/>
        <v>519.2108393312493</v>
      </c>
      <c r="C871">
        <f t="shared" si="55"/>
        <v>200.36934854462328</v>
      </c>
      <c r="D871">
        <v>46.054000854492188</v>
      </c>
      <c r="E871" s="604">
        <v>14039.6796875</v>
      </c>
      <c r="F871" s="748">
        <f t="shared" si="52"/>
        <v>2.9139684480293804E-2</v>
      </c>
      <c r="G871" s="748">
        <f t="shared" si="52"/>
        <v>8.6661465633954826E-3</v>
      </c>
      <c r="H871" s="1067">
        <f t="shared" si="53"/>
        <v>2.0473537916898321E-2</v>
      </c>
      <c r="I871">
        <f t="shared" si="54"/>
        <v>318.84149078662603</v>
      </c>
    </row>
    <row r="872" spans="1:9" ht="20.100000000000001" customHeight="1">
      <c r="A872" s="563">
        <v>44364</v>
      </c>
      <c r="B872">
        <f t="shared" si="55"/>
        <v>534.34047936811044</v>
      </c>
      <c r="C872">
        <f t="shared" si="55"/>
        <v>202.10577868592307</v>
      </c>
      <c r="D872">
        <v>47.395999908447273</v>
      </c>
      <c r="E872" s="604">
        <v>14161.349609375</v>
      </c>
      <c r="F872" s="748">
        <f t="shared" si="52"/>
        <v>-1.4009651998615369E-2</v>
      </c>
      <c r="G872" s="748">
        <f t="shared" si="52"/>
        <v>-9.2483929975004653E-3</v>
      </c>
      <c r="H872" s="1067">
        <f t="shared" si="53"/>
        <v>-4.7612590011149036E-3</v>
      </c>
      <c r="I872">
        <f t="shared" si="54"/>
        <v>332.23470068218739</v>
      </c>
    </row>
    <row r="873" spans="1:9" ht="20.100000000000001" customHeight="1">
      <c r="A873" s="563">
        <v>44365</v>
      </c>
      <c r="B873">
        <f t="shared" si="55"/>
        <v>526.85455520338985</v>
      </c>
      <c r="C873">
        <f t="shared" si="55"/>
        <v>200.23662501756979</v>
      </c>
      <c r="D873">
        <v>46.731998443603523</v>
      </c>
      <c r="E873" s="604">
        <v>14030.3798828125</v>
      </c>
      <c r="F873" s="748">
        <f t="shared" si="52"/>
        <v>1.8231644666635516E-2</v>
      </c>
      <c r="G873" s="748">
        <f t="shared" si="52"/>
        <v>7.9185729014792372E-3</v>
      </c>
      <c r="H873" s="1067">
        <f t="shared" si="53"/>
        <v>1.0313071765156279E-2</v>
      </c>
      <c r="I873">
        <f t="shared" si="54"/>
        <v>326.61793018582006</v>
      </c>
    </row>
    <row r="874" spans="1:9" ht="20.100000000000001" customHeight="1">
      <c r="A874" s="563">
        <v>44368</v>
      </c>
      <c r="B874">
        <f t="shared" si="55"/>
        <v>536.45998024485641</v>
      </c>
      <c r="C874">
        <f t="shared" si="55"/>
        <v>201.82221333031757</v>
      </c>
      <c r="D874">
        <v>47.583999633789063</v>
      </c>
      <c r="E874" s="604">
        <v>14141.48046875</v>
      </c>
      <c r="F874" s="748">
        <f t="shared" si="52"/>
        <v>1.6728342309437316E-2</v>
      </c>
      <c r="G874" s="748">
        <f t="shared" si="52"/>
        <v>7.9050466283945298E-3</v>
      </c>
      <c r="H874" s="1067">
        <f t="shared" si="53"/>
        <v>8.8232956810427865E-3</v>
      </c>
      <c r="I874">
        <f t="shared" si="54"/>
        <v>334.63776691453882</v>
      </c>
    </row>
    <row r="875" spans="1:9" ht="20.100000000000001" customHeight="1">
      <c r="A875" s="563">
        <v>44369</v>
      </c>
      <c r="B875">
        <f t="shared" si="55"/>
        <v>545.43406642970638</v>
      </c>
      <c r="C875">
        <f t="shared" si="55"/>
        <v>203.41762733733952</v>
      </c>
      <c r="D875">
        <v>48.380001068115227</v>
      </c>
      <c r="E875" s="604">
        <v>14253.26953125</v>
      </c>
      <c r="F875" s="748">
        <f t="shared" si="52"/>
        <v>-7.6064494087019208E-3</v>
      </c>
      <c r="G875" s="748">
        <f t="shared" si="52"/>
        <v>1.2952072125995695E-3</v>
      </c>
      <c r="H875" s="1067">
        <f t="shared" si="53"/>
        <v>-8.9016566213014903E-3</v>
      </c>
      <c r="I875">
        <f t="shared" si="54"/>
        <v>342.01643909236685</v>
      </c>
    </row>
    <row r="876" spans="1:9" ht="20.100000000000001" customHeight="1">
      <c r="A876" s="563">
        <v>44370</v>
      </c>
      <c r="B876">
        <f t="shared" si="55"/>
        <v>541.28524979762631</v>
      </c>
      <c r="C876">
        <f t="shared" si="55"/>
        <v>203.68109531543675</v>
      </c>
      <c r="D876">
        <v>48.012001037597663</v>
      </c>
      <c r="E876" s="604">
        <v>14271.73046875</v>
      </c>
      <c r="F876" s="748">
        <f t="shared" si="52"/>
        <v>-2.9159249067511883E-4</v>
      </c>
      <c r="G876" s="748">
        <f t="shared" si="52"/>
        <v>6.865284655006576E-3</v>
      </c>
      <c r="H876" s="1067">
        <f t="shared" si="53"/>
        <v>-7.1568771456816949E-3</v>
      </c>
      <c r="I876">
        <f t="shared" si="54"/>
        <v>337.60415448218953</v>
      </c>
    </row>
    <row r="877" spans="1:9" ht="20.100000000000001" customHeight="1">
      <c r="A877" s="563">
        <v>44371</v>
      </c>
      <c r="B877">
        <f t="shared" si="55"/>
        <v>541.1274150834721</v>
      </c>
      <c r="C877">
        <f t="shared" si="55"/>
        <v>205.07942401362075</v>
      </c>
      <c r="D877">
        <v>47.998001098632813</v>
      </c>
      <c r="E877" s="604">
        <v>14369.7099609375</v>
      </c>
      <c r="F877" s="748">
        <f t="shared" si="52"/>
        <v>8.5002942207790255E-3</v>
      </c>
      <c r="G877" s="748">
        <f t="shared" si="52"/>
        <v>-6.4860825481771744E-4</v>
      </c>
      <c r="H877" s="1067">
        <f t="shared" si="53"/>
        <v>9.148902475596743E-3</v>
      </c>
      <c r="I877">
        <f t="shared" si="54"/>
        <v>336.04799106985138</v>
      </c>
    </row>
    <row r="878" spans="1:9" ht="20.100000000000001" customHeight="1">
      <c r="A878" s="563">
        <v>44372</v>
      </c>
      <c r="B878">
        <f t="shared" si="55"/>
        <v>545.72715732261122</v>
      </c>
      <c r="C878">
        <f t="shared" si="55"/>
        <v>204.94640780631227</v>
      </c>
      <c r="D878">
        <v>48.405998229980469</v>
      </c>
      <c r="E878" s="604">
        <v>14360.3896484375</v>
      </c>
      <c r="F878" s="748">
        <f t="shared" si="52"/>
        <v>2.0699970100892529E-2</v>
      </c>
      <c r="G878" s="748">
        <f t="shared" si="52"/>
        <v>9.7574035675798143E-3</v>
      </c>
      <c r="H878" s="1067">
        <f t="shared" si="53"/>
        <v>1.0942566533312714E-2</v>
      </c>
      <c r="I878">
        <f t="shared" si="54"/>
        <v>340.78074951629895</v>
      </c>
    </row>
    <row r="879" spans="1:9" ht="20.100000000000001" customHeight="1">
      <c r="A879" s="563">
        <v>44375</v>
      </c>
      <c r="B879">
        <f t="shared" si="55"/>
        <v>557.02369316243437</v>
      </c>
      <c r="C879">
        <f t="shared" si="55"/>
        <v>206.94615261700423</v>
      </c>
      <c r="D879">
        <v>49.408000946044922</v>
      </c>
      <c r="E879" s="604">
        <v>14500.509765625</v>
      </c>
      <c r="F879" s="748">
        <f t="shared" si="52"/>
        <v>-1.538216729432984E-2</v>
      </c>
      <c r="G879" s="748">
        <f t="shared" si="52"/>
        <v>1.9185747914842732E-3</v>
      </c>
      <c r="H879" s="1067">
        <f t="shared" si="53"/>
        <v>-1.7300742085814114E-2</v>
      </c>
      <c r="I879">
        <f t="shared" si="54"/>
        <v>350.07754054543011</v>
      </c>
    </row>
    <row r="880" spans="1:9" ht="20.100000000000001" customHeight="1">
      <c r="A880" s="563">
        <v>44376</v>
      </c>
      <c r="B880">
        <f t="shared" si="55"/>
        <v>548.45546152730435</v>
      </c>
      <c r="C880">
        <f t="shared" si="55"/>
        <v>207.34319428860988</v>
      </c>
      <c r="D880">
        <v>48.647998809814453</v>
      </c>
      <c r="E880" s="604">
        <v>14528.330078125</v>
      </c>
      <c r="F880" s="748">
        <f t="shared" si="52"/>
        <v>-2.076135393527101E-2</v>
      </c>
      <c r="G880" s="748">
        <f t="shared" si="52"/>
        <v>-1.6780925737093222E-3</v>
      </c>
      <c r="H880" s="1067">
        <f t="shared" si="53"/>
        <v>-1.9083261361561688E-2</v>
      </c>
      <c r="I880">
        <f t="shared" si="54"/>
        <v>341.11226723869447</v>
      </c>
    </row>
    <row r="881" spans="1:9" ht="20.100000000000001" customHeight="1">
      <c r="A881" s="563">
        <v>44377</v>
      </c>
      <c r="B881">
        <f t="shared" si="55"/>
        <v>537.06878357280357</v>
      </c>
      <c r="C881">
        <f t="shared" si="55"/>
        <v>206.995253214065</v>
      </c>
      <c r="D881">
        <v>47.63800048828125</v>
      </c>
      <c r="E881" s="604">
        <v>14503.9501953125</v>
      </c>
      <c r="F881" s="748">
        <f t="shared" si="52"/>
        <v>1.7423023801378834E-2</v>
      </c>
      <c r="G881" s="748">
        <f t="shared" si="52"/>
        <v>1.2706667667650162E-3</v>
      </c>
      <c r="H881" s="1067">
        <f t="shared" si="53"/>
        <v>1.6152357034613818E-2</v>
      </c>
      <c r="I881">
        <f t="shared" si="54"/>
        <v>330.07353035873859</v>
      </c>
    </row>
    <row r="882" spans="1:9" ht="20.100000000000001" customHeight="1">
      <c r="A882" s="563">
        <v>44378</v>
      </c>
      <c r="B882">
        <f t="shared" si="55"/>
        <v>546.42614577197014</v>
      </c>
      <c r="C882">
        <f t="shared" si="55"/>
        <v>207.25827520320223</v>
      </c>
      <c r="D882">
        <v>48.467998504638672</v>
      </c>
      <c r="E882" s="604">
        <v>14522.3798828125</v>
      </c>
      <c r="F882" s="748">
        <f t="shared" si="52"/>
        <v>2.3520740272297447E-2</v>
      </c>
      <c r="G882" s="748">
        <f t="shared" si="52"/>
        <v>8.0531012310807171E-3</v>
      </c>
      <c r="H882" s="1067">
        <f t="shared" si="53"/>
        <v>1.546763904121673E-2</v>
      </c>
      <c r="I882">
        <f t="shared" si="54"/>
        <v>339.16787056876791</v>
      </c>
    </row>
    <row r="883" spans="1:9" ht="20.100000000000001" customHeight="1">
      <c r="A883" s="563">
        <v>44379</v>
      </c>
      <c r="B883">
        <f t="shared" si="55"/>
        <v>559.27849322466523</v>
      </c>
      <c r="C883">
        <f t="shared" si="55"/>
        <v>208.9273470743928</v>
      </c>
      <c r="D883">
        <v>49.608001708984382</v>
      </c>
      <c r="E883" s="604">
        <v>14639.330078125</v>
      </c>
      <c r="F883" s="748">
        <f t="shared" si="52"/>
        <v>1.2538256164817518E-2</v>
      </c>
      <c r="G883" s="748">
        <f t="shared" si="52"/>
        <v>1.6605657624200187E-3</v>
      </c>
      <c r="H883" s="1067">
        <f t="shared" si="53"/>
        <v>1.08776904023975E-2</v>
      </c>
      <c r="I883">
        <f t="shared" si="54"/>
        <v>350.35114615027243</v>
      </c>
    </row>
    <row r="884" spans="1:9" ht="20.100000000000001" customHeight="1">
      <c r="A884" s="563">
        <v>44383</v>
      </c>
      <c r="B884">
        <f t="shared" si="55"/>
        <v>566.29087024018929</v>
      </c>
      <c r="C884">
        <f t="shared" si="55"/>
        <v>209.27428467377777</v>
      </c>
      <c r="D884">
        <v>50.229999542236328</v>
      </c>
      <c r="E884" s="604">
        <v>14663.6396484375</v>
      </c>
      <c r="F884" s="748">
        <f t="shared" si="52"/>
        <v>8.6800881534547791E-3</v>
      </c>
      <c r="G884" s="748">
        <f t="shared" si="52"/>
        <v>9.683284021178018E-5</v>
      </c>
      <c r="H884" s="1067">
        <f t="shared" si="53"/>
        <v>8.583255313242999E-3</v>
      </c>
      <c r="I884">
        <f t="shared" si="54"/>
        <v>357.01658556641155</v>
      </c>
    </row>
    <row r="885" spans="1:9" ht="20.100000000000001" customHeight="1">
      <c r="A885" s="563">
        <v>44384</v>
      </c>
      <c r="B885">
        <f t="shared" si="55"/>
        <v>571.20632491437073</v>
      </c>
      <c r="C885">
        <f t="shared" si="55"/>
        <v>209.29454929714603</v>
      </c>
      <c r="D885">
        <v>50.666000366210938</v>
      </c>
      <c r="E885" s="604">
        <v>14665.0595703125</v>
      </c>
      <c r="F885" s="748">
        <f t="shared" si="52"/>
        <v>-1.5790042726174791E-3</v>
      </c>
      <c r="G885" s="748">
        <f t="shared" si="52"/>
        <v>-7.1789205062708916E-3</v>
      </c>
      <c r="H885" s="1067">
        <f t="shared" si="53"/>
        <v>5.5999162336534125E-3</v>
      </c>
      <c r="I885">
        <f t="shared" si="54"/>
        <v>361.91177561722469</v>
      </c>
    </row>
    <row r="886" spans="1:9" ht="20.100000000000001" customHeight="1">
      <c r="A886" s="563">
        <v>44385</v>
      </c>
      <c r="B886">
        <f t="shared" si="55"/>
        <v>570.30438768678482</v>
      </c>
      <c r="C886">
        <f t="shared" si="55"/>
        <v>207.79204036534603</v>
      </c>
      <c r="D886">
        <v>50.58599853515625</v>
      </c>
      <c r="E886" s="604">
        <v>14559.7802734375</v>
      </c>
      <c r="F886" s="748">
        <f t="shared" si="52"/>
        <v>1.5340232456283243E-2</v>
      </c>
      <c r="G886" s="748">
        <f t="shared" si="52"/>
        <v>9.7624858183344987E-3</v>
      </c>
      <c r="H886" s="1067">
        <f t="shared" si="53"/>
        <v>5.5777466379487439E-3</v>
      </c>
      <c r="I886">
        <f t="shared" si="54"/>
        <v>362.51234732143882</v>
      </c>
    </row>
    <row r="887" spans="1:9" ht="20.100000000000001" customHeight="1">
      <c r="A887" s="563">
        <v>44386</v>
      </c>
      <c r="B887">
        <f t="shared" si="55"/>
        <v>579.05298956473837</v>
      </c>
      <c r="C887">
        <f t="shared" si="55"/>
        <v>209.82060721257551</v>
      </c>
      <c r="D887">
        <v>51.36199951171875</v>
      </c>
      <c r="E887" s="604">
        <v>14701.919921875</v>
      </c>
      <c r="F887" s="748">
        <f t="shared" si="52"/>
        <v>-3.9717800633380929E-3</v>
      </c>
      <c r="G887" s="748">
        <f t="shared" si="52"/>
        <v>2.1303552642399914E-3</v>
      </c>
      <c r="H887" s="1067">
        <f t="shared" si="53"/>
        <v>-6.1021353275780843E-3</v>
      </c>
      <c r="I887">
        <f t="shared" si="54"/>
        <v>369.23238235216286</v>
      </c>
    </row>
    <row r="888" spans="1:9" ht="20.100000000000001" customHeight="1">
      <c r="A888" s="563">
        <v>44389</v>
      </c>
      <c r="B888">
        <f t="shared" si="55"/>
        <v>576.75311844516887</v>
      </c>
      <c r="C888">
        <f t="shared" si="55"/>
        <v>210.26759964769684</v>
      </c>
      <c r="D888">
        <v>51.158000946044922</v>
      </c>
      <c r="E888" s="604">
        <v>14733.240234375</v>
      </c>
      <c r="F888" s="748">
        <f t="shared" si="52"/>
        <v>4.8868211301624775E-3</v>
      </c>
      <c r="G888" s="748">
        <f t="shared" si="52"/>
        <v>-3.7730901597803346E-3</v>
      </c>
      <c r="H888" s="1067">
        <f t="shared" si="53"/>
        <v>8.6599112899428121E-3</v>
      </c>
      <c r="I888">
        <f t="shared" si="54"/>
        <v>366.48551879747203</v>
      </c>
    </row>
    <row r="889" spans="1:9" ht="20.100000000000001" customHeight="1">
      <c r="A889" s="563">
        <v>44390</v>
      </c>
      <c r="B889">
        <f t="shared" si="55"/>
        <v>579.57160777127388</v>
      </c>
      <c r="C889">
        <f t="shared" si="55"/>
        <v>209.47424103654549</v>
      </c>
      <c r="D889">
        <v>51.408000946044922</v>
      </c>
      <c r="E889" s="604">
        <v>14677.650390625</v>
      </c>
      <c r="F889" s="748">
        <f t="shared" si="52"/>
        <v>-4.6685666442991547E-3</v>
      </c>
      <c r="G889" s="748">
        <f t="shared" si="52"/>
        <v>-2.2278903259194127E-3</v>
      </c>
      <c r="H889" s="1067">
        <f t="shared" si="53"/>
        <v>-2.440676318379742E-3</v>
      </c>
      <c r="I889">
        <f t="shared" si="54"/>
        <v>370.09736673472838</v>
      </c>
    </row>
    <row r="890" spans="1:9" ht="20.100000000000001" customHeight="1">
      <c r="A890" s="563">
        <v>44391</v>
      </c>
      <c r="B890">
        <f t="shared" si="55"/>
        <v>576.86583909525007</v>
      </c>
      <c r="C890">
        <f t="shared" si="55"/>
        <v>209.00755540141085</v>
      </c>
      <c r="D890">
        <v>51.167999267578118</v>
      </c>
      <c r="E890" s="604">
        <v>14644.9501953125</v>
      </c>
      <c r="F890" s="748">
        <f t="shared" si="52"/>
        <v>1.7979802859593441E-3</v>
      </c>
      <c r="G890" s="748">
        <f t="shared" si="52"/>
        <v>-6.9525885129052556E-3</v>
      </c>
      <c r="H890" s="1067">
        <f t="shared" si="53"/>
        <v>8.7505687988645997E-3</v>
      </c>
      <c r="I890">
        <f t="shared" si="54"/>
        <v>367.85828369383921</v>
      </c>
    </row>
    <row r="891" spans="1:9" ht="20.100000000000001" customHeight="1">
      <c r="A891" s="563">
        <v>44392</v>
      </c>
      <c r="B891">
        <f t="shared" si="55"/>
        <v>577.90303250158672</v>
      </c>
      <c r="C891">
        <f t="shared" si="55"/>
        <v>207.55441187261658</v>
      </c>
      <c r="D891">
        <v>51.259998321533203</v>
      </c>
      <c r="E891" s="604">
        <v>14543.1298828125</v>
      </c>
      <c r="F891" s="748">
        <f t="shared" si="52"/>
        <v>8.3496179832842632E-3</v>
      </c>
      <c r="G891" s="748">
        <f t="shared" si="52"/>
        <v>-7.9686868900525898E-3</v>
      </c>
      <c r="H891" s="1067">
        <f t="shared" si="53"/>
        <v>1.6318304873336853E-2</v>
      </c>
      <c r="I891">
        <f t="shared" si="54"/>
        <v>370.34862062897014</v>
      </c>
    </row>
    <row r="892" spans="1:9" ht="20.100000000000001" customHeight="1">
      <c r="A892" s="563">
        <v>44393</v>
      </c>
      <c r="B892">
        <f t="shared" si="55"/>
        <v>582.7283020543565</v>
      </c>
      <c r="C892">
        <f t="shared" si="55"/>
        <v>205.9004757517547</v>
      </c>
      <c r="D892">
        <v>51.687999725341797</v>
      </c>
      <c r="E892" s="604">
        <v>14427.240234375</v>
      </c>
      <c r="F892" s="748">
        <f t="shared" si="52"/>
        <v>-7.0035504109722257E-3</v>
      </c>
      <c r="G892" s="748">
        <f t="shared" si="52"/>
        <v>-1.0553630711868212E-2</v>
      </c>
      <c r="H892" s="1067">
        <f t="shared" si="53"/>
        <v>3.5500803008959858E-3</v>
      </c>
      <c r="I892">
        <f t="shared" si="54"/>
        <v>376.82782630260181</v>
      </c>
    </row>
    <row r="893" spans="1:9" ht="20.100000000000001" customHeight="1">
      <c r="A893" s="563">
        <v>44396</v>
      </c>
      <c r="B893">
        <f t="shared" si="55"/>
        <v>578.64713501501853</v>
      </c>
      <c r="C893">
        <f t="shared" si="55"/>
        <v>203.72747816727269</v>
      </c>
      <c r="D893">
        <v>51.326000213623047</v>
      </c>
      <c r="E893" s="604">
        <v>14274.98046875</v>
      </c>
      <c r="F893" s="748">
        <f t="shared" si="52"/>
        <v>2.8094948696015809E-2</v>
      </c>
      <c r="G893" s="748">
        <f t="shared" si="52"/>
        <v>1.568474398635078E-2</v>
      </c>
      <c r="H893" s="1067">
        <f t="shared" si="53"/>
        <v>1.2410204709665029E-2</v>
      </c>
      <c r="I893">
        <f t="shared" si="54"/>
        <v>374.91965684774584</v>
      </c>
    </row>
    <row r="894" spans="1:9" ht="20.100000000000001" customHeight="1">
      <c r="A894" s="563">
        <v>44397</v>
      </c>
      <c r="B894">
        <f t="shared" si="55"/>
        <v>594.90419658636199</v>
      </c>
      <c r="C894">
        <f t="shared" si="55"/>
        <v>206.92289150531124</v>
      </c>
      <c r="D894">
        <v>52.768001556396477</v>
      </c>
      <c r="E894" s="604">
        <v>14498.8798828125</v>
      </c>
      <c r="F894" s="748">
        <f t="shared" si="52"/>
        <v>3.0700186476868563E-3</v>
      </c>
      <c r="G894" s="748">
        <f t="shared" si="52"/>
        <v>9.1779719244207136E-3</v>
      </c>
      <c r="H894" s="1067">
        <f t="shared" si="53"/>
        <v>-6.1079532767338574E-3</v>
      </c>
      <c r="I894">
        <f t="shared" si="54"/>
        <v>387.98130508105078</v>
      </c>
    </row>
    <row r="895" spans="1:9" ht="20.100000000000001" customHeight="1">
      <c r="A895" s="563">
        <v>44398</v>
      </c>
      <c r="B895">
        <f t="shared" si="55"/>
        <v>596.73056356346933</v>
      </c>
      <c r="C895">
        <f t="shared" si="55"/>
        <v>208.82202399406694</v>
      </c>
      <c r="D895">
        <v>52.930000305175781</v>
      </c>
      <c r="E895" s="604">
        <v>14631.9501953125</v>
      </c>
      <c r="F895" s="748">
        <f t="shared" si="52"/>
        <v>2.3049333339675737E-2</v>
      </c>
      <c r="G895" s="748">
        <f t="shared" si="52"/>
        <v>3.5982499502607013E-3</v>
      </c>
      <c r="H895" s="1067">
        <f t="shared" si="53"/>
        <v>1.9451083389415036E-2</v>
      </c>
      <c r="I895">
        <f t="shared" si="54"/>
        <v>387.90853956940236</v>
      </c>
    </row>
    <row r="896" spans="1:9" ht="20.100000000000001" customHeight="1">
      <c r="A896" s="563">
        <v>44399</v>
      </c>
      <c r="B896">
        <f t="shared" si="55"/>
        <v>610.4848052370163</v>
      </c>
      <c r="C896">
        <f t="shared" si="55"/>
        <v>209.57341783151693</v>
      </c>
      <c r="D896">
        <v>54.150001525878913</v>
      </c>
      <c r="E896" s="604">
        <v>14684.599609375</v>
      </c>
      <c r="F896" s="748">
        <f t="shared" si="52"/>
        <v>1.8319422662668172E-2</v>
      </c>
      <c r="G896" s="748">
        <f t="shared" si="52"/>
        <v>1.0377581211183262E-2</v>
      </c>
      <c r="H896" s="1067">
        <f t="shared" si="53"/>
        <v>7.9418414514849101E-3</v>
      </c>
      <c r="I896">
        <f t="shared" si="54"/>
        <v>400.91138740549934</v>
      </c>
    </row>
    <row r="897" spans="1:9" ht="20.100000000000001" customHeight="1">
      <c r="A897" s="563">
        <v>44400</v>
      </c>
      <c r="B897">
        <f t="shared" si="55"/>
        <v>621.66853441328988</v>
      </c>
      <c r="C897">
        <f t="shared" si="55"/>
        <v>211.74828299476874</v>
      </c>
      <c r="D897">
        <v>55.141998291015618</v>
      </c>
      <c r="E897" s="604">
        <v>14836.990234375</v>
      </c>
      <c r="F897" s="748">
        <f t="shared" si="52"/>
        <v>-1.2222984426858541E-2</v>
      </c>
      <c r="G897" s="748">
        <f t="shared" si="52"/>
        <v>2.5070627558165803E-4</v>
      </c>
      <c r="H897" s="1067">
        <f t="shared" si="53"/>
        <v>-1.2473690702440199E-2</v>
      </c>
      <c r="I897">
        <f t="shared" si="54"/>
        <v>409.92025141852116</v>
      </c>
    </row>
    <row r="898" spans="1:9" ht="20.100000000000001" customHeight="1">
      <c r="A898" s="563">
        <v>44403</v>
      </c>
      <c r="B898">
        <f t="shared" si="55"/>
        <v>614.06988959848832</v>
      </c>
      <c r="C898">
        <f t="shared" si="55"/>
        <v>211.80136961815919</v>
      </c>
      <c r="D898">
        <v>54.467998504638672</v>
      </c>
      <c r="E898" s="604">
        <v>14840.7099609375</v>
      </c>
      <c r="F898" s="748">
        <f t="shared" si="52"/>
        <v>-4.4062177858268381E-3</v>
      </c>
      <c r="G898" s="748">
        <f t="shared" si="52"/>
        <v>-1.21375515919806E-2</v>
      </c>
      <c r="H898" s="1067">
        <f t="shared" si="53"/>
        <v>7.7313338061537618E-3</v>
      </c>
      <c r="I898">
        <f t="shared" si="54"/>
        <v>402.26851998032913</v>
      </c>
    </row>
    <row r="899" spans="1:9" ht="20.100000000000001" customHeight="1">
      <c r="A899" s="563">
        <v>44404</v>
      </c>
      <c r="B899">
        <f t="shared" si="55"/>
        <v>611.36416392919875</v>
      </c>
      <c r="C899">
        <f t="shared" si="55"/>
        <v>209.23061956716663</v>
      </c>
      <c r="D899">
        <v>54.228000640869141</v>
      </c>
      <c r="E899" s="604">
        <v>14660.580078125</v>
      </c>
      <c r="F899" s="748">
        <f t="shared" ref="F899:G962" si="56">D900/D899-1</f>
        <v>2.0284836072059775E-3</v>
      </c>
      <c r="G899" s="748">
        <f t="shared" si="56"/>
        <v>6.957432752077386E-3</v>
      </c>
      <c r="H899" s="1067">
        <f t="shared" ref="H899:H962" si="57">F899-G899</f>
        <v>-4.9289491448714084E-3</v>
      </c>
      <c r="I899">
        <f t="shared" ref="I899:I962" si="58">B899-C899</f>
        <v>402.13354436203213</v>
      </c>
    </row>
    <row r="900" spans="1:9" ht="20.100000000000001" customHeight="1">
      <c r="A900" s="563">
        <v>44405</v>
      </c>
      <c r="B900">
        <f t="shared" ref="B900:C963" si="59">B899*(1+F899)</f>
        <v>612.60430611376228</v>
      </c>
      <c r="C900">
        <f t="shared" si="59"/>
        <v>210.68632753248068</v>
      </c>
      <c r="D900">
        <v>54.338001251220703</v>
      </c>
      <c r="E900" s="604">
        <v>14762.580078125</v>
      </c>
      <c r="F900" s="748">
        <f t="shared" si="56"/>
        <v>9.2752363195003351E-3</v>
      </c>
      <c r="G900" s="748">
        <f t="shared" si="56"/>
        <v>1.0621237898131852E-3</v>
      </c>
      <c r="H900" s="1067">
        <f t="shared" si="57"/>
        <v>8.2131125296871499E-3</v>
      </c>
      <c r="I900">
        <f t="shared" si="58"/>
        <v>401.9179785812816</v>
      </c>
    </row>
    <row r="901" spans="1:9" ht="20.100000000000001" customHeight="1">
      <c r="A901" s="563">
        <v>44406</v>
      </c>
      <c r="B901">
        <f t="shared" si="59"/>
        <v>618.28635582331094</v>
      </c>
      <c r="C901">
        <f t="shared" si="59"/>
        <v>210.9101024931413</v>
      </c>
      <c r="D901">
        <v>54.841999053955078</v>
      </c>
      <c r="E901" s="604">
        <v>14778.259765625</v>
      </c>
      <c r="F901" s="748">
        <f t="shared" si="56"/>
        <v>-7.1842237551402732E-3</v>
      </c>
      <c r="G901" s="748">
        <f t="shared" si="56"/>
        <v>-7.1442835489050616E-3</v>
      </c>
      <c r="H901" s="1067">
        <f t="shared" si="57"/>
        <v>-3.9940206235211662E-5</v>
      </c>
      <c r="I901">
        <f t="shared" si="58"/>
        <v>407.37625333016967</v>
      </c>
    </row>
    <row r="902" spans="1:9" ht="20.100000000000001" customHeight="1">
      <c r="A902" s="563">
        <v>44407</v>
      </c>
      <c r="B902">
        <f t="shared" si="59"/>
        <v>613.84444829832603</v>
      </c>
      <c r="C902">
        <f t="shared" si="59"/>
        <v>209.40330091760165</v>
      </c>
      <c r="D902">
        <v>54.448001861572273</v>
      </c>
      <c r="E902" s="604">
        <v>14672.6796875</v>
      </c>
      <c r="F902" s="748">
        <f t="shared" si="56"/>
        <v>4.5474541583722772E-2</v>
      </c>
      <c r="G902" s="748">
        <f t="shared" si="56"/>
        <v>5.7185362038181253E-4</v>
      </c>
      <c r="H902" s="1067">
        <f t="shared" si="57"/>
        <v>4.4902687963340959E-2</v>
      </c>
      <c r="I902">
        <f t="shared" si="58"/>
        <v>404.44114738072437</v>
      </c>
    </row>
    <row r="903" spans="1:9" ht="20.100000000000001" customHeight="1">
      <c r="A903" s="563">
        <v>44410</v>
      </c>
      <c r="B903">
        <f t="shared" si="59"/>
        <v>641.75874318840567</v>
      </c>
      <c r="C903">
        <f t="shared" si="59"/>
        <v>209.52304895335129</v>
      </c>
      <c r="D903">
        <v>56.923999786376953</v>
      </c>
      <c r="E903" s="604">
        <v>14681.0703125</v>
      </c>
      <c r="F903" s="748">
        <f t="shared" si="56"/>
        <v>4.6166790139713809E-2</v>
      </c>
      <c r="G903" s="748">
        <f t="shared" si="56"/>
        <v>5.4641606405356757E-3</v>
      </c>
      <c r="H903" s="1067">
        <f t="shared" si="57"/>
        <v>4.0702629499178133E-2</v>
      </c>
      <c r="I903">
        <f t="shared" si="58"/>
        <v>432.23569423505438</v>
      </c>
    </row>
    <row r="904" spans="1:9" ht="20.100000000000001" customHeight="1">
      <c r="A904" s="563">
        <v>44411</v>
      </c>
      <c r="B904">
        <f t="shared" si="59"/>
        <v>671.38668440551123</v>
      </c>
      <c r="C904">
        <f t="shared" si="59"/>
        <v>210.66791655072723</v>
      </c>
      <c r="D904">
        <v>59.551998138427727</v>
      </c>
      <c r="E904" s="604">
        <v>14761.2900390625</v>
      </c>
      <c r="F904" s="748">
        <f t="shared" si="56"/>
        <v>2.1023689468054441E-2</v>
      </c>
      <c r="G904" s="748">
        <f t="shared" si="56"/>
        <v>1.3034249936207942E-3</v>
      </c>
      <c r="H904" s="1067">
        <f t="shared" si="57"/>
        <v>1.9720264474433646E-2</v>
      </c>
      <c r="I904">
        <f t="shared" si="58"/>
        <v>460.71876785478401</v>
      </c>
    </row>
    <row r="905" spans="1:9" ht="20.100000000000001" customHeight="1">
      <c r="A905" s="563">
        <v>44412</v>
      </c>
      <c r="B905">
        <f t="shared" si="59"/>
        <v>685.50170957143939</v>
      </c>
      <c r="C905">
        <f t="shared" si="59"/>
        <v>210.94250637851346</v>
      </c>
      <c r="D905">
        <v>60.804000854492188</v>
      </c>
      <c r="E905" s="604">
        <v>14780.5302734375</v>
      </c>
      <c r="F905" s="748">
        <f t="shared" si="56"/>
        <v>-1.3157016410400235E-2</v>
      </c>
      <c r="G905" s="748">
        <f t="shared" si="56"/>
        <v>7.7527559316279415E-3</v>
      </c>
      <c r="H905" s="1067">
        <f t="shared" si="57"/>
        <v>-2.0909772342028177E-2</v>
      </c>
      <c r="I905">
        <f t="shared" si="58"/>
        <v>474.55920319292591</v>
      </c>
    </row>
    <row r="906" spans="1:9" ht="20.100000000000001" customHeight="1">
      <c r="A906" s="563">
        <v>44413</v>
      </c>
      <c r="B906">
        <f t="shared" si="59"/>
        <v>676.48255232925055</v>
      </c>
      <c r="C906">
        <f t="shared" si="59"/>
        <v>212.57789214607195</v>
      </c>
      <c r="D906">
        <v>60.004001617431641</v>
      </c>
      <c r="E906" s="604">
        <v>14895.1201171875</v>
      </c>
      <c r="F906" s="748">
        <f t="shared" si="56"/>
        <v>1.2199160453840063E-2</v>
      </c>
      <c r="G906" s="748">
        <f t="shared" si="56"/>
        <v>-3.9852214077820136E-3</v>
      </c>
      <c r="H906" s="1067">
        <f t="shared" si="57"/>
        <v>1.6184381861622077E-2</v>
      </c>
      <c r="I906">
        <f t="shared" si="58"/>
        <v>463.90466018317863</v>
      </c>
    </row>
    <row r="907" spans="1:9" ht="20.100000000000001" customHeight="1">
      <c r="A907" s="563">
        <v>44414</v>
      </c>
      <c r="B907">
        <f t="shared" si="59"/>
        <v>684.73507152933837</v>
      </c>
      <c r="C907">
        <f t="shared" si="59"/>
        <v>211.73072217947023</v>
      </c>
      <c r="D907">
        <v>60.736000061035163</v>
      </c>
      <c r="E907" s="604">
        <v>14835.759765625</v>
      </c>
      <c r="F907" s="748">
        <f t="shared" si="56"/>
        <v>-8.4628546240832492E-3</v>
      </c>
      <c r="G907" s="748">
        <f t="shared" si="56"/>
        <v>1.64601761290184E-3</v>
      </c>
      <c r="H907" s="1067">
        <f t="shared" si="57"/>
        <v>-1.0108872236985089E-2</v>
      </c>
      <c r="I907">
        <f t="shared" si="58"/>
        <v>473.00434934986811</v>
      </c>
    </row>
    <row r="908" spans="1:9" ht="20.100000000000001" customHeight="1">
      <c r="A908" s="563">
        <v>44417</v>
      </c>
      <c r="B908">
        <f t="shared" si="59"/>
        <v>678.94025816297437</v>
      </c>
      <c r="C908">
        <f t="shared" si="59"/>
        <v>212.07923467737007</v>
      </c>
      <c r="D908">
        <v>60.222000122070313</v>
      </c>
      <c r="E908" s="604">
        <v>14860.1796875</v>
      </c>
      <c r="F908" s="748">
        <f t="shared" si="56"/>
        <v>-2.3579138973762737E-3</v>
      </c>
      <c r="G908" s="748">
        <f t="shared" si="56"/>
        <v>-4.8512094245158899E-3</v>
      </c>
      <c r="H908" s="1067">
        <f t="shared" si="57"/>
        <v>2.4932955271396162E-3</v>
      </c>
      <c r="I908">
        <f t="shared" si="58"/>
        <v>466.86102348560428</v>
      </c>
    </row>
    <row r="909" spans="1:9" ht="20.100000000000001" customHeight="1">
      <c r="A909" s="563">
        <v>44418</v>
      </c>
      <c r="B909">
        <f t="shared" si="59"/>
        <v>677.33937549276368</v>
      </c>
      <c r="C909">
        <f t="shared" si="59"/>
        <v>211.05039389535909</v>
      </c>
      <c r="D909">
        <v>60.080001831054688</v>
      </c>
      <c r="E909" s="604">
        <v>14788.08984375</v>
      </c>
      <c r="F909" s="748">
        <f t="shared" si="56"/>
        <v>-5.7589990153408266E-3</v>
      </c>
      <c r="G909" s="748">
        <f t="shared" si="56"/>
        <v>-1.5519377793203892E-3</v>
      </c>
      <c r="H909" s="1067">
        <f t="shared" si="57"/>
        <v>-4.2070612360204374E-3</v>
      </c>
      <c r="I909">
        <f t="shared" si="58"/>
        <v>466.28898159740459</v>
      </c>
    </row>
    <row r="910" spans="1:9" ht="20.100000000000001" customHeight="1">
      <c r="A910" s="563">
        <v>44419</v>
      </c>
      <c r="B910">
        <f t="shared" si="59"/>
        <v>673.43857869624924</v>
      </c>
      <c r="C910">
        <f t="shared" si="59"/>
        <v>210.72285681573243</v>
      </c>
      <c r="D910">
        <v>59.734001159667969</v>
      </c>
      <c r="E910" s="604">
        <v>14765.1396484375</v>
      </c>
      <c r="F910" s="748">
        <f t="shared" si="56"/>
        <v>2.3403736275385612E-2</v>
      </c>
      <c r="G910" s="748">
        <f t="shared" si="56"/>
        <v>3.4622169789575441E-3</v>
      </c>
      <c r="H910" s="1067">
        <f t="shared" si="57"/>
        <v>1.9941519296428067E-2</v>
      </c>
      <c r="I910">
        <f t="shared" si="58"/>
        <v>462.71572188051681</v>
      </c>
    </row>
    <row r="911" spans="1:9" ht="20.100000000000001" customHeight="1">
      <c r="A911" s="563">
        <v>44420</v>
      </c>
      <c r="B911">
        <f t="shared" si="59"/>
        <v>689.19955758972674</v>
      </c>
      <c r="C911">
        <f t="shared" si="59"/>
        <v>211.45242506845429</v>
      </c>
      <c r="D911">
        <v>61.131999969482422</v>
      </c>
      <c r="E911" s="604">
        <v>14816.259765625</v>
      </c>
      <c r="F911" s="748">
        <f t="shared" si="56"/>
        <v>1.2006823922567467E-2</v>
      </c>
      <c r="G911" s="748">
        <f t="shared" si="56"/>
        <v>4.4819847282950853E-4</v>
      </c>
      <c r="H911" s="1067">
        <f t="shared" si="57"/>
        <v>1.1558625449737958E-2</v>
      </c>
      <c r="I911">
        <f t="shared" si="58"/>
        <v>477.74713252127242</v>
      </c>
    </row>
    <row r="912" spans="1:9" ht="20.100000000000001" customHeight="1">
      <c r="A912" s="563">
        <v>44421</v>
      </c>
      <c r="B912">
        <f t="shared" si="59"/>
        <v>697.47465532521801</v>
      </c>
      <c r="C912">
        <f t="shared" si="59"/>
        <v>211.54719772244607</v>
      </c>
      <c r="D912">
        <v>61.866001129150391</v>
      </c>
      <c r="E912" s="604">
        <v>14822.900390625</v>
      </c>
      <c r="F912" s="748">
        <f t="shared" si="56"/>
        <v>-2.2273981534241427E-2</v>
      </c>
      <c r="G912" s="748">
        <f t="shared" si="56"/>
        <v>-1.9659192352415866E-3</v>
      </c>
      <c r="H912" s="1067">
        <f t="shared" si="57"/>
        <v>-2.0308062298999841E-2</v>
      </c>
      <c r="I912">
        <f t="shared" si="58"/>
        <v>485.92745760277194</v>
      </c>
    </row>
    <row r="913" spans="1:9" ht="20.100000000000001" customHeight="1">
      <c r="A913" s="563">
        <v>44424</v>
      </c>
      <c r="B913">
        <f t="shared" si="59"/>
        <v>681.93911773190268</v>
      </c>
      <c r="C913">
        <f t="shared" si="59"/>
        <v>211.13131301728205</v>
      </c>
      <c r="D913">
        <v>60.487998962402337</v>
      </c>
      <c r="E913" s="604">
        <v>14793.759765625</v>
      </c>
      <c r="F913" s="748">
        <f t="shared" si="56"/>
        <v>-1.2597494312450608E-2</v>
      </c>
      <c r="G913" s="748">
        <f t="shared" si="56"/>
        <v>-9.2998723992181453E-3</v>
      </c>
      <c r="H913" s="1067">
        <f t="shared" si="57"/>
        <v>-3.2976219132324625E-3</v>
      </c>
      <c r="I913">
        <f t="shared" si="58"/>
        <v>470.8078047146206</v>
      </c>
    </row>
    <row r="914" spans="1:9" ht="20.100000000000001" customHeight="1">
      <c r="A914" s="563">
        <v>44425</v>
      </c>
      <c r="B914">
        <f t="shared" si="59"/>
        <v>673.34839357483747</v>
      </c>
      <c r="C914">
        <f t="shared" si="59"/>
        <v>209.16781874674194</v>
      </c>
      <c r="D914">
        <v>59.726001739501953</v>
      </c>
      <c r="E914" s="604">
        <v>14656.1796875</v>
      </c>
      <c r="F914" s="748">
        <f t="shared" si="56"/>
        <v>-1.9790426059249744E-2</v>
      </c>
      <c r="G914" s="748">
        <f t="shared" si="56"/>
        <v>-8.8883688674412653E-3</v>
      </c>
      <c r="H914" s="1067">
        <f t="shared" si="57"/>
        <v>-1.0902057191808479E-2</v>
      </c>
      <c r="I914">
        <f t="shared" si="58"/>
        <v>464.18057482809553</v>
      </c>
    </row>
    <row r="915" spans="1:9" ht="20.100000000000001" customHeight="1">
      <c r="A915" s="563">
        <v>44426</v>
      </c>
      <c r="B915">
        <f t="shared" si="59"/>
        <v>660.02254197968011</v>
      </c>
      <c r="C915">
        <f t="shared" si="59"/>
        <v>207.30865801852281</v>
      </c>
      <c r="D915">
        <v>58.543998718261719</v>
      </c>
      <c r="E915" s="604">
        <v>14525.91015625</v>
      </c>
      <c r="F915" s="748">
        <f t="shared" si="56"/>
        <v>1.0453667756176843E-2</v>
      </c>
      <c r="G915" s="748">
        <f t="shared" si="56"/>
        <v>1.0932108653904926E-3</v>
      </c>
      <c r="H915" s="1067">
        <f t="shared" si="57"/>
        <v>9.3604568907863506E-3</v>
      </c>
      <c r="I915">
        <f t="shared" si="58"/>
        <v>452.71388396115731</v>
      </c>
    </row>
    <row r="916" spans="1:9" ht="20.100000000000001" customHeight="1">
      <c r="A916" s="563">
        <v>44427</v>
      </c>
      <c r="B916">
        <f t="shared" si="59"/>
        <v>666.92219834512298</v>
      </c>
      <c r="C916">
        <f t="shared" si="59"/>
        <v>207.53529009595817</v>
      </c>
      <c r="D916">
        <v>59.155998229980469</v>
      </c>
      <c r="E916" s="604">
        <v>14541.7900390625</v>
      </c>
      <c r="F916" s="748">
        <f t="shared" si="56"/>
        <v>7.3027762892401427E-3</v>
      </c>
      <c r="G916" s="748">
        <f t="shared" si="56"/>
        <v>1.1887815511235633E-2</v>
      </c>
      <c r="H916" s="1067">
        <f t="shared" si="57"/>
        <v>-4.5850392219954905E-3</v>
      </c>
      <c r="I916">
        <f t="shared" si="58"/>
        <v>459.38690824916478</v>
      </c>
    </row>
    <row r="917" spans="1:9" ht="20.100000000000001" customHeight="1">
      <c r="A917" s="563">
        <v>44428</v>
      </c>
      <c r="B917">
        <f t="shared" si="59"/>
        <v>671.79258196196565</v>
      </c>
      <c r="C917">
        <f t="shared" si="59"/>
        <v>210.00243133668968</v>
      </c>
      <c r="D917">
        <v>59.588001251220703</v>
      </c>
      <c r="E917" s="604">
        <v>14714.66015625</v>
      </c>
      <c r="F917" s="748">
        <f t="shared" si="56"/>
        <v>3.2154130462157315E-2</v>
      </c>
      <c r="G917" s="748">
        <f t="shared" si="56"/>
        <v>1.549408766183169E-2</v>
      </c>
      <c r="H917" s="1067">
        <f t="shared" si="57"/>
        <v>1.6660042800325625E-2</v>
      </c>
      <c r="I917">
        <f t="shared" si="58"/>
        <v>461.79015062527594</v>
      </c>
    </row>
    <row r="918" spans="1:9" ht="20.100000000000001" customHeight="1">
      <c r="A918" s="563">
        <v>44431</v>
      </c>
      <c r="B918">
        <f t="shared" si="59"/>
        <v>693.39348828588015</v>
      </c>
      <c r="C918">
        <f t="shared" si="59"/>
        <v>213.25622741701815</v>
      </c>
      <c r="D918">
        <v>61.504001617431641</v>
      </c>
      <c r="E918" s="604">
        <v>14942.650390625</v>
      </c>
      <c r="F918" s="748">
        <f t="shared" si="56"/>
        <v>-2.497403538630294E-2</v>
      </c>
      <c r="G918" s="748">
        <f t="shared" si="56"/>
        <v>5.1630341368960053E-3</v>
      </c>
      <c r="H918" s="1067">
        <f t="shared" si="57"/>
        <v>-3.0137069523198945E-2</v>
      </c>
      <c r="I918">
        <f t="shared" si="58"/>
        <v>480.13726086886197</v>
      </c>
    </row>
    <row r="919" spans="1:9" ht="20.100000000000001" customHeight="1">
      <c r="A919" s="563">
        <v>44432</v>
      </c>
      <c r="B919">
        <f t="shared" si="59"/>
        <v>676.07665477279659</v>
      </c>
      <c r="C919">
        <f t="shared" si="59"/>
        <v>214.35727659907786</v>
      </c>
      <c r="D919">
        <v>59.967998504638672</v>
      </c>
      <c r="E919" s="604">
        <v>15019.7998046875</v>
      </c>
      <c r="F919" s="748">
        <f t="shared" si="56"/>
        <v>2.0644390474426899E-2</v>
      </c>
      <c r="G919" s="748">
        <f t="shared" si="56"/>
        <v>1.4687643751494228E-3</v>
      </c>
      <c r="H919" s="1067">
        <f t="shared" si="57"/>
        <v>1.9175626099277476E-2</v>
      </c>
      <c r="I919">
        <f t="shared" si="58"/>
        <v>461.71937817371872</v>
      </c>
    </row>
    <row r="920" spans="1:9" ht="20.100000000000001" customHeight="1">
      <c r="A920" s="563">
        <v>44433</v>
      </c>
      <c r="B920">
        <f t="shared" si="59"/>
        <v>690.03384522457054</v>
      </c>
      <c r="C920">
        <f t="shared" si="59"/>
        <v>214.67211693050064</v>
      </c>
      <c r="D920">
        <v>61.206001281738281</v>
      </c>
      <c r="E920" s="604">
        <v>15041.8603515625</v>
      </c>
      <c r="F920" s="748">
        <f t="shared" si="56"/>
        <v>1.3397374075291513E-2</v>
      </c>
      <c r="G920" s="748">
        <f t="shared" si="56"/>
        <v>-6.3855652828224141E-3</v>
      </c>
      <c r="H920" s="1067">
        <f t="shared" si="57"/>
        <v>1.9782939358113927E-2</v>
      </c>
      <c r="I920">
        <f t="shared" si="58"/>
        <v>475.36172829406991</v>
      </c>
    </row>
    <row r="921" spans="1:9" ht="20.100000000000001" customHeight="1">
      <c r="A921" s="563">
        <v>44434</v>
      </c>
      <c r="B921">
        <f t="shared" si="59"/>
        <v>699.27848677365591</v>
      </c>
      <c r="C921">
        <f t="shared" si="59"/>
        <v>213.30131411343925</v>
      </c>
      <c r="D921">
        <v>62.0260009765625</v>
      </c>
      <c r="E921" s="604">
        <v>14945.8095703125</v>
      </c>
      <c r="F921" s="748">
        <f t="shared" si="56"/>
        <v>1.9121026751712789E-2</v>
      </c>
      <c r="G921" s="748">
        <f t="shared" si="56"/>
        <v>1.2290430225497584E-2</v>
      </c>
      <c r="H921" s="1067">
        <f t="shared" si="57"/>
        <v>6.8305965262152046E-3</v>
      </c>
      <c r="I921">
        <f t="shared" si="58"/>
        <v>485.97717266021664</v>
      </c>
    </row>
    <row r="922" spans="1:9" ht="20.100000000000001" customHeight="1">
      <c r="A922" s="563">
        <v>44435</v>
      </c>
      <c r="B922">
        <f t="shared" si="59"/>
        <v>712.64940942615226</v>
      </c>
      <c r="C922">
        <f t="shared" si="59"/>
        <v>215.92287903155741</v>
      </c>
      <c r="D922">
        <v>63.212001800537109</v>
      </c>
      <c r="E922" s="604">
        <v>15129.5</v>
      </c>
      <c r="F922" s="748">
        <f t="shared" si="56"/>
        <v>1.0535919327712362E-2</v>
      </c>
      <c r="G922" s="748">
        <f t="shared" si="56"/>
        <v>9.014815323540093E-3</v>
      </c>
      <c r="H922" s="1067">
        <f t="shared" si="57"/>
        <v>1.521104004172269E-3</v>
      </c>
      <c r="I922">
        <f t="shared" si="58"/>
        <v>496.72653039459487</v>
      </c>
    </row>
    <row r="923" spans="1:9" ht="20.100000000000001" customHeight="1">
      <c r="A923" s="563">
        <v>44438</v>
      </c>
      <c r="B923">
        <f t="shared" si="59"/>
        <v>720.15782611280804</v>
      </c>
      <c r="C923">
        <f t="shared" si="59"/>
        <v>217.869383910154</v>
      </c>
      <c r="D923">
        <v>63.877998352050781</v>
      </c>
      <c r="E923" s="604">
        <v>15265.8896484375</v>
      </c>
      <c r="F923" s="748">
        <f t="shared" si="56"/>
        <v>-1.3306592192142586E-2</v>
      </c>
      <c r="G923" s="748">
        <f t="shared" si="56"/>
        <v>-4.3557330857424414E-4</v>
      </c>
      <c r="H923" s="1067">
        <f t="shared" si="57"/>
        <v>-1.2871018883568341E-2</v>
      </c>
      <c r="I923">
        <f t="shared" si="58"/>
        <v>502.28844220265404</v>
      </c>
    </row>
    <row r="924" spans="1:9" ht="20.100000000000001" customHeight="1">
      <c r="A924" s="563">
        <v>44439</v>
      </c>
      <c r="B924">
        <f t="shared" si="59"/>
        <v>710.57497960674493</v>
      </c>
      <c r="C924">
        <f t="shared" si="59"/>
        <v>217.77448582176723</v>
      </c>
      <c r="D924">
        <v>63.027999877929688</v>
      </c>
      <c r="E924" s="604">
        <v>15259.240234375</v>
      </c>
      <c r="F924" s="748">
        <f t="shared" si="56"/>
        <v>-2.1165190651340815E-2</v>
      </c>
      <c r="G924" s="748">
        <f t="shared" si="56"/>
        <v>3.2858548438439161E-3</v>
      </c>
      <c r="H924" s="1067">
        <f t="shared" si="57"/>
        <v>-2.4451045495184731E-2</v>
      </c>
      <c r="I924">
        <f t="shared" si="58"/>
        <v>492.80049378497768</v>
      </c>
    </row>
    <row r="925" spans="1:9" ht="20.100000000000001" customHeight="1">
      <c r="A925" s="563">
        <v>44440</v>
      </c>
      <c r="B925">
        <f t="shared" si="59"/>
        <v>695.53552469129556</v>
      </c>
      <c r="C925">
        <f t="shared" si="59"/>
        <v>218.49006117087029</v>
      </c>
      <c r="D925">
        <v>61.694000244140618</v>
      </c>
      <c r="E925" s="604">
        <v>15309.3798828125</v>
      </c>
      <c r="F925" s="748">
        <f t="shared" si="56"/>
        <v>1.7602984582919978E-2</v>
      </c>
      <c r="G925" s="748">
        <f t="shared" si="56"/>
        <v>1.4239508624365182E-3</v>
      </c>
      <c r="H925" s="1067">
        <f t="shared" si="57"/>
        <v>1.617903372048346E-2</v>
      </c>
      <c r="I925">
        <f t="shared" si="58"/>
        <v>477.0454635204253</v>
      </c>
    </row>
    <row r="926" spans="1:9" ht="20.100000000000001" customHeight="1">
      <c r="A926" s="563">
        <v>44441</v>
      </c>
      <c r="B926">
        <f t="shared" si="59"/>
        <v>707.77902580930959</v>
      </c>
      <c r="C926">
        <f t="shared" si="59"/>
        <v>218.80118028190836</v>
      </c>
      <c r="D926">
        <v>62.779998779296882</v>
      </c>
      <c r="E926" s="604">
        <v>15331.1796875</v>
      </c>
      <c r="F926" s="748">
        <f t="shared" si="56"/>
        <v>2.0038280651864637E-2</v>
      </c>
      <c r="G926" s="748">
        <f t="shared" si="56"/>
        <v>2.1094165230068906E-3</v>
      </c>
      <c r="H926" s="1067">
        <f t="shared" si="57"/>
        <v>1.7928864128857747E-2</v>
      </c>
      <c r="I926">
        <f t="shared" si="58"/>
        <v>488.9778455274012</v>
      </c>
    </row>
    <row r="927" spans="1:9" ht="20.100000000000001" customHeight="1">
      <c r="A927" s="563">
        <v>44442</v>
      </c>
      <c r="B927">
        <f t="shared" si="59"/>
        <v>721.96170056797985</v>
      </c>
      <c r="C927">
        <f t="shared" si="59"/>
        <v>219.26272310684843</v>
      </c>
      <c r="D927">
        <v>64.038002014160156</v>
      </c>
      <c r="E927" s="604">
        <v>15363.51953125</v>
      </c>
      <c r="F927" s="748">
        <f t="shared" si="56"/>
        <v>-1.9082421119261506E-2</v>
      </c>
      <c r="G927" s="748">
        <f t="shared" si="56"/>
        <v>7.0365041376163617E-4</v>
      </c>
      <c r="H927" s="1067">
        <f t="shared" si="57"/>
        <v>-1.9786071533023142E-2</v>
      </c>
      <c r="I927">
        <f t="shared" si="58"/>
        <v>502.69897746113145</v>
      </c>
    </row>
    <row r="928" spans="1:9" ht="20.100000000000001" customHeight="1">
      <c r="A928" s="563">
        <v>44446</v>
      </c>
      <c r="B928">
        <f t="shared" si="59"/>
        <v>708.18492336576344</v>
      </c>
      <c r="C928">
        <f t="shared" si="59"/>
        <v>219.41700741268505</v>
      </c>
      <c r="D928">
        <v>62.816001892089837</v>
      </c>
      <c r="E928" s="604">
        <v>15374.330078125</v>
      </c>
      <c r="F928" s="748">
        <f t="shared" si="56"/>
        <v>-1.5537469913774471E-2</v>
      </c>
      <c r="G928" s="748">
        <f t="shared" si="56"/>
        <v>-5.7036911034106241E-3</v>
      </c>
      <c r="H928" s="1067">
        <f t="shared" si="57"/>
        <v>-9.8337788103638468E-3</v>
      </c>
      <c r="I928">
        <f t="shared" si="58"/>
        <v>488.76791595307839</v>
      </c>
    </row>
    <row r="929" spans="1:9" ht="20.100000000000001" customHeight="1">
      <c r="A929" s="563">
        <v>44447</v>
      </c>
      <c r="B929">
        <f t="shared" si="59"/>
        <v>697.18152142557926</v>
      </c>
      <c r="C929">
        <f t="shared" si="59"/>
        <v>218.16552057956835</v>
      </c>
      <c r="D929">
        <v>61.840000152587891</v>
      </c>
      <c r="E929" s="604">
        <v>15286.6396484375</v>
      </c>
      <c r="F929" s="748">
        <f t="shared" si="56"/>
        <v>4.9805733581271827E-3</v>
      </c>
      <c r="G929" s="748">
        <f t="shared" si="56"/>
        <v>-2.5113202980109328E-3</v>
      </c>
      <c r="H929" s="1067">
        <f t="shared" si="57"/>
        <v>7.4918936561381155E-3</v>
      </c>
      <c r="I929">
        <f t="shared" si="58"/>
        <v>479.01600084601091</v>
      </c>
    </row>
    <row r="930" spans="1:9" ht="20.100000000000001" customHeight="1">
      <c r="A930" s="563">
        <v>44448</v>
      </c>
      <c r="B930">
        <f t="shared" si="59"/>
        <v>700.65388513697008</v>
      </c>
      <c r="C930">
        <f t="shared" si="59"/>
        <v>217.61763707941077</v>
      </c>
      <c r="D930">
        <v>62.147998809814453</v>
      </c>
      <c r="E930" s="604">
        <v>15248.25</v>
      </c>
      <c r="F930" s="748">
        <f t="shared" si="56"/>
        <v>-8.0451885850019167E-4</v>
      </c>
      <c r="G930" s="748">
        <f t="shared" si="56"/>
        <v>-8.7065575147967644E-3</v>
      </c>
      <c r="H930" s="1067">
        <f t="shared" si="57"/>
        <v>7.9020386562965728E-3</v>
      </c>
      <c r="I930">
        <f t="shared" si="58"/>
        <v>483.03624805755931</v>
      </c>
    </row>
    <row r="931" spans="1:9" ht="20.100000000000001" customHeight="1">
      <c r="A931" s="563">
        <v>44449</v>
      </c>
      <c r="B931">
        <f t="shared" si="59"/>
        <v>700.09019587309592</v>
      </c>
      <c r="C931">
        <f t="shared" si="59"/>
        <v>215.72293660594471</v>
      </c>
      <c r="D931">
        <v>62.097999572753913</v>
      </c>
      <c r="E931" s="604">
        <v>15115.490234375</v>
      </c>
      <c r="F931" s="748">
        <f t="shared" si="56"/>
        <v>-4.3705122879595937E-2</v>
      </c>
      <c r="G931" s="748">
        <f t="shared" si="56"/>
        <v>-6.5562916560013562E-4</v>
      </c>
      <c r="H931" s="1067">
        <f t="shared" si="57"/>
        <v>-4.3049493713995801E-2</v>
      </c>
      <c r="I931">
        <f t="shared" si="58"/>
        <v>484.36725926715121</v>
      </c>
    </row>
    <row r="932" spans="1:9" ht="20.100000000000001" customHeight="1">
      <c r="A932" s="563">
        <v>44452</v>
      </c>
      <c r="B932">
        <f t="shared" si="59"/>
        <v>669.4926678356619</v>
      </c>
      <c r="C932">
        <f t="shared" si="59"/>
        <v>215.58150235701694</v>
      </c>
      <c r="D932">
        <v>59.383998870849609</v>
      </c>
      <c r="E932" s="604">
        <v>15105.580078125</v>
      </c>
      <c r="F932" s="748">
        <f t="shared" si="56"/>
        <v>1.2326590869920384E-2</v>
      </c>
      <c r="G932" s="748">
        <f t="shared" si="56"/>
        <v>-4.4897522736127016E-3</v>
      </c>
      <c r="H932" s="1067">
        <f t="shared" si="57"/>
        <v>1.6816343143533086E-2</v>
      </c>
      <c r="I932">
        <f t="shared" si="58"/>
        <v>453.91116547864499</v>
      </c>
    </row>
    <row r="933" spans="1:9" ht="20.100000000000001" customHeight="1">
      <c r="A933" s="563">
        <v>44453</v>
      </c>
      <c r="B933">
        <f t="shared" si="59"/>
        <v>677.74523004248363</v>
      </c>
      <c r="C933">
        <f t="shared" si="59"/>
        <v>214.61359481666068</v>
      </c>
      <c r="D933">
        <v>60.116001129150391</v>
      </c>
      <c r="E933" s="604">
        <v>15037.759765625</v>
      </c>
      <c r="F933" s="748">
        <f t="shared" si="56"/>
        <v>3.1605333545192682E-3</v>
      </c>
      <c r="G933" s="748">
        <f t="shared" si="56"/>
        <v>8.2306480314593422E-3</v>
      </c>
      <c r="H933" s="1067">
        <f t="shared" si="57"/>
        <v>-5.070114676940074E-3</v>
      </c>
      <c r="I933">
        <f t="shared" si="58"/>
        <v>463.13163522582295</v>
      </c>
    </row>
    <row r="934" spans="1:9" ht="20.100000000000001" customHeight="1">
      <c r="A934" s="563">
        <v>44454</v>
      </c>
      <c r="B934">
        <f t="shared" si="59"/>
        <v>679.88726644789926</v>
      </c>
      <c r="C934">
        <f t="shared" si="59"/>
        <v>216.38000377836283</v>
      </c>
      <c r="D934">
        <v>60.305999755859382</v>
      </c>
      <c r="E934" s="604">
        <v>15161.5302734375</v>
      </c>
      <c r="F934" s="748">
        <f t="shared" si="56"/>
        <v>8.3905502080605654E-3</v>
      </c>
      <c r="G934" s="748">
        <f t="shared" si="56"/>
        <v>1.344827868280607E-3</v>
      </c>
      <c r="H934" s="1067">
        <f t="shared" si="57"/>
        <v>7.0457223397799584E-3</v>
      </c>
      <c r="I934">
        <f t="shared" si="58"/>
        <v>463.50726266953643</v>
      </c>
    </row>
    <row r="935" spans="1:9" ht="20.100000000000001" customHeight="1">
      <c r="A935" s="563">
        <v>44455</v>
      </c>
      <c r="B935">
        <f t="shared" si="59"/>
        <v>685.59189469285138</v>
      </c>
      <c r="C935">
        <f t="shared" si="59"/>
        <v>216.67099763758264</v>
      </c>
      <c r="D935">
        <v>60.812000274658203</v>
      </c>
      <c r="E935" s="604">
        <v>15181.919921875</v>
      </c>
      <c r="F935" s="748">
        <f t="shared" si="56"/>
        <v>-1.5029952323811879E-2</v>
      </c>
      <c r="G935" s="748">
        <f t="shared" si="56"/>
        <v>-9.0864789185017836E-3</v>
      </c>
      <c r="H935" s="1067">
        <f t="shared" si="57"/>
        <v>-5.9434734053100957E-3</v>
      </c>
      <c r="I935">
        <f t="shared" si="58"/>
        <v>468.92089705526871</v>
      </c>
    </row>
    <row r="936" spans="1:9" ht="20.100000000000001" customHeight="1">
      <c r="A936" s="563">
        <v>44456</v>
      </c>
      <c r="B936">
        <f t="shared" si="59"/>
        <v>675.28748120202602</v>
      </c>
      <c r="C936">
        <f t="shared" si="59"/>
        <v>214.70222118529799</v>
      </c>
      <c r="D936">
        <v>59.897998809814453</v>
      </c>
      <c r="E936" s="604">
        <v>15043.9697265625</v>
      </c>
      <c r="F936" s="748">
        <f t="shared" si="56"/>
        <v>-8.0803591870818314E-3</v>
      </c>
      <c r="G936" s="748">
        <f t="shared" si="56"/>
        <v>-2.1940308438318068E-2</v>
      </c>
      <c r="H936" s="1067">
        <f t="shared" si="57"/>
        <v>1.3859949251236237E-2</v>
      </c>
      <c r="I936">
        <f t="shared" si="58"/>
        <v>460.58526001672806</v>
      </c>
    </row>
    <row r="937" spans="1:9" ht="20.100000000000001" customHeight="1">
      <c r="A937" s="563">
        <v>44459</v>
      </c>
      <c r="B937">
        <f t="shared" si="59"/>
        <v>669.83091579937388</v>
      </c>
      <c r="C937">
        <f t="shared" si="59"/>
        <v>209.99158823010055</v>
      </c>
      <c r="D937">
        <v>59.41400146484375</v>
      </c>
      <c r="E937" s="604">
        <v>14713.900390625</v>
      </c>
      <c r="F937" s="748">
        <f t="shared" si="56"/>
        <v>8.5164555765693262E-3</v>
      </c>
      <c r="G937" s="748">
        <f t="shared" si="56"/>
        <v>2.2087957059100383E-3</v>
      </c>
      <c r="H937" s="1067">
        <f t="shared" si="57"/>
        <v>6.3076598706592879E-3</v>
      </c>
      <c r="I937">
        <f t="shared" si="58"/>
        <v>459.83932756927334</v>
      </c>
    </row>
    <row r="938" spans="1:9" ht="20.100000000000001" customHeight="1">
      <c r="A938" s="563">
        <v>44460</v>
      </c>
      <c r="B938">
        <f t="shared" si="59"/>
        <v>675.53550103759198</v>
      </c>
      <c r="C938">
        <f t="shared" si="59"/>
        <v>210.45541674846041</v>
      </c>
      <c r="D938">
        <v>59.919998168945313</v>
      </c>
      <c r="E938" s="604">
        <v>14746.400390625</v>
      </c>
      <c r="F938" s="748">
        <f t="shared" si="56"/>
        <v>6.7423757619526903E-3</v>
      </c>
      <c r="G938" s="748">
        <f t="shared" si="56"/>
        <v>1.0202436849988672E-2</v>
      </c>
      <c r="H938" s="1067">
        <f t="shared" si="57"/>
        <v>-3.4600610880359817E-3</v>
      </c>
      <c r="I938">
        <f t="shared" si="58"/>
        <v>465.08008428913161</v>
      </c>
    </row>
    <row r="939" spans="1:9" ht="20.100000000000001" customHeight="1">
      <c r="A939" s="563">
        <v>44461</v>
      </c>
      <c r="B939">
        <f t="shared" si="59"/>
        <v>680.09021522612636</v>
      </c>
      <c r="C939">
        <f t="shared" si="59"/>
        <v>212.60257484757463</v>
      </c>
      <c r="D939">
        <v>60.324001312255859</v>
      </c>
      <c r="E939" s="604">
        <v>14896.849609375</v>
      </c>
      <c r="F939" s="748">
        <f t="shared" si="56"/>
        <v>2.9573641633849457E-2</v>
      </c>
      <c r="G939" s="748">
        <f t="shared" si="56"/>
        <v>1.0431106514105393E-2</v>
      </c>
      <c r="H939" s="1067">
        <f t="shared" si="57"/>
        <v>1.9142535119744064E-2</v>
      </c>
      <c r="I939">
        <f t="shared" si="58"/>
        <v>467.48764037855176</v>
      </c>
    </row>
    <row r="940" spans="1:9" ht="20.100000000000001" customHeight="1">
      <c r="A940" s="563">
        <v>44462</v>
      </c>
      <c r="B940">
        <f t="shared" si="59"/>
        <v>700.20295952991137</v>
      </c>
      <c r="C940">
        <f t="shared" si="59"/>
        <v>214.82025495098276</v>
      </c>
      <c r="D940">
        <v>62.108001708984382</v>
      </c>
      <c r="E940" s="604">
        <v>15052.240234375</v>
      </c>
      <c r="F940" s="748">
        <f t="shared" si="56"/>
        <v>4.3794575843114636E-3</v>
      </c>
      <c r="G940" s="748">
        <f t="shared" si="56"/>
        <v>-3.0161882828128039E-4</v>
      </c>
      <c r="H940" s="1067">
        <f t="shared" si="57"/>
        <v>4.681076412592744E-3</v>
      </c>
      <c r="I940">
        <f t="shared" si="58"/>
        <v>485.38270457892861</v>
      </c>
    </row>
    <row r="941" spans="1:9" ht="20.100000000000001" customHeight="1">
      <c r="A941" s="563">
        <v>44463</v>
      </c>
      <c r="B941">
        <f t="shared" si="59"/>
        <v>703.26946869158201</v>
      </c>
      <c r="C941">
        <f t="shared" si="59"/>
        <v>214.75546111739337</v>
      </c>
      <c r="D941">
        <v>62.380001068115227</v>
      </c>
      <c r="E941" s="604">
        <v>15047.7001953125</v>
      </c>
      <c r="F941" s="748">
        <f t="shared" si="56"/>
        <v>-3.6325787371419782E-2</v>
      </c>
      <c r="G941" s="748">
        <f t="shared" si="56"/>
        <v>-5.1656045602379574E-3</v>
      </c>
      <c r="H941" s="1067">
        <f t="shared" si="57"/>
        <v>-3.1160182811181825E-2</v>
      </c>
      <c r="I941">
        <f t="shared" si="58"/>
        <v>488.51400757418867</v>
      </c>
    </row>
    <row r="942" spans="1:9" ht="20.100000000000001" customHeight="1">
      <c r="A942" s="563">
        <v>44466</v>
      </c>
      <c r="B942">
        <f t="shared" si="59"/>
        <v>677.72265150708029</v>
      </c>
      <c r="C942">
        <f t="shared" si="59"/>
        <v>213.64611932810936</v>
      </c>
      <c r="D942">
        <v>60.113998413085938</v>
      </c>
      <c r="E942" s="604">
        <v>14969.9697265625</v>
      </c>
      <c r="F942" s="748">
        <f t="shared" si="56"/>
        <v>-4.2219753575906016E-2</v>
      </c>
      <c r="G942" s="748">
        <f t="shared" si="56"/>
        <v>-2.8275944894625926E-2</v>
      </c>
      <c r="H942" s="1067">
        <f t="shared" si="57"/>
        <v>-1.394380868128009E-2</v>
      </c>
      <c r="I942">
        <f t="shared" si="58"/>
        <v>464.07653217897092</v>
      </c>
    </row>
    <row r="943" spans="1:9" ht="20.100000000000001" customHeight="1">
      <c r="A943" s="563">
        <v>44467</v>
      </c>
      <c r="B943">
        <f t="shared" si="59"/>
        <v>649.10936816764172</v>
      </c>
      <c r="C943">
        <f t="shared" si="59"/>
        <v>207.60507343103706</v>
      </c>
      <c r="D943">
        <v>57.576000213623047</v>
      </c>
      <c r="E943" s="604">
        <v>14546.6796875</v>
      </c>
      <c r="F943" s="748">
        <f t="shared" si="56"/>
        <v>3.2999622412817065E-3</v>
      </c>
      <c r="G943" s="748">
        <f t="shared" si="56"/>
        <v>-2.3537507216799813E-3</v>
      </c>
      <c r="H943" s="1067">
        <f t="shared" si="57"/>
        <v>5.6537129629616878E-3</v>
      </c>
      <c r="I943">
        <f t="shared" si="58"/>
        <v>441.50429473660466</v>
      </c>
    </row>
    <row r="944" spans="1:9" ht="20.100000000000001" customHeight="1">
      <c r="A944" s="563">
        <v>44468</v>
      </c>
      <c r="B944">
        <f t="shared" si="59"/>
        <v>651.25140457305713</v>
      </c>
      <c r="C944">
        <f t="shared" si="59"/>
        <v>207.11642283962433</v>
      </c>
      <c r="D944">
        <v>57.765998840332031</v>
      </c>
      <c r="E944" s="604">
        <v>14512.4404296875</v>
      </c>
      <c r="F944" s="748">
        <f t="shared" si="56"/>
        <v>1.1113840643306672E-2</v>
      </c>
      <c r="G944" s="748">
        <f t="shared" si="56"/>
        <v>-4.4003868179098848E-3</v>
      </c>
      <c r="H944" s="1067">
        <f t="shared" si="57"/>
        <v>1.5514227461216556E-2</v>
      </c>
      <c r="I944">
        <f t="shared" si="58"/>
        <v>444.13498173343282</v>
      </c>
    </row>
    <row r="945" spans="1:9" ht="20.100000000000001" customHeight="1">
      <c r="A945" s="563">
        <v>44469</v>
      </c>
      <c r="B945">
        <f t="shared" si="59"/>
        <v>658.48930890221175</v>
      </c>
      <c r="C945">
        <f t="shared" si="59"/>
        <v>206.20503046278822</v>
      </c>
      <c r="D945">
        <v>58.408000946044922</v>
      </c>
      <c r="E945" s="604">
        <v>14448.580078125</v>
      </c>
      <c r="F945" s="748">
        <f t="shared" si="56"/>
        <v>2.0408120613086611E-2</v>
      </c>
      <c r="G945" s="748">
        <f t="shared" si="56"/>
        <v>8.1752059059652105E-3</v>
      </c>
      <c r="H945" s="1067">
        <f t="shared" si="57"/>
        <v>1.2232914707121401E-2</v>
      </c>
      <c r="I945">
        <f t="shared" si="58"/>
        <v>452.28427843942353</v>
      </c>
    </row>
    <row r="946" spans="1:9" ht="20.100000000000001" customHeight="1">
      <c r="A946" s="563">
        <v>44470</v>
      </c>
      <c r="B946">
        <f t="shared" si="59"/>
        <v>671.92783814071618</v>
      </c>
      <c r="C946">
        <f t="shared" si="59"/>
        <v>207.89079904566734</v>
      </c>
      <c r="D946">
        <v>59.599998474121087</v>
      </c>
      <c r="E946" s="604">
        <v>14566.7001953125</v>
      </c>
      <c r="F946" s="748">
        <f t="shared" si="56"/>
        <v>-3.0637588261280047E-2</v>
      </c>
      <c r="G946" s="748">
        <f t="shared" si="56"/>
        <v>-2.1365149442881259E-2</v>
      </c>
      <c r="H946" s="1067">
        <f t="shared" si="57"/>
        <v>-9.2724388183987871E-3</v>
      </c>
      <c r="I946">
        <f t="shared" si="58"/>
        <v>464.03703909504884</v>
      </c>
    </row>
    <row r="947" spans="1:9" ht="20.100000000000001" customHeight="1">
      <c r="A947" s="563">
        <v>44473</v>
      </c>
      <c r="B947">
        <f t="shared" si="59"/>
        <v>651.34158969446889</v>
      </c>
      <c r="C947">
        <f t="shared" si="59"/>
        <v>203.44918105625666</v>
      </c>
      <c r="D947">
        <v>57.773998260498047</v>
      </c>
      <c r="E947" s="604">
        <v>14255.48046875</v>
      </c>
      <c r="F947" s="748">
        <f t="shared" si="56"/>
        <v>3.3406036682342322E-2</v>
      </c>
      <c r="G947" s="748">
        <f t="shared" si="56"/>
        <v>1.251095042120598E-2</v>
      </c>
      <c r="H947" s="1067">
        <f t="shared" si="57"/>
        <v>2.0895086261136342E-2</v>
      </c>
      <c r="I947">
        <f t="shared" si="58"/>
        <v>447.89240863821226</v>
      </c>
    </row>
    <row r="948" spans="1:9" ht="20.100000000000001" customHeight="1">
      <c r="A948" s="563">
        <v>44474</v>
      </c>
      <c r="B948">
        <f t="shared" si="59"/>
        <v>673.10033073253749</v>
      </c>
      <c r="C948">
        <f t="shared" si="59"/>
        <v>205.99452367368644</v>
      </c>
      <c r="D948">
        <v>59.703998565673828</v>
      </c>
      <c r="E948" s="604">
        <v>14433.830078125</v>
      </c>
      <c r="F948" s="748">
        <f t="shared" si="56"/>
        <v>1.0987573034260567E-2</v>
      </c>
      <c r="G948" s="748">
        <f t="shared" si="56"/>
        <v>4.7167022028462569E-3</v>
      </c>
      <c r="H948" s="1067">
        <f t="shared" si="57"/>
        <v>6.2708708314143102E-3</v>
      </c>
      <c r="I948">
        <f t="shared" si="58"/>
        <v>467.10580705885104</v>
      </c>
    </row>
    <row r="949" spans="1:9" ht="20.100000000000001" customHeight="1">
      <c r="A949" s="563">
        <v>44475</v>
      </c>
      <c r="B949">
        <f t="shared" si="59"/>
        <v>680.49606977584619</v>
      </c>
      <c r="C949">
        <f t="shared" si="59"/>
        <v>206.9661384972724</v>
      </c>
      <c r="D949">
        <v>60.360000610351563</v>
      </c>
      <c r="E949" s="604">
        <v>14501.91015625</v>
      </c>
      <c r="F949" s="748">
        <f t="shared" si="56"/>
        <v>2.5911185556833249E-2</v>
      </c>
      <c r="G949" s="748">
        <f t="shared" si="56"/>
        <v>1.0488919967170274E-2</v>
      </c>
      <c r="H949" s="1067">
        <f t="shared" si="57"/>
        <v>1.5422265589662976E-2</v>
      </c>
      <c r="I949">
        <f t="shared" si="58"/>
        <v>473.52993127857383</v>
      </c>
    </row>
    <row r="950" spans="1:9" ht="20.100000000000001" customHeight="1">
      <c r="A950" s="563">
        <v>44476</v>
      </c>
      <c r="B950">
        <f t="shared" si="59"/>
        <v>698.12852971050393</v>
      </c>
      <c r="C950">
        <f t="shared" si="59"/>
        <v>209.13698975988456</v>
      </c>
      <c r="D950">
        <v>61.923999786376953</v>
      </c>
      <c r="E950" s="604">
        <v>14654.01953125</v>
      </c>
      <c r="F950" s="748">
        <f t="shared" si="56"/>
        <v>-7.9129526541757977E-3</v>
      </c>
      <c r="G950" s="748">
        <f t="shared" si="56"/>
        <v>-5.0825298839455302E-3</v>
      </c>
      <c r="H950" s="1067">
        <f t="shared" si="57"/>
        <v>-2.8304227702302676E-3</v>
      </c>
      <c r="I950">
        <f t="shared" si="58"/>
        <v>488.99153995061937</v>
      </c>
    </row>
    <row r="951" spans="1:9" ht="20.100000000000001" customHeight="1">
      <c r="A951" s="563">
        <v>44477</v>
      </c>
      <c r="B951">
        <f t="shared" si="59"/>
        <v>692.60427170837534</v>
      </c>
      <c r="C951">
        <f t="shared" si="59"/>
        <v>208.07404475959154</v>
      </c>
      <c r="D951">
        <v>61.433998107910163</v>
      </c>
      <c r="E951" s="604">
        <v>14579.5400390625</v>
      </c>
      <c r="F951" s="748">
        <f t="shared" si="56"/>
        <v>-1.2045040179319288E-3</v>
      </c>
      <c r="G951" s="748">
        <f t="shared" si="56"/>
        <v>-6.4021116921327836E-3</v>
      </c>
      <c r="H951" s="1067">
        <f t="shared" si="57"/>
        <v>5.1976076742008548E-3</v>
      </c>
      <c r="I951">
        <f t="shared" si="58"/>
        <v>484.53022694878382</v>
      </c>
    </row>
    <row r="952" spans="1:9" ht="20.100000000000001" customHeight="1">
      <c r="A952" s="563">
        <v>44480</v>
      </c>
      <c r="B952">
        <f t="shared" si="59"/>
        <v>691.77002708026578</v>
      </c>
      <c r="C952">
        <f t="shared" si="59"/>
        <v>206.7419314848068</v>
      </c>
      <c r="D952">
        <v>61.360000610351563</v>
      </c>
      <c r="E952" s="604">
        <v>14486.2001953125</v>
      </c>
      <c r="F952" s="748">
        <f t="shared" si="56"/>
        <v>-7.1705863468163322E-4</v>
      </c>
      <c r="G952" s="748">
        <f t="shared" si="56"/>
        <v>-1.3999719156209123E-3</v>
      </c>
      <c r="H952" s="1067">
        <f t="shared" si="57"/>
        <v>6.8291328093927905E-4</v>
      </c>
      <c r="I952">
        <f t="shared" si="58"/>
        <v>485.02809559545898</v>
      </c>
    </row>
    <row r="953" spans="1:9" ht="20.100000000000001" customHeight="1">
      <c r="A953" s="563">
        <v>44481</v>
      </c>
      <c r="B953">
        <f t="shared" si="59"/>
        <v>691.27398740913395</v>
      </c>
      <c r="C953">
        <f t="shared" si="59"/>
        <v>206.45249858694686</v>
      </c>
      <c r="D953">
        <v>61.316001892089837</v>
      </c>
      <c r="E953" s="604">
        <v>14465.919921875</v>
      </c>
      <c r="F953" s="748">
        <f t="shared" si="56"/>
        <v>1.1481481896239876E-2</v>
      </c>
      <c r="G953" s="748">
        <f t="shared" si="56"/>
        <v>7.3081924366684703E-3</v>
      </c>
      <c r="H953" s="1067">
        <f t="shared" si="57"/>
        <v>4.1732894595714054E-3</v>
      </c>
      <c r="I953">
        <f t="shared" si="58"/>
        <v>484.82148882218712</v>
      </c>
    </row>
    <row r="954" spans="1:9" ht="20.100000000000001" customHeight="1">
      <c r="A954" s="563">
        <v>44482</v>
      </c>
      <c r="B954">
        <f t="shared" si="59"/>
        <v>699.21083718091347</v>
      </c>
      <c r="C954">
        <f t="shared" si="59"/>
        <v>207.96129317565129</v>
      </c>
      <c r="D954">
        <v>62.020000457763672</v>
      </c>
      <c r="E954" s="604">
        <v>14571.6396484375</v>
      </c>
      <c r="F954" s="748">
        <f t="shared" si="56"/>
        <v>1.1963891879351207E-2</v>
      </c>
      <c r="G954" s="748">
        <f t="shared" si="56"/>
        <v>1.7279458258460334E-2</v>
      </c>
      <c r="H954" s="1067">
        <f t="shared" si="57"/>
        <v>-5.3155663791091268E-3</v>
      </c>
      <c r="I954">
        <f t="shared" si="58"/>
        <v>491.24954400526218</v>
      </c>
    </row>
    <row r="955" spans="1:9" ht="20.100000000000001" customHeight="1">
      <c r="A955" s="563">
        <v>44483</v>
      </c>
      <c r="B955">
        <f t="shared" si="59"/>
        <v>707.57612003781651</v>
      </c>
      <c r="C955">
        <f t="shared" si="59"/>
        <v>211.55475166045539</v>
      </c>
      <c r="D955">
        <v>62.762001037597663</v>
      </c>
      <c r="E955" s="604">
        <v>14823.4296875</v>
      </c>
      <c r="F955" s="748">
        <f t="shared" si="56"/>
        <v>4.7161915607436544E-3</v>
      </c>
      <c r="G955" s="748">
        <f t="shared" si="56"/>
        <v>4.9860361473785808E-3</v>
      </c>
      <c r="H955" s="1067">
        <f t="shared" si="57"/>
        <v>-2.6984458663492639E-4</v>
      </c>
      <c r="I955">
        <f t="shared" si="58"/>
        <v>496.02136837736111</v>
      </c>
    </row>
    <row r="956" spans="1:9" ht="20.100000000000001" customHeight="1">
      <c r="A956" s="563">
        <v>44484</v>
      </c>
      <c r="B956">
        <f t="shared" si="59"/>
        <v>710.91318456372255</v>
      </c>
      <c r="C956">
        <f t="shared" si="59"/>
        <v>212.60957129938413</v>
      </c>
      <c r="D956">
        <v>63.057998657226563</v>
      </c>
      <c r="E956" s="604">
        <v>14897.33984375</v>
      </c>
      <c r="F956" s="748">
        <f t="shared" si="56"/>
        <v>3.6315788072746047E-2</v>
      </c>
      <c r="G956" s="748">
        <f t="shared" si="56"/>
        <v>8.3551646044188743E-3</v>
      </c>
      <c r="H956" s="1067">
        <f t="shared" si="57"/>
        <v>2.7960623468327173E-2</v>
      </c>
      <c r="I956">
        <f t="shared" si="58"/>
        <v>498.30361326433842</v>
      </c>
    </row>
    <row r="957" spans="1:9" ht="20.100000000000001" customHeight="1">
      <c r="A957" s="563">
        <v>44487</v>
      </c>
      <c r="B957">
        <f t="shared" si="59"/>
        <v>736.73055711245968</v>
      </c>
      <c r="C957">
        <f t="shared" si="59"/>
        <v>214.38595926406541</v>
      </c>
      <c r="D957">
        <v>65.347999572753906</v>
      </c>
      <c r="E957" s="604">
        <v>15021.8095703125</v>
      </c>
      <c r="F957" s="748">
        <f t="shared" si="56"/>
        <v>1.6465753127184346E-2</v>
      </c>
      <c r="G957" s="748">
        <f t="shared" si="56"/>
        <v>7.1416344971857448E-3</v>
      </c>
      <c r="H957" s="1067">
        <f t="shared" si="57"/>
        <v>9.3241186299986012E-3</v>
      </c>
      <c r="I957">
        <f t="shared" si="58"/>
        <v>522.3445978483943</v>
      </c>
    </row>
    <row r="958" spans="1:9" ht="20.100000000000001" customHeight="1">
      <c r="A958" s="563">
        <v>44488</v>
      </c>
      <c r="B958">
        <f t="shared" si="59"/>
        <v>748.8613805871264</v>
      </c>
      <c r="C958">
        <f t="shared" si="59"/>
        <v>215.91702542645791</v>
      </c>
      <c r="D958">
        <v>66.424003601074219</v>
      </c>
      <c r="E958" s="604">
        <v>15129.08984375</v>
      </c>
      <c r="F958" s="748">
        <f t="shared" si="56"/>
        <v>4.0045589833692663E-3</v>
      </c>
      <c r="G958" s="748">
        <f t="shared" si="56"/>
        <v>-4.8979524389969331E-4</v>
      </c>
      <c r="H958" s="1067">
        <f t="shared" si="57"/>
        <v>4.4943542272689596E-3</v>
      </c>
      <c r="I958">
        <f t="shared" si="58"/>
        <v>532.94435516066847</v>
      </c>
    </row>
    <row r="959" spans="1:9" ht="20.100000000000001" customHeight="1">
      <c r="A959" s="563">
        <v>44489</v>
      </c>
      <c r="B959">
        <f t="shared" si="59"/>
        <v>751.86024015605494</v>
      </c>
      <c r="C959">
        <f t="shared" si="59"/>
        <v>215.81127029432707</v>
      </c>
      <c r="D959">
        <v>66.69000244140625</v>
      </c>
      <c r="E959" s="604">
        <v>15121.6796875</v>
      </c>
      <c r="F959" s="748">
        <f t="shared" si="56"/>
        <v>2.6689723781379016E-3</v>
      </c>
      <c r="G959" s="748">
        <f t="shared" si="56"/>
        <v>6.21759683814882E-3</v>
      </c>
      <c r="H959" s="1067">
        <f t="shared" si="57"/>
        <v>-3.5486244600109185E-3</v>
      </c>
      <c r="I959">
        <f t="shared" si="58"/>
        <v>536.04896986172787</v>
      </c>
    </row>
    <row r="960" spans="1:9" ht="20.100000000000001" customHeight="1">
      <c r="A960" s="563">
        <v>44490</v>
      </c>
      <c r="B960">
        <f t="shared" si="59"/>
        <v>753.86693436925157</v>
      </c>
      <c r="C960">
        <f t="shared" si="59"/>
        <v>217.15309776614598</v>
      </c>
      <c r="D960">
        <v>66.867996215820313</v>
      </c>
      <c r="E960" s="604">
        <v>15215.7001953125</v>
      </c>
      <c r="F960" s="748">
        <f t="shared" si="56"/>
        <v>2.8414555865110547E-3</v>
      </c>
      <c r="G960" s="748">
        <f t="shared" si="56"/>
        <v>-8.2480594641751726E-3</v>
      </c>
      <c r="H960" s="1067">
        <f t="shared" si="57"/>
        <v>1.1089515050686227E-2</v>
      </c>
      <c r="I960">
        <f t="shared" si="58"/>
        <v>536.71383660310562</v>
      </c>
    </row>
    <row r="961" spans="1:9" ht="20.100000000000001" customHeight="1">
      <c r="A961" s="563">
        <v>44491</v>
      </c>
      <c r="B961">
        <f t="shared" si="59"/>
        <v>756.00901378140099</v>
      </c>
      <c r="C961">
        <f t="shared" si="59"/>
        <v>215.36200610294097</v>
      </c>
      <c r="D961">
        <v>67.057998657226563</v>
      </c>
      <c r="E961" s="604">
        <v>15090.2001953125</v>
      </c>
      <c r="F961" s="748">
        <f t="shared" si="56"/>
        <v>-1.0080749300352521E-2</v>
      </c>
      <c r="G961" s="748">
        <f t="shared" si="56"/>
        <v>9.0462527904304757E-3</v>
      </c>
      <c r="H961" s="1067">
        <f t="shared" si="57"/>
        <v>-1.9127002090782996E-2</v>
      </c>
      <c r="I961">
        <f t="shared" si="58"/>
        <v>540.64700767846</v>
      </c>
    </row>
    <row r="962" spans="1:9" ht="20.100000000000001" customHeight="1">
      <c r="A962" s="563">
        <v>44494</v>
      </c>
      <c r="B962">
        <f t="shared" si="59"/>
        <v>748.3878764446639</v>
      </c>
      <c r="C962">
        <f t="shared" si="59"/>
        <v>217.31022525160239</v>
      </c>
      <c r="D962">
        <v>66.382003784179688</v>
      </c>
      <c r="E962" s="604">
        <v>15226.7099609375</v>
      </c>
      <c r="F962" s="748">
        <f t="shared" si="56"/>
        <v>-2.7959427281698201E-2</v>
      </c>
      <c r="G962" s="748">
        <f t="shared" si="56"/>
        <v>5.910666206350168E-4</v>
      </c>
      <c r="H962" s="1067">
        <f t="shared" si="57"/>
        <v>-2.8550493902333218E-2</v>
      </c>
      <c r="I962">
        <f t="shared" si="58"/>
        <v>531.07765119306146</v>
      </c>
    </row>
    <row r="963" spans="1:9" ht="20.100000000000001" customHeight="1">
      <c r="A963" s="563">
        <v>44495</v>
      </c>
      <c r="B963">
        <f t="shared" si="59"/>
        <v>727.46338003470476</v>
      </c>
      <c r="C963">
        <f t="shared" si="59"/>
        <v>217.43867007207129</v>
      </c>
      <c r="D963">
        <v>64.5260009765625</v>
      </c>
      <c r="E963" s="604">
        <v>15235.7099609375</v>
      </c>
      <c r="F963" s="748">
        <f t="shared" ref="F963:G1026" si="60">D964/D963-1</f>
        <v>-6.2610315609055167E-3</v>
      </c>
      <c r="G963" s="748">
        <f t="shared" si="60"/>
        <v>8.5248940044913013E-6</v>
      </c>
      <c r="H963" s="1067">
        <f t="shared" ref="H963:H1026" si="61">F963-G963</f>
        <v>-6.269556454910008E-3</v>
      </c>
      <c r="I963">
        <f t="shared" ref="I963:I1026" si="62">B963-C963</f>
        <v>510.02470996263344</v>
      </c>
    </row>
    <row r="964" spans="1:9" ht="20.100000000000001" customHeight="1">
      <c r="A964" s="563">
        <v>44496</v>
      </c>
      <c r="B964">
        <f t="shared" ref="B964:C1027" si="63">B963*(1+F963)</f>
        <v>722.90870885290451</v>
      </c>
      <c r="C964">
        <f t="shared" si="63"/>
        <v>217.44052371368613</v>
      </c>
      <c r="D964">
        <v>64.122001647949219</v>
      </c>
      <c r="E964" s="604">
        <v>15235.83984375</v>
      </c>
      <c r="F964" s="748">
        <f t="shared" si="60"/>
        <v>2.11159390233846E-2</v>
      </c>
      <c r="G964" s="748">
        <f t="shared" si="60"/>
        <v>1.3932955164567495E-2</v>
      </c>
      <c r="H964" s="1067">
        <f t="shared" si="61"/>
        <v>7.1829838588171047E-3</v>
      </c>
      <c r="I964">
        <f t="shared" si="62"/>
        <v>505.46818513921835</v>
      </c>
    </row>
    <row r="965" spans="1:9" ht="20.100000000000001" customHeight="1">
      <c r="A965" s="563">
        <v>44497</v>
      </c>
      <c r="B965">
        <f t="shared" si="63"/>
        <v>738.17360506851617</v>
      </c>
      <c r="C965">
        <f t="shared" si="63"/>
        <v>220.47011278154901</v>
      </c>
      <c r="D965">
        <v>65.475997924804688</v>
      </c>
      <c r="E965" s="604">
        <v>15448.1201171875</v>
      </c>
      <c r="F965" s="748">
        <f t="shared" si="60"/>
        <v>2.7368804961973137E-2</v>
      </c>
      <c r="G965" s="748">
        <f t="shared" si="60"/>
        <v>3.2540872849680103E-3</v>
      </c>
      <c r="H965" s="1067">
        <f t="shared" si="61"/>
        <v>2.4114717677005126E-2</v>
      </c>
      <c r="I965">
        <f t="shared" si="62"/>
        <v>517.70349228696716</v>
      </c>
    </row>
    <row r="966" spans="1:9" ht="20.100000000000001" customHeight="1">
      <c r="A966" s="563">
        <v>44498</v>
      </c>
      <c r="B966">
        <f t="shared" si="63"/>
        <v>758.37653449371294</v>
      </c>
      <c r="C966">
        <f t="shared" si="63"/>
        <v>221.18754177226691</v>
      </c>
      <c r="D966">
        <v>67.267997741699219</v>
      </c>
      <c r="E966" s="604">
        <v>15498.3896484375</v>
      </c>
      <c r="F966" s="748">
        <f t="shared" si="60"/>
        <v>-3.6362003145985478E-2</v>
      </c>
      <c r="G966" s="748">
        <f t="shared" si="60"/>
        <v>6.2929295010552E-3</v>
      </c>
      <c r="H966" s="1067">
        <f t="shared" si="61"/>
        <v>-4.2654932647040678E-2</v>
      </c>
      <c r="I966">
        <f t="shared" si="62"/>
        <v>537.18899272144608</v>
      </c>
    </row>
    <row r="967" spans="1:9" ht="20.100000000000001" customHeight="1">
      <c r="A967" s="563">
        <v>44501</v>
      </c>
      <c r="B967">
        <f t="shared" si="63"/>
        <v>730.80044456061103</v>
      </c>
      <c r="C967">
        <f t="shared" si="63"/>
        <v>222.5794593791515</v>
      </c>
      <c r="D967">
        <v>64.821998596191406</v>
      </c>
      <c r="E967" s="604">
        <v>15595.919921875</v>
      </c>
      <c r="F967" s="748">
        <f t="shared" si="60"/>
        <v>1.3328783928249655E-2</v>
      </c>
      <c r="G967" s="748">
        <f t="shared" si="60"/>
        <v>3.4419058169636862E-3</v>
      </c>
      <c r="H967" s="1067">
        <f t="shared" si="61"/>
        <v>9.8868781112859683E-3</v>
      </c>
      <c r="I967">
        <f t="shared" si="62"/>
        <v>508.22098518145953</v>
      </c>
    </row>
    <row r="968" spans="1:9" ht="20.100000000000001" customHeight="1">
      <c r="A968" s="563">
        <v>44502</v>
      </c>
      <c r="B968">
        <f t="shared" si="63"/>
        <v>740.54112578082822</v>
      </c>
      <c r="C968">
        <f t="shared" si="63"/>
        <v>223.34555691512523</v>
      </c>
      <c r="D968">
        <v>65.685997009277344</v>
      </c>
      <c r="E968" s="604">
        <v>15649.599609375</v>
      </c>
      <c r="F968" s="748">
        <f t="shared" si="60"/>
        <v>4.5367987692801481E-3</v>
      </c>
      <c r="G968" s="748">
        <f t="shared" si="60"/>
        <v>1.0350454503191608E-2</v>
      </c>
      <c r="H968" s="1067">
        <f t="shared" si="61"/>
        <v>-5.8136557339114603E-3</v>
      </c>
      <c r="I968">
        <f t="shared" si="62"/>
        <v>517.19556886570297</v>
      </c>
    </row>
    <row r="969" spans="1:9" ht="20.100000000000001" customHeight="1">
      <c r="A969" s="563">
        <v>44503</v>
      </c>
      <c r="B969">
        <f t="shared" si="63"/>
        <v>743.90081184887197</v>
      </c>
      <c r="C969">
        <f t="shared" si="63"/>
        <v>225.65728494046522</v>
      </c>
      <c r="D969">
        <v>65.984001159667969</v>
      </c>
      <c r="E969" s="604">
        <v>15811.580078125</v>
      </c>
      <c r="F969" s="748">
        <f t="shared" si="60"/>
        <v>2.5703187374221725E-2</v>
      </c>
      <c r="G969" s="748">
        <f t="shared" si="60"/>
        <v>8.1414691986156917E-3</v>
      </c>
      <c r="H969" s="1067">
        <f t="shared" si="61"/>
        <v>1.7561718175606034E-2</v>
      </c>
      <c r="I969">
        <f t="shared" si="62"/>
        <v>518.24352690840669</v>
      </c>
    </row>
    <row r="970" spans="1:9" ht="20.100000000000001" customHeight="1">
      <c r="A970" s="563">
        <v>44504</v>
      </c>
      <c r="B970">
        <f t="shared" si="63"/>
        <v>763.02143380365919</v>
      </c>
      <c r="C970">
        <f t="shared" si="63"/>
        <v>227.49446677525125</v>
      </c>
      <c r="D970">
        <v>67.680000305175781</v>
      </c>
      <c r="E970" s="604">
        <v>15940.3095703125</v>
      </c>
      <c r="F970" s="748">
        <f t="shared" si="60"/>
        <v>8.2446609738546783E-3</v>
      </c>
      <c r="G970" s="748">
        <f t="shared" si="60"/>
        <v>1.9623378893316445E-3</v>
      </c>
      <c r="H970" s="1067">
        <f t="shared" si="61"/>
        <v>6.2823230845230338E-3</v>
      </c>
      <c r="I970">
        <f t="shared" si="62"/>
        <v>535.52696702840797</v>
      </c>
    </row>
    <row r="971" spans="1:9" ht="20.100000000000001" customHeight="1">
      <c r="A971" s="563">
        <v>44505</v>
      </c>
      <c r="B971">
        <f t="shared" si="63"/>
        <v>769.3122868411549</v>
      </c>
      <c r="C971">
        <f t="shared" si="63"/>
        <v>227.94088778701763</v>
      </c>
      <c r="D971">
        <v>68.237998962402344</v>
      </c>
      <c r="E971" s="604">
        <v>15971.58984375</v>
      </c>
      <c r="F971" s="748">
        <f t="shared" si="60"/>
        <v>2.9309183012561135E-2</v>
      </c>
      <c r="G971" s="748">
        <f t="shared" si="60"/>
        <v>6.7435414494543267E-4</v>
      </c>
      <c r="H971" s="1067">
        <f t="shared" si="61"/>
        <v>2.8634828867615703E-2</v>
      </c>
      <c r="I971">
        <f t="shared" si="62"/>
        <v>541.37139905413733</v>
      </c>
    </row>
    <row r="972" spans="1:9" ht="20.100000000000001" customHeight="1">
      <c r="A972" s="563">
        <v>44508</v>
      </c>
      <c r="B972">
        <f t="shared" si="63"/>
        <v>791.86020144999429</v>
      </c>
      <c r="C972">
        <f t="shared" si="63"/>
        <v>228.09460066949936</v>
      </c>
      <c r="D972">
        <v>70.237998962402344</v>
      </c>
      <c r="E972" s="604">
        <v>15982.3603515625</v>
      </c>
      <c r="F972" s="748">
        <f t="shared" si="60"/>
        <v>-6.0651286872429599E-3</v>
      </c>
      <c r="G972" s="748">
        <f t="shared" si="60"/>
        <v>-5.9953793051995552E-3</v>
      </c>
      <c r="H972" s="1067">
        <f t="shared" si="61"/>
        <v>-6.9749382043404751E-5</v>
      </c>
      <c r="I972">
        <f t="shared" si="62"/>
        <v>563.76560078049488</v>
      </c>
    </row>
    <row r="973" spans="1:9" ht="20.100000000000001" customHeight="1">
      <c r="A973" s="563">
        <v>44509</v>
      </c>
      <c r="B973">
        <f t="shared" si="63"/>
        <v>787.05746742589395</v>
      </c>
      <c r="C973">
        <f t="shared" si="63"/>
        <v>226.7270870210177</v>
      </c>
      <c r="D973">
        <v>69.811996459960938</v>
      </c>
      <c r="E973" s="604">
        <v>15886.5400390625</v>
      </c>
      <c r="F973" s="748">
        <f t="shared" si="60"/>
        <v>-4.5550805549660289E-2</v>
      </c>
      <c r="G973" s="748">
        <f t="shared" si="60"/>
        <v>-1.660714526110052E-2</v>
      </c>
      <c r="H973" s="1067">
        <f t="shared" si="61"/>
        <v>-2.8943660288559769E-2</v>
      </c>
      <c r="I973">
        <f t="shared" si="62"/>
        <v>560.33038040487622</v>
      </c>
    </row>
    <row r="974" spans="1:9" ht="20.100000000000001" customHeight="1">
      <c r="A974" s="563">
        <v>44510</v>
      </c>
      <c r="B974">
        <f t="shared" si="63"/>
        <v>751.20636577076891</v>
      </c>
      <c r="C974">
        <f t="shared" si="63"/>
        <v>222.96179735223348</v>
      </c>
      <c r="D974">
        <v>66.632003784179688</v>
      </c>
      <c r="E974" s="604">
        <v>15622.7099609375</v>
      </c>
      <c r="F974" s="748">
        <f t="shared" si="60"/>
        <v>1.1165740548846559E-2</v>
      </c>
      <c r="G974" s="748">
        <f t="shared" si="60"/>
        <v>5.2212652416869787E-3</v>
      </c>
      <c r="H974" s="1067">
        <f t="shared" si="61"/>
        <v>5.9444753071595802E-3</v>
      </c>
      <c r="I974">
        <f t="shared" si="62"/>
        <v>528.24456841853544</v>
      </c>
    </row>
    <row r="975" spans="1:9" ht="20.100000000000001" customHeight="1">
      <c r="A975" s="563">
        <v>44511</v>
      </c>
      <c r="B975">
        <f t="shared" si="63"/>
        <v>759.59414114960725</v>
      </c>
      <c r="C975">
        <f t="shared" si="63"/>
        <v>224.12594003497276</v>
      </c>
      <c r="D975">
        <v>67.375999450683594</v>
      </c>
      <c r="E975" s="604">
        <v>15704.2802734375</v>
      </c>
      <c r="F975" s="748">
        <f t="shared" si="60"/>
        <v>1.5702901119870827E-2</v>
      </c>
      <c r="G975" s="748">
        <f t="shared" si="60"/>
        <v>9.9768779448625722E-3</v>
      </c>
      <c r="H975" s="1067">
        <f t="shared" si="61"/>
        <v>5.7260231750082546E-3</v>
      </c>
      <c r="I975">
        <f t="shared" si="62"/>
        <v>535.46820111463444</v>
      </c>
    </row>
    <row r="976" spans="1:9" ht="20.100000000000001" customHeight="1">
      <c r="A976" s="563">
        <v>44512</v>
      </c>
      <c r="B976">
        <f t="shared" si="63"/>
        <v>771.52197283931275</v>
      </c>
      <c r="C976">
        <f t="shared" si="63"/>
        <v>226.36201718297926</v>
      </c>
      <c r="D976">
        <v>68.433998107910156</v>
      </c>
      <c r="E976" s="604">
        <v>15860.9599609375</v>
      </c>
      <c r="F976" s="748">
        <f t="shared" si="60"/>
        <v>-2.0574526847422447E-2</v>
      </c>
      <c r="G976" s="748">
        <f t="shared" si="60"/>
        <v>-4.482926367641582E-4</v>
      </c>
      <c r="H976" s="1067">
        <f t="shared" si="61"/>
        <v>-2.0126234210658289E-2</v>
      </c>
      <c r="I976">
        <f t="shared" si="62"/>
        <v>545.15995565633352</v>
      </c>
    </row>
    <row r="977" spans="1:9" ht="20.100000000000001" customHeight="1">
      <c r="A977" s="563">
        <v>44515</v>
      </c>
      <c r="B977">
        <f t="shared" si="63"/>
        <v>755.64827329575394</v>
      </c>
      <c r="C977">
        <f t="shared" si="63"/>
        <v>226.26054075743303</v>
      </c>
      <c r="D977">
        <v>67.0260009765625</v>
      </c>
      <c r="E977" s="604">
        <v>15853.849609375</v>
      </c>
      <c r="F977" s="748">
        <f t="shared" si="60"/>
        <v>1.7545467211338206E-2</v>
      </c>
      <c r="G977" s="748">
        <f t="shared" si="60"/>
        <v>7.5698171197822184E-3</v>
      </c>
      <c r="H977" s="1067">
        <f t="shared" si="61"/>
        <v>9.9756500915559876E-3</v>
      </c>
      <c r="I977">
        <f t="shared" si="62"/>
        <v>529.38773253832096</v>
      </c>
    </row>
    <row r="978" spans="1:9" ht="20.100000000000001" customHeight="1">
      <c r="A978" s="563">
        <v>44516</v>
      </c>
      <c r="B978">
        <f t="shared" si="63"/>
        <v>768.90647529816897</v>
      </c>
      <c r="C978">
        <f t="shared" si="63"/>
        <v>227.97329167238982</v>
      </c>
      <c r="D978">
        <v>68.202003479003906</v>
      </c>
      <c r="E978" s="604">
        <v>15973.8603515625</v>
      </c>
      <c r="F978" s="748">
        <f t="shared" si="60"/>
        <v>9.9693792842070472E-4</v>
      </c>
      <c r="G978" s="748">
        <f t="shared" si="60"/>
        <v>-3.2734754099302821E-3</v>
      </c>
      <c r="H978" s="1067">
        <f t="shared" si="61"/>
        <v>4.2704133383509868E-3</v>
      </c>
      <c r="I978">
        <f t="shared" si="62"/>
        <v>540.93318362577918</v>
      </c>
    </row>
    <row r="979" spans="1:9" ht="20.100000000000001" customHeight="1">
      <c r="A979" s="563">
        <v>44517</v>
      </c>
      <c r="B979">
        <f t="shared" si="63"/>
        <v>769.67302732680196</v>
      </c>
      <c r="C979">
        <f t="shared" si="63"/>
        <v>227.22702670797938</v>
      </c>
      <c r="D979">
        <v>68.269996643066406</v>
      </c>
      <c r="E979" s="604">
        <v>15921.5703125</v>
      </c>
      <c r="F979" s="748">
        <f t="shared" si="60"/>
        <v>6.3279164666749654E-3</v>
      </c>
      <c r="G979" s="748">
        <f t="shared" si="60"/>
        <v>4.5309380307081426E-3</v>
      </c>
      <c r="H979" s="1067">
        <f t="shared" si="61"/>
        <v>1.7969784359668228E-3</v>
      </c>
      <c r="I979">
        <f t="shared" si="62"/>
        <v>542.44600061882261</v>
      </c>
    </row>
    <row r="980" spans="1:9" ht="20.100000000000001" customHeight="1">
      <c r="A980" s="563">
        <v>44518</v>
      </c>
      <c r="B980">
        <f t="shared" si="63"/>
        <v>774.54345395037876</v>
      </c>
      <c r="C980">
        <f t="shared" si="63"/>
        <v>228.25657828489528</v>
      </c>
      <c r="D980">
        <v>68.702003479003906</v>
      </c>
      <c r="E980" s="604">
        <v>15993.7099609375</v>
      </c>
      <c r="F980" s="748">
        <f t="shared" si="60"/>
        <v>-2.9111898854280449E-3</v>
      </c>
      <c r="G980" s="748">
        <f t="shared" si="60"/>
        <v>3.9847207999677003E-3</v>
      </c>
      <c r="H980" s="1067">
        <f t="shared" si="61"/>
        <v>-6.8959106853957453E-3</v>
      </c>
      <c r="I980">
        <f t="shared" si="62"/>
        <v>546.28687566548342</v>
      </c>
    </row>
    <row r="981" spans="1:9" ht="20.100000000000001" customHeight="1">
      <c r="A981" s="563">
        <v>44519</v>
      </c>
      <c r="B981">
        <f t="shared" si="63"/>
        <v>772.28861088141389</v>
      </c>
      <c r="C981">
        <f t="shared" si="63"/>
        <v>229.16611702011656</v>
      </c>
      <c r="D981">
        <v>68.501998901367188</v>
      </c>
      <c r="E981" s="604">
        <v>16057.4404296875</v>
      </c>
      <c r="F981" s="748">
        <f t="shared" si="60"/>
        <v>-3.4188713859721664E-2</v>
      </c>
      <c r="G981" s="748">
        <f t="shared" si="60"/>
        <v>-1.2622227368676908E-2</v>
      </c>
      <c r="H981" s="1067">
        <f t="shared" si="61"/>
        <v>-2.1566486491044756E-2</v>
      </c>
      <c r="I981">
        <f t="shared" si="62"/>
        <v>543.12249386129736</v>
      </c>
    </row>
    <row r="982" spans="1:9" ht="20.100000000000001" customHeight="1">
      <c r="A982" s="563">
        <v>44522</v>
      </c>
      <c r="B982">
        <f t="shared" si="63"/>
        <v>745.8850565468673</v>
      </c>
      <c r="C982">
        <f t="shared" si="63"/>
        <v>226.27353018589181</v>
      </c>
      <c r="D982">
        <v>66.160003662109375</v>
      </c>
      <c r="E982" s="604">
        <v>15854.759765625</v>
      </c>
      <c r="F982" s="748">
        <f t="shared" si="60"/>
        <v>-1.0036297280679118E-2</v>
      </c>
      <c r="G982" s="748">
        <f t="shared" si="60"/>
        <v>-5.0218431792404816E-3</v>
      </c>
      <c r="H982" s="1067">
        <f t="shared" si="61"/>
        <v>-5.0144541014386368E-3</v>
      </c>
      <c r="I982">
        <f t="shared" si="62"/>
        <v>519.61152636097552</v>
      </c>
    </row>
    <row r="983" spans="1:9" ht="20.100000000000001" customHeight="1">
      <c r="A983" s="563">
        <v>44523</v>
      </c>
      <c r="B983">
        <f t="shared" si="63"/>
        <v>738.39913238214683</v>
      </c>
      <c r="C983">
        <f t="shared" si="63"/>
        <v>225.13722000168514</v>
      </c>
      <c r="D983">
        <v>65.496002197265625</v>
      </c>
      <c r="E983" s="604">
        <v>15775.1396484375</v>
      </c>
      <c r="F983" s="748">
        <f t="shared" si="60"/>
        <v>1.7588866321587293E-2</v>
      </c>
      <c r="G983" s="748">
        <f t="shared" si="60"/>
        <v>4.4431188486779849E-3</v>
      </c>
      <c r="H983" s="1067">
        <f t="shared" si="61"/>
        <v>1.3145747472909308E-2</v>
      </c>
      <c r="I983">
        <f t="shared" si="62"/>
        <v>513.26191238046169</v>
      </c>
    </row>
    <row r="984" spans="1:9" ht="20.100000000000001" customHeight="1">
      <c r="A984" s="563">
        <v>44524</v>
      </c>
      <c r="B984">
        <f t="shared" si="63"/>
        <v>751.38673601359244</v>
      </c>
      <c r="C984">
        <f t="shared" si="63"/>
        <v>226.13753142741359</v>
      </c>
      <c r="D984">
        <v>66.648002624511719</v>
      </c>
      <c r="E984" s="604">
        <v>15845.23046875</v>
      </c>
      <c r="F984" s="748">
        <f t="shared" si="60"/>
        <v>-1.7555001684469662E-2</v>
      </c>
      <c r="G984" s="748">
        <f t="shared" si="60"/>
        <v>-2.2313989890984098E-2</v>
      </c>
      <c r="H984" s="1067">
        <f t="shared" si="61"/>
        <v>4.7589882065144362E-3</v>
      </c>
      <c r="I984">
        <f t="shared" si="62"/>
        <v>525.24920458617885</v>
      </c>
    </row>
    <row r="985" spans="1:9" ht="20.100000000000001" customHeight="1">
      <c r="A985" s="563">
        <v>44526</v>
      </c>
      <c r="B985">
        <f t="shared" si="63"/>
        <v>738.19614059718572</v>
      </c>
      <c r="C985">
        <f t="shared" si="63"/>
        <v>221.09150083717017</v>
      </c>
      <c r="D985">
        <v>65.477996826171875</v>
      </c>
      <c r="E985" s="604">
        <v>15491.66015625</v>
      </c>
      <c r="F985" s="748">
        <f t="shared" si="60"/>
        <v>4.8596581908040948E-2</v>
      </c>
      <c r="G985" s="748">
        <f t="shared" si="60"/>
        <v>1.8795269127920289E-2</v>
      </c>
      <c r="H985" s="1067">
        <f t="shared" si="61"/>
        <v>2.9801312780120659E-2</v>
      </c>
      <c r="I985">
        <f t="shared" si="62"/>
        <v>517.10463976001552</v>
      </c>
    </row>
    <row r="986" spans="1:9" ht="20.100000000000001" customHeight="1">
      <c r="A986" s="563">
        <v>44529</v>
      </c>
      <c r="B986">
        <f t="shared" si="63"/>
        <v>774.0699498079166</v>
      </c>
      <c r="C986">
        <f t="shared" si="63"/>
        <v>225.24697509730061</v>
      </c>
      <c r="D986">
        <v>68.660003662109375</v>
      </c>
      <c r="E986" s="604">
        <v>15782.830078125</v>
      </c>
      <c r="F986" s="748">
        <f t="shared" si="60"/>
        <v>-3.2595491879240046E-2</v>
      </c>
      <c r="G986" s="748">
        <f t="shared" si="60"/>
        <v>-1.553204635822969E-2</v>
      </c>
      <c r="H986" s="1067">
        <f t="shared" si="61"/>
        <v>-1.7063445521010356E-2</v>
      </c>
      <c r="I986">
        <f t="shared" si="62"/>
        <v>548.82297471061599</v>
      </c>
    </row>
    <row r="987" spans="1:9" ht="20.100000000000001" customHeight="1">
      <c r="A987" s="563">
        <v>44530</v>
      </c>
      <c r="B987">
        <f t="shared" si="63"/>
        <v>748.83875904498893</v>
      </c>
      <c r="C987">
        <f t="shared" si="63"/>
        <v>221.74842863803832</v>
      </c>
      <c r="D987">
        <v>66.4219970703125</v>
      </c>
      <c r="E987" s="604">
        <v>15537.6904296875</v>
      </c>
      <c r="F987" s="748">
        <f t="shared" si="60"/>
        <v>-8.0846694901392957E-2</v>
      </c>
      <c r="G987" s="748">
        <f t="shared" si="60"/>
        <v>-1.8255005548189707E-2</v>
      </c>
      <c r="H987" s="1067">
        <f t="shared" si="61"/>
        <v>-6.259168935320325E-2</v>
      </c>
      <c r="I987">
        <f t="shared" si="62"/>
        <v>527.09033040695067</v>
      </c>
    </row>
    <row r="988" spans="1:9" ht="20.100000000000001" customHeight="1">
      <c r="A988" s="563">
        <v>44531</v>
      </c>
      <c r="B988">
        <f t="shared" si="63"/>
        <v>688.29762036214095</v>
      </c>
      <c r="C988">
        <f t="shared" si="63"/>
        <v>217.70040984294857</v>
      </c>
      <c r="D988">
        <v>61.051998138427727</v>
      </c>
      <c r="E988" s="604">
        <v>15254.0498046875</v>
      </c>
      <c r="F988" s="748">
        <f t="shared" si="60"/>
        <v>2.5715841534976525E-2</v>
      </c>
      <c r="G988" s="748">
        <f t="shared" si="60"/>
        <v>8.3433913906187929E-3</v>
      </c>
      <c r="H988" s="1067">
        <f t="shared" si="61"/>
        <v>1.7372450144357732E-2</v>
      </c>
      <c r="I988">
        <f t="shared" si="62"/>
        <v>470.59721051919234</v>
      </c>
    </row>
    <row r="989" spans="1:9" ht="20.100000000000001" customHeight="1">
      <c r="A989" s="563">
        <v>44532</v>
      </c>
      <c r="B989">
        <f t="shared" si="63"/>
        <v>705.99777289627525</v>
      </c>
      <c r="C989">
        <f t="shared" si="63"/>
        <v>219.51676956816641</v>
      </c>
      <c r="D989">
        <v>62.622001647949219</v>
      </c>
      <c r="E989" s="604">
        <v>15381.3203125</v>
      </c>
      <c r="F989" s="748">
        <f t="shared" si="60"/>
        <v>-3.2863888374146555E-2</v>
      </c>
      <c r="G989" s="748">
        <f t="shared" si="60"/>
        <v>-1.9234407705369105E-2</v>
      </c>
      <c r="H989" s="1067">
        <f t="shared" si="61"/>
        <v>-1.3629480668777449E-2</v>
      </c>
      <c r="I989">
        <f t="shared" si="62"/>
        <v>486.48100332810884</v>
      </c>
    </row>
    <row r="990" spans="1:9" ht="20.100000000000001" customHeight="1">
      <c r="A990" s="563">
        <v>44533</v>
      </c>
      <c r="B990">
        <f t="shared" si="63"/>
        <v>682.79594089541604</v>
      </c>
      <c r="C990">
        <f t="shared" si="63"/>
        <v>215.29449452412675</v>
      </c>
      <c r="D990">
        <v>60.563999176025391</v>
      </c>
      <c r="E990" s="604">
        <v>15085.4697265625</v>
      </c>
      <c r="F990" s="748">
        <f t="shared" si="60"/>
        <v>-3.5598676760334125E-2</v>
      </c>
      <c r="G990" s="748">
        <f t="shared" si="60"/>
        <v>9.2592850335015964E-3</v>
      </c>
      <c r="H990" s="1067">
        <f t="shared" si="61"/>
        <v>-4.4857961793835721E-2</v>
      </c>
      <c r="I990">
        <f t="shared" si="62"/>
        <v>467.50144637128926</v>
      </c>
    </row>
    <row r="991" spans="1:9" ht="20.100000000000001" customHeight="1">
      <c r="A991" s="563">
        <v>44536</v>
      </c>
      <c r="B991">
        <f t="shared" si="63"/>
        <v>658.48930890221197</v>
      </c>
      <c r="C991">
        <f t="shared" si="63"/>
        <v>217.28796761506928</v>
      </c>
      <c r="D991">
        <v>58.408000946044922</v>
      </c>
      <c r="E991" s="604">
        <v>15225.150390625</v>
      </c>
      <c r="F991" s="748">
        <f t="shared" si="60"/>
        <v>8.6289563653840995E-2</v>
      </c>
      <c r="G991" s="748">
        <f t="shared" si="60"/>
        <v>3.032939047579708E-2</v>
      </c>
      <c r="H991" s="1067">
        <f t="shared" si="61"/>
        <v>5.5960173178043915E-2</v>
      </c>
      <c r="I991">
        <f t="shared" si="62"/>
        <v>441.20134128714267</v>
      </c>
    </row>
    <row r="992" spans="1:9" ht="20.100000000000001" customHeight="1">
      <c r="A992" s="563">
        <v>44537</v>
      </c>
      <c r="B992">
        <f t="shared" si="63"/>
        <v>715.31006403810318</v>
      </c>
      <c r="C992">
        <f t="shared" si="63"/>
        <v>223.87817923055906</v>
      </c>
      <c r="D992">
        <v>63.448001861572273</v>
      </c>
      <c r="E992" s="604">
        <v>15686.919921875</v>
      </c>
      <c r="F992" s="748">
        <f t="shared" si="60"/>
        <v>1.6391329440115232E-2</v>
      </c>
      <c r="G992" s="748">
        <f t="shared" si="60"/>
        <v>6.3792199487455736E-3</v>
      </c>
      <c r="H992" s="1067">
        <f t="shared" si="61"/>
        <v>1.0012109491369658E-2</v>
      </c>
      <c r="I992">
        <f t="shared" si="62"/>
        <v>491.43188480754412</v>
      </c>
    </row>
    <row r="993" spans="1:9" ht="20.100000000000001" customHeight="1">
      <c r="A993" s="563">
        <v>44538</v>
      </c>
      <c r="B993">
        <f t="shared" si="63"/>
        <v>727.03494694958169</v>
      </c>
      <c r="C993">
        <f t="shared" si="63"/>
        <v>225.30634737759547</v>
      </c>
      <c r="D993">
        <v>64.487998962402344</v>
      </c>
      <c r="E993" s="604">
        <v>15786.990234375</v>
      </c>
      <c r="F993" s="748">
        <f t="shared" si="60"/>
        <v>-1.8670118239763833E-2</v>
      </c>
      <c r="G993" s="748">
        <f t="shared" si="60"/>
        <v>-1.7078626969719846E-2</v>
      </c>
      <c r="H993" s="1067">
        <f t="shared" si="61"/>
        <v>-1.5914912700439876E-3</v>
      </c>
      <c r="I993">
        <f t="shared" si="62"/>
        <v>501.72859957198625</v>
      </c>
    </row>
    <row r="994" spans="1:9" ht="20.100000000000001" customHeight="1">
      <c r="A994" s="563">
        <v>44539</v>
      </c>
      <c r="B994">
        <f t="shared" si="63"/>
        <v>713.46111852559261</v>
      </c>
      <c r="C994">
        <f t="shared" si="63"/>
        <v>221.4584243168234</v>
      </c>
      <c r="D994">
        <v>63.284000396728523</v>
      </c>
      <c r="E994" s="604">
        <v>15517.3701171875</v>
      </c>
      <c r="F994" s="748">
        <f t="shared" si="60"/>
        <v>5.1229387515166813E-2</v>
      </c>
      <c r="G994" s="748">
        <f t="shared" si="60"/>
        <v>7.2969511800251574E-3</v>
      </c>
      <c r="H994" s="1067">
        <f t="shared" si="61"/>
        <v>4.3932436335141656E-2</v>
      </c>
      <c r="I994">
        <f t="shared" si="62"/>
        <v>492.00269420876919</v>
      </c>
    </row>
    <row r="995" spans="1:9" ht="20.100000000000001" customHeight="1">
      <c r="A995" s="563">
        <v>44540</v>
      </c>
      <c r="B995">
        <f t="shared" si="63"/>
        <v>750.0112946435446</v>
      </c>
      <c r="C995">
        <f t="shared" si="63"/>
        <v>223.07439562746856</v>
      </c>
      <c r="D995">
        <v>66.5260009765625</v>
      </c>
      <c r="E995" s="604">
        <v>15630.599609375</v>
      </c>
      <c r="F995" s="748">
        <f t="shared" si="60"/>
        <v>-3.0965529073491149E-3</v>
      </c>
      <c r="G995" s="748">
        <f t="shared" si="60"/>
        <v>-1.3903454849368391E-2</v>
      </c>
      <c r="H995" s="1067">
        <f t="shared" si="61"/>
        <v>1.0806901942019276E-2</v>
      </c>
      <c r="I995">
        <f t="shared" si="62"/>
        <v>526.93689901607604</v>
      </c>
    </row>
    <row r="996" spans="1:9" ht="20.100000000000001" customHeight="1">
      <c r="A996" s="563">
        <v>44543</v>
      </c>
      <c r="B996">
        <f t="shared" si="63"/>
        <v>747.68884498857142</v>
      </c>
      <c r="C996">
        <f t="shared" si="63"/>
        <v>219.97289083981192</v>
      </c>
      <c r="D996">
        <v>66.319999694824219</v>
      </c>
      <c r="E996" s="604">
        <v>15413.2802734375</v>
      </c>
      <c r="F996" s="748">
        <f t="shared" si="60"/>
        <v>-4.7647766314129258E-2</v>
      </c>
      <c r="G996" s="748">
        <f t="shared" si="60"/>
        <v>-1.13954084973521E-2</v>
      </c>
      <c r="H996" s="1067">
        <f t="shared" si="61"/>
        <v>-3.6252357816777159E-2</v>
      </c>
      <c r="I996">
        <f t="shared" si="62"/>
        <v>527.71595414875947</v>
      </c>
    </row>
    <row r="997" spans="1:9" ht="20.100000000000001" customHeight="1">
      <c r="A997" s="563">
        <v>44544</v>
      </c>
      <c r="B997">
        <f t="shared" si="63"/>
        <v>712.06314162687477</v>
      </c>
      <c r="C997">
        <f t="shared" si="63"/>
        <v>217.46620989034884</v>
      </c>
      <c r="D997">
        <v>63.159999847412109</v>
      </c>
      <c r="E997" s="604">
        <v>15237.6396484375</v>
      </c>
      <c r="F997" s="748">
        <f t="shared" si="60"/>
        <v>6.6434499213777309E-2</v>
      </c>
      <c r="G997" s="748">
        <f t="shared" si="60"/>
        <v>2.1521734156584316E-2</v>
      </c>
      <c r="H997" s="1067">
        <f t="shared" si="61"/>
        <v>4.4912765057192994E-2</v>
      </c>
      <c r="I997">
        <f t="shared" si="62"/>
        <v>494.5969317365259</v>
      </c>
    </row>
    <row r="998" spans="1:9" ht="20.100000000000001" customHeight="1">
      <c r="A998" s="563">
        <v>44545</v>
      </c>
      <c r="B998">
        <f t="shared" si="63"/>
        <v>759.36869984944519</v>
      </c>
      <c r="C998">
        <f t="shared" si="63"/>
        <v>222.14645984764888</v>
      </c>
      <c r="D998">
        <v>67.356002807617188</v>
      </c>
      <c r="E998" s="604">
        <v>15565.580078125</v>
      </c>
      <c r="F998" s="748">
        <f t="shared" si="60"/>
        <v>-4.1154508258833933E-2</v>
      </c>
      <c r="G998" s="748">
        <f t="shared" si="60"/>
        <v>-2.4743722282876468E-2</v>
      </c>
      <c r="H998" s="1067">
        <f t="shared" si="61"/>
        <v>-1.6410785975957465E-2</v>
      </c>
      <c r="I998">
        <f t="shared" si="62"/>
        <v>537.22224000179631</v>
      </c>
    </row>
    <row r="999" spans="1:9" ht="20.100000000000001" customHeight="1">
      <c r="A999" s="563">
        <v>44546</v>
      </c>
      <c r="B999">
        <f t="shared" si="63"/>
        <v>728.11725441999124</v>
      </c>
      <c r="C999">
        <f t="shared" si="63"/>
        <v>216.6497295390545</v>
      </c>
      <c r="D999">
        <v>64.583999633789063</v>
      </c>
      <c r="E999" s="604">
        <v>15180.4296875</v>
      </c>
      <c r="F999" s="748">
        <f t="shared" si="60"/>
        <v>3.3785445604415543E-2</v>
      </c>
      <c r="G999" s="748">
        <f t="shared" si="60"/>
        <v>-7.0814859798418173E-4</v>
      </c>
      <c r="H999" s="1067">
        <f t="shared" si="61"/>
        <v>3.4493594202399724E-2</v>
      </c>
      <c r="I999">
        <f t="shared" si="62"/>
        <v>511.46752488093671</v>
      </c>
    </row>
    <row r="1000" spans="1:9" ht="20.100000000000001" customHeight="1">
      <c r="A1000" s="563">
        <v>44547</v>
      </c>
      <c r="B1000">
        <f t="shared" si="63"/>
        <v>752.71702031283428</v>
      </c>
      <c r="C1000">
        <f t="shared" si="63"/>
        <v>216.49630933682778</v>
      </c>
      <c r="D1000">
        <v>66.765998840332031</v>
      </c>
      <c r="E1000" s="604">
        <v>15169.6796875</v>
      </c>
      <c r="F1000" s="748">
        <f t="shared" si="60"/>
        <v>-9.8852116972472093E-3</v>
      </c>
      <c r="G1000" s="748">
        <f t="shared" si="60"/>
        <v>-1.2441874957189958E-2</v>
      </c>
      <c r="H1000" s="1067">
        <f t="shared" si="61"/>
        <v>2.5566632599427486E-3</v>
      </c>
      <c r="I1000">
        <f t="shared" si="62"/>
        <v>536.22071097600656</v>
      </c>
    </row>
    <row r="1001" spans="1:9" ht="20.100000000000001" customHeight="1">
      <c r="A1001" s="563">
        <v>44550</v>
      </c>
      <c r="B1001">
        <f t="shared" si="63"/>
        <v>745.27625321892083</v>
      </c>
      <c r="C1001">
        <f t="shared" si="63"/>
        <v>213.80268932736584</v>
      </c>
      <c r="D1001">
        <v>66.106002807617188</v>
      </c>
      <c r="E1001" s="604">
        <v>14980.9404296875</v>
      </c>
      <c r="F1001" s="748">
        <f t="shared" si="60"/>
        <v>2.6381804865426739E-2</v>
      </c>
      <c r="G1001" s="748">
        <f t="shared" si="60"/>
        <v>2.4040507720650028E-2</v>
      </c>
      <c r="H1001" s="1067">
        <f t="shared" si="61"/>
        <v>2.3412971447767106E-3</v>
      </c>
      <c r="I1001">
        <f t="shared" si="62"/>
        <v>531.47356389155493</v>
      </c>
    </row>
    <row r="1002" spans="1:9" ht="20.100000000000001" customHeight="1">
      <c r="A1002" s="563">
        <v>44551</v>
      </c>
      <c r="B1002">
        <f t="shared" si="63"/>
        <v>764.93798590217875</v>
      </c>
      <c r="C1002">
        <f t="shared" si="63"/>
        <v>218.94261453083612</v>
      </c>
      <c r="D1002">
        <v>67.849998474121094</v>
      </c>
      <c r="E1002" s="604">
        <v>15341.08984375</v>
      </c>
      <c r="F1002" s="748">
        <f t="shared" si="60"/>
        <v>2.6263896096302419E-2</v>
      </c>
      <c r="G1002" s="748">
        <f t="shared" si="60"/>
        <v>1.1785329890441787E-2</v>
      </c>
      <c r="H1002" s="1067">
        <f t="shared" si="61"/>
        <v>1.4478566205860632E-2</v>
      </c>
      <c r="I1002">
        <f t="shared" si="62"/>
        <v>545.99537137134257</v>
      </c>
    </row>
    <row r="1003" spans="1:9" ht="20.100000000000001" customHeight="1">
      <c r="A1003" s="563">
        <v>44552</v>
      </c>
      <c r="B1003">
        <f t="shared" si="63"/>
        <v>785.02823768402845</v>
      </c>
      <c r="C1003">
        <f t="shared" si="63"/>
        <v>221.52292547015787</v>
      </c>
      <c r="D1003">
        <v>69.632003784179688</v>
      </c>
      <c r="E1003" s="604">
        <v>15521.8896484375</v>
      </c>
      <c r="F1003" s="748">
        <f t="shared" si="60"/>
        <v>2.4700864683657731E-3</v>
      </c>
      <c r="G1003" s="748">
        <f t="shared" si="60"/>
        <v>8.470648337796538E-3</v>
      </c>
      <c r="H1003" s="1067">
        <f t="shared" si="61"/>
        <v>-6.000561869430765E-3</v>
      </c>
      <c r="I1003">
        <f t="shared" si="62"/>
        <v>563.50531221387064</v>
      </c>
    </row>
    <row r="1004" spans="1:9" ht="20.100000000000001" customHeight="1">
      <c r="A1004" s="563">
        <v>44553</v>
      </c>
      <c r="B1004">
        <f t="shared" si="63"/>
        <v>786.96732531121677</v>
      </c>
      <c r="C1004">
        <f t="shared" si="63"/>
        <v>223.39936827057548</v>
      </c>
      <c r="D1004">
        <v>69.804000854492188</v>
      </c>
      <c r="E1004" s="604">
        <v>15653.3701171875</v>
      </c>
      <c r="F1004" s="748">
        <f t="shared" si="60"/>
        <v>5.3435271358074576E-2</v>
      </c>
      <c r="G1004" s="748">
        <f t="shared" si="60"/>
        <v>1.3919663740542099E-2</v>
      </c>
      <c r="H1004" s="1067">
        <f t="shared" si="61"/>
        <v>3.9515607617532478E-2</v>
      </c>
      <c r="I1004">
        <f t="shared" si="62"/>
        <v>563.56795704064132</v>
      </c>
    </row>
    <row r="1005" spans="1:9" ht="20.100000000000001" customHeight="1">
      <c r="A1005" s="563">
        <v>44557</v>
      </c>
      <c r="B1005">
        <f t="shared" si="63"/>
        <v>829.01913788915977</v>
      </c>
      <c r="C1005">
        <f t="shared" si="63"/>
        <v>226.50901235675141</v>
      </c>
      <c r="D1005">
        <v>73.53399658203125</v>
      </c>
      <c r="E1005" s="604">
        <v>15871.259765625</v>
      </c>
      <c r="F1005" s="748">
        <f t="shared" si="60"/>
        <v>-4.5421118028919905E-3</v>
      </c>
      <c r="G1005" s="748">
        <f t="shared" si="60"/>
        <v>-5.6416466231894447E-3</v>
      </c>
      <c r="H1005" s="1067">
        <f t="shared" si="61"/>
        <v>1.0995348202974542E-3</v>
      </c>
      <c r="I1005">
        <f t="shared" si="62"/>
        <v>602.51012553240832</v>
      </c>
    </row>
    <row r="1006" spans="1:9" ht="20.100000000000001" customHeight="1">
      <c r="A1006" s="563">
        <v>44558</v>
      </c>
      <c r="B1006">
        <f t="shared" si="63"/>
        <v>825.25364027813009</v>
      </c>
      <c r="C1006">
        <f t="shared" si="63"/>
        <v>225.23112855206696</v>
      </c>
      <c r="D1006">
        <v>73.199996948242188</v>
      </c>
      <c r="E1006" s="604">
        <v>15781.7197265625</v>
      </c>
      <c r="F1006" s="748">
        <f t="shared" si="60"/>
        <v>2.0218938617766469E-3</v>
      </c>
      <c r="G1006" s="748">
        <f t="shared" si="60"/>
        <v>-9.82148984303155E-4</v>
      </c>
      <c r="H1006" s="1067">
        <f t="shared" si="61"/>
        <v>3.0040428460798019E-3</v>
      </c>
      <c r="I1006">
        <f t="shared" si="62"/>
        <v>600.02251172606316</v>
      </c>
    </row>
    <row r="1007" spans="1:9" ht="20.100000000000001" customHeight="1">
      <c r="A1007" s="563">
        <v>44559</v>
      </c>
      <c r="B1007">
        <f t="shared" si="63"/>
        <v>826.92221554781725</v>
      </c>
      <c r="C1007">
        <f t="shared" si="63"/>
        <v>225.00991802792609</v>
      </c>
      <c r="D1007">
        <v>73.347999572753906</v>
      </c>
      <c r="E1007" s="604">
        <v>15766.2197265625</v>
      </c>
      <c r="F1007" s="748">
        <f t="shared" si="60"/>
        <v>-1.897799938817557E-2</v>
      </c>
      <c r="G1007" s="748">
        <f t="shared" si="60"/>
        <v>-1.5641134449276839E-3</v>
      </c>
      <c r="H1007" s="1067">
        <f t="shared" si="61"/>
        <v>-1.7413885943247887E-2</v>
      </c>
      <c r="I1007">
        <f t="shared" si="62"/>
        <v>601.91229751989113</v>
      </c>
    </row>
    <row r="1008" spans="1:9" ht="20.100000000000001" customHeight="1">
      <c r="A1008" s="563">
        <v>44560</v>
      </c>
      <c r="B1008">
        <f t="shared" si="63"/>
        <v>811.22888624708196</v>
      </c>
      <c r="C1008">
        <f t="shared" si="63"/>
        <v>224.65797698989653</v>
      </c>
      <c r="D1008">
        <v>71.956001281738281</v>
      </c>
      <c r="E1008" s="604">
        <v>15741.5595703125</v>
      </c>
      <c r="F1008" s="748">
        <f>D1009/D1008-1</f>
        <v>-1.0562569760196316E-3</v>
      </c>
      <c r="G1008" s="748">
        <f>E1009/E1008-1</f>
        <v>-6.1359767638373697E-3</v>
      </c>
      <c r="H1008" s="1067">
        <f t="shared" si="61"/>
        <v>5.079719787817738E-3</v>
      </c>
      <c r="I1008">
        <f t="shared" si="62"/>
        <v>586.57090925718546</v>
      </c>
    </row>
    <row r="1009" spans="1:9" ht="20.100000000000001" customHeight="1">
      <c r="A1009" s="563">
        <v>44561</v>
      </c>
      <c r="B1009">
        <f t="shared" si="63"/>
        <v>810.37202007683481</v>
      </c>
      <c r="C1009">
        <f t="shared" si="63"/>
        <v>223.27948086327581</v>
      </c>
      <c r="D1009">
        <v>71.879997253417969</v>
      </c>
      <c r="E1009" s="604">
        <v>15644.9697265625</v>
      </c>
      <c r="F1009" s="748">
        <f t="shared" si="60"/>
        <v>-7.3121826724216188E-2</v>
      </c>
      <c r="G1009" s="748">
        <f t="shared" si="60"/>
        <v>1.2005780861697346E-2</v>
      </c>
      <c r="H1009" s="1067">
        <f t="shared" si="61"/>
        <v>-8.5127607585913534E-2</v>
      </c>
      <c r="I1009">
        <f t="shared" si="62"/>
        <v>587.09253921355901</v>
      </c>
    </row>
    <row r="1010" spans="1:9" ht="20.100000000000001" customHeight="1">
      <c r="A1010" s="563">
        <v>44564</v>
      </c>
      <c r="B1010">
        <f>B1009*(1+F1009)</f>
        <v>751.11613764262347</v>
      </c>
      <c r="C1010">
        <f>C1009*(1+G1009)</f>
        <v>225.96012538143384</v>
      </c>
      <c r="D1010">
        <v>66.624000549316406</v>
      </c>
      <c r="E1010" s="604">
        <v>15832.7998046875</v>
      </c>
      <c r="F1010" s="748">
        <f t="shared" si="60"/>
        <v>-3.2961082003508446E-2</v>
      </c>
      <c r="G1010" s="748">
        <f t="shared" si="60"/>
        <v>-1.3268662568625578E-2</v>
      </c>
      <c r="H1010" s="1067">
        <f t="shared" si="61"/>
        <v>-1.9692419434882869E-2</v>
      </c>
      <c r="I1010">
        <f t="shared" si="62"/>
        <v>525.15601226118963</v>
      </c>
    </row>
    <row r="1011" spans="1:9" ht="20.100000000000001" customHeight="1">
      <c r="A1011" s="563">
        <v>44565</v>
      </c>
      <c r="B1011">
        <f t="shared" si="63"/>
        <v>726.35853703562645</v>
      </c>
      <c r="C1011">
        <f t="shared" si="63"/>
        <v>222.96193672378325</v>
      </c>
      <c r="D1011">
        <v>64.428001403808594</v>
      </c>
      <c r="E1011" s="604">
        <v>15622.7197265625</v>
      </c>
      <c r="F1011" s="748">
        <f t="shared" si="60"/>
        <v>-5.7894074951327368E-2</v>
      </c>
      <c r="G1011" s="748">
        <f t="shared" si="60"/>
        <v>-3.3448068827544475E-2</v>
      </c>
      <c r="H1011" s="1067">
        <f t="shared" si="61"/>
        <v>-2.4446006123782893E-2</v>
      </c>
      <c r="I1011">
        <f t="shared" si="62"/>
        <v>503.3966003118432</v>
      </c>
    </row>
    <row r="1012" spans="1:9" ht="20.100000000000001" customHeight="1">
      <c r="A1012" s="563">
        <v>44566</v>
      </c>
      <c r="B1012">
        <f t="shared" si="63"/>
        <v>684.30668145094944</v>
      </c>
      <c r="C1012">
        <f t="shared" si="63"/>
        <v>215.50429051832353</v>
      </c>
      <c r="D1012">
        <v>60.698001861572273</v>
      </c>
      <c r="E1012" s="604">
        <v>15100.169921875</v>
      </c>
      <c r="F1012" s="748">
        <f t="shared" si="60"/>
        <v>3.4630421282764612E-2</v>
      </c>
      <c r="G1012" s="748">
        <f t="shared" si="60"/>
        <v>-1.2787651008169254E-3</v>
      </c>
      <c r="H1012" s="1067">
        <f t="shared" si="61"/>
        <v>3.5909186383581537E-2</v>
      </c>
      <c r="I1012">
        <f t="shared" si="62"/>
        <v>468.80239093262594</v>
      </c>
    </row>
    <row r="1013" spans="1:9" ht="20.100000000000001" customHeight="1">
      <c r="A1013" s="563">
        <v>44567</v>
      </c>
      <c r="B1013">
        <f t="shared" si="63"/>
        <v>708.00451011620646</v>
      </c>
      <c r="C1013">
        <f t="shared" si="63"/>
        <v>215.22871115253238</v>
      </c>
      <c r="D1013">
        <v>62.799999237060547</v>
      </c>
      <c r="E1013" s="604">
        <v>15080.8603515625</v>
      </c>
      <c r="F1013" s="748">
        <f t="shared" si="60"/>
        <v>2.1019103676123141E-3</v>
      </c>
      <c r="G1013" s="748">
        <f t="shared" si="60"/>
        <v>-9.6121811062643836E-3</v>
      </c>
      <c r="H1013" s="1067">
        <f t="shared" si="61"/>
        <v>1.1714091473876698E-2</v>
      </c>
      <c r="I1013">
        <f t="shared" si="62"/>
        <v>492.77579896367411</v>
      </c>
    </row>
    <row r="1014" spans="1:9" ht="20.100000000000001" customHeight="1">
      <c r="A1014" s="563">
        <v>44568</v>
      </c>
      <c r="B1014">
        <f t="shared" si="63"/>
        <v>709.49267213633595</v>
      </c>
      <c r="C1014">
        <f t="shared" si="63"/>
        <v>213.15989380166639</v>
      </c>
      <c r="D1014">
        <v>62.931999206542969</v>
      </c>
      <c r="E1014" s="604">
        <v>14935.900390625</v>
      </c>
      <c r="F1014" s="748">
        <f t="shared" si="60"/>
        <v>3.1939270348517512E-2</v>
      </c>
      <c r="G1014" s="748">
        <f t="shared" si="60"/>
        <v>4.6396181808705528E-4</v>
      </c>
      <c r="H1014" s="1067">
        <f t="shared" si="61"/>
        <v>3.1475308530430457E-2</v>
      </c>
      <c r="I1014">
        <f t="shared" si="62"/>
        <v>496.33277833466957</v>
      </c>
    </row>
    <row r="1015" spans="1:9" ht="20.100000000000001" customHeight="1">
      <c r="A1015" s="563">
        <v>44571</v>
      </c>
      <c r="B1015">
        <f t="shared" si="63"/>
        <v>732.15335040199045</v>
      </c>
      <c r="C1015">
        <f t="shared" si="63"/>
        <v>213.25879185353784</v>
      </c>
      <c r="D1015">
        <v>64.942001342773438</v>
      </c>
      <c r="E1015" s="604">
        <v>14942.830078125</v>
      </c>
      <c r="F1015" s="748">
        <f t="shared" si="60"/>
        <v>-3.5416733728238503E-3</v>
      </c>
      <c r="G1015" s="748">
        <f t="shared" si="60"/>
        <v>1.4095062052256635E-2</v>
      </c>
      <c r="H1015" s="1067">
        <f t="shared" si="61"/>
        <v>-1.7636735425080485E-2</v>
      </c>
      <c r="I1015">
        <f t="shared" si="62"/>
        <v>518.89455854845255</v>
      </c>
    </row>
    <row r="1016" spans="1:9" ht="20.100000000000001" customHeight="1">
      <c r="A1016" s="563">
        <v>44572</v>
      </c>
      <c r="B1016">
        <f t="shared" si="63"/>
        <v>729.56030237604796</v>
      </c>
      <c r="C1016">
        <f t="shared" si="63"/>
        <v>216.26468775790275</v>
      </c>
      <c r="D1016">
        <v>64.711997985839844</v>
      </c>
      <c r="E1016" s="604">
        <v>15153.4501953125</v>
      </c>
      <c r="F1016" s="748">
        <f t="shared" si="60"/>
        <v>-8.5610222483535336E-3</v>
      </c>
      <c r="G1016" s="748">
        <f t="shared" si="60"/>
        <v>2.3057094374328013E-3</v>
      </c>
      <c r="H1016" s="1067">
        <f t="shared" si="61"/>
        <v>-1.0866731685786335E-2</v>
      </c>
      <c r="I1016">
        <f t="shared" si="62"/>
        <v>513.29561461814524</v>
      </c>
    </row>
    <row r="1017" spans="1:9" ht="20.100000000000001" customHeight="1">
      <c r="A1017" s="563">
        <v>44573</v>
      </c>
      <c r="B1017">
        <f t="shared" si="63"/>
        <v>723.31452039589112</v>
      </c>
      <c r="C1017">
        <f t="shared" si="63"/>
        <v>216.76333128944961</v>
      </c>
      <c r="D1017">
        <v>64.157997131347656</v>
      </c>
      <c r="E1017" s="604">
        <v>15188.3896484375</v>
      </c>
      <c r="F1017" s="748">
        <f t="shared" si="60"/>
        <v>-4.0244350403249141E-2</v>
      </c>
      <c r="G1017" s="748">
        <f t="shared" si="60"/>
        <v>-2.5123142542254673E-2</v>
      </c>
      <c r="H1017" s="1067">
        <f t="shared" si="61"/>
        <v>-1.5121207860994468E-2</v>
      </c>
      <c r="I1017">
        <f t="shared" si="62"/>
        <v>506.55118910644148</v>
      </c>
    </row>
    <row r="1018" spans="1:9" ht="20.100000000000001" customHeight="1">
      <c r="A1018" s="563">
        <v>44574</v>
      </c>
      <c r="B1018">
        <f t="shared" si="63"/>
        <v>694.20519738532073</v>
      </c>
      <c r="C1018">
        <f t="shared" si="63"/>
        <v>211.31755521953079</v>
      </c>
      <c r="D1018">
        <v>61.576000213623047</v>
      </c>
      <c r="E1018" s="604">
        <v>14806.8095703125</v>
      </c>
      <c r="F1018" s="748">
        <f t="shared" si="60"/>
        <v>1.5135754243692734E-2</v>
      </c>
      <c r="G1018" s="748">
        <f t="shared" si="60"/>
        <v>5.8716517744521468E-3</v>
      </c>
      <c r="H1018" s="1067">
        <f t="shared" si="61"/>
        <v>9.2641024692405871E-3</v>
      </c>
      <c r="I1018">
        <f t="shared" si="62"/>
        <v>482.88764216578994</v>
      </c>
    </row>
    <row r="1019" spans="1:9" ht="20.100000000000001" customHeight="1">
      <c r="A1019" s="563">
        <v>44575</v>
      </c>
      <c r="B1019">
        <f t="shared" si="63"/>
        <v>704.71251664763918</v>
      </c>
      <c r="C1019">
        <f t="shared" si="63"/>
        <v>212.55833831760845</v>
      </c>
      <c r="D1019">
        <v>62.507999420166023</v>
      </c>
      <c r="E1019" s="604">
        <v>14893.75</v>
      </c>
      <c r="F1019" s="748">
        <f t="shared" si="60"/>
        <v>-1.3022320080248728E-2</v>
      </c>
      <c r="G1019" s="748">
        <f t="shared" si="60"/>
        <v>-2.5973956147712918E-2</v>
      </c>
      <c r="H1019" s="1067">
        <f t="shared" si="61"/>
        <v>1.2951636067464189E-2</v>
      </c>
      <c r="I1019">
        <f t="shared" si="62"/>
        <v>492.15417833003073</v>
      </c>
    </row>
    <row r="1020" spans="1:9" ht="20.100000000000001" customHeight="1">
      <c r="A1020" s="563">
        <v>44579</v>
      </c>
      <c r="B1020">
        <f t="shared" si="63"/>
        <v>695.53552469129602</v>
      </c>
      <c r="C1020">
        <f t="shared" si="63"/>
        <v>207.03735735931616</v>
      </c>
      <c r="D1020">
        <v>61.694000244140618</v>
      </c>
      <c r="E1020" s="604">
        <v>14506.900390625</v>
      </c>
      <c r="F1020" s="748">
        <f t="shared" si="60"/>
        <v>-4.2467830998287326E-3</v>
      </c>
      <c r="G1020" s="748">
        <f t="shared" si="60"/>
        <v>-1.1486990364095284E-2</v>
      </c>
      <c r="H1020" s="1067">
        <f t="shared" si="61"/>
        <v>7.2402072642665516E-3</v>
      </c>
      <c r="I1020">
        <f t="shared" si="62"/>
        <v>488.49816733197986</v>
      </c>
    </row>
    <row r="1021" spans="1:9" ht="20.100000000000001" customHeight="1">
      <c r="A1021" s="563">
        <v>44580</v>
      </c>
      <c r="B1021">
        <f t="shared" si="63"/>
        <v>692.58173617970647</v>
      </c>
      <c r="C1021">
        <f t="shared" si="63"/>
        <v>204.65912123032194</v>
      </c>
      <c r="D1021">
        <v>61.431999206542969</v>
      </c>
      <c r="E1021" s="604">
        <v>14340.259765625</v>
      </c>
      <c r="F1021" s="748">
        <f t="shared" si="60"/>
        <v>-7.0646912605105694E-3</v>
      </c>
      <c r="G1021" s="748">
        <f t="shared" si="60"/>
        <v>-1.2987228782384785E-2</v>
      </c>
      <c r="H1021" s="1067">
        <f t="shared" si="61"/>
        <v>5.922537521874216E-3</v>
      </c>
      <c r="I1021">
        <f t="shared" si="62"/>
        <v>487.92261494938452</v>
      </c>
    </row>
    <row r="1022" spans="1:9" ht="20.100000000000001" customHeight="1">
      <c r="A1022" s="563">
        <v>44581</v>
      </c>
      <c r="B1022">
        <f t="shared" si="63"/>
        <v>687.68886004092849</v>
      </c>
      <c r="C1022">
        <f t="shared" si="63"/>
        <v>202.00116640050192</v>
      </c>
      <c r="D1022">
        <v>60.998001098632813</v>
      </c>
      <c r="E1022" s="604">
        <v>14154.01953125</v>
      </c>
      <c r="F1022" s="748">
        <f t="shared" si="60"/>
        <v>-5.3575551617046857E-2</v>
      </c>
      <c r="G1022" s="748">
        <f t="shared" si="60"/>
        <v>-2.7207791293826888E-2</v>
      </c>
      <c r="H1022" s="1067">
        <f t="shared" si="61"/>
        <v>-2.6367760323219969E-2</v>
      </c>
      <c r="I1022">
        <f t="shared" si="62"/>
        <v>485.68769364042657</v>
      </c>
    </row>
    <row r="1023" spans="1:9" ht="20.100000000000001" customHeight="1">
      <c r="A1023" s="563">
        <v>44582</v>
      </c>
      <c r="B1023">
        <f t="shared" si="63"/>
        <v>650.84555002333764</v>
      </c>
      <c r="C1023">
        <f t="shared" si="63"/>
        <v>196.50516082396746</v>
      </c>
      <c r="D1023">
        <v>57.729999542236328</v>
      </c>
      <c r="E1023" s="604">
        <v>13768.919921875</v>
      </c>
      <c r="F1023" s="748">
        <f t="shared" si="60"/>
        <v>5.9588043088039111E-3</v>
      </c>
      <c r="G1023" s="748">
        <f t="shared" si="60"/>
        <v>6.2611999653316985E-3</v>
      </c>
      <c r="H1023" s="1067">
        <f t="shared" si="61"/>
        <v>-3.0239565652778744E-4</v>
      </c>
      <c r="I1023">
        <f t="shared" si="62"/>
        <v>454.34038919937018</v>
      </c>
    </row>
    <row r="1024" spans="1:9" ht="20.100000000000001" customHeight="1">
      <c r="A1024" s="563">
        <v>44585</v>
      </c>
      <c r="B1024">
        <f t="shared" si="63"/>
        <v>654.72381129118253</v>
      </c>
      <c r="C1024">
        <f t="shared" si="63"/>
        <v>197.735518930106</v>
      </c>
      <c r="D1024">
        <v>58.074001312255859</v>
      </c>
      <c r="E1024" s="604">
        <v>13855.1298828125</v>
      </c>
      <c r="F1024" s="748">
        <f t="shared" si="60"/>
        <v>-5.9992442072916208E-2</v>
      </c>
      <c r="G1024" s="748">
        <f t="shared" si="60"/>
        <v>-2.279587751406098E-2</v>
      </c>
      <c r="H1024" s="1067">
        <f t="shared" si="61"/>
        <v>-3.7196564558855227E-2</v>
      </c>
      <c r="I1024">
        <f t="shared" si="62"/>
        <v>456.98829236107656</v>
      </c>
    </row>
    <row r="1025" spans="1:9" ht="20.100000000000001" customHeight="1">
      <c r="A1025" s="563">
        <v>44586</v>
      </c>
      <c r="B1025">
        <f t="shared" si="63"/>
        <v>615.44533096853729</v>
      </c>
      <c r="C1025">
        <f t="shared" si="63"/>
        <v>193.22796426039602</v>
      </c>
      <c r="D1025">
        <v>54.590000152587891</v>
      </c>
      <c r="E1025" s="604">
        <v>13539.2900390625</v>
      </c>
      <c r="F1025" s="748">
        <f t="shared" si="60"/>
        <v>-6.5946255604562021E-3</v>
      </c>
      <c r="G1025" s="748">
        <f t="shared" si="60"/>
        <v>2.0902706987113717E-4</v>
      </c>
      <c r="H1025" s="1067">
        <f t="shared" si="61"/>
        <v>-6.8036526303273392E-3</v>
      </c>
      <c r="I1025">
        <f t="shared" si="62"/>
        <v>422.2173667081413</v>
      </c>
    </row>
    <row r="1026" spans="1:9" ht="20.100000000000001" customHeight="1">
      <c r="A1026" s="563">
        <v>44587</v>
      </c>
      <c r="B1026">
        <f t="shared" si="63"/>
        <v>611.38669945786876</v>
      </c>
      <c r="C1026">
        <f t="shared" si="63"/>
        <v>193.26835413558254</v>
      </c>
      <c r="D1026">
        <v>54.229999542236328</v>
      </c>
      <c r="E1026" s="604">
        <v>13542.1201171875</v>
      </c>
      <c r="F1026" s="748">
        <f t="shared" si="60"/>
        <v>-5.2738207728171282E-3</v>
      </c>
      <c r="G1026" s="748">
        <f t="shared" si="60"/>
        <v>-1.3981551050466057E-2</v>
      </c>
      <c r="H1026" s="1067">
        <f t="shared" si="61"/>
        <v>8.7077302776489285E-3</v>
      </c>
      <c r="I1026">
        <f t="shared" si="62"/>
        <v>418.11834532228625</v>
      </c>
    </row>
    <row r="1027" spans="1:9" ht="20.100000000000001" customHeight="1">
      <c r="A1027" s="563">
        <v>44588</v>
      </c>
      <c r="B1027">
        <f t="shared" si="63"/>
        <v>608.1623555820438</v>
      </c>
      <c r="C1027">
        <f t="shared" si="63"/>
        <v>190.56616277579633</v>
      </c>
      <c r="D1027">
        <v>53.944000244140618</v>
      </c>
      <c r="E1027" s="604">
        <v>13352.7802734375</v>
      </c>
      <c r="F1027" s="748">
        <f t="shared" ref="F1027:G1090" si="64">D1028/D1027-1</f>
        <v>4.6121884753487441E-2</v>
      </c>
      <c r="G1027" s="748">
        <f t="shared" si="64"/>
        <v>3.1288617838908239E-2</v>
      </c>
      <c r="H1027" s="1067">
        <f t="shared" ref="H1027:H1090" si="65">F1027-G1027</f>
        <v>1.4833266914579202E-2</v>
      </c>
      <c r="I1027">
        <f t="shared" ref="I1027:I1090" si="66">B1027-C1027</f>
        <v>417.59619280624747</v>
      </c>
    </row>
    <row r="1028" spans="1:9" ht="20.100000000000001" customHeight="1">
      <c r="A1028" s="563">
        <v>44589</v>
      </c>
      <c r="B1028">
        <f t="shared" ref="B1028:C1091" si="67">B1027*(1+F1027)</f>
        <v>636.21194965760833</v>
      </c>
      <c r="C1028">
        <f t="shared" si="67"/>
        <v>196.52871461591539</v>
      </c>
      <c r="D1028">
        <v>56.431999206542969</v>
      </c>
      <c r="E1028" s="604">
        <v>13770.5703125</v>
      </c>
      <c r="F1028" s="748">
        <f t="shared" si="64"/>
        <v>5.3444901783306298E-2</v>
      </c>
      <c r="G1028" s="748">
        <f t="shared" si="64"/>
        <v>3.4080619731957862E-2</v>
      </c>
      <c r="H1028" s="1067">
        <f t="shared" si="65"/>
        <v>1.9364282051348436E-2</v>
      </c>
      <c r="I1028">
        <f t="shared" si="66"/>
        <v>439.68323504169291</v>
      </c>
    </row>
    <row r="1029" spans="1:9" ht="20.100000000000001" customHeight="1">
      <c r="A1029" s="563">
        <v>44592</v>
      </c>
      <c r="B1029">
        <f t="shared" si="67"/>
        <v>670.21423482042496</v>
      </c>
      <c r="C1029">
        <f t="shared" si="67"/>
        <v>203.22653500515088</v>
      </c>
      <c r="D1029">
        <v>59.448001861572273</v>
      </c>
      <c r="E1029" s="604">
        <v>14239.8798828125</v>
      </c>
      <c r="F1029" s="748">
        <f t="shared" si="64"/>
        <v>1.6619548705824272E-2</v>
      </c>
      <c r="G1029" s="748">
        <f t="shared" si="64"/>
        <v>7.4523182822339162E-3</v>
      </c>
      <c r="H1029" s="1067">
        <f t="shared" si="65"/>
        <v>9.1672304235903557E-3</v>
      </c>
      <c r="I1029">
        <f t="shared" si="66"/>
        <v>466.98769981527408</v>
      </c>
    </row>
    <row r="1030" spans="1:9" ht="20.100000000000001" customHeight="1">
      <c r="A1030" s="563">
        <v>44593</v>
      </c>
      <c r="B1030">
        <f t="shared" si="67"/>
        <v>681.35289293935978</v>
      </c>
      <c r="C1030">
        <f t="shared" si="67"/>
        <v>204.74104382740481</v>
      </c>
      <c r="D1030">
        <v>60.436000823974609</v>
      </c>
      <c r="E1030" s="604">
        <v>14346</v>
      </c>
      <c r="F1030" s="748">
        <f t="shared" si="64"/>
        <v>2.5481515893361895E-2</v>
      </c>
      <c r="G1030" s="748">
        <f t="shared" si="64"/>
        <v>4.9874393341349244E-3</v>
      </c>
      <c r="H1030" s="1067">
        <f t="shared" si="65"/>
        <v>2.049407655922697E-2</v>
      </c>
      <c r="I1030">
        <f t="shared" si="66"/>
        <v>476.61184911195494</v>
      </c>
    </row>
    <row r="1031" spans="1:9" ht="20.100000000000001" customHeight="1">
      <c r="A1031" s="563">
        <v>44594</v>
      </c>
      <c r="B1031">
        <f t="shared" si="67"/>
        <v>698.71479750978222</v>
      </c>
      <c r="C1031">
        <f t="shared" si="67"/>
        <v>205.76217736270144</v>
      </c>
      <c r="D1031">
        <v>61.976001739501953</v>
      </c>
      <c r="E1031" s="604">
        <v>14417.5498046875</v>
      </c>
      <c r="F1031" s="748">
        <f t="shared" si="64"/>
        <v>-4.156447885183856E-2</v>
      </c>
      <c r="G1031" s="748">
        <f t="shared" si="64"/>
        <v>-3.7366230703940073E-2</v>
      </c>
      <c r="H1031" s="1067">
        <f t="shared" si="65"/>
        <v>-4.1982481478984868E-3</v>
      </c>
      <c r="I1031">
        <f t="shared" si="66"/>
        <v>492.95262014708078</v>
      </c>
    </row>
    <row r="1032" spans="1:9" ht="20.100000000000001" customHeight="1">
      <c r="A1032" s="563">
        <v>44595</v>
      </c>
      <c r="B1032">
        <f t="shared" si="67"/>
        <v>669.67308108522025</v>
      </c>
      <c r="C1032">
        <f t="shared" si="67"/>
        <v>198.0736203732217</v>
      </c>
      <c r="D1032">
        <v>59.400001525878913</v>
      </c>
      <c r="E1032" s="604">
        <v>13878.8203125</v>
      </c>
      <c r="F1032" s="748">
        <f t="shared" si="64"/>
        <v>5.8350160172326637E-2</v>
      </c>
      <c r="G1032" s="748">
        <f t="shared" si="64"/>
        <v>1.5793089627912149E-2</v>
      </c>
      <c r="H1032" s="1067">
        <f t="shared" si="65"/>
        <v>4.2557070544414488E-2</v>
      </c>
      <c r="I1032">
        <f t="shared" si="66"/>
        <v>471.59946071199852</v>
      </c>
    </row>
    <row r="1033" spans="1:9" ht="20.100000000000001" customHeight="1">
      <c r="A1033" s="563">
        <v>44596</v>
      </c>
      <c r="B1033">
        <f t="shared" si="67"/>
        <v>708.74861262963839</v>
      </c>
      <c r="C1033">
        <f t="shared" si="67"/>
        <v>201.20181481270103</v>
      </c>
      <c r="D1033">
        <v>62.866001129150391</v>
      </c>
      <c r="E1033" s="604">
        <v>14098.009765625</v>
      </c>
      <c r="F1033" s="748">
        <f t="shared" si="64"/>
        <v>-2.2619553645355173E-2</v>
      </c>
      <c r="G1033" s="748">
        <f t="shared" si="64"/>
        <v>-5.8405296292791675E-3</v>
      </c>
      <c r="H1033" s="1067">
        <f t="shared" si="65"/>
        <v>-1.6779024016076005E-2</v>
      </c>
      <c r="I1033">
        <f t="shared" si="66"/>
        <v>507.54679781693733</v>
      </c>
    </row>
    <row r="1034" spans="1:9" ht="20.100000000000001" customHeight="1">
      <c r="A1034" s="563">
        <v>44599</v>
      </c>
      <c r="B1034">
        <f t="shared" si="67"/>
        <v>692.71703536519124</v>
      </c>
      <c r="C1034">
        <f t="shared" si="67"/>
        <v>200.02668965182272</v>
      </c>
      <c r="D1034">
        <v>61.444000244140618</v>
      </c>
      <c r="E1034" s="604">
        <v>14015.669921875</v>
      </c>
      <c r="F1034" s="748">
        <f t="shared" si="64"/>
        <v>2.4868170559507297E-2</v>
      </c>
      <c r="G1034" s="748">
        <f t="shared" si="64"/>
        <v>1.2755742282319904E-2</v>
      </c>
      <c r="H1034" s="1067">
        <f t="shared" si="65"/>
        <v>1.2112428277187393E-2</v>
      </c>
      <c r="I1034">
        <f t="shared" si="66"/>
        <v>492.69034571336852</v>
      </c>
    </row>
    <row r="1035" spans="1:9" ht="20.100000000000001" customHeight="1">
      <c r="A1035" s="563">
        <v>44600</v>
      </c>
      <c r="B1035">
        <f t="shared" si="67"/>
        <v>709.94364075012902</v>
      </c>
      <c r="C1035">
        <f t="shared" si="67"/>
        <v>202.57817855460695</v>
      </c>
      <c r="D1035">
        <v>62.972000122070313</v>
      </c>
      <c r="E1035" s="604">
        <v>14194.4501953125</v>
      </c>
      <c r="F1035" s="748">
        <f t="shared" si="64"/>
        <v>4.7576735556404737E-2</v>
      </c>
      <c r="G1035" s="748">
        <f t="shared" si="64"/>
        <v>2.0847579004696026E-2</v>
      </c>
      <c r="H1035" s="1067">
        <f t="shared" si="65"/>
        <v>2.672915655170871E-2</v>
      </c>
      <c r="I1035">
        <f t="shared" si="66"/>
        <v>507.36546219552207</v>
      </c>
    </row>
    <row r="1036" spans="1:9" ht="20.100000000000001" customHeight="1">
      <c r="A1036" s="563">
        <v>44601</v>
      </c>
      <c r="B1036">
        <f t="shared" si="67"/>
        <v>743.72044160604912</v>
      </c>
      <c r="C1036">
        <f t="shared" si="67"/>
        <v>206.80144313665153</v>
      </c>
      <c r="D1036">
        <v>65.968002319335938</v>
      </c>
      <c r="E1036" s="604">
        <v>14490.3701171875</v>
      </c>
      <c r="F1036" s="748">
        <f t="shared" si="64"/>
        <v>-1.3582398915267802E-2</v>
      </c>
      <c r="G1036" s="748">
        <f t="shared" si="64"/>
        <v>-2.1029860954935087E-2</v>
      </c>
      <c r="H1036" s="1067">
        <f t="shared" si="65"/>
        <v>7.4474620396672853E-3</v>
      </c>
      <c r="I1036">
        <f t="shared" si="66"/>
        <v>536.91899846939759</v>
      </c>
    </row>
    <row r="1037" spans="1:9" ht="20.100000000000001" customHeight="1">
      <c r="A1037" s="563">
        <v>44602</v>
      </c>
      <c r="B1037">
        <f t="shared" si="67"/>
        <v>733.6189338867166</v>
      </c>
      <c r="C1037">
        <f t="shared" si="67"/>
        <v>202.45243754220783</v>
      </c>
      <c r="D1037">
        <v>65.071998596191406</v>
      </c>
      <c r="E1037" s="604">
        <v>14185.6396484375</v>
      </c>
      <c r="F1037" s="748">
        <f t="shared" si="64"/>
        <v>-4.6379361427449028E-2</v>
      </c>
      <c r="G1037" s="748">
        <f t="shared" si="64"/>
        <v>-2.7809056735481952E-2</v>
      </c>
      <c r="H1037" s="1067">
        <f t="shared" si="65"/>
        <v>-1.8570304691967077E-2</v>
      </c>
      <c r="I1037">
        <f t="shared" si="66"/>
        <v>531.1664963445088</v>
      </c>
    </row>
    <row r="1038" spans="1:9" ht="20.100000000000001" customHeight="1">
      <c r="A1038" s="563">
        <v>44603</v>
      </c>
      <c r="B1038">
        <f t="shared" si="67"/>
        <v>699.59415620196478</v>
      </c>
      <c r="C1038">
        <f t="shared" si="67"/>
        <v>196.82242622035997</v>
      </c>
      <c r="D1038">
        <v>62.054000854492188</v>
      </c>
      <c r="E1038" s="604">
        <v>13791.150390625</v>
      </c>
      <c r="F1038" s="748">
        <f t="shared" si="64"/>
        <v>2.5782125425788394E-4</v>
      </c>
      <c r="G1038" s="748">
        <f t="shared" si="64"/>
        <v>-1.6711350646736456E-5</v>
      </c>
      <c r="H1038" s="1067">
        <f t="shared" si="65"/>
        <v>2.7453260490462039E-4</v>
      </c>
      <c r="I1038">
        <f t="shared" si="66"/>
        <v>502.77172998160484</v>
      </c>
    </row>
    <row r="1039" spans="1:9" ht="20.100000000000001" customHeight="1">
      <c r="A1039" s="563">
        <v>44606</v>
      </c>
      <c r="B1039">
        <f t="shared" si="67"/>
        <v>699.77452644478831</v>
      </c>
      <c r="C1039">
        <f t="shared" si="67"/>
        <v>196.81913705178027</v>
      </c>
      <c r="D1039">
        <v>62.069999694824219</v>
      </c>
      <c r="E1039" s="604">
        <v>13790.919921875</v>
      </c>
      <c r="F1039" s="748">
        <f t="shared" si="64"/>
        <v>3.8891597820404744E-2</v>
      </c>
      <c r="G1039" s="748">
        <f t="shared" si="64"/>
        <v>2.5294892996708285E-2</v>
      </c>
      <c r="H1039" s="1067">
        <f t="shared" si="65"/>
        <v>1.3596704823696459E-2</v>
      </c>
      <c r="I1039">
        <f t="shared" si="66"/>
        <v>502.95538939300803</v>
      </c>
    </row>
    <row r="1040" spans="1:9" ht="20.100000000000001" customHeight="1">
      <c r="A1040" s="563">
        <v>44607</v>
      </c>
      <c r="B1040">
        <f t="shared" si="67"/>
        <v>726.98987589224316</v>
      </c>
      <c r="C1040">
        <f t="shared" si="67"/>
        <v>201.79765606320953</v>
      </c>
      <c r="D1040">
        <v>64.484001159667969</v>
      </c>
      <c r="E1040" s="604">
        <v>14139.759765625</v>
      </c>
      <c r="F1040" s="748">
        <f t="shared" si="64"/>
        <v>-6.3892214513241452E-3</v>
      </c>
      <c r="G1040" s="748">
        <f t="shared" si="64"/>
        <v>-1.1082169806798658E-3</v>
      </c>
      <c r="H1040" s="1067">
        <f t="shared" si="65"/>
        <v>-5.2810044706442794E-3</v>
      </c>
      <c r="I1040">
        <f t="shared" si="66"/>
        <v>525.19221982903366</v>
      </c>
    </row>
    <row r="1041" spans="1:9" ht="20.100000000000001" customHeight="1">
      <c r="A1041" s="563">
        <v>44608</v>
      </c>
      <c r="B1041">
        <f t="shared" si="67"/>
        <v>722.34497658229691</v>
      </c>
      <c r="C1041">
        <f t="shared" si="67"/>
        <v>201.57402047409889</v>
      </c>
      <c r="D1041">
        <v>64.071998596191406</v>
      </c>
      <c r="E1041" s="604">
        <v>14124.08984375</v>
      </c>
      <c r="F1041" s="748">
        <f t="shared" si="64"/>
        <v>-3.0652967446590185E-2</v>
      </c>
      <c r="G1041" s="748">
        <f t="shared" si="64"/>
        <v>-2.8842220751503111E-2</v>
      </c>
      <c r="H1041" s="1067">
        <f t="shared" si="65"/>
        <v>-1.8107466950870732E-3</v>
      </c>
      <c r="I1041">
        <f t="shared" si="66"/>
        <v>520.77095610819799</v>
      </c>
    </row>
    <row r="1042" spans="1:9" ht="20.100000000000001" customHeight="1">
      <c r="A1042" s="563">
        <v>44609</v>
      </c>
      <c r="B1042">
        <f t="shared" si="67"/>
        <v>700.20295952991182</v>
      </c>
      <c r="C1042">
        <f t="shared" si="67"/>
        <v>195.76017807781693</v>
      </c>
      <c r="D1042">
        <v>62.108001708984382</v>
      </c>
      <c r="E1042" s="604">
        <v>13716.7197265625</v>
      </c>
      <c r="F1042" s="748">
        <f t="shared" si="64"/>
        <v>-1.8322928720417075E-2</v>
      </c>
      <c r="G1042" s="748">
        <f t="shared" si="64"/>
        <v>-1.2295170961021396E-2</v>
      </c>
      <c r="H1042" s="1067">
        <f t="shared" si="65"/>
        <v>-6.0277577593956799E-3</v>
      </c>
      <c r="I1042">
        <f t="shared" si="66"/>
        <v>504.44278145209489</v>
      </c>
    </row>
    <row r="1043" spans="1:9" ht="20.100000000000001" customHeight="1">
      <c r="A1043" s="563">
        <v>44610</v>
      </c>
      <c r="B1043">
        <f t="shared" si="67"/>
        <v>687.37319061262019</v>
      </c>
      <c r="C1043">
        <f t="shared" si="67"/>
        <v>193.35327322099019</v>
      </c>
      <c r="D1043">
        <v>60.970001220703118</v>
      </c>
      <c r="E1043" s="604">
        <v>13548.0703125</v>
      </c>
      <c r="F1043" s="748">
        <f t="shared" si="64"/>
        <v>-2.4438275358945605E-2</v>
      </c>
      <c r="G1043" s="748">
        <f t="shared" si="64"/>
        <v>-1.2293321292873194E-2</v>
      </c>
      <c r="H1043" s="1067">
        <f t="shared" si="65"/>
        <v>-1.2144954066072411E-2</v>
      </c>
      <c r="I1043">
        <f t="shared" si="66"/>
        <v>494.01991739162997</v>
      </c>
    </row>
    <row r="1044" spans="1:9" ht="20.100000000000001" customHeight="1">
      <c r="A1044" s="563">
        <v>44614</v>
      </c>
      <c r="B1044">
        <f t="shared" si="67"/>
        <v>670.57497530607202</v>
      </c>
      <c r="C1044">
        <f t="shared" si="67"/>
        <v>190.97631931025586</v>
      </c>
      <c r="D1044">
        <v>59.479999542236328</v>
      </c>
      <c r="E1044" s="604">
        <v>13381.51953125</v>
      </c>
      <c r="F1044" s="748">
        <f t="shared" si="64"/>
        <v>-4.3342285387201862E-2</v>
      </c>
      <c r="G1044" s="748">
        <f t="shared" si="64"/>
        <v>-2.5709284814148692E-2</v>
      </c>
      <c r="H1044" s="1067">
        <f t="shared" si="65"/>
        <v>-1.763300057305317E-2</v>
      </c>
      <c r="I1044">
        <f t="shared" si="66"/>
        <v>479.59865599581616</v>
      </c>
    </row>
    <row r="1045" spans="1:9" ht="20.100000000000001" customHeight="1">
      <c r="A1045" s="563">
        <v>44615</v>
      </c>
      <c r="B1045">
        <f t="shared" si="67"/>
        <v>641.51072335284039</v>
      </c>
      <c r="C1045">
        <f t="shared" si="67"/>
        <v>186.06645472435068</v>
      </c>
      <c r="D1045">
        <v>56.902000427246087</v>
      </c>
      <c r="E1045" s="604">
        <v>13037.490234375</v>
      </c>
      <c r="F1045" s="748">
        <f t="shared" si="64"/>
        <v>0.1122631970812491</v>
      </c>
      <c r="G1045" s="748">
        <f t="shared" si="64"/>
        <v>3.344965952305512E-2</v>
      </c>
      <c r="H1045" s="1067">
        <f t="shared" si="65"/>
        <v>7.881353755819398E-2</v>
      </c>
      <c r="I1045">
        <f t="shared" si="66"/>
        <v>455.44426862848968</v>
      </c>
    </row>
    <row r="1046" spans="1:9" ht="20.100000000000001" customHeight="1">
      <c r="A1046" s="563">
        <v>44616</v>
      </c>
      <c r="B1046">
        <f t="shared" si="67"/>
        <v>713.52876811833494</v>
      </c>
      <c r="C1046">
        <f t="shared" si="67"/>
        <v>192.29031428354216</v>
      </c>
      <c r="D1046">
        <v>63.290000915527337</v>
      </c>
      <c r="E1046" s="604">
        <v>13473.58984375</v>
      </c>
      <c r="F1046" s="748">
        <f t="shared" si="64"/>
        <v>2.6923721847396109E-2</v>
      </c>
      <c r="G1046" s="748">
        <f t="shared" si="64"/>
        <v>1.6404705501706252E-2</v>
      </c>
      <c r="H1046" s="1067">
        <f t="shared" si="65"/>
        <v>1.0519016345689858E-2</v>
      </c>
      <c r="I1046">
        <f t="shared" si="66"/>
        <v>521.23845383479284</v>
      </c>
    </row>
    <row r="1047" spans="1:9" ht="20.100000000000001" customHeight="1">
      <c r="A1047" s="563">
        <v>44617</v>
      </c>
      <c r="B1047">
        <f t="shared" si="67"/>
        <v>732.73961820126817</v>
      </c>
      <c r="C1047">
        <f t="shared" si="67"/>
        <v>195.44478026019422</v>
      </c>
      <c r="D1047">
        <v>64.994003295898438</v>
      </c>
      <c r="E1047" s="604">
        <v>13694.6201171875</v>
      </c>
      <c r="F1047" s="748">
        <f t="shared" si="64"/>
        <v>6.0159335237649492E-2</v>
      </c>
      <c r="G1047" s="748">
        <f t="shared" si="64"/>
        <v>4.1461736763503954E-3</v>
      </c>
      <c r="H1047" s="1067">
        <f t="shared" si="65"/>
        <v>5.6013161561299096E-2</v>
      </c>
      <c r="I1047">
        <f t="shared" si="66"/>
        <v>537.29483794107398</v>
      </c>
    </row>
    <row r="1048" spans="1:9" ht="20.100000000000001" customHeight="1">
      <c r="A1048" s="563">
        <v>44620</v>
      </c>
      <c r="B1048">
        <f t="shared" si="67"/>
        <v>776.82074653454561</v>
      </c>
      <c r="C1048">
        <f t="shared" si="67"/>
        <v>196.25512826328912</v>
      </c>
      <c r="D1048">
        <v>68.903999328613281</v>
      </c>
      <c r="E1048" s="604">
        <v>13751.400390625</v>
      </c>
      <c r="F1048" s="748">
        <f t="shared" si="64"/>
        <v>-1.9418284128071117E-2</v>
      </c>
      <c r="G1048" s="748">
        <f t="shared" si="64"/>
        <v>-1.5921318808865603E-2</v>
      </c>
      <c r="H1048" s="1067">
        <f t="shared" si="65"/>
        <v>-3.4969653192055139E-3</v>
      </c>
      <c r="I1048">
        <f t="shared" si="66"/>
        <v>580.56561827125643</v>
      </c>
    </row>
    <row r="1049" spans="1:9" ht="20.100000000000001" customHeight="1">
      <c r="A1049" s="563">
        <v>44621</v>
      </c>
      <c r="B1049">
        <f t="shared" si="67"/>
        <v>761.73622056175748</v>
      </c>
      <c r="C1049">
        <f t="shared" si="67"/>
        <v>193.13048779833449</v>
      </c>
      <c r="D1049">
        <v>67.566001892089844</v>
      </c>
      <c r="E1049" s="604">
        <v>13532.4599609375</v>
      </c>
      <c r="F1049" s="748">
        <f t="shared" si="64"/>
        <v>2.066122094925138E-2</v>
      </c>
      <c r="G1049" s="748">
        <f t="shared" si="64"/>
        <v>1.6224660626839249E-2</v>
      </c>
      <c r="H1049" s="1067">
        <f t="shared" si="65"/>
        <v>4.4365603224121308E-3</v>
      </c>
      <c r="I1049">
        <f t="shared" si="66"/>
        <v>568.60573276342302</v>
      </c>
    </row>
    <row r="1050" spans="1:9" ht="20.100000000000001" customHeight="1">
      <c r="A1050" s="563">
        <v>44622</v>
      </c>
      <c r="B1050">
        <f t="shared" si="67"/>
        <v>777.47462091983164</v>
      </c>
      <c r="C1050">
        <f t="shared" si="67"/>
        <v>196.26396441955839</v>
      </c>
      <c r="D1050">
        <v>68.961997985839844</v>
      </c>
      <c r="E1050" s="604">
        <v>13752.01953125</v>
      </c>
      <c r="F1050" s="748">
        <f t="shared" si="64"/>
        <v>-2.4535271485621069E-2</v>
      </c>
      <c r="G1050" s="748">
        <f t="shared" si="64"/>
        <v>-1.5567102786323672E-2</v>
      </c>
      <c r="H1050" s="1067">
        <f t="shared" si="65"/>
        <v>-8.9681686992973964E-3</v>
      </c>
      <c r="I1050">
        <f t="shared" si="66"/>
        <v>581.21065650027322</v>
      </c>
    </row>
    <row r="1051" spans="1:9" ht="20.100000000000001" customHeight="1">
      <c r="A1051" s="563">
        <v>44623</v>
      </c>
      <c r="B1051">
        <f t="shared" si="67"/>
        <v>758.39907002238328</v>
      </c>
      <c r="C1051">
        <f t="shared" si="67"/>
        <v>193.20870311218775</v>
      </c>
      <c r="D1051">
        <v>67.269996643066406</v>
      </c>
      <c r="E1051" s="604">
        <v>13537.9404296875</v>
      </c>
      <c r="F1051" s="748">
        <f t="shared" si="64"/>
        <v>-2.6459608041679017E-3</v>
      </c>
      <c r="G1051" s="748">
        <f t="shared" si="64"/>
        <v>-1.6583024660655976E-2</v>
      </c>
      <c r="H1051" s="1067">
        <f t="shared" si="65"/>
        <v>1.3937063856488074E-2</v>
      </c>
      <c r="I1051">
        <f t="shared" si="66"/>
        <v>565.19036691019551</v>
      </c>
    </row>
    <row r="1052" spans="1:9" ht="20.100000000000001" customHeight="1">
      <c r="A1052" s="563">
        <v>44624</v>
      </c>
      <c r="B1052">
        <f t="shared" si="67"/>
        <v>756.39237580918666</v>
      </c>
      <c r="C1052">
        <f t="shared" si="67"/>
        <v>190.00471842382498</v>
      </c>
      <c r="D1052">
        <v>67.092002868652344</v>
      </c>
      <c r="E1052" s="604">
        <v>13313.4404296875</v>
      </c>
      <c r="F1052" s="748">
        <f t="shared" si="64"/>
        <v>-0.13143153030350752</v>
      </c>
      <c r="G1052" s="748">
        <f t="shared" si="64"/>
        <v>-3.6240104223858038E-2</v>
      </c>
      <c r="H1052" s="1067">
        <f t="shared" si="65"/>
        <v>-9.5191426079649477E-2</v>
      </c>
      <c r="I1052">
        <f t="shared" si="66"/>
        <v>566.38765738536165</v>
      </c>
    </row>
    <row r="1053" spans="1:9" ht="20.100000000000001" customHeight="1">
      <c r="A1053" s="563">
        <v>44627</v>
      </c>
      <c r="B1053">
        <f t="shared" si="67"/>
        <v>656.97856834667948</v>
      </c>
      <c r="C1053">
        <f t="shared" si="67"/>
        <v>183.11892762512076</v>
      </c>
      <c r="D1053">
        <v>58.273998260498047</v>
      </c>
      <c r="E1053" s="604">
        <v>12830.9599609375</v>
      </c>
      <c r="F1053" s="748">
        <f t="shared" si="64"/>
        <v>-4.9902138486332182E-2</v>
      </c>
      <c r="G1053" s="748">
        <f t="shared" si="64"/>
        <v>-2.7597433362587243E-3</v>
      </c>
      <c r="H1053" s="1067">
        <f t="shared" si="65"/>
        <v>-4.7142395150073457E-2</v>
      </c>
      <c r="I1053">
        <f t="shared" si="66"/>
        <v>473.85964072155872</v>
      </c>
    </row>
    <row r="1054" spans="1:9" ht="20.100000000000001" customHeight="1">
      <c r="A1054" s="563">
        <v>44628</v>
      </c>
      <c r="B1054">
        <f t="shared" si="67"/>
        <v>624.19393284649118</v>
      </c>
      <c r="C1054">
        <f t="shared" si="67"/>
        <v>182.6135663848645</v>
      </c>
      <c r="D1054">
        <v>55.366001129150391</v>
      </c>
      <c r="E1054" s="604">
        <v>12795.5498046875</v>
      </c>
      <c r="F1054" s="748">
        <f t="shared" si="64"/>
        <v>3.8290627617109774E-2</v>
      </c>
      <c r="G1054" s="748">
        <f t="shared" si="64"/>
        <v>3.5949998790320459E-2</v>
      </c>
      <c r="H1054" s="1067">
        <f t="shared" si="65"/>
        <v>2.3406288267893149E-3</v>
      </c>
      <c r="I1054">
        <f t="shared" si="66"/>
        <v>441.58036646162668</v>
      </c>
    </row>
    <row r="1055" spans="1:9" ht="20.100000000000001" customHeight="1">
      <c r="A1055" s="563">
        <v>44629</v>
      </c>
      <c r="B1055">
        <f t="shared" si="67"/>
        <v>648.09471028997541</v>
      </c>
      <c r="C1055">
        <f t="shared" si="67"/>
        <v>189.1785238754965</v>
      </c>
      <c r="D1055">
        <v>57.486000061035163</v>
      </c>
      <c r="E1055" s="604">
        <v>13255.5498046875</v>
      </c>
      <c r="F1055" s="748">
        <f t="shared" si="64"/>
        <v>-2.3309826863470162E-3</v>
      </c>
      <c r="G1055" s="748">
        <f t="shared" si="64"/>
        <v>-9.474510344760545E-3</v>
      </c>
      <c r="H1055" s="1067">
        <f t="shared" si="65"/>
        <v>7.1435276584135288E-3</v>
      </c>
      <c r="I1055">
        <f t="shared" si="66"/>
        <v>458.91618641447894</v>
      </c>
    </row>
    <row r="1056" spans="1:9" ht="20.100000000000001" customHeight="1">
      <c r="A1056" s="563">
        <v>44630</v>
      </c>
      <c r="B1056">
        <f t="shared" si="67"/>
        <v>646.58401274117637</v>
      </c>
      <c r="C1056">
        <f t="shared" si="67"/>
        <v>187.38614999403157</v>
      </c>
      <c r="D1056">
        <v>57.352001190185547</v>
      </c>
      <c r="E1056" s="604">
        <v>13129.9599609375</v>
      </c>
      <c r="F1056" s="748">
        <f t="shared" si="64"/>
        <v>-2.6607632600336162E-2</v>
      </c>
      <c r="G1056" s="748">
        <f t="shared" si="64"/>
        <v>-2.1793698646173865E-2</v>
      </c>
      <c r="H1056" s="1067">
        <f t="shared" si="65"/>
        <v>-4.8139339541622972E-3</v>
      </c>
      <c r="I1056">
        <f t="shared" si="66"/>
        <v>459.19786274714477</v>
      </c>
    </row>
    <row r="1057" spans="1:9" ht="20.100000000000001" customHeight="1">
      <c r="A1057" s="563">
        <v>44631</v>
      </c>
      <c r="B1057">
        <f t="shared" si="67"/>
        <v>629.37994288490802</v>
      </c>
      <c r="C1057">
        <f t="shared" si="67"/>
        <v>183.30231271059492</v>
      </c>
      <c r="D1057">
        <v>55.826000213623047</v>
      </c>
      <c r="E1057" s="604">
        <v>12843.8095703125</v>
      </c>
      <c r="F1057" s="748">
        <f t="shared" si="64"/>
        <v>-1.3219628122708493E-2</v>
      </c>
      <c r="G1057" s="748">
        <f t="shared" si="64"/>
        <v>-2.0444856513363141E-2</v>
      </c>
      <c r="H1057" s="1067">
        <f t="shared" si="65"/>
        <v>7.2252283906546477E-3</v>
      </c>
      <c r="I1057">
        <f t="shared" si="66"/>
        <v>446.07763017431307</v>
      </c>
    </row>
    <row r="1058" spans="1:9" ht="20.100000000000001" customHeight="1">
      <c r="A1058" s="563">
        <v>44634</v>
      </c>
      <c r="B1058">
        <f t="shared" si="67"/>
        <v>621.05977409207799</v>
      </c>
      <c r="C1058">
        <f t="shared" si="67"/>
        <v>179.55472322865918</v>
      </c>
      <c r="D1058">
        <v>55.088001251220703</v>
      </c>
      <c r="E1058" s="604">
        <v>12581.2197265625</v>
      </c>
      <c r="F1058" s="748">
        <f t="shared" si="64"/>
        <v>2.8608774648329227E-2</v>
      </c>
      <c r="G1058" s="748">
        <f t="shared" si="64"/>
        <v>2.9202287108086589E-2</v>
      </c>
      <c r="H1058" s="1067">
        <f t="shared" si="65"/>
        <v>-5.9351245975736155E-4</v>
      </c>
      <c r="I1058">
        <f t="shared" si="66"/>
        <v>441.50505086341877</v>
      </c>
    </row>
    <row r="1059" spans="1:9" ht="20.100000000000001" customHeight="1">
      <c r="A1059" s="563">
        <v>44635</v>
      </c>
      <c r="B1059">
        <f t="shared" si="67"/>
        <v>638.82753321222049</v>
      </c>
      <c r="C1059">
        <f t="shared" si="67"/>
        <v>184.7981318079955</v>
      </c>
      <c r="D1059">
        <v>56.66400146484375</v>
      </c>
      <c r="E1059" s="604">
        <v>12948.6201171875</v>
      </c>
      <c r="F1059" s="748">
        <f t="shared" si="64"/>
        <v>5.0190559822831826E-2</v>
      </c>
      <c r="G1059" s="748">
        <f t="shared" si="64"/>
        <v>3.7681983337540359E-2</v>
      </c>
      <c r="H1059" s="1067">
        <f t="shared" si="65"/>
        <v>1.2508576485291467E-2</v>
      </c>
      <c r="I1059">
        <f t="shared" si="66"/>
        <v>454.02940140422498</v>
      </c>
    </row>
    <row r="1060" spans="1:9" ht="20.100000000000001" customHeight="1">
      <c r="A1060" s="563">
        <v>44636</v>
      </c>
      <c r="B1060">
        <f t="shared" si="67"/>
        <v>670.89064473438054</v>
      </c>
      <c r="C1060">
        <f t="shared" si="67"/>
        <v>191.76169193159296</v>
      </c>
      <c r="D1060">
        <v>59.507999420166023</v>
      </c>
      <c r="E1060" s="604">
        <v>13436.5498046875</v>
      </c>
      <c r="F1060" s="748">
        <f t="shared" si="64"/>
        <v>1.9963697938385039E-2</v>
      </c>
      <c r="G1060" s="748">
        <f t="shared" si="64"/>
        <v>1.3264600759922862E-2</v>
      </c>
      <c r="H1060" s="1067">
        <f t="shared" si="65"/>
        <v>6.6990971784621767E-3</v>
      </c>
      <c r="I1060">
        <f t="shared" si="66"/>
        <v>479.12895280278758</v>
      </c>
    </row>
    <row r="1061" spans="1:9" ht="20.100000000000001" customHeight="1">
      <c r="A1061" s="563">
        <v>44637</v>
      </c>
      <c r="B1061">
        <f t="shared" si="67"/>
        <v>684.2841029155461</v>
      </c>
      <c r="C1061">
        <f t="shared" si="67"/>
        <v>194.30533421611287</v>
      </c>
      <c r="D1061">
        <v>60.695999145507813</v>
      </c>
      <c r="E1061" s="604">
        <v>13614.7802734375</v>
      </c>
      <c r="F1061" s="748">
        <f t="shared" si="64"/>
        <v>5.4336371130278227E-2</v>
      </c>
      <c r="G1061" s="748">
        <f t="shared" si="64"/>
        <v>2.0496810430128409E-2</v>
      </c>
      <c r="H1061" s="1067">
        <f t="shared" si="65"/>
        <v>3.3839560700149818E-2</v>
      </c>
      <c r="I1061">
        <f t="shared" si="66"/>
        <v>489.9787686994332</v>
      </c>
    </row>
    <row r="1062" spans="1:9" ht="20.100000000000001" customHeight="1">
      <c r="A1062" s="563">
        <v>44638</v>
      </c>
      <c r="B1062">
        <f t="shared" si="67"/>
        <v>721.46561789011469</v>
      </c>
      <c r="C1062">
        <f t="shared" si="67"/>
        <v>198.28797381710328</v>
      </c>
      <c r="D1062">
        <v>63.993999481201172</v>
      </c>
      <c r="E1062" s="604">
        <v>13893.83984375</v>
      </c>
      <c r="F1062" s="748">
        <f t="shared" si="64"/>
        <v>-1.7001613589416542E-2</v>
      </c>
      <c r="G1062" s="748">
        <f t="shared" si="64"/>
        <v>-3.9859307027647617E-3</v>
      </c>
      <c r="H1062" s="1067">
        <f t="shared" si="65"/>
        <v>-1.301568288665178E-2</v>
      </c>
      <c r="I1062">
        <f t="shared" si="66"/>
        <v>523.17764407301138</v>
      </c>
    </row>
    <row r="1063" spans="1:9" ht="20.100000000000001" customHeight="1">
      <c r="A1063" s="563">
        <v>44641</v>
      </c>
      <c r="B1063">
        <f t="shared" si="67"/>
        <v>709.19953823669732</v>
      </c>
      <c r="C1063">
        <f t="shared" si="67"/>
        <v>197.49761169427669</v>
      </c>
      <c r="D1063">
        <v>62.905998229980469</v>
      </c>
      <c r="E1063" s="604">
        <v>13838.4599609375</v>
      </c>
      <c r="F1063" s="748">
        <f t="shared" si="64"/>
        <v>3.5481548995387024E-2</v>
      </c>
      <c r="G1063" s="748">
        <f t="shared" si="64"/>
        <v>1.9536881439528697E-2</v>
      </c>
      <c r="H1063" s="1067">
        <f t="shared" si="65"/>
        <v>1.5944667555858327E-2</v>
      </c>
      <c r="I1063">
        <f t="shared" si="66"/>
        <v>511.70192654242067</v>
      </c>
    </row>
    <row r="1064" spans="1:9" ht="20.100000000000001" customHeight="1">
      <c r="A1064" s="563">
        <v>44642</v>
      </c>
      <c r="B1064">
        <f t="shared" si="67"/>
        <v>734.36303640014853</v>
      </c>
      <c r="C1064">
        <f t="shared" si="67"/>
        <v>201.35609911853786</v>
      </c>
      <c r="D1064">
        <v>65.13800048828125</v>
      </c>
      <c r="E1064" s="604">
        <v>14108.8203125</v>
      </c>
      <c r="F1064" s="748">
        <f t="shared" si="64"/>
        <v>-1.307988223620038E-2</v>
      </c>
      <c r="G1064" s="748">
        <f t="shared" si="64"/>
        <v>-1.3198885448984954E-2</v>
      </c>
      <c r="H1064" s="1067">
        <f t="shared" si="65"/>
        <v>1.1900321278457415E-4</v>
      </c>
      <c r="I1064">
        <f t="shared" si="66"/>
        <v>533.0069372816107</v>
      </c>
    </row>
    <row r="1065" spans="1:9" ht="20.100000000000001" customHeight="1">
      <c r="A1065" s="563">
        <v>44643</v>
      </c>
      <c r="B1065">
        <f t="shared" si="67"/>
        <v>724.7576543654161</v>
      </c>
      <c r="C1065">
        <f t="shared" si="67"/>
        <v>198.69842303181781</v>
      </c>
      <c r="D1065">
        <v>64.286003112792969</v>
      </c>
      <c r="E1065" s="604">
        <v>13922.599609375</v>
      </c>
      <c r="F1065" s="748">
        <f t="shared" si="64"/>
        <v>4.4426392059429665E-2</v>
      </c>
      <c r="G1065" s="748">
        <f t="shared" si="64"/>
        <v>1.9338359353069601E-2</v>
      </c>
      <c r="H1065" s="1067">
        <f t="shared" si="65"/>
        <v>2.5088032706360064E-2</v>
      </c>
      <c r="I1065">
        <f t="shared" si="66"/>
        <v>526.05923133359829</v>
      </c>
    </row>
    <row r="1066" spans="1:9" ht="20.100000000000001" customHeight="1">
      <c r="A1066" s="563">
        <v>44644</v>
      </c>
      <c r="B1066">
        <f t="shared" si="67"/>
        <v>756.95602206632668</v>
      </c>
      <c r="C1066">
        <f t="shared" si="67"/>
        <v>202.54092453929533</v>
      </c>
      <c r="D1066">
        <v>67.141998291015625</v>
      </c>
      <c r="E1066" s="604">
        <v>14191.83984375</v>
      </c>
      <c r="F1066" s="748">
        <f t="shared" si="64"/>
        <v>-8.8767192898170366E-3</v>
      </c>
      <c r="G1066" s="748">
        <f t="shared" si="64"/>
        <v>-1.5882393904287362E-3</v>
      </c>
      <c r="H1066" s="1067">
        <f t="shared" si="65"/>
        <v>-7.2884798993883004E-3</v>
      </c>
      <c r="I1066">
        <f t="shared" si="66"/>
        <v>554.41509752703132</v>
      </c>
    </row>
    <row r="1067" spans="1:9" ht="20.100000000000001" customHeight="1">
      <c r="A1067" s="563">
        <v>44645</v>
      </c>
      <c r="B1067">
        <f t="shared" si="67"/>
        <v>750.23673594370734</v>
      </c>
      <c r="C1067">
        <f t="shared" si="67"/>
        <v>202.21924106476817</v>
      </c>
      <c r="D1067">
        <v>66.545997619628906</v>
      </c>
      <c r="E1067" s="604">
        <v>14169.2998046875</v>
      </c>
      <c r="F1067" s="748">
        <f t="shared" si="64"/>
        <v>1.7431606762285723E-2</v>
      </c>
      <c r="G1067" s="748">
        <f t="shared" si="64"/>
        <v>1.3098783178834283E-2</v>
      </c>
      <c r="H1067" s="1067">
        <f t="shared" si="65"/>
        <v>4.3328235834514395E-3</v>
      </c>
      <c r="I1067">
        <f t="shared" si="66"/>
        <v>548.01749487893915</v>
      </c>
    </row>
    <row r="1068" spans="1:9" ht="20.100000000000001" customHeight="1">
      <c r="A1068" s="563">
        <v>44648</v>
      </c>
      <c r="B1068">
        <f t="shared" si="67"/>
        <v>763.31456770329885</v>
      </c>
      <c r="C1068">
        <f t="shared" si="67"/>
        <v>204.86806705806399</v>
      </c>
      <c r="D1068">
        <v>67.706001281738281</v>
      </c>
      <c r="E1068" s="604">
        <v>14354.900390625</v>
      </c>
      <c r="F1068" s="748">
        <f t="shared" si="64"/>
        <v>2.6437847186969288E-2</v>
      </c>
      <c r="G1068" s="748">
        <f t="shared" si="64"/>
        <v>1.8442430849983316E-2</v>
      </c>
      <c r="H1068" s="1067">
        <f t="shared" si="65"/>
        <v>7.9954163369859721E-3</v>
      </c>
      <c r="I1068">
        <f t="shared" si="66"/>
        <v>558.44650064523489</v>
      </c>
    </row>
    <row r="1069" spans="1:9" ht="20.100000000000001" customHeight="1">
      <c r="A1069" s="563">
        <v>44649</v>
      </c>
      <c r="B1069">
        <f t="shared" si="67"/>
        <v>783.49496159982618</v>
      </c>
      <c r="C1069">
        <f t="shared" si="67"/>
        <v>208.64633221815208</v>
      </c>
      <c r="D1069">
        <v>69.496002197265625</v>
      </c>
      <c r="E1069" s="604">
        <v>14619.6396484375</v>
      </c>
      <c r="F1069" s="748">
        <f t="shared" si="64"/>
        <v>-1.5972150559118603E-2</v>
      </c>
      <c r="G1069" s="748">
        <f t="shared" si="64"/>
        <v>-1.2132317995023678E-2</v>
      </c>
      <c r="H1069" s="1067">
        <f t="shared" si="65"/>
        <v>-3.8398325640949249E-3</v>
      </c>
      <c r="I1069">
        <f t="shared" si="66"/>
        <v>574.84862938167407</v>
      </c>
    </row>
    <row r="1070" spans="1:9" ht="20.100000000000001" customHeight="1">
      <c r="A1070" s="563">
        <v>44650</v>
      </c>
      <c r="B1070">
        <f t="shared" si="67"/>
        <v>770.98086211084296</v>
      </c>
      <c r="C1070">
        <f t="shared" si="67"/>
        <v>206.11496856718611</v>
      </c>
      <c r="D1070">
        <v>68.386001586914063</v>
      </c>
      <c r="E1070" s="604">
        <v>14442.26953125</v>
      </c>
      <c r="F1070" s="748">
        <f t="shared" si="64"/>
        <v>-5.5569872895488981E-4</v>
      </c>
      <c r="G1070" s="748">
        <f t="shared" si="64"/>
        <v>-1.5354234978109282E-2</v>
      </c>
      <c r="H1070" s="1067">
        <f t="shared" si="65"/>
        <v>1.4798536249154393E-2</v>
      </c>
      <c r="I1070">
        <f t="shared" si="66"/>
        <v>564.86589354365685</v>
      </c>
    </row>
    <row r="1071" spans="1:9" ht="20.100000000000001" customHeight="1">
      <c r="A1071" s="563">
        <v>44651</v>
      </c>
      <c r="B1071">
        <f t="shared" si="67"/>
        <v>770.55242902571945</v>
      </c>
      <c r="C1071">
        <f t="shared" si="67"/>
        <v>202.95023090729993</v>
      </c>
      <c r="D1071">
        <v>68.347999572753906</v>
      </c>
      <c r="E1071" s="604">
        <v>14220.51953125</v>
      </c>
      <c r="F1071" s="748">
        <f t="shared" si="64"/>
        <v>-7.9884945139866437E-3</v>
      </c>
      <c r="G1071" s="748">
        <f t="shared" si="64"/>
        <v>2.8817842175135056E-3</v>
      </c>
      <c r="H1071" s="1067">
        <f t="shared" si="65"/>
        <v>-1.0870278731500149E-2</v>
      </c>
      <c r="I1071">
        <f t="shared" si="66"/>
        <v>567.60219811841955</v>
      </c>
    </row>
    <row r="1072" spans="1:9" ht="20.100000000000001" customHeight="1">
      <c r="A1072" s="563">
        <v>44652</v>
      </c>
      <c r="B1072">
        <f t="shared" si="67"/>
        <v>764.39687517370839</v>
      </c>
      <c r="C1072">
        <f t="shared" si="67"/>
        <v>203.53508967966931</v>
      </c>
      <c r="D1072">
        <v>67.802001953125</v>
      </c>
      <c r="E1072" s="604">
        <v>14261.5</v>
      </c>
      <c r="F1072" s="748">
        <f t="shared" si="64"/>
        <v>2.2654131724021198E-2</v>
      </c>
      <c r="G1072" s="748">
        <f t="shared" si="64"/>
        <v>1.9005700991305163E-2</v>
      </c>
      <c r="H1072" s="1067">
        <f t="shared" si="65"/>
        <v>3.6484307327160348E-3</v>
      </c>
      <c r="I1072">
        <f t="shared" si="66"/>
        <v>560.86178549403905</v>
      </c>
    </row>
    <row r="1073" spans="1:9" ht="20.100000000000001" customHeight="1">
      <c r="A1073" s="563">
        <v>44655</v>
      </c>
      <c r="B1073">
        <f t="shared" si="67"/>
        <v>781.71362267332381</v>
      </c>
      <c r="C1073">
        <f t="shared" si="67"/>
        <v>207.4034167353596</v>
      </c>
      <c r="D1073">
        <v>69.337997436523438</v>
      </c>
      <c r="E1073" s="604">
        <v>14532.5498046875</v>
      </c>
      <c r="F1073" s="748">
        <f t="shared" si="64"/>
        <v>-1.384520926424937E-2</v>
      </c>
      <c r="G1073" s="748">
        <f t="shared" si="64"/>
        <v>-2.2596164281272979E-2</v>
      </c>
      <c r="H1073" s="1067">
        <f t="shared" si="65"/>
        <v>8.7509550170236095E-3</v>
      </c>
      <c r="I1073">
        <f t="shared" si="66"/>
        <v>574.31020593796416</v>
      </c>
    </row>
    <row r="1074" spans="1:9" ht="20.100000000000001" customHeight="1">
      <c r="A1074" s="563">
        <v>44656</v>
      </c>
      <c r="B1074">
        <f t="shared" si="67"/>
        <v>770.89063398269718</v>
      </c>
      <c r="C1074">
        <f t="shared" si="67"/>
        <v>202.71689505831009</v>
      </c>
      <c r="D1074">
        <v>68.377998352050781</v>
      </c>
      <c r="E1074" s="604">
        <v>14204.169921875</v>
      </c>
      <c r="F1074" s="748">
        <f t="shared" si="64"/>
        <v>-2.8722643752968624E-2</v>
      </c>
      <c r="G1074" s="748">
        <f t="shared" si="64"/>
        <v>-2.2201199444210284E-2</v>
      </c>
      <c r="H1074" s="1067">
        <f t="shared" si="65"/>
        <v>-6.5214443087583396E-3</v>
      </c>
      <c r="I1074">
        <f t="shared" si="66"/>
        <v>568.17373892438707</v>
      </c>
    </row>
    <row r="1075" spans="1:9" ht="20.100000000000001" customHeight="1">
      <c r="A1075" s="563">
        <v>44657</v>
      </c>
      <c r="B1075">
        <f t="shared" si="67"/>
        <v>748.7486169303121</v>
      </c>
      <c r="C1075">
        <f t="shared" si="67"/>
        <v>198.2163368404095</v>
      </c>
      <c r="D1075">
        <v>66.41400146484375</v>
      </c>
      <c r="E1075" s="604">
        <v>13888.8203125</v>
      </c>
      <c r="F1075" s="748">
        <f t="shared" si="64"/>
        <v>1.8219036013259471E-2</v>
      </c>
      <c r="G1075" s="748">
        <f t="shared" si="64"/>
        <v>6.1052645197445798E-4</v>
      </c>
      <c r="H1075" s="1067">
        <f t="shared" si="65"/>
        <v>1.7608509561285013E-2</v>
      </c>
      <c r="I1075">
        <f t="shared" si="66"/>
        <v>550.53228008990254</v>
      </c>
    </row>
    <row r="1076" spans="1:9" ht="20.100000000000001" customHeight="1">
      <c r="A1076" s="563">
        <v>44658</v>
      </c>
      <c r="B1076">
        <f t="shared" si="67"/>
        <v>762.39009494704362</v>
      </c>
      <c r="C1076">
        <f t="shared" si="67"/>
        <v>198.33735315726403</v>
      </c>
      <c r="D1076">
        <v>67.624000549316406</v>
      </c>
      <c r="E1076" s="604">
        <v>13897.2998046875</v>
      </c>
      <c r="F1076" s="748">
        <f t="shared" si="64"/>
        <v>-6.7727460573921983E-3</v>
      </c>
      <c r="G1076" s="748">
        <f t="shared" si="64"/>
        <v>-1.3405467774730062E-2</v>
      </c>
      <c r="H1076" s="1067">
        <f t="shared" si="65"/>
        <v>6.6327217173378639E-3</v>
      </c>
      <c r="I1076">
        <f t="shared" si="66"/>
        <v>564.05274178977959</v>
      </c>
    </row>
    <row r="1077" spans="1:9" ht="20.100000000000001" customHeight="1">
      <c r="A1077" s="563">
        <v>44659</v>
      </c>
      <c r="B1077">
        <f t="shared" si="67"/>
        <v>757.22662043729622</v>
      </c>
      <c r="C1077">
        <f t="shared" si="67"/>
        <v>195.67854816098907</v>
      </c>
      <c r="D1077">
        <v>67.166000366210938</v>
      </c>
      <c r="E1077" s="604">
        <v>13711</v>
      </c>
      <c r="F1077" s="748">
        <f t="shared" si="64"/>
        <v>-2.3106958054119331E-2</v>
      </c>
      <c r="G1077" s="748">
        <f t="shared" si="64"/>
        <v>-2.1810228215483951E-2</v>
      </c>
      <c r="H1077" s="1067">
        <f t="shared" si="65"/>
        <v>-1.2967298386353798E-3</v>
      </c>
      <c r="I1077">
        <f t="shared" si="66"/>
        <v>561.54807227630715</v>
      </c>
    </row>
    <row r="1078" spans="1:9" ht="20.100000000000001" customHeight="1">
      <c r="A1078" s="563">
        <v>44662</v>
      </c>
      <c r="B1078">
        <f t="shared" si="67"/>
        <v>739.72941668138913</v>
      </c>
      <c r="C1078">
        <f t="shared" si="67"/>
        <v>191.41075436872333</v>
      </c>
      <c r="D1078">
        <v>65.613998413085938</v>
      </c>
      <c r="E1078" s="604">
        <v>13411.9599609375</v>
      </c>
      <c r="F1078" s="748">
        <f t="shared" si="64"/>
        <v>6.187677017096771E-3</v>
      </c>
      <c r="G1078" s="748">
        <f t="shared" si="64"/>
        <v>-3.0114650323393999E-3</v>
      </c>
      <c r="H1078" s="1067">
        <f t="shared" si="65"/>
        <v>9.1991420494361709E-3</v>
      </c>
      <c r="I1078">
        <f t="shared" si="66"/>
        <v>548.31866231266577</v>
      </c>
    </row>
    <row r="1079" spans="1:9" ht="20.100000000000001" customHeight="1">
      <c r="A1079" s="563">
        <v>44663</v>
      </c>
      <c r="B1079">
        <f t="shared" si="67"/>
        <v>744.30662339185892</v>
      </c>
      <c r="C1079">
        <f t="shared" si="67"/>
        <v>190.83432757512821</v>
      </c>
      <c r="D1079">
        <v>66.019996643066406</v>
      </c>
      <c r="E1079" s="604">
        <v>13371.5703125</v>
      </c>
      <c r="F1079" s="748">
        <f t="shared" si="64"/>
        <v>3.2596191103746452E-2</v>
      </c>
      <c r="G1079" s="748">
        <f t="shared" si="64"/>
        <v>2.0343125369180592E-2</v>
      </c>
      <c r="H1079" s="1067">
        <f t="shared" si="65"/>
        <v>1.225306573456586E-2</v>
      </c>
      <c r="I1079">
        <f t="shared" si="66"/>
        <v>553.47229581673071</v>
      </c>
    </row>
    <row r="1080" spans="1:9" ht="20.100000000000001" customHeight="1">
      <c r="A1080" s="563">
        <v>44664</v>
      </c>
      <c r="B1080">
        <f t="shared" si="67"/>
        <v>768.56818432772423</v>
      </c>
      <c r="C1080">
        <f t="shared" si="67"/>
        <v>194.71649422573233</v>
      </c>
      <c r="D1080">
        <v>68.1719970703125</v>
      </c>
      <c r="E1080" s="604">
        <v>13643.58984375</v>
      </c>
      <c r="F1080" s="748">
        <f t="shared" si="64"/>
        <v>-2.669717439767938E-2</v>
      </c>
      <c r="G1080" s="748">
        <f t="shared" si="64"/>
        <v>-2.1439354962652701E-2</v>
      </c>
      <c r="H1080" s="1067">
        <f t="shared" si="65"/>
        <v>-5.2578194350266783E-3</v>
      </c>
      <c r="I1080">
        <f t="shared" si="66"/>
        <v>573.85169010199184</v>
      </c>
    </row>
    <row r="1081" spans="1:9" ht="20.100000000000001" customHeight="1">
      <c r="A1081" s="563">
        <v>44665</v>
      </c>
      <c r="B1081">
        <f t="shared" si="67"/>
        <v>748.04958547421916</v>
      </c>
      <c r="C1081">
        <f t="shared" si="67"/>
        <v>190.54189818894355</v>
      </c>
      <c r="D1081">
        <v>66.351997375488281</v>
      </c>
      <c r="E1081" s="604">
        <v>13351.080078125</v>
      </c>
      <c r="F1081" s="748">
        <f t="shared" si="64"/>
        <v>-4.0390305084956335E-3</v>
      </c>
      <c r="G1081" s="748">
        <f t="shared" si="64"/>
        <v>-1.4021132712079831E-3</v>
      </c>
      <c r="H1081" s="1067">
        <f t="shared" si="65"/>
        <v>-2.6369172372876504E-3</v>
      </c>
      <c r="I1081">
        <f t="shared" si="66"/>
        <v>557.50768728527555</v>
      </c>
    </row>
    <row r="1082" spans="1:9" ht="20.100000000000001" customHeight="1">
      <c r="A1082" s="563">
        <v>44669</v>
      </c>
      <c r="B1082">
        <f t="shared" si="67"/>
        <v>745.0281903766213</v>
      </c>
      <c r="C1082">
        <f t="shared" si="67"/>
        <v>190.27473686477168</v>
      </c>
      <c r="D1082">
        <v>66.083999633789063</v>
      </c>
      <c r="E1082" s="604">
        <v>13332.3603515625</v>
      </c>
      <c r="F1082" s="748">
        <f t="shared" si="64"/>
        <v>1.443620824492764E-2</v>
      </c>
      <c r="G1082" s="748">
        <f t="shared" si="64"/>
        <v>2.1549057864598486E-2</v>
      </c>
      <c r="H1082" s="1067">
        <f t="shared" si="65"/>
        <v>-7.1128496196708468E-3</v>
      </c>
      <c r="I1082">
        <f t="shared" si="66"/>
        <v>554.75345351184956</v>
      </c>
    </row>
    <row r="1083" spans="1:9" ht="20.100000000000001" customHeight="1">
      <c r="A1083" s="563">
        <v>44670</v>
      </c>
      <c r="B1083">
        <f t="shared" si="67"/>
        <v>755.78357248123984</v>
      </c>
      <c r="C1083">
        <f t="shared" si="67"/>
        <v>194.37497817964189</v>
      </c>
      <c r="D1083">
        <v>67.038002014160156</v>
      </c>
      <c r="E1083" s="604">
        <v>13619.66015625</v>
      </c>
      <c r="F1083" s="748">
        <f t="shared" si="64"/>
        <v>1.6080361405539367E-2</v>
      </c>
      <c r="G1083" s="748">
        <f t="shared" si="64"/>
        <v>-1.2231571260869711E-2</v>
      </c>
      <c r="H1083" s="1067">
        <f t="shared" si="65"/>
        <v>2.8311932666409079E-2</v>
      </c>
      <c r="I1083">
        <f t="shared" si="66"/>
        <v>561.40859430159799</v>
      </c>
    </row>
    <row r="1084" spans="1:9" ht="20.100000000000001" customHeight="1">
      <c r="A1084" s="563">
        <v>44671</v>
      </c>
      <c r="B1084">
        <f t="shared" si="67"/>
        <v>767.93684547110786</v>
      </c>
      <c r="C1084">
        <f t="shared" si="67"/>
        <v>191.99746678270759</v>
      </c>
      <c r="D1084">
        <v>68.115997314453125</v>
      </c>
      <c r="E1084" s="604">
        <v>13453.0703125</v>
      </c>
      <c r="F1084" s="748">
        <f t="shared" si="64"/>
        <v>-5.6726739171828244E-2</v>
      </c>
      <c r="G1084" s="748">
        <f t="shared" si="64"/>
        <v>-2.0695641619913663E-2</v>
      </c>
      <c r="H1084" s="1067">
        <f t="shared" si="65"/>
        <v>-3.6031097551914582E-2</v>
      </c>
      <c r="I1084">
        <f t="shared" si="66"/>
        <v>575.93937868840021</v>
      </c>
    </row>
    <row r="1085" spans="1:9" ht="20.100000000000001" customHeight="1">
      <c r="A1085" s="563">
        <v>44672</v>
      </c>
      <c r="B1085">
        <f t="shared" si="67"/>
        <v>724.3742923376318</v>
      </c>
      <c r="C1085">
        <f t="shared" si="67"/>
        <v>188.02395601824139</v>
      </c>
      <c r="D1085">
        <v>64.251998901367188</v>
      </c>
      <c r="E1085" s="604">
        <v>13174.650390625</v>
      </c>
      <c r="F1085" s="748">
        <f t="shared" si="64"/>
        <v>-5.2823215626223718E-2</v>
      </c>
      <c r="G1085" s="748">
        <f t="shared" si="64"/>
        <v>-2.5454971602217213E-2</v>
      </c>
      <c r="H1085" s="1067">
        <f t="shared" si="65"/>
        <v>-2.7368244024006505E-2</v>
      </c>
      <c r="I1085">
        <f t="shared" si="66"/>
        <v>536.35033631939041</v>
      </c>
    </row>
    <row r="1086" spans="1:9" ht="20.100000000000001" customHeight="1">
      <c r="A1086" s="563">
        <v>44673</v>
      </c>
      <c r="B1086">
        <f t="shared" si="67"/>
        <v>686.11051289938791</v>
      </c>
      <c r="C1086">
        <f t="shared" si="67"/>
        <v>183.23781155726053</v>
      </c>
      <c r="D1086">
        <v>60.858001708984382</v>
      </c>
      <c r="E1086" s="604">
        <v>12839.2900390625</v>
      </c>
      <c r="F1086" s="748">
        <f t="shared" si="64"/>
        <v>6.3097640902719965E-2</v>
      </c>
      <c r="G1086" s="748">
        <f t="shared" si="64"/>
        <v>1.2894760520932191E-2</v>
      </c>
      <c r="H1086" s="1067">
        <f t="shared" si="65"/>
        <v>5.0202880381787773E-2</v>
      </c>
      <c r="I1086">
        <f t="shared" si="66"/>
        <v>502.87270134212736</v>
      </c>
    </row>
    <row r="1087" spans="1:9" ht="20.100000000000001" customHeight="1">
      <c r="A1087" s="563">
        <v>44676</v>
      </c>
      <c r="B1087">
        <f t="shared" si="67"/>
        <v>729.40246766189455</v>
      </c>
      <c r="C1087">
        <f t="shared" si="67"/>
        <v>185.60061925567109</v>
      </c>
      <c r="D1087">
        <v>64.697998046875</v>
      </c>
      <c r="E1087" s="604">
        <v>13004.849609375</v>
      </c>
      <c r="F1087" s="748">
        <f t="shared" si="64"/>
        <v>-5.2520926649886945E-2</v>
      </c>
      <c r="G1087" s="748">
        <f t="shared" si="64"/>
        <v>-3.9532127663313155E-2</v>
      </c>
      <c r="H1087" s="1067">
        <f t="shared" si="65"/>
        <v>-1.2988798986573791E-2</v>
      </c>
      <c r="I1087">
        <f t="shared" si="66"/>
        <v>543.80184840622348</v>
      </c>
    </row>
    <row r="1088" spans="1:9" ht="20.100000000000001" customHeight="1">
      <c r="A1088" s="563">
        <v>44677</v>
      </c>
      <c r="B1088">
        <f t="shared" si="67"/>
        <v>691.09357415957766</v>
      </c>
      <c r="C1088">
        <f t="shared" si="67"/>
        <v>178.26343188086594</v>
      </c>
      <c r="D1088">
        <v>61.299999237060547</v>
      </c>
      <c r="E1088" s="604">
        <v>12490.740234375</v>
      </c>
      <c r="F1088" s="748">
        <f t="shared" si="64"/>
        <v>-2.0163133383660825E-2</v>
      </c>
      <c r="G1088" s="748">
        <f t="shared" si="64"/>
        <v>-1.4495112707713087E-4</v>
      </c>
      <c r="H1088" s="1067">
        <f t="shared" si="65"/>
        <v>-2.0018182256583694E-2</v>
      </c>
      <c r="I1088">
        <f t="shared" si="66"/>
        <v>512.83014227871172</v>
      </c>
    </row>
    <row r="1089" spans="1:9" ht="20.100000000000001" customHeight="1">
      <c r="A1089" s="563">
        <v>44678</v>
      </c>
      <c r="B1089">
        <f t="shared" si="67"/>
        <v>677.15896224320716</v>
      </c>
      <c r="C1089">
        <f t="shared" si="67"/>
        <v>178.23759239549815</v>
      </c>
      <c r="D1089">
        <v>60.063999176025391</v>
      </c>
      <c r="E1089" s="604">
        <v>12488.9296875</v>
      </c>
      <c r="F1089" s="748">
        <f t="shared" si="64"/>
        <v>2.7737086925039733E-2</v>
      </c>
      <c r="G1089" s="748">
        <f t="shared" si="64"/>
        <v>3.063517815465322E-2</v>
      </c>
      <c r="H1089" s="1067">
        <f t="shared" si="65"/>
        <v>-2.8980912296134864E-3</v>
      </c>
      <c r="I1089">
        <f t="shared" si="66"/>
        <v>498.921369847709</v>
      </c>
    </row>
    <row r="1090" spans="1:9" ht="20.100000000000001" customHeight="1">
      <c r="A1090" s="563">
        <v>44679</v>
      </c>
      <c r="B1090">
        <f t="shared" si="67"/>
        <v>695.94137924101665</v>
      </c>
      <c r="C1090">
        <f t="shared" si="67"/>
        <v>183.6979327923907</v>
      </c>
      <c r="D1090">
        <v>61.729999542236328</v>
      </c>
      <c r="E1090" s="604">
        <v>12871.5302734375</v>
      </c>
      <c r="F1090" s="748">
        <f t="shared" si="64"/>
        <v>-6.363196878239108E-2</v>
      </c>
      <c r="G1090" s="748">
        <f t="shared" si="64"/>
        <v>-4.1711483684885642E-2</v>
      </c>
      <c r="H1090" s="1067">
        <f t="shared" si="65"/>
        <v>-2.1920485097505438E-2</v>
      </c>
      <c r="I1090">
        <f t="shared" si="66"/>
        <v>512.24344644862595</v>
      </c>
    </row>
    <row r="1091" spans="1:9" ht="20.100000000000001" customHeight="1">
      <c r="A1091" s="563">
        <v>44680</v>
      </c>
      <c r="B1091">
        <f t="shared" si="67"/>
        <v>651.6572591227781</v>
      </c>
      <c r="C1091">
        <f t="shared" si="67"/>
        <v>176.03561946577369</v>
      </c>
      <c r="D1091">
        <v>57.801998138427727</v>
      </c>
      <c r="E1091" s="604">
        <v>12334.6396484375</v>
      </c>
      <c r="F1091" s="748">
        <f t="shared" ref="F1091:G1154" si="68">D1092/D1091-1</f>
        <v>1.0414885463714274E-2</v>
      </c>
      <c r="G1091" s="748">
        <f t="shared" si="68"/>
        <v>1.6326369359157544E-2</v>
      </c>
      <c r="H1091" s="1067">
        <f t="shared" ref="H1091:H1154" si="69">F1091-G1091</f>
        <v>-5.9114838954432702E-3</v>
      </c>
      <c r="I1091">
        <f t="shared" ref="I1091:I1154" si="70">B1091-C1091</f>
        <v>475.62163965700438</v>
      </c>
    </row>
    <row r="1092" spans="1:9" ht="20.100000000000001" customHeight="1">
      <c r="A1092" s="563">
        <v>44683</v>
      </c>
      <c r="B1092">
        <f t="shared" ref="B1092:C1155" si="71">B1091*(1+F1091)</f>
        <v>658.44419483813977</v>
      </c>
      <c r="C1092">
        <f t="shared" si="71"/>
        <v>178.90964200954002</v>
      </c>
      <c r="D1092">
        <v>58.403999328613281</v>
      </c>
      <c r="E1092" s="604">
        <v>12536.01953125</v>
      </c>
      <c r="F1092" s="748">
        <f t="shared" si="68"/>
        <v>-1.8800075086912171E-2</v>
      </c>
      <c r="G1092" s="748">
        <f t="shared" si="68"/>
        <v>2.212842306591023E-3</v>
      </c>
      <c r="H1092" s="1067">
        <f t="shared" si="69"/>
        <v>-2.1012917393503194E-2</v>
      </c>
      <c r="I1092">
        <f t="shared" si="70"/>
        <v>479.53455282859977</v>
      </c>
    </row>
    <row r="1093" spans="1:9" ht="20.100000000000001" customHeight="1">
      <c r="A1093" s="563">
        <v>44684</v>
      </c>
      <c r="B1093">
        <f t="shared" si="71"/>
        <v>646.06539453464131</v>
      </c>
      <c r="C1093">
        <f t="shared" si="71"/>
        <v>179.30554083443579</v>
      </c>
      <c r="D1093">
        <v>57.305999755859382</v>
      </c>
      <c r="E1093" s="604">
        <v>12563.759765625</v>
      </c>
      <c r="F1093" s="748">
        <f t="shared" si="68"/>
        <v>2.9316174273870121E-3</v>
      </c>
      <c r="G1093" s="748">
        <f t="shared" si="68"/>
        <v>3.1925203396114599E-2</v>
      </c>
      <c r="H1093" s="1067">
        <f t="shared" si="69"/>
        <v>-2.8993585968727587E-2</v>
      </c>
      <c r="I1093">
        <f t="shared" si="70"/>
        <v>466.75985370020555</v>
      </c>
    </row>
    <row r="1094" spans="1:9" ht="20.100000000000001" customHeight="1">
      <c r="A1094" s="563">
        <v>44685</v>
      </c>
      <c r="B1094">
        <f t="shared" si="71"/>
        <v>647.95941110449075</v>
      </c>
      <c r="C1094">
        <f t="shared" si="71"/>
        <v>185.02990669562547</v>
      </c>
      <c r="D1094">
        <v>57.4739990234375</v>
      </c>
      <c r="E1094" s="604">
        <v>12964.8603515625</v>
      </c>
      <c r="F1094" s="748">
        <f t="shared" si="68"/>
        <v>-9.9175227843772973E-3</v>
      </c>
      <c r="G1094" s="748">
        <f t="shared" si="68"/>
        <v>-4.9917230446450911E-2</v>
      </c>
      <c r="H1094" s="1067">
        <f t="shared" si="69"/>
        <v>3.9999707662073614E-2</v>
      </c>
      <c r="I1094">
        <f t="shared" si="70"/>
        <v>462.92950440886528</v>
      </c>
    </row>
    <row r="1095" spans="1:9" ht="20.100000000000001" customHeight="1">
      <c r="A1095" s="563">
        <v>44686</v>
      </c>
      <c r="B1095">
        <f t="shared" si="71"/>
        <v>641.53325888151028</v>
      </c>
      <c r="C1095">
        <f t="shared" si="71"/>
        <v>175.79372620361463</v>
      </c>
      <c r="D1095">
        <v>56.903999328613281</v>
      </c>
      <c r="E1095" s="604">
        <v>12317.6904296875</v>
      </c>
      <c r="F1095" s="748">
        <f t="shared" si="68"/>
        <v>-6.3791668616338226E-2</v>
      </c>
      <c r="G1095" s="748">
        <f t="shared" si="68"/>
        <v>-1.4047298430269972E-2</v>
      </c>
      <c r="H1095" s="1067">
        <f t="shared" si="69"/>
        <v>-4.9744370186068254E-2</v>
      </c>
      <c r="I1095">
        <f t="shared" si="70"/>
        <v>465.73953267789568</v>
      </c>
    </row>
    <row r="1096" spans="1:9" ht="20.100000000000001" customHeight="1">
      <c r="A1096" s="563">
        <v>44687</v>
      </c>
      <c r="B1096">
        <f t="shared" si="71"/>
        <v>600.60878182458146</v>
      </c>
      <c r="C1096">
        <f t="shared" si="71"/>
        <v>173.32429926946327</v>
      </c>
      <c r="D1096">
        <v>53.273998260498047</v>
      </c>
      <c r="E1096" s="604">
        <v>12144.66015625</v>
      </c>
      <c r="F1096" s="748">
        <f t="shared" si="68"/>
        <v>-7.9400827427154375E-2</v>
      </c>
      <c r="G1096" s="748">
        <f t="shared" si="68"/>
        <v>-4.2933285043934899E-2</v>
      </c>
      <c r="H1096" s="1067">
        <f t="shared" si="69"/>
        <v>-3.6467542383219476E-2</v>
      </c>
      <c r="I1096">
        <f t="shared" si="70"/>
        <v>427.28448255511819</v>
      </c>
    </row>
    <row r="1097" spans="1:9" ht="20.100000000000001" customHeight="1">
      <c r="A1097" s="563">
        <v>44690</v>
      </c>
      <c r="B1097">
        <f t="shared" si="71"/>
        <v>552.91994758769442</v>
      </c>
      <c r="C1097">
        <f t="shared" si="71"/>
        <v>165.88291772388712</v>
      </c>
      <c r="D1097">
        <v>49.043998718261719</v>
      </c>
      <c r="E1097" s="604">
        <v>11623.25</v>
      </c>
      <c r="F1097" s="748">
        <f t="shared" si="68"/>
        <v>6.7572038931007494E-2</v>
      </c>
      <c r="G1097" s="748">
        <f t="shared" si="68"/>
        <v>9.8440558256081001E-3</v>
      </c>
      <c r="H1097" s="1067">
        <f t="shared" si="69"/>
        <v>5.7727983105399394E-2</v>
      </c>
      <c r="I1097">
        <f t="shared" si="70"/>
        <v>387.03702986380733</v>
      </c>
    </row>
    <row r="1098" spans="1:9" ht="20.100000000000001" customHeight="1">
      <c r="A1098" s="563">
        <v>44691</v>
      </c>
      <c r="B1098">
        <f t="shared" si="71"/>
        <v>590.28187581182078</v>
      </c>
      <c r="C1098">
        <f t="shared" si="71"/>
        <v>167.51587842647581</v>
      </c>
      <c r="D1098">
        <v>52.358001708984382</v>
      </c>
      <c r="E1098" s="604">
        <v>11737.669921875</v>
      </c>
      <c r="F1098" s="748">
        <f t="shared" si="68"/>
        <v>-3.1704870467289537E-3</v>
      </c>
      <c r="G1098" s="748">
        <f t="shared" si="68"/>
        <v>-3.1814635271354419E-2</v>
      </c>
      <c r="H1098" s="1067">
        <f t="shared" si="69"/>
        <v>2.8644148224625465E-2</v>
      </c>
      <c r="I1098">
        <f t="shared" si="70"/>
        <v>422.76599738534497</v>
      </c>
    </row>
    <row r="1099" spans="1:9" ht="20.100000000000001" customHeight="1">
      <c r="A1099" s="563">
        <v>44692</v>
      </c>
      <c r="B1099">
        <f t="shared" si="71"/>
        <v>588.41039477064055</v>
      </c>
      <c r="C1099">
        <f t="shared" si="71"/>
        <v>162.18642185217692</v>
      </c>
      <c r="D1099">
        <v>52.192001342773438</v>
      </c>
      <c r="E1099" s="604">
        <v>11364.240234375</v>
      </c>
      <c r="F1099" s="748">
        <f t="shared" si="68"/>
        <v>2.1842415702004736E-2</v>
      </c>
      <c r="G1099" s="748">
        <f t="shared" si="68"/>
        <v>5.9130451520839067E-4</v>
      </c>
      <c r="H1099" s="1067">
        <f t="shared" si="69"/>
        <v>2.1251111186796345E-2</v>
      </c>
      <c r="I1099">
        <f t="shared" si="70"/>
        <v>426.22397291846363</v>
      </c>
    </row>
    <row r="1100" spans="1:9" ht="20.100000000000001" customHeight="1">
      <c r="A1100" s="563">
        <v>44693</v>
      </c>
      <c r="B1100">
        <f t="shared" si="71"/>
        <v>601.26269921660162</v>
      </c>
      <c r="C1100">
        <f t="shared" si="71"/>
        <v>162.2823234157236</v>
      </c>
      <c r="D1100">
        <v>53.332000732421882</v>
      </c>
      <c r="E1100" s="604">
        <v>11370.9599609375</v>
      </c>
      <c r="F1100" s="748">
        <f t="shared" si="68"/>
        <v>5.5838907222146128E-2</v>
      </c>
      <c r="G1100" s="748">
        <f t="shared" si="68"/>
        <v>3.8170923172146543E-2</v>
      </c>
      <c r="H1100" s="1067">
        <f t="shared" si="69"/>
        <v>1.7667984049999585E-2</v>
      </c>
      <c r="I1100">
        <f t="shared" si="70"/>
        <v>438.98037580087805</v>
      </c>
    </row>
    <row r="1101" spans="1:9" ht="20.100000000000001" customHeight="1">
      <c r="A1101" s="563">
        <v>44694</v>
      </c>
      <c r="B1101">
        <f t="shared" si="71"/>
        <v>634.83655129429462</v>
      </c>
      <c r="C1101">
        <f t="shared" si="71"/>
        <v>168.47678951502263</v>
      </c>
      <c r="D1101">
        <v>56.310001373291023</v>
      </c>
      <c r="E1101" s="604">
        <v>11805</v>
      </c>
      <c r="F1101" s="748">
        <f t="shared" si="68"/>
        <v>-2.1239618736226373E-2</v>
      </c>
      <c r="G1101" s="748">
        <f t="shared" si="68"/>
        <v>-1.2046587118805574E-2</v>
      </c>
      <c r="H1101" s="1067">
        <f t="shared" si="69"/>
        <v>-9.1930316174207993E-3</v>
      </c>
      <c r="I1101">
        <f t="shared" si="70"/>
        <v>466.35976177927199</v>
      </c>
    </row>
    <row r="1102" spans="1:9" ht="20.100000000000001" customHeight="1">
      <c r="A1102" s="563">
        <v>44697</v>
      </c>
      <c r="B1102">
        <f t="shared" si="71"/>
        <v>621.35286498498294</v>
      </c>
      <c r="C1102">
        <f t="shared" si="71"/>
        <v>166.44721919263324</v>
      </c>
      <c r="D1102">
        <v>55.113998413085938</v>
      </c>
      <c r="E1102" s="604">
        <v>11662.7900390625</v>
      </c>
      <c r="F1102" s="748">
        <f t="shared" si="68"/>
        <v>2.6272850877545162E-2</v>
      </c>
      <c r="G1102" s="748">
        <f t="shared" si="68"/>
        <v>2.7585979950759842E-2</v>
      </c>
      <c r="H1102" s="1067">
        <f t="shared" si="69"/>
        <v>-1.3131290732146805E-3</v>
      </c>
      <c r="I1102">
        <f t="shared" si="70"/>
        <v>454.90564579234967</v>
      </c>
    </row>
    <row r="1103" spans="1:9" ht="20.100000000000001" customHeight="1">
      <c r="A1103" s="563">
        <v>44698</v>
      </c>
      <c r="B1103">
        <f t="shared" si="71"/>
        <v>637.67757614906884</v>
      </c>
      <c r="C1103">
        <f t="shared" si="71"/>
        <v>171.03882884414094</v>
      </c>
      <c r="D1103">
        <v>56.562000274658203</v>
      </c>
      <c r="E1103" s="604">
        <v>11984.51953125</v>
      </c>
      <c r="F1103" s="748">
        <f t="shared" si="68"/>
        <v>-4.3244565850400263E-2</v>
      </c>
      <c r="G1103" s="748">
        <f t="shared" si="68"/>
        <v>-4.7258393559138967E-2</v>
      </c>
      <c r="H1103" s="1067">
        <f t="shared" si="69"/>
        <v>4.0138277087387042E-3</v>
      </c>
      <c r="I1103">
        <f t="shared" si="70"/>
        <v>466.6387473049279</v>
      </c>
    </row>
    <row r="1104" spans="1:9" ht="20.100000000000001" customHeight="1">
      <c r="A1104" s="563">
        <v>44699</v>
      </c>
      <c r="B1104">
        <f t="shared" si="71"/>
        <v>610.10148621596682</v>
      </c>
      <c r="C1104">
        <f t="shared" si="71"/>
        <v>162.95580855673032</v>
      </c>
      <c r="D1104">
        <v>54.116001129150391</v>
      </c>
      <c r="E1104" s="604">
        <v>11418.150390625</v>
      </c>
      <c r="F1104" s="748">
        <f t="shared" si="68"/>
        <v>1.6926608527944698E-2</v>
      </c>
      <c r="G1104" s="748">
        <f t="shared" si="68"/>
        <v>-2.5967770269819113E-3</v>
      </c>
      <c r="H1104" s="1067">
        <f t="shared" si="69"/>
        <v>1.9523385554926609E-2</v>
      </c>
      <c r="I1104">
        <f t="shared" si="70"/>
        <v>447.14567765923653</v>
      </c>
    </row>
    <row r="1105" spans="1:9" ht="20.100000000000001" customHeight="1">
      <c r="A1105" s="563">
        <v>44700</v>
      </c>
      <c r="B1105">
        <f t="shared" si="71"/>
        <v>620.42843523546173</v>
      </c>
      <c r="C1105">
        <f t="shared" si="71"/>
        <v>162.53264865665693</v>
      </c>
      <c r="D1105">
        <v>55.032001495361328</v>
      </c>
      <c r="E1105" s="604">
        <v>11388.5</v>
      </c>
      <c r="F1105" s="748">
        <f t="shared" si="68"/>
        <v>3.6778568932635647E-2</v>
      </c>
      <c r="G1105" s="748">
        <f t="shared" si="68"/>
        <v>-2.9749205613118779E-3</v>
      </c>
      <c r="H1105" s="1067">
        <f t="shared" si="69"/>
        <v>3.9753489493947525E-2</v>
      </c>
      <c r="I1105">
        <f t="shared" si="70"/>
        <v>457.8957865788048</v>
      </c>
    </row>
    <row r="1106" spans="1:9" ht="20.100000000000001" customHeight="1">
      <c r="A1106" s="563">
        <v>44701</v>
      </c>
      <c r="B1106">
        <f t="shared" si="71"/>
        <v>643.24690520853642</v>
      </c>
      <c r="C1106">
        <f t="shared" si="71"/>
        <v>162.04912693828376</v>
      </c>
      <c r="D1106">
        <v>57.055999755859382</v>
      </c>
      <c r="E1106" s="604">
        <v>11354.6201171875</v>
      </c>
      <c r="F1106" s="748">
        <f t="shared" si="68"/>
        <v>3.8207814352824165E-3</v>
      </c>
      <c r="G1106" s="748">
        <f t="shared" si="68"/>
        <v>1.5909771722706134E-2</v>
      </c>
      <c r="H1106" s="1067">
        <f t="shared" si="69"/>
        <v>-1.2088990287423718E-2</v>
      </c>
      <c r="I1106">
        <f t="shared" si="70"/>
        <v>481.19777827025268</v>
      </c>
    </row>
    <row r="1107" spans="1:9" ht="20.100000000000001" customHeight="1">
      <c r="A1107" s="563">
        <v>44704</v>
      </c>
      <c r="B1107">
        <f t="shared" si="71"/>
        <v>645.70461104226001</v>
      </c>
      <c r="C1107">
        <f t="shared" si="71"/>
        <v>164.6272915557357</v>
      </c>
      <c r="D1107">
        <v>57.273998260498047</v>
      </c>
      <c r="E1107" s="604">
        <v>11535.26953125</v>
      </c>
      <c r="F1107" s="748">
        <f t="shared" si="68"/>
        <v>-1.8507349956226049E-3</v>
      </c>
      <c r="G1107" s="748">
        <f t="shared" si="68"/>
        <v>-2.3477503945948386E-2</v>
      </c>
      <c r="H1107" s="1067">
        <f t="shared" si="69"/>
        <v>2.1626768950325781E-2</v>
      </c>
      <c r="I1107">
        <f t="shared" si="70"/>
        <v>481.07731948652429</v>
      </c>
    </row>
    <row r="1108" spans="1:9" ht="20.100000000000001" customHeight="1">
      <c r="A1108" s="563">
        <v>44705</v>
      </c>
      <c r="B1108">
        <f t="shared" si="71"/>
        <v>644.50958292176927</v>
      </c>
      <c r="C1108">
        <f t="shared" si="71"/>
        <v>160.76225366862511</v>
      </c>
      <c r="D1108">
        <v>57.167999267578118</v>
      </c>
      <c r="E1108" s="604">
        <v>11264.4501953125</v>
      </c>
      <c r="F1108" s="748">
        <f t="shared" si="68"/>
        <v>5.1777469584115554E-3</v>
      </c>
      <c r="G1108" s="748">
        <f t="shared" si="68"/>
        <v>1.5117474542464926E-2</v>
      </c>
      <c r="H1108" s="1067">
        <f t="shared" si="69"/>
        <v>-9.9397275840533705E-3</v>
      </c>
      <c r="I1108">
        <f t="shared" si="70"/>
        <v>483.74732925314413</v>
      </c>
    </row>
    <row r="1109" spans="1:9" ht="20.100000000000001" customHeight="1">
      <c r="A1109" s="563">
        <v>44706</v>
      </c>
      <c r="B1109">
        <f t="shared" si="71"/>
        <v>647.84669045440955</v>
      </c>
      <c r="C1109">
        <f t="shared" si="71"/>
        <v>163.19257294584983</v>
      </c>
      <c r="D1109">
        <v>57.464000701904297</v>
      </c>
      <c r="E1109" s="604">
        <v>11434.740234375</v>
      </c>
      <c r="F1109" s="748">
        <f t="shared" si="68"/>
        <v>2.4293468804740037E-2</v>
      </c>
      <c r="G1109" s="748">
        <f t="shared" si="68"/>
        <v>2.6752698354298943E-2</v>
      </c>
      <c r="H1109" s="1067">
        <f t="shared" si="69"/>
        <v>-2.4592295495589056E-3</v>
      </c>
      <c r="I1109">
        <f t="shared" si="70"/>
        <v>484.65411750855969</v>
      </c>
    </row>
    <row r="1110" spans="1:9" ht="20.100000000000001" customHeight="1">
      <c r="A1110" s="563">
        <v>44707</v>
      </c>
      <c r="B1110">
        <f t="shared" si="71"/>
        <v>663.58513381921784</v>
      </c>
      <c r="C1110">
        <f t="shared" si="71"/>
        <v>167.55841462353209</v>
      </c>
      <c r="D1110">
        <v>58.860000610351563</v>
      </c>
      <c r="E1110" s="604">
        <v>11740.650390625</v>
      </c>
      <c r="F1110" s="748">
        <f t="shared" si="68"/>
        <v>1.2130490902148017E-2</v>
      </c>
      <c r="G1110" s="748">
        <f t="shared" si="68"/>
        <v>3.3258761584392449E-2</v>
      </c>
      <c r="H1110" s="1067">
        <f t="shared" si="69"/>
        <v>-2.1128270682244432E-2</v>
      </c>
      <c r="I1110">
        <f t="shared" si="70"/>
        <v>496.02671919568576</v>
      </c>
    </row>
    <row r="1111" spans="1:9" ht="20.100000000000001" customHeight="1">
      <c r="A1111" s="563">
        <v>44708</v>
      </c>
      <c r="B1111">
        <f t="shared" si="71"/>
        <v>671.63474724781258</v>
      </c>
      <c r="C1111">
        <f t="shared" si="71"/>
        <v>173.13119998695493</v>
      </c>
      <c r="D1111">
        <v>59.574001312255859</v>
      </c>
      <c r="E1111" s="604">
        <v>12131.1298828125</v>
      </c>
      <c r="F1111" s="748">
        <f t="shared" si="68"/>
        <v>-1.2522277853311836E-2</v>
      </c>
      <c r="G1111" s="748">
        <f t="shared" si="68"/>
        <v>-4.1002144775873495E-3</v>
      </c>
      <c r="H1111" s="1067">
        <f t="shared" si="69"/>
        <v>-8.4220633757244867E-3</v>
      </c>
      <c r="I1111">
        <f t="shared" si="70"/>
        <v>498.50354726085766</v>
      </c>
    </row>
    <row r="1112" spans="1:9" ht="20.100000000000001" customHeight="1">
      <c r="A1112" s="563">
        <v>44712</v>
      </c>
      <c r="B1112">
        <f t="shared" si="71"/>
        <v>663.22435032683666</v>
      </c>
      <c r="C1112">
        <f t="shared" si="71"/>
        <v>172.42132493424634</v>
      </c>
      <c r="D1112">
        <v>58.827999114990227</v>
      </c>
      <c r="E1112" s="604">
        <v>12081.3896484375</v>
      </c>
      <c r="F1112" s="748">
        <f t="shared" si="68"/>
        <v>-1.7270667974718434E-2</v>
      </c>
      <c r="G1112" s="748">
        <f t="shared" si="68"/>
        <v>-7.1953384527452258E-3</v>
      </c>
      <c r="H1112" s="1067">
        <f t="shared" si="69"/>
        <v>-1.0075329521973209E-2</v>
      </c>
      <c r="I1112">
        <f t="shared" si="70"/>
        <v>490.80302539259031</v>
      </c>
    </row>
    <row r="1113" spans="1:9" ht="20.100000000000001" customHeight="1">
      <c r="A1113" s="563">
        <v>44713</v>
      </c>
      <c r="B1113">
        <f t="shared" si="71"/>
        <v>651.77002277959355</v>
      </c>
      <c r="C1113">
        <f t="shared" si="71"/>
        <v>171.18069514487368</v>
      </c>
      <c r="D1113">
        <v>57.812000274658203</v>
      </c>
      <c r="E1113" s="604">
        <v>11994.4599609375</v>
      </c>
      <c r="F1113" s="748">
        <f t="shared" si="68"/>
        <v>4.8986382048145094E-2</v>
      </c>
      <c r="G1113" s="748">
        <f t="shared" si="68"/>
        <v>2.6882446624324485E-2</v>
      </c>
      <c r="H1113" s="1067">
        <f t="shared" si="69"/>
        <v>2.2103935423820609E-2</v>
      </c>
      <c r="I1113">
        <f t="shared" si="70"/>
        <v>480.58932763471989</v>
      </c>
    </row>
    <row r="1114" spans="1:9" ht="20.100000000000001" customHeight="1">
      <c r="A1114" s="563">
        <v>44714</v>
      </c>
      <c r="B1114">
        <f t="shared" si="71"/>
        <v>683.69787812300297</v>
      </c>
      <c r="C1114">
        <f t="shared" si="71"/>
        <v>175.78245104522051</v>
      </c>
      <c r="D1114">
        <v>60.644001007080078</v>
      </c>
      <c r="E1114" s="604">
        <v>12316.900390625</v>
      </c>
      <c r="F1114" s="748">
        <f t="shared" si="68"/>
        <v>-2.1700446379456562E-2</v>
      </c>
      <c r="G1114" s="748">
        <f t="shared" si="68"/>
        <v>-2.4695330174669516E-2</v>
      </c>
      <c r="H1114" s="1067">
        <f t="shared" si="69"/>
        <v>2.9948837952129548E-3</v>
      </c>
      <c r="I1114">
        <f t="shared" si="70"/>
        <v>507.91542707778245</v>
      </c>
    </row>
    <row r="1115" spans="1:9" ht="20.100000000000001" customHeight="1">
      <c r="A1115" s="563">
        <v>44715</v>
      </c>
      <c r="B1115">
        <f t="shared" si="71"/>
        <v>668.86132897904656</v>
      </c>
      <c r="C1115">
        <f t="shared" si="71"/>
        <v>171.44144537774611</v>
      </c>
      <c r="D1115">
        <v>59.327999114990227</v>
      </c>
      <c r="E1115" s="604">
        <v>12012.73046875</v>
      </c>
      <c r="F1115" s="748">
        <f t="shared" si="68"/>
        <v>1.1124914555422638E-3</v>
      </c>
      <c r="G1115" s="748">
        <f t="shared" si="68"/>
        <v>4.0490085550517474E-3</v>
      </c>
      <c r="H1115" s="1067">
        <f t="shared" si="69"/>
        <v>-2.9365170995094836E-3</v>
      </c>
      <c r="I1115">
        <f t="shared" si="70"/>
        <v>497.41988360130046</v>
      </c>
    </row>
    <row r="1116" spans="1:9" ht="20.100000000000001" customHeight="1">
      <c r="A1116" s="563">
        <v>44718</v>
      </c>
      <c r="B1116">
        <f t="shared" si="71"/>
        <v>669.60543149247837</v>
      </c>
      <c r="C1116">
        <f t="shared" si="71"/>
        <v>172.13561325677102</v>
      </c>
      <c r="D1116">
        <v>59.394001007080078</v>
      </c>
      <c r="E1116" s="604">
        <v>12061.3701171875</v>
      </c>
      <c r="F1116" s="748">
        <f t="shared" si="68"/>
        <v>2.8319345018404496E-2</v>
      </c>
      <c r="G1116" s="748">
        <f t="shared" si="68"/>
        <v>9.4400843731881068E-3</v>
      </c>
      <c r="H1116" s="1067">
        <f t="shared" si="69"/>
        <v>1.8879260645216389E-2</v>
      </c>
      <c r="I1116">
        <f t="shared" si="70"/>
        <v>497.46981823570735</v>
      </c>
    </row>
    <row r="1117" spans="1:9" ht="20.100000000000001" customHeight="1">
      <c r="A1117" s="563">
        <v>44719</v>
      </c>
      <c r="B1117">
        <f t="shared" si="71"/>
        <v>688.56821873311151</v>
      </c>
      <c r="C1117">
        <f t="shared" si="71"/>
        <v>173.76058796954541</v>
      </c>
      <c r="D1117">
        <v>61.076000213623047</v>
      </c>
      <c r="E1117" s="604">
        <v>12175.23046875</v>
      </c>
      <c r="F1117" s="748">
        <f t="shared" si="68"/>
        <v>-1.588187204974767E-2</v>
      </c>
      <c r="G1117" s="748">
        <f t="shared" si="68"/>
        <v>-7.3067148690396655E-3</v>
      </c>
      <c r="H1117" s="1067">
        <f t="shared" si="69"/>
        <v>-8.575157180708004E-3</v>
      </c>
      <c r="I1117">
        <f t="shared" si="70"/>
        <v>514.80763076356607</v>
      </c>
    </row>
    <row r="1118" spans="1:9" ht="20.100000000000001" customHeight="1">
      <c r="A1118" s="563">
        <v>44720</v>
      </c>
      <c r="B1118">
        <f t="shared" si="71"/>
        <v>677.63246638566955</v>
      </c>
      <c r="C1118">
        <f t="shared" si="71"/>
        <v>172.49096889777525</v>
      </c>
      <c r="D1118">
        <v>60.105998992919922</v>
      </c>
      <c r="E1118" s="604">
        <v>12086.26953125</v>
      </c>
      <c r="F1118" s="748">
        <f t="shared" si="68"/>
        <v>9.8825704583913598E-3</v>
      </c>
      <c r="G1118" s="748">
        <f t="shared" si="68"/>
        <v>-2.7472419148148797E-2</v>
      </c>
      <c r="H1118" s="1067">
        <f t="shared" si="69"/>
        <v>3.7354989606540157E-2</v>
      </c>
      <c r="I1118">
        <f t="shared" si="70"/>
        <v>505.1414974878943</v>
      </c>
    </row>
    <row r="1119" spans="1:9" ht="20.100000000000001" customHeight="1">
      <c r="A1119" s="563">
        <v>44721</v>
      </c>
      <c r="B1119">
        <f t="shared" si="71"/>
        <v>684.32921697961945</v>
      </c>
      <c r="C1119">
        <f t="shared" si="71"/>
        <v>167.75222470094528</v>
      </c>
      <c r="D1119">
        <v>60.700000762939453</v>
      </c>
      <c r="E1119" s="604">
        <v>11754.23046875</v>
      </c>
      <c r="F1119" s="748">
        <f t="shared" si="68"/>
        <v>-5.0049455946877264E-2</v>
      </c>
      <c r="G1119" s="748">
        <f t="shared" si="68"/>
        <v>-3.5239307124462882E-2</v>
      </c>
      <c r="H1119" s="1067">
        <f t="shared" si="69"/>
        <v>-1.4810148822414382E-2</v>
      </c>
      <c r="I1119">
        <f t="shared" si="70"/>
        <v>516.5769922786742</v>
      </c>
    </row>
    <row r="1120" spans="1:9" ht="20.100000000000001" customHeight="1">
      <c r="A1120" s="563">
        <v>44722</v>
      </c>
      <c r="B1120">
        <f t="shared" si="71"/>
        <v>650.07891198123696</v>
      </c>
      <c r="C1120">
        <f t="shared" si="71"/>
        <v>161.84075253389676</v>
      </c>
      <c r="D1120">
        <v>57.661998748779297</v>
      </c>
      <c r="E1120" s="604">
        <v>11340.01953125</v>
      </c>
      <c r="F1120" s="748">
        <f t="shared" si="68"/>
        <v>-7.5682399288635849E-2</v>
      </c>
      <c r="G1120" s="748">
        <f t="shared" si="68"/>
        <v>-4.6806715018196443E-2</v>
      </c>
      <c r="H1120" s="1067">
        <f t="shared" si="69"/>
        <v>-2.8875684270439406E-2</v>
      </c>
      <c r="I1120">
        <f t="shared" si="70"/>
        <v>488.23815944734019</v>
      </c>
    </row>
    <row r="1121" spans="1:9" ht="20.100000000000001" customHeight="1">
      <c r="A1121" s="563">
        <v>44725</v>
      </c>
      <c r="B1121">
        <f t="shared" si="71"/>
        <v>600.87938019555099</v>
      </c>
      <c r="C1121">
        <f t="shared" si="71"/>
        <v>154.2655185517122</v>
      </c>
      <c r="D1121">
        <v>53.298000335693359</v>
      </c>
      <c r="E1121" s="604">
        <v>10809.23046875</v>
      </c>
      <c r="F1121" s="748">
        <f t="shared" si="68"/>
        <v>1.0281817933915471E-2</v>
      </c>
      <c r="G1121" s="748">
        <f t="shared" si="68"/>
        <v>1.7687790708389439E-3</v>
      </c>
      <c r="H1121" s="1067">
        <f t="shared" si="69"/>
        <v>8.5130388630765275E-3</v>
      </c>
      <c r="I1121">
        <f t="shared" si="70"/>
        <v>446.61386164383879</v>
      </c>
    </row>
    <row r="1122" spans="1:9" ht="20.100000000000001" customHeight="1">
      <c r="A1122" s="563">
        <v>44726</v>
      </c>
      <c r="B1122">
        <f t="shared" si="71"/>
        <v>607.05751258296561</v>
      </c>
      <c r="C1122">
        <f t="shared" si="71"/>
        <v>154.53838017227858</v>
      </c>
      <c r="D1122">
        <v>53.846000671386719</v>
      </c>
      <c r="E1122" s="604">
        <v>10828.349609375</v>
      </c>
      <c r="F1122" s="748">
        <f t="shared" si="68"/>
        <v>3.0791533732717369E-2</v>
      </c>
      <c r="G1122" s="748">
        <f t="shared" si="68"/>
        <v>2.5008500004058298E-2</v>
      </c>
      <c r="H1122" s="1067">
        <f t="shared" si="69"/>
        <v>5.7830337286590705E-3</v>
      </c>
      <c r="I1122">
        <f t="shared" si="70"/>
        <v>452.51913241068701</v>
      </c>
    </row>
    <row r="1123" spans="1:9" ht="20.100000000000001" customHeight="1">
      <c r="A1123" s="563">
        <v>44727</v>
      </c>
      <c r="B1123">
        <f t="shared" si="71"/>
        <v>625.74974445936346</v>
      </c>
      <c r="C1123">
        <f t="shared" si="71"/>
        <v>158.40315325344417</v>
      </c>
      <c r="D1123">
        <v>55.504001617431641</v>
      </c>
      <c r="E1123" s="604">
        <v>11099.150390625</v>
      </c>
      <c r="F1123" s="748">
        <f t="shared" si="68"/>
        <v>-4.969016925794234E-2</v>
      </c>
      <c r="G1123" s="748">
        <f t="shared" si="68"/>
        <v>-4.0818510003493014E-2</v>
      </c>
      <c r="H1123" s="1067">
        <f t="shared" si="69"/>
        <v>-8.8716592544493267E-3</v>
      </c>
      <c r="I1123">
        <f t="shared" si="70"/>
        <v>467.34659120591925</v>
      </c>
    </row>
    <row r="1124" spans="1:9" ht="20.100000000000001" customHeight="1">
      <c r="A1124" s="563">
        <v>44728</v>
      </c>
      <c r="B1124">
        <f t="shared" si="71"/>
        <v>594.65613374406348</v>
      </c>
      <c r="C1124">
        <f t="shared" si="71"/>
        <v>151.93737255778362</v>
      </c>
      <c r="D1124">
        <v>52.745998382568359</v>
      </c>
      <c r="E1124" s="604">
        <v>10646.099609375</v>
      </c>
      <c r="F1124" s="748">
        <f t="shared" si="68"/>
        <v>1.9944677992343562E-2</v>
      </c>
      <c r="G1124" s="748">
        <f t="shared" si="68"/>
        <v>1.4301012162795113E-2</v>
      </c>
      <c r="H1124" s="1067">
        <f t="shared" si="69"/>
        <v>5.6436658295484499E-3</v>
      </c>
      <c r="I1124">
        <f t="shared" si="70"/>
        <v>442.71876118627983</v>
      </c>
    </row>
    <row r="1125" spans="1:9" ht="20.100000000000001" customHeight="1">
      <c r="A1125" s="563">
        <v>44729</v>
      </c>
      <c r="B1125">
        <f t="shared" si="71"/>
        <v>606.51635884776078</v>
      </c>
      <c r="C1125">
        <f t="shared" si="71"/>
        <v>154.11023077071562</v>
      </c>
      <c r="D1125">
        <v>53.798000335693359</v>
      </c>
      <c r="E1125" s="604">
        <v>10798.349609375</v>
      </c>
      <c r="F1125" s="748">
        <f t="shared" si="68"/>
        <v>4.4685663288832389E-2</v>
      </c>
      <c r="G1125" s="748">
        <f t="shared" si="68"/>
        <v>2.5091815426800501E-2</v>
      </c>
      <c r="H1125" s="1067">
        <f t="shared" si="69"/>
        <v>1.9593847862031888E-2</v>
      </c>
      <c r="I1125">
        <f t="shared" si="70"/>
        <v>452.4061280770452</v>
      </c>
    </row>
    <row r="1126" spans="1:9" ht="20.100000000000001" customHeight="1">
      <c r="A1126" s="563">
        <v>44733</v>
      </c>
      <c r="B1126">
        <f t="shared" si="71"/>
        <v>633.61894463840042</v>
      </c>
      <c r="C1126">
        <f t="shared" si="71"/>
        <v>157.97713623659604</v>
      </c>
      <c r="D1126">
        <v>56.201999664306641</v>
      </c>
      <c r="E1126" s="604">
        <v>11069.2998046875</v>
      </c>
      <c r="F1126" s="748">
        <f t="shared" si="68"/>
        <v>-9.145580976387957E-3</v>
      </c>
      <c r="G1126" s="748">
        <f t="shared" si="68"/>
        <v>-1.4652893000179912E-3</v>
      </c>
      <c r="H1126" s="1067">
        <f t="shared" si="69"/>
        <v>-7.6802916763699658E-3</v>
      </c>
      <c r="I1126">
        <f t="shared" si="70"/>
        <v>475.64180840180438</v>
      </c>
    </row>
    <row r="1127" spans="1:9" ht="20.100000000000001" customHeight="1">
      <c r="A1127" s="563">
        <v>44734</v>
      </c>
      <c r="B1127">
        <f t="shared" si="71"/>
        <v>627.82413127203642</v>
      </c>
      <c r="C1127">
        <f t="shared" si="71"/>
        <v>157.74565402922107</v>
      </c>
      <c r="D1127">
        <v>55.687999725341797</v>
      </c>
      <c r="E1127" s="604">
        <v>11053.080078125</v>
      </c>
      <c r="F1127" s="748">
        <f t="shared" si="68"/>
        <v>1.9968386675822902E-2</v>
      </c>
      <c r="G1127" s="748">
        <f t="shared" si="68"/>
        <v>1.620456472734455E-2</v>
      </c>
      <c r="H1127" s="1067">
        <f t="shared" si="69"/>
        <v>3.7638219484783519E-3</v>
      </c>
      <c r="I1127">
        <f t="shared" si="70"/>
        <v>470.07847724281532</v>
      </c>
    </row>
    <row r="1128" spans="1:9" ht="20.100000000000001" customHeight="1">
      <c r="A1128" s="563">
        <v>44735</v>
      </c>
      <c r="B1128">
        <f t="shared" si="71"/>
        <v>640.36076628968908</v>
      </c>
      <c r="C1128">
        <f t="shared" si="71"/>
        <v>160.30185369039489</v>
      </c>
      <c r="D1128">
        <v>56.799999237060547</v>
      </c>
      <c r="E1128" s="604">
        <v>11232.1904296875</v>
      </c>
      <c r="F1128" s="748">
        <f t="shared" si="68"/>
        <v>4.1021159548439101E-2</v>
      </c>
      <c r="G1128" s="748">
        <f t="shared" si="68"/>
        <v>3.3424441105246228E-2</v>
      </c>
      <c r="H1128" s="1067">
        <f t="shared" si="69"/>
        <v>7.5967184431928736E-3</v>
      </c>
      <c r="I1128">
        <f t="shared" si="70"/>
        <v>480.05891259929422</v>
      </c>
    </row>
    <row r="1129" spans="1:9" ht="20.100000000000001" customHeight="1">
      <c r="A1129" s="563">
        <v>44736</v>
      </c>
      <c r="B1129">
        <f t="shared" si="71"/>
        <v>666.62910745221916</v>
      </c>
      <c r="C1129">
        <f t="shared" si="71"/>
        <v>165.65985355813129</v>
      </c>
      <c r="D1129">
        <v>59.130001068115227</v>
      </c>
      <c r="E1129" s="604">
        <v>11607.6201171875</v>
      </c>
      <c r="F1129" s="748">
        <f t="shared" si="68"/>
        <v>-4.7353727200442064E-3</v>
      </c>
      <c r="G1129" s="748">
        <f t="shared" si="68"/>
        <v>-7.156532662280779E-3</v>
      </c>
      <c r="H1129" s="1067">
        <f t="shared" si="69"/>
        <v>2.4211599422365726E-3</v>
      </c>
      <c r="I1129">
        <f t="shared" si="70"/>
        <v>500.96925389408784</v>
      </c>
    </row>
    <row r="1130" spans="1:9" ht="20.100000000000001" customHeight="1">
      <c r="A1130" s="563">
        <v>44739</v>
      </c>
      <c r="B1130">
        <f t="shared" si="71"/>
        <v>663.47237016240251</v>
      </c>
      <c r="C1130">
        <f t="shared" si="71"/>
        <v>164.47430340531386</v>
      </c>
      <c r="D1130">
        <v>58.849998474121087</v>
      </c>
      <c r="E1130" s="604">
        <v>11524.5498046875</v>
      </c>
      <c r="F1130" s="748">
        <f t="shared" si="68"/>
        <v>-2.6508030569953989E-2</v>
      </c>
      <c r="G1130" s="748">
        <f t="shared" si="68"/>
        <v>-2.9763398261811846E-2</v>
      </c>
      <c r="H1130" s="1067">
        <f t="shared" si="69"/>
        <v>3.2553676918578578E-3</v>
      </c>
      <c r="I1130">
        <f t="shared" si="70"/>
        <v>498.99806675708862</v>
      </c>
    </row>
    <row r="1131" spans="1:9" ht="20.100000000000001" customHeight="1">
      <c r="A1131" s="563">
        <v>44740</v>
      </c>
      <c r="B1131">
        <f t="shared" si="71"/>
        <v>645.88502429181767</v>
      </c>
      <c r="C1131">
        <f t="shared" si="71"/>
        <v>159.57898920922742</v>
      </c>
      <c r="D1131">
        <v>57.290000915527337</v>
      </c>
      <c r="E1131" s="604">
        <v>11181.5400390625</v>
      </c>
      <c r="F1131" s="748">
        <f t="shared" si="68"/>
        <v>-2.0946542968111048E-3</v>
      </c>
      <c r="G1131" s="748">
        <f t="shared" si="68"/>
        <v>-3.2646581886286441E-4</v>
      </c>
      <c r="H1131" s="1067">
        <f t="shared" si="69"/>
        <v>-1.7681884779482404E-3</v>
      </c>
      <c r="I1131">
        <f t="shared" si="70"/>
        <v>486.30603508259026</v>
      </c>
    </row>
    <row r="1132" spans="1:9" ht="20.100000000000001" customHeight="1">
      <c r="A1132" s="563">
        <v>44741</v>
      </c>
      <c r="B1132">
        <f t="shared" si="71"/>
        <v>644.53211845043882</v>
      </c>
      <c r="C1132">
        <f t="shared" si="71"/>
        <v>159.52689212384192</v>
      </c>
      <c r="D1132">
        <v>57.169998168945313</v>
      </c>
      <c r="E1132" s="604">
        <v>11177.8896484375</v>
      </c>
      <c r="F1132" s="748">
        <f t="shared" si="68"/>
        <v>-1.0320034227517483E-2</v>
      </c>
      <c r="G1132" s="748">
        <f t="shared" si="68"/>
        <v>-1.3343253400551203E-2</v>
      </c>
      <c r="H1132" s="1067">
        <f t="shared" si="69"/>
        <v>3.0232191730337199E-3</v>
      </c>
      <c r="I1132">
        <f t="shared" si="70"/>
        <v>485.00522632659693</v>
      </c>
    </row>
    <row r="1133" spans="1:9" ht="20.100000000000001" customHeight="1">
      <c r="A1133" s="563">
        <v>44742</v>
      </c>
      <c r="B1133">
        <f t="shared" si="71"/>
        <v>637.88052492729594</v>
      </c>
      <c r="C1133">
        <f t="shared" si="71"/>
        <v>157.39828437803109</v>
      </c>
      <c r="D1133">
        <v>56.580001831054688</v>
      </c>
      <c r="E1133" s="604">
        <v>11028.740234375</v>
      </c>
      <c r="F1133" s="748">
        <f t="shared" si="68"/>
        <v>1.3962479237610959E-2</v>
      </c>
      <c r="G1133" s="748">
        <f t="shared" si="68"/>
        <v>8.9864638112602258E-3</v>
      </c>
      <c r="H1133" s="1067">
        <f t="shared" si="69"/>
        <v>4.9760154263507328E-3</v>
      </c>
      <c r="I1133">
        <f t="shared" si="70"/>
        <v>480.48224054926482</v>
      </c>
    </row>
    <row r="1134" spans="1:9" ht="20.100000000000001" customHeight="1">
      <c r="A1134" s="563">
        <v>44743</v>
      </c>
      <c r="B1134">
        <f t="shared" si="71"/>
        <v>646.78691851266967</v>
      </c>
      <c r="C1134">
        <f t="shared" si="71"/>
        <v>158.81273836454872</v>
      </c>
      <c r="D1134">
        <v>57.369998931884773</v>
      </c>
      <c r="E1134" s="604">
        <v>11127.849609375</v>
      </c>
      <c r="F1134" s="748">
        <f t="shared" si="68"/>
        <v>2.8412081200324346E-2</v>
      </c>
      <c r="G1134" s="748">
        <f t="shared" si="68"/>
        <v>1.746884005659366E-2</v>
      </c>
      <c r="H1134" s="1067">
        <f t="shared" si="69"/>
        <v>1.0943241143730686E-2</v>
      </c>
      <c r="I1134">
        <f t="shared" si="70"/>
        <v>487.97418014812092</v>
      </c>
    </row>
    <row r="1135" spans="1:9" ht="20.100000000000001" customHeight="1">
      <c r="A1135" s="563">
        <v>44747</v>
      </c>
      <c r="B1135">
        <f t="shared" si="71"/>
        <v>665.16348096075922</v>
      </c>
      <c r="C1135">
        <f t="shared" si="71"/>
        <v>161.58701268998868</v>
      </c>
      <c r="D1135">
        <v>59</v>
      </c>
      <c r="E1135" s="604">
        <v>11322.240234375</v>
      </c>
      <c r="F1135" s="748">
        <f t="shared" si="68"/>
        <v>1.4745744608216427E-2</v>
      </c>
      <c r="G1135" s="748">
        <f t="shared" si="68"/>
        <v>3.4983690665513212E-3</v>
      </c>
      <c r="H1135" s="1067">
        <f t="shared" si="69"/>
        <v>1.1247375541665106E-2</v>
      </c>
      <c r="I1135">
        <f t="shared" si="70"/>
        <v>503.57646827077053</v>
      </c>
    </row>
    <row r="1136" spans="1:9" ht="20.100000000000001" customHeight="1">
      <c r="A1136" s="563">
        <v>44748</v>
      </c>
      <c r="B1136">
        <f t="shared" si="71"/>
        <v>674.97181177371885</v>
      </c>
      <c r="C1136">
        <f t="shared" si="71"/>
        <v>162.15230369673978</v>
      </c>
      <c r="D1136">
        <v>59.869998931884773</v>
      </c>
      <c r="E1136" s="604">
        <v>11361.849609375</v>
      </c>
      <c r="F1136" s="748">
        <f t="shared" si="68"/>
        <v>2.9229998851194372E-2</v>
      </c>
      <c r="G1136" s="748">
        <f t="shared" si="68"/>
        <v>2.2839591168842599E-2</v>
      </c>
      <c r="H1136" s="1067">
        <f t="shared" si="69"/>
        <v>6.390407682351773E-3</v>
      </c>
      <c r="I1136">
        <f t="shared" si="70"/>
        <v>512.8195080769791</v>
      </c>
    </row>
    <row r="1137" spans="1:9" ht="20.100000000000001" customHeight="1">
      <c r="A1137" s="563">
        <v>44749</v>
      </c>
      <c r="B1137">
        <f t="shared" si="71"/>
        <v>694.70123705645324</v>
      </c>
      <c r="C1137">
        <f t="shared" si="71"/>
        <v>165.85579602025933</v>
      </c>
      <c r="D1137">
        <v>61.619998931884773</v>
      </c>
      <c r="E1137" s="604">
        <v>11621.349609375</v>
      </c>
      <c r="F1137" s="748">
        <f t="shared" si="68"/>
        <v>1.7526807039521808E-2</v>
      </c>
      <c r="G1137" s="748">
        <f t="shared" si="68"/>
        <v>1.2012340568636759E-3</v>
      </c>
      <c r="H1137" s="1067">
        <f t="shared" si="69"/>
        <v>1.6325572982658132E-2</v>
      </c>
      <c r="I1137">
        <f t="shared" si="70"/>
        <v>528.84544103619396</v>
      </c>
    </row>
    <row r="1138" spans="1:9" ht="20.100000000000001" customHeight="1">
      <c r="A1138" s="563">
        <v>44750</v>
      </c>
      <c r="B1138">
        <f t="shared" si="71"/>
        <v>706.87713158845884</v>
      </c>
      <c r="C1138">
        <f t="shared" si="71"/>
        <v>166.05502765096711</v>
      </c>
      <c r="D1138">
        <v>62.700000762939453</v>
      </c>
      <c r="E1138" s="604">
        <v>11635.3095703125</v>
      </c>
      <c r="F1138" s="748">
        <f t="shared" si="68"/>
        <v>-6.6985961488349455E-3</v>
      </c>
      <c r="G1138" s="748">
        <f t="shared" si="68"/>
        <v>-2.2578682530957739E-2</v>
      </c>
      <c r="H1138" s="1067">
        <f t="shared" si="69"/>
        <v>1.5880086382122793E-2</v>
      </c>
      <c r="I1138">
        <f t="shared" si="70"/>
        <v>540.82210393749176</v>
      </c>
    </row>
    <row r="1139" spans="1:9" ht="20.100000000000001" customHeight="1">
      <c r="A1139" s="563">
        <v>44753</v>
      </c>
      <c r="B1139">
        <f t="shared" si="71"/>
        <v>702.14204715710093</v>
      </c>
      <c r="C1139">
        <f t="shared" si="71"/>
        <v>162.30572389896651</v>
      </c>
      <c r="D1139">
        <v>62.279998779296882</v>
      </c>
      <c r="E1139" s="604">
        <v>11372.599609375</v>
      </c>
      <c r="F1139" s="748">
        <f t="shared" si="68"/>
        <v>-4.271033878530428E-2</v>
      </c>
      <c r="G1139" s="748">
        <f t="shared" si="68"/>
        <v>-9.4850029307351758E-3</v>
      </c>
      <c r="H1139" s="1067">
        <f t="shared" si="69"/>
        <v>-3.3225335854569105E-2</v>
      </c>
      <c r="I1139">
        <f t="shared" si="70"/>
        <v>539.83632325813437</v>
      </c>
    </row>
    <row r="1140" spans="1:9" ht="20.100000000000001" customHeight="1">
      <c r="A1140" s="563">
        <v>44754</v>
      </c>
      <c r="B1140">
        <f t="shared" si="71"/>
        <v>672.15332244761407</v>
      </c>
      <c r="C1140">
        <f t="shared" si="71"/>
        <v>160.76625363210971</v>
      </c>
      <c r="D1140">
        <v>59.619998931884773</v>
      </c>
      <c r="E1140" s="604">
        <v>11264.73046875</v>
      </c>
      <c r="F1140" s="748">
        <f t="shared" si="68"/>
        <v>-1.1908740308496646E-2</v>
      </c>
      <c r="G1140" s="748">
        <f t="shared" si="68"/>
        <v>-1.5224856620029703E-3</v>
      </c>
      <c r="H1140" s="1067">
        <f t="shared" si="69"/>
        <v>-1.0386254646493676E-2</v>
      </c>
      <c r="I1140">
        <f t="shared" si="70"/>
        <v>511.38706881550434</v>
      </c>
    </row>
    <row r="1141" spans="1:9" ht="20.100000000000001" customHeight="1">
      <c r="A1141" s="563">
        <v>44755</v>
      </c>
      <c r="B1141">
        <f t="shared" si="71"/>
        <v>664.14882308309222</v>
      </c>
      <c r="C1141">
        <f t="shared" si="71"/>
        <v>160.52148931602088</v>
      </c>
      <c r="D1141">
        <v>58.909999847412109</v>
      </c>
      <c r="E1141" s="604">
        <v>11247.580078125</v>
      </c>
      <c r="F1141" s="748">
        <f t="shared" si="68"/>
        <v>-2.1558317111750269E-2</v>
      </c>
      <c r="G1141" s="748">
        <f t="shared" si="68"/>
        <v>3.2098918500000906E-4</v>
      </c>
      <c r="H1141" s="1067">
        <f t="shared" si="69"/>
        <v>-2.1879306296750278E-2</v>
      </c>
      <c r="I1141">
        <f t="shared" si="70"/>
        <v>503.62733376707138</v>
      </c>
    </row>
    <row r="1142" spans="1:9" ht="20.100000000000001" customHeight="1">
      <c r="A1142" s="563">
        <v>44756</v>
      </c>
      <c r="B1142">
        <f t="shared" si="71"/>
        <v>649.83089214567121</v>
      </c>
      <c r="C1142">
        <f t="shared" si="71"/>
        <v>160.57301497805142</v>
      </c>
      <c r="D1142">
        <v>57.639999389648438</v>
      </c>
      <c r="E1142" s="604">
        <v>11251.1904296875</v>
      </c>
      <c r="F1142" s="748">
        <f t="shared" si="68"/>
        <v>4.4760615169576523E-2</v>
      </c>
      <c r="G1142" s="748">
        <f t="shared" si="68"/>
        <v>1.7885173435206791E-2</v>
      </c>
      <c r="H1142" s="1067">
        <f t="shared" si="69"/>
        <v>2.6875441734369732E-2</v>
      </c>
      <c r="I1142">
        <f t="shared" si="70"/>
        <v>489.25787716761977</v>
      </c>
    </row>
    <row r="1143" spans="1:9" ht="20.100000000000001" customHeight="1">
      <c r="A1143" s="563">
        <v>44757</v>
      </c>
      <c r="B1143">
        <f t="shared" si="71"/>
        <v>678.91772263430619</v>
      </c>
      <c r="C1143">
        <f t="shared" si="71"/>
        <v>163.44489119994793</v>
      </c>
      <c r="D1143">
        <v>60.220001220703118</v>
      </c>
      <c r="E1143" s="604">
        <v>11452.419921875</v>
      </c>
      <c r="F1143" s="748">
        <f t="shared" si="68"/>
        <v>-3.6864848483927015E-2</v>
      </c>
      <c r="G1143" s="748">
        <f t="shared" si="68"/>
        <v>-8.0655545131614881E-3</v>
      </c>
      <c r="H1143" s="1067">
        <f t="shared" si="69"/>
        <v>-2.8799293970765527E-2</v>
      </c>
      <c r="I1143">
        <f t="shared" si="70"/>
        <v>515.47283143435823</v>
      </c>
    </row>
    <row r="1144" spans="1:9" ht="20.100000000000001" customHeight="1">
      <c r="A1144" s="563">
        <v>44760</v>
      </c>
      <c r="B1144">
        <f t="shared" si="71"/>
        <v>653.88952365633975</v>
      </c>
      <c r="C1144">
        <f t="shared" si="71"/>
        <v>162.12661752007699</v>
      </c>
      <c r="D1144">
        <v>58</v>
      </c>
      <c r="E1144" s="604">
        <v>11360.0498046875</v>
      </c>
      <c r="F1144" s="748">
        <f t="shared" si="68"/>
        <v>2.0689668326542288E-2</v>
      </c>
      <c r="G1144" s="748">
        <f t="shared" si="68"/>
        <v>3.1082661784792576E-2</v>
      </c>
      <c r="H1144" s="1067">
        <f t="shared" si="69"/>
        <v>-1.0392993458250288E-2</v>
      </c>
      <c r="I1144">
        <f t="shared" si="70"/>
        <v>491.76290613626276</v>
      </c>
    </row>
    <row r="1145" spans="1:9" ht="20.100000000000001" customHeight="1">
      <c r="A1145" s="563">
        <v>44761</v>
      </c>
      <c r="B1145">
        <f t="shared" si="71"/>
        <v>667.41828102299019</v>
      </c>
      <c r="C1145">
        <f t="shared" si="71"/>
        <v>167.16594433876597</v>
      </c>
      <c r="D1145">
        <v>59.200000762939453</v>
      </c>
      <c r="E1145" s="604">
        <v>11713.150390625</v>
      </c>
      <c r="F1145" s="748">
        <f t="shared" si="68"/>
        <v>7.4324091391639868E-3</v>
      </c>
      <c r="G1145" s="748">
        <f t="shared" si="68"/>
        <v>1.5751526604462551E-2</v>
      </c>
      <c r="H1145" s="1067">
        <f t="shared" si="69"/>
        <v>-8.3191174652985644E-3</v>
      </c>
      <c r="I1145">
        <f t="shared" si="70"/>
        <v>500.25233668422425</v>
      </c>
    </row>
    <row r="1146" spans="1:9" ht="20.100000000000001" customHeight="1">
      <c r="A1146" s="563">
        <v>44762</v>
      </c>
      <c r="B1146">
        <f t="shared" si="71"/>
        <v>672.37880675451061</v>
      </c>
      <c r="C1146">
        <f t="shared" si="71"/>
        <v>169.79906315837815</v>
      </c>
      <c r="D1146">
        <v>59.639999389648438</v>
      </c>
      <c r="E1146" s="604">
        <v>11897.650390625</v>
      </c>
      <c r="F1146" s="748">
        <f t="shared" si="68"/>
        <v>3.722336088904199E-2</v>
      </c>
      <c r="G1146" s="748">
        <f t="shared" si="68"/>
        <v>1.3612768540006925E-2</v>
      </c>
      <c r="H1146" s="1067">
        <f t="shared" si="69"/>
        <v>2.3610592349035064E-2</v>
      </c>
      <c r="I1146">
        <f t="shared" si="70"/>
        <v>502.57974359613246</v>
      </c>
    </row>
    <row r="1147" spans="1:9" ht="20.100000000000001" customHeight="1">
      <c r="A1147" s="563">
        <v>44763</v>
      </c>
      <c r="B1147">
        <f t="shared" si="71"/>
        <v>697.40700573247716</v>
      </c>
      <c r="C1147">
        <f t="shared" si="71"/>
        <v>172.11049850346316</v>
      </c>
      <c r="D1147">
        <v>61.860000610351563</v>
      </c>
      <c r="E1147" s="604">
        <v>12059.6103515625</v>
      </c>
      <c r="F1147" s="748">
        <f t="shared" si="68"/>
        <v>-1.0184304266072197E-2</v>
      </c>
      <c r="G1147" s="748">
        <f t="shared" si="68"/>
        <v>-1.8698779929550824E-2</v>
      </c>
      <c r="H1147" s="1067">
        <f t="shared" si="69"/>
        <v>8.5144756634786267E-3</v>
      </c>
      <c r="I1147">
        <f t="shared" si="70"/>
        <v>525.29650722901397</v>
      </c>
    </row>
    <row r="1148" spans="1:9" ht="20.100000000000001" customHeight="1">
      <c r="A1148" s="563">
        <v>44764</v>
      </c>
      <c r="B1148">
        <f t="shared" si="71"/>
        <v>690.30440058880731</v>
      </c>
      <c r="C1148">
        <f t="shared" si="71"/>
        <v>168.89224216838161</v>
      </c>
      <c r="D1148">
        <v>61.229999542236328</v>
      </c>
      <c r="E1148" s="604">
        <v>11834.1103515625</v>
      </c>
      <c r="F1148" s="748">
        <f t="shared" si="68"/>
        <v>-3.7563211490418968E-3</v>
      </c>
      <c r="G1148" s="748">
        <f t="shared" si="68"/>
        <v>-4.3467931394359782E-3</v>
      </c>
      <c r="H1148" s="1067">
        <f t="shared" si="69"/>
        <v>5.9047199039408138E-4</v>
      </c>
      <c r="I1148">
        <f t="shared" si="70"/>
        <v>521.41215842042573</v>
      </c>
    </row>
    <row r="1149" spans="1:9" ht="20.100000000000001" customHeight="1">
      <c r="A1149" s="563">
        <v>44767</v>
      </c>
      <c r="B1149">
        <f t="shared" si="71"/>
        <v>687.71139556959884</v>
      </c>
      <c r="C1149">
        <f t="shared" si="71"/>
        <v>168.15810252882014</v>
      </c>
      <c r="D1149">
        <v>61</v>
      </c>
      <c r="E1149" s="604">
        <v>11782.669921875</v>
      </c>
      <c r="F1149" s="748">
        <f t="shared" si="68"/>
        <v>-7.7704945548636051E-2</v>
      </c>
      <c r="G1149" s="748">
        <f t="shared" si="68"/>
        <v>-1.8679943581070391E-2</v>
      </c>
      <c r="H1149" s="1067">
        <f t="shared" si="69"/>
        <v>-5.902500196756566E-2</v>
      </c>
      <c r="I1149">
        <f t="shared" si="70"/>
        <v>519.55329304077873</v>
      </c>
    </row>
    <row r="1150" spans="1:9" ht="20.100000000000001" customHeight="1">
      <c r="A1150" s="563">
        <v>44768</v>
      </c>
      <c r="B1150">
        <f t="shared" si="71"/>
        <v>634.27281902368668</v>
      </c>
      <c r="C1150">
        <f t="shared" si="71"/>
        <v>165.01691866088191</v>
      </c>
      <c r="D1150">
        <v>56.259998321533203</v>
      </c>
      <c r="E1150" s="604">
        <v>11562.5703125</v>
      </c>
      <c r="F1150" s="748">
        <f t="shared" si="68"/>
        <v>2.96836479464202E-2</v>
      </c>
      <c r="G1150" s="748">
        <f t="shared" si="68"/>
        <v>4.0635394784761525E-2</v>
      </c>
      <c r="H1150" s="1067">
        <f t="shared" si="69"/>
        <v>-1.0951746838341325E-2</v>
      </c>
      <c r="I1150">
        <f t="shared" si="70"/>
        <v>469.25590036280477</v>
      </c>
    </row>
    <row r="1151" spans="1:9" ht="20.100000000000001" customHeight="1">
      <c r="A1151" s="563">
        <v>44769</v>
      </c>
      <c r="B1151">
        <f t="shared" si="71"/>
        <v>653.10035008556929</v>
      </c>
      <c r="C1151">
        <f t="shared" si="71"/>
        <v>171.72244629683172</v>
      </c>
      <c r="D1151">
        <v>57.930000305175781</v>
      </c>
      <c r="E1151" s="604">
        <v>12032.419921875</v>
      </c>
      <c r="F1151" s="748">
        <f t="shared" si="68"/>
        <v>2.537547407145091E-2</v>
      </c>
      <c r="G1151" s="748">
        <f t="shared" si="68"/>
        <v>1.0818266210801841E-2</v>
      </c>
      <c r="H1151" s="1067">
        <f t="shared" si="69"/>
        <v>1.4557207860649068E-2</v>
      </c>
      <c r="I1151">
        <f t="shared" si="70"/>
        <v>481.37790378873757</v>
      </c>
    </row>
    <row r="1152" spans="1:9" ht="20.100000000000001" customHeight="1">
      <c r="A1152" s="563">
        <v>44770</v>
      </c>
      <c r="B1152">
        <f t="shared" si="71"/>
        <v>669.67308108522116</v>
      </c>
      <c r="C1152">
        <f t="shared" si="71"/>
        <v>173.58018543524096</v>
      </c>
      <c r="D1152">
        <v>59.400001525878913</v>
      </c>
      <c r="E1152" s="604">
        <v>12162.58984375</v>
      </c>
      <c r="F1152" s="748">
        <f t="shared" si="68"/>
        <v>4.2087541006388118E-3</v>
      </c>
      <c r="G1152" s="748">
        <f t="shared" si="68"/>
        <v>1.8754277573103773E-2</v>
      </c>
      <c r="H1152" s="1067">
        <f t="shared" si="69"/>
        <v>-1.4545523472464961E-2</v>
      </c>
      <c r="I1152">
        <f t="shared" si="70"/>
        <v>496.09289564998016</v>
      </c>
    </row>
    <row r="1153" spans="1:9" ht="20.100000000000001" customHeight="1">
      <c r="A1153" s="563">
        <v>44771</v>
      </c>
      <c r="B1153">
        <f t="shared" si="71"/>
        <v>672.49157041132605</v>
      </c>
      <c r="C1153">
        <f t="shared" si="71"/>
        <v>176.83555641408429</v>
      </c>
      <c r="D1153">
        <v>59.650001525878913</v>
      </c>
      <c r="E1153" s="604">
        <v>12390.6904296875</v>
      </c>
      <c r="F1153" s="748">
        <f t="shared" si="68"/>
        <v>6.8734255980569259E-3</v>
      </c>
      <c r="G1153" s="748">
        <f t="shared" si="68"/>
        <v>-1.7521187427524954E-3</v>
      </c>
      <c r="H1153" s="1067">
        <f t="shared" si="69"/>
        <v>8.6255443408094212E-3</v>
      </c>
      <c r="I1153">
        <f t="shared" si="70"/>
        <v>495.65601399724176</v>
      </c>
    </row>
    <row r="1154" spans="1:9" ht="20.100000000000001" customHeight="1">
      <c r="A1154" s="563">
        <v>44774</v>
      </c>
      <c r="B1154">
        <f t="shared" si="71"/>
        <v>677.11389118586874</v>
      </c>
      <c r="C1154">
        <f t="shared" si="71"/>
        <v>176.52571952130612</v>
      </c>
      <c r="D1154">
        <v>60.060001373291023</v>
      </c>
      <c r="E1154" s="604">
        <v>12368.98046875</v>
      </c>
      <c r="F1154" s="748">
        <f t="shared" si="68"/>
        <v>5.1614643940318672E-3</v>
      </c>
      <c r="G1154" s="748">
        <f t="shared" si="68"/>
        <v>-1.6347914184267065E-3</v>
      </c>
      <c r="H1154" s="1067">
        <f t="shared" si="69"/>
        <v>6.7962558124585737E-3</v>
      </c>
      <c r="I1154">
        <f t="shared" si="70"/>
        <v>500.58817166456265</v>
      </c>
    </row>
    <row r="1155" spans="1:9" ht="20.100000000000001" customHeight="1">
      <c r="A1155" s="563">
        <v>44775</v>
      </c>
      <c r="B1155">
        <f t="shared" si="71"/>
        <v>680.60879042592899</v>
      </c>
      <c r="C1155">
        <f t="shared" si="71"/>
        <v>176.23713678990109</v>
      </c>
      <c r="D1155">
        <v>60.369998931884773</v>
      </c>
      <c r="E1155" s="604">
        <v>12348.759765625</v>
      </c>
      <c r="F1155" s="748">
        <f t="shared" ref="F1155:G1218" si="72">D1156/D1155-1</f>
        <v>4.1576978311072654E-2</v>
      </c>
      <c r="G1155" s="748">
        <f t="shared" si="72"/>
        <v>2.5864977267928468E-2</v>
      </c>
      <c r="H1155" s="1067">
        <f t="shared" ref="H1155:H1218" si="73">F1155-G1155</f>
        <v>1.5712001043144186E-2</v>
      </c>
      <c r="I1155">
        <f t="shared" ref="I1155:I1218" si="74">B1155-C1155</f>
        <v>504.37165363602787</v>
      </c>
    </row>
    <row r="1156" spans="1:9" ht="20.100000000000001" customHeight="1">
      <c r="A1156" s="563">
        <v>44776</v>
      </c>
      <c r="B1156">
        <f t="shared" ref="B1156:C1219" si="75">B1155*(1+F1155)</f>
        <v>708.90644734379327</v>
      </c>
      <c r="C1156">
        <f t="shared" si="75"/>
        <v>180.79550632673667</v>
      </c>
      <c r="D1156">
        <v>62.880001068115227</v>
      </c>
      <c r="E1156" s="604">
        <v>12668.16015625</v>
      </c>
      <c r="F1156" s="748">
        <f t="shared" si="72"/>
        <v>-0.16332697651577022</v>
      </c>
      <c r="G1156" s="748">
        <f t="shared" si="72"/>
        <v>4.1379269940109431E-3</v>
      </c>
      <c r="H1156" s="1067">
        <f t="shared" si="73"/>
        <v>-0.16746490350978116</v>
      </c>
      <c r="I1156">
        <f t="shared" si="74"/>
        <v>528.11094101705658</v>
      </c>
    </row>
    <row r="1157" spans="1:9" ht="20.100000000000001" customHeight="1">
      <c r="A1157" s="563">
        <v>44777</v>
      </c>
      <c r="B1157">
        <f t="shared" si="75"/>
        <v>593.12290066659546</v>
      </c>
      <c r="C1157">
        <f t="shared" si="75"/>
        <v>181.54362493276196</v>
      </c>
      <c r="D1157">
        <v>52.610000610351563</v>
      </c>
      <c r="E1157" s="604">
        <v>12720.580078125</v>
      </c>
      <c r="F1157" s="748">
        <f t="shared" si="72"/>
        <v>1.4826055317387787E-2</v>
      </c>
      <c r="G1157" s="748">
        <f t="shared" si="72"/>
        <v>-4.9549842106564324E-3</v>
      </c>
      <c r="H1157" s="1067">
        <f t="shared" si="73"/>
        <v>1.978103952804422E-2</v>
      </c>
      <c r="I1157">
        <f t="shared" si="74"/>
        <v>411.57927573383347</v>
      </c>
    </row>
    <row r="1158" spans="1:9" ht="20.100000000000001" customHeight="1">
      <c r="A1158" s="563">
        <v>44778</v>
      </c>
      <c r="B1158">
        <f t="shared" si="75"/>
        <v>601.91657360188788</v>
      </c>
      <c r="C1158">
        <f t="shared" si="75"/>
        <v>180.64407913767479</v>
      </c>
      <c r="D1158">
        <v>53.389999389648438</v>
      </c>
      <c r="E1158" s="604">
        <v>12657.5498046875</v>
      </c>
      <c r="F1158" s="748">
        <f t="shared" si="72"/>
        <v>-1.3111012478825845E-3</v>
      </c>
      <c r="G1158" s="748">
        <f t="shared" si="72"/>
        <v>-1.0341530511025487E-3</v>
      </c>
      <c r="H1158" s="1067">
        <f t="shared" si="73"/>
        <v>-2.7694819678003579E-4</v>
      </c>
      <c r="I1158">
        <f t="shared" si="74"/>
        <v>421.27249446421308</v>
      </c>
    </row>
    <row r="1159" spans="1:9" ht="20.100000000000001" customHeight="1">
      <c r="A1159" s="563">
        <v>44781</v>
      </c>
      <c r="B1159">
        <f t="shared" si="75"/>
        <v>601.12740003111719</v>
      </c>
      <c r="C1159">
        <f t="shared" si="75"/>
        <v>180.45726551207096</v>
      </c>
      <c r="D1159">
        <v>53.319999694824219</v>
      </c>
      <c r="E1159" s="604">
        <v>12644.4599609375</v>
      </c>
      <c r="F1159" s="748">
        <f t="shared" si="72"/>
        <v>-2.1192818353015341E-2</v>
      </c>
      <c r="G1159" s="748">
        <f t="shared" si="72"/>
        <v>-1.1904840056636057E-2</v>
      </c>
      <c r="H1159" s="1067">
        <f t="shared" si="73"/>
        <v>-9.2879782963792845E-3</v>
      </c>
      <c r="I1159">
        <f t="shared" si="74"/>
        <v>420.6701345190462</v>
      </c>
    </row>
    <row r="1160" spans="1:9" ht="20.100000000000001" customHeight="1">
      <c r="A1160" s="563">
        <v>44782</v>
      </c>
      <c r="B1160">
        <f t="shared" si="75"/>
        <v>588.38781623523732</v>
      </c>
      <c r="C1160">
        <f t="shared" si="75"/>
        <v>178.30895062909184</v>
      </c>
      <c r="D1160">
        <v>52.189998626708977</v>
      </c>
      <c r="E1160" s="604">
        <v>12493.9296875</v>
      </c>
      <c r="F1160" s="748">
        <f t="shared" si="72"/>
        <v>3.2573305377890271E-2</v>
      </c>
      <c r="G1160" s="748">
        <f t="shared" si="72"/>
        <v>2.8883635990728074E-2</v>
      </c>
      <c r="H1160" s="1067">
        <f t="shared" si="73"/>
        <v>3.6896693871621977E-3</v>
      </c>
      <c r="I1160">
        <f t="shared" si="74"/>
        <v>410.07886560614548</v>
      </c>
    </row>
    <row r="1161" spans="1:9" ht="20.100000000000001" customHeight="1">
      <c r="A1161" s="563">
        <v>44783</v>
      </c>
      <c r="B1161">
        <f t="shared" si="75"/>
        <v>607.55355225409767</v>
      </c>
      <c r="C1161">
        <f t="shared" si="75"/>
        <v>183.45916145295124</v>
      </c>
      <c r="D1161">
        <v>53.889999389648438</v>
      </c>
      <c r="E1161" s="604">
        <v>12854.7998046875</v>
      </c>
      <c r="F1161" s="748">
        <f t="shared" si="72"/>
        <v>-2.5422136711842791E-2</v>
      </c>
      <c r="G1161" s="748">
        <f t="shared" si="72"/>
        <v>-5.8258121149573627E-3</v>
      </c>
      <c r="H1161" s="1067">
        <f t="shared" si="73"/>
        <v>-1.9596324596885428E-2</v>
      </c>
      <c r="I1161">
        <f t="shared" si="74"/>
        <v>424.09439080114646</v>
      </c>
    </row>
    <row r="1162" spans="1:9" ht="20.100000000000001" customHeight="1">
      <c r="A1162" s="563">
        <v>44784</v>
      </c>
      <c r="B1162">
        <f t="shared" si="75"/>
        <v>592.10824278892824</v>
      </c>
      <c r="C1162">
        <f t="shared" si="75"/>
        <v>182.39036284755872</v>
      </c>
      <c r="D1162">
        <v>52.520000457763672</v>
      </c>
      <c r="E1162" s="604">
        <v>12779.91015625</v>
      </c>
      <c r="F1162" s="748">
        <f t="shared" si="72"/>
        <v>3.3701455490029675E-2</v>
      </c>
      <c r="G1162" s="748">
        <f t="shared" si="72"/>
        <v>2.09140964349257E-2</v>
      </c>
      <c r="H1162" s="1067">
        <f t="shared" si="73"/>
        <v>1.2787359055103975E-2</v>
      </c>
      <c r="I1162">
        <f t="shared" si="74"/>
        <v>409.71787994136952</v>
      </c>
    </row>
    <row r="1163" spans="1:9" ht="20.100000000000001" customHeight="1">
      <c r="A1163" s="563">
        <v>44785</v>
      </c>
      <c r="B1163">
        <f t="shared" si="75"/>
        <v>612.06315237855904</v>
      </c>
      <c r="C1163">
        <f t="shared" si="75"/>
        <v>186.20489248495366</v>
      </c>
      <c r="D1163">
        <v>54.290000915527337</v>
      </c>
      <c r="E1163" s="604">
        <v>13047.1904296875</v>
      </c>
      <c r="F1163" s="748">
        <f t="shared" si="72"/>
        <v>-3.8680987462018646E-3</v>
      </c>
      <c r="G1163" s="748">
        <f t="shared" si="72"/>
        <v>6.1974549567402892E-3</v>
      </c>
      <c r="H1163" s="1067">
        <f t="shared" si="73"/>
        <v>-1.0065553702942154E-2</v>
      </c>
      <c r="I1163">
        <f t="shared" si="74"/>
        <v>425.85825989360535</v>
      </c>
    </row>
    <row r="1164" spans="1:9" ht="20.100000000000001" customHeight="1">
      <c r="A1164" s="563">
        <v>44788</v>
      </c>
      <c r="B1164">
        <f t="shared" si="75"/>
        <v>609.69563166624721</v>
      </c>
      <c r="C1164">
        <f t="shared" si="75"/>
        <v>187.35888891885384</v>
      </c>
      <c r="D1164">
        <v>54.080001831054688</v>
      </c>
      <c r="E1164" s="604">
        <v>13128.0498046875</v>
      </c>
      <c r="F1164" s="748">
        <f t="shared" si="72"/>
        <v>-2.1079940195029345E-2</v>
      </c>
      <c r="G1164" s="748">
        <f t="shared" si="72"/>
        <v>-1.9424057936537897E-3</v>
      </c>
      <c r="H1164" s="1067">
        <f t="shared" si="73"/>
        <v>-1.9137534401375556E-2</v>
      </c>
      <c r="I1164">
        <f t="shared" si="74"/>
        <v>422.33674274739337</v>
      </c>
    </row>
    <row r="1165" spans="1:9" ht="20.100000000000001" customHeight="1">
      <c r="A1165" s="563">
        <v>44789</v>
      </c>
      <c r="B1165">
        <f t="shared" si="75"/>
        <v>596.84328421355212</v>
      </c>
      <c r="C1165">
        <f t="shared" si="75"/>
        <v>186.99496192752531</v>
      </c>
      <c r="D1165">
        <v>52.939998626708977</v>
      </c>
      <c r="E1165" s="604">
        <v>13102.5498046875</v>
      </c>
      <c r="F1165" s="748">
        <f t="shared" si="72"/>
        <v>-1.9078170527636495E-2</v>
      </c>
      <c r="G1165" s="748">
        <f t="shared" si="72"/>
        <v>-1.2549441898795477E-2</v>
      </c>
      <c r="H1165" s="1067">
        <f t="shared" si="73"/>
        <v>-6.5287286288410185E-3</v>
      </c>
      <c r="I1165">
        <f t="shared" si="74"/>
        <v>409.84832228602681</v>
      </c>
    </row>
    <row r="1166" spans="1:9" ht="20.100000000000001" customHeight="1">
      <c r="A1166" s="563">
        <v>44790</v>
      </c>
      <c r="B1166">
        <f t="shared" si="75"/>
        <v>585.45660625905134</v>
      </c>
      <c r="C1166">
        <f t="shared" si="75"/>
        <v>184.64827951744837</v>
      </c>
      <c r="D1166">
        <v>51.930000305175781</v>
      </c>
      <c r="E1166" s="604">
        <v>12938.1201171875</v>
      </c>
      <c r="F1166" s="748">
        <f t="shared" si="72"/>
        <v>6.5472780779860518E-3</v>
      </c>
      <c r="G1166" s="748">
        <f t="shared" si="72"/>
        <v>2.1038393766603658E-3</v>
      </c>
      <c r="H1166" s="1067">
        <f t="shared" si="73"/>
        <v>4.443438701325686E-3</v>
      </c>
      <c r="I1166">
        <f t="shared" si="74"/>
        <v>400.80832674160297</v>
      </c>
    </row>
    <row r="1167" spans="1:9" ht="20.100000000000001" customHeight="1">
      <c r="A1167" s="563">
        <v>44791</v>
      </c>
      <c r="B1167">
        <f t="shared" si="75"/>
        <v>589.28975346282334</v>
      </c>
      <c r="C1167">
        <f t="shared" si="75"/>
        <v>185.03674983872978</v>
      </c>
      <c r="D1167">
        <v>52.270000457763672</v>
      </c>
      <c r="E1167" s="604">
        <v>12965.33984375</v>
      </c>
      <c r="F1167" s="748">
        <f t="shared" si="72"/>
        <v>-1.8748795363570214E-2</v>
      </c>
      <c r="G1167" s="748">
        <f t="shared" si="72"/>
        <v>-2.0062730350480673E-2</v>
      </c>
      <c r="H1167" s="1067">
        <f t="shared" si="73"/>
        <v>1.3139349869104588E-3</v>
      </c>
      <c r="I1167">
        <f t="shared" si="74"/>
        <v>404.25300362409359</v>
      </c>
    </row>
    <row r="1168" spans="1:9" ht="20.100000000000001" customHeight="1">
      <c r="A1168" s="563">
        <v>44792</v>
      </c>
      <c r="B1168">
        <f t="shared" si="75"/>
        <v>578.24128046530018</v>
      </c>
      <c r="C1168">
        <f t="shared" si="75"/>
        <v>181.32440742178599</v>
      </c>
      <c r="D1168">
        <v>51.290000915527337</v>
      </c>
      <c r="E1168" s="604">
        <v>12705.2197265625</v>
      </c>
      <c r="F1168" s="748">
        <f t="shared" si="72"/>
        <v>-1.8912092091803112E-2</v>
      </c>
      <c r="G1168" s="748">
        <f t="shared" si="72"/>
        <v>-2.547373607288772E-2</v>
      </c>
      <c r="H1168" s="1067">
        <f t="shared" si="73"/>
        <v>6.5616439810846083E-3</v>
      </c>
      <c r="I1168">
        <f t="shared" si="74"/>
        <v>396.91687304351422</v>
      </c>
    </row>
    <row r="1169" spans="1:9" ht="20.100000000000001" customHeight="1">
      <c r="A1169" s="563">
        <v>44795</v>
      </c>
      <c r="B1169">
        <f t="shared" si="75"/>
        <v>567.30552811785822</v>
      </c>
      <c r="C1169">
        <f t="shared" si="75"/>
        <v>176.70539732355064</v>
      </c>
      <c r="D1169">
        <v>50.319999694824219</v>
      </c>
      <c r="E1169" s="604">
        <v>12381.5703125</v>
      </c>
      <c r="F1169" s="748">
        <f t="shared" si="72"/>
        <v>5.3656689070180619E-3</v>
      </c>
      <c r="G1169" s="748">
        <f t="shared" si="72"/>
        <v>-2.1847617521220108E-5</v>
      </c>
      <c r="H1169" s="1067">
        <f t="shared" si="73"/>
        <v>5.387516524539282E-3</v>
      </c>
      <c r="I1169">
        <f t="shared" si="74"/>
        <v>390.60013079430757</v>
      </c>
    </row>
    <row r="1170" spans="1:9" ht="20.100000000000001" customHeight="1">
      <c r="A1170" s="563">
        <v>44796</v>
      </c>
      <c r="B1170">
        <f t="shared" si="75"/>
        <v>570.34950175085964</v>
      </c>
      <c r="C1170">
        <f t="shared" si="75"/>
        <v>176.70153673161599</v>
      </c>
      <c r="D1170">
        <v>50.590000152587891</v>
      </c>
      <c r="E1170" s="604">
        <v>12381.2998046875</v>
      </c>
      <c r="F1170" s="748">
        <f t="shared" si="72"/>
        <v>-8.4997095054126781E-3</v>
      </c>
      <c r="G1170" s="748">
        <f t="shared" si="72"/>
        <v>4.056962479091597E-3</v>
      </c>
      <c r="H1170" s="1067">
        <f t="shared" si="73"/>
        <v>-1.2556671984504275E-2</v>
      </c>
      <c r="I1170">
        <f t="shared" si="74"/>
        <v>393.64796501924366</v>
      </c>
    </row>
    <row r="1171" spans="1:9" ht="20.100000000000001" customHeight="1">
      <c r="A1171" s="563">
        <v>44797</v>
      </c>
      <c r="B1171">
        <f t="shared" si="75"/>
        <v>565.50169666942043</v>
      </c>
      <c r="C1171">
        <f t="shared" si="75"/>
        <v>177.41840823613398</v>
      </c>
      <c r="D1171">
        <v>50.159999847412109</v>
      </c>
      <c r="E1171" s="604">
        <v>12431.5302734375</v>
      </c>
      <c r="F1171" s="748">
        <f t="shared" si="72"/>
        <v>1.4154686735097677E-2</v>
      </c>
      <c r="G1171" s="748">
        <f t="shared" si="72"/>
        <v>1.6710674650921797E-2</v>
      </c>
      <c r="H1171" s="1067">
        <f t="shared" si="73"/>
        <v>-2.5559879158241205E-3</v>
      </c>
      <c r="I1171">
        <f t="shared" si="74"/>
        <v>388.08328843328644</v>
      </c>
    </row>
    <row r="1172" spans="1:9" ht="20.100000000000001" customHeight="1">
      <c r="A1172" s="563">
        <v>44798</v>
      </c>
      <c r="B1172">
        <f t="shared" si="75"/>
        <v>573.50619603394227</v>
      </c>
      <c r="C1172">
        <f t="shared" si="75"/>
        <v>180.38318953325245</v>
      </c>
      <c r="D1172">
        <v>50.869998931884773</v>
      </c>
      <c r="E1172" s="604">
        <v>12639.26953125</v>
      </c>
      <c r="F1172" s="748">
        <f t="shared" si="72"/>
        <v>-2.5555322672627945E-2</v>
      </c>
      <c r="G1172" s="748">
        <f t="shared" si="72"/>
        <v>-3.9366165036856526E-2</v>
      </c>
      <c r="H1172" s="1067">
        <f t="shared" si="73"/>
        <v>1.3810842364228582E-2</v>
      </c>
      <c r="I1172">
        <f t="shared" si="74"/>
        <v>393.12300650068983</v>
      </c>
    </row>
    <row r="1173" spans="1:9" ht="20.100000000000001" customHeight="1">
      <c r="A1173" s="563">
        <v>44799</v>
      </c>
      <c r="B1173">
        <f t="shared" si="75"/>
        <v>558.85006013954342</v>
      </c>
      <c r="C1173">
        <f t="shared" si="75"/>
        <v>173.28219512421185</v>
      </c>
      <c r="D1173">
        <v>49.569999694824219</v>
      </c>
      <c r="E1173" s="604">
        <v>12141.7099609375</v>
      </c>
      <c r="F1173" s="748">
        <f t="shared" si="72"/>
        <v>-1.7752694644602274E-2</v>
      </c>
      <c r="G1173" s="748">
        <f t="shared" si="72"/>
        <v>-1.0216027187403109E-2</v>
      </c>
      <c r="H1173" s="1067">
        <f t="shared" si="73"/>
        <v>-7.5366674571991643E-3</v>
      </c>
      <c r="I1173">
        <f t="shared" si="74"/>
        <v>385.56786501533156</v>
      </c>
    </row>
    <row r="1174" spans="1:9" ht="20.100000000000001" customHeight="1">
      <c r="A1174" s="563">
        <v>44802</v>
      </c>
      <c r="B1174">
        <f t="shared" si="75"/>
        <v>548.92896566976844</v>
      </c>
      <c r="C1174">
        <f t="shared" si="75"/>
        <v>171.51193950773001</v>
      </c>
      <c r="D1174">
        <v>48.689998626708977</v>
      </c>
      <c r="E1174" s="604">
        <v>12017.669921875</v>
      </c>
      <c r="F1174" s="748">
        <f t="shared" si="72"/>
        <v>7.1883815709612442E-3</v>
      </c>
      <c r="G1174" s="748">
        <f t="shared" si="72"/>
        <v>-1.119437247919608E-2</v>
      </c>
      <c r="H1174" s="1067">
        <f t="shared" si="73"/>
        <v>1.8382754050157324E-2</v>
      </c>
      <c r="I1174">
        <f t="shared" si="74"/>
        <v>377.41702616203844</v>
      </c>
    </row>
    <row r="1175" spans="1:9" ht="20.100000000000001" customHeight="1">
      <c r="A1175" s="563">
        <v>44803</v>
      </c>
      <c r="B1175">
        <f t="shared" si="75"/>
        <v>552.87487653035578</v>
      </c>
      <c r="C1175">
        <f t="shared" si="75"/>
        <v>169.59197097225112</v>
      </c>
      <c r="D1175">
        <v>49.040000915527337</v>
      </c>
      <c r="E1175" s="604">
        <v>11883.1396484375</v>
      </c>
      <c r="F1175" s="748">
        <f t="shared" si="72"/>
        <v>-7.1370775343427839E-3</v>
      </c>
      <c r="G1175" s="748">
        <f t="shared" si="72"/>
        <v>-5.6331453728056813E-3</v>
      </c>
      <c r="H1175" s="1067">
        <f t="shared" si="73"/>
        <v>-1.5039321615371026E-3</v>
      </c>
      <c r="I1175">
        <f t="shared" si="74"/>
        <v>383.28290555810463</v>
      </c>
    </row>
    <row r="1176" spans="1:9" ht="20.100000000000001" customHeight="1">
      <c r="A1176" s="563">
        <v>44804</v>
      </c>
      <c r="B1176">
        <f t="shared" si="75"/>
        <v>548.92896566976844</v>
      </c>
      <c r="C1176">
        <f t="shared" si="75"/>
        <v>168.63663474570379</v>
      </c>
      <c r="D1176">
        <v>48.689998626708977</v>
      </c>
      <c r="E1176" s="604">
        <v>11816.2001953125</v>
      </c>
      <c r="F1176" s="748">
        <f t="shared" si="72"/>
        <v>-2.8753212897326685E-3</v>
      </c>
      <c r="G1176" s="748">
        <f t="shared" si="72"/>
        <v>-2.6294673402982305E-3</v>
      </c>
      <c r="H1176" s="1067">
        <f t="shared" si="73"/>
        <v>-2.4585394943443806E-4</v>
      </c>
      <c r="I1176">
        <f t="shared" si="74"/>
        <v>380.29233092406469</v>
      </c>
    </row>
    <row r="1177" spans="1:9" ht="20.100000000000001" customHeight="1">
      <c r="A1177" s="563">
        <v>44805</v>
      </c>
      <c r="B1177">
        <f t="shared" si="75"/>
        <v>547.35061852822719</v>
      </c>
      <c r="C1177">
        <f t="shared" si="75"/>
        <v>168.19321022226217</v>
      </c>
      <c r="D1177">
        <v>48.549999237060547</v>
      </c>
      <c r="E1177" s="604">
        <v>11785.1298828125</v>
      </c>
      <c r="F1177" s="748">
        <f t="shared" si="72"/>
        <v>1.0298504190784374E-3</v>
      </c>
      <c r="G1177" s="748">
        <f t="shared" si="72"/>
        <v>-1.3090185070848248E-2</v>
      </c>
      <c r="H1177" s="1067">
        <f t="shared" si="73"/>
        <v>1.4120035489926686E-2</v>
      </c>
      <c r="I1177">
        <f t="shared" si="74"/>
        <v>379.15740830596502</v>
      </c>
    </row>
    <row r="1178" spans="1:9" ht="20.100000000000001" customHeight="1">
      <c r="A1178" s="563">
        <v>44806</v>
      </c>
      <c r="B1178">
        <f t="shared" si="75"/>
        <v>547.91430779210134</v>
      </c>
      <c r="C1178">
        <f t="shared" si="75"/>
        <v>165.99152997279268</v>
      </c>
      <c r="D1178">
        <v>48.599998474121087</v>
      </c>
      <c r="E1178" s="604">
        <v>11630.8603515625</v>
      </c>
      <c r="F1178" s="748">
        <f t="shared" si="72"/>
        <v>2.1605001743301377E-2</v>
      </c>
      <c r="G1178" s="748">
        <f t="shared" si="72"/>
        <v>-7.3898398497195261E-3</v>
      </c>
      <c r="H1178" s="1067">
        <f t="shared" si="73"/>
        <v>2.8994841593020904E-2</v>
      </c>
      <c r="I1178">
        <f t="shared" si="74"/>
        <v>381.92277781930864</v>
      </c>
    </row>
    <row r="1179" spans="1:9" ht="20.100000000000001" customHeight="1">
      <c r="A1179" s="563">
        <v>44810</v>
      </c>
      <c r="B1179">
        <f t="shared" si="75"/>
        <v>559.75199736712943</v>
      </c>
      <c r="C1179">
        <f t="shared" si="75"/>
        <v>164.76487914988382</v>
      </c>
      <c r="D1179">
        <v>49.650001525878913</v>
      </c>
      <c r="E1179" s="604">
        <v>11544.91015625</v>
      </c>
      <c r="F1179" s="748">
        <f t="shared" si="72"/>
        <v>1.6112773665144076E-2</v>
      </c>
      <c r="G1179" s="748">
        <f t="shared" si="72"/>
        <v>2.139386370549512E-2</v>
      </c>
      <c r="H1179" s="1067">
        <f t="shared" si="73"/>
        <v>-5.2810900403510441E-3</v>
      </c>
      <c r="I1179">
        <f t="shared" si="74"/>
        <v>394.98711821724561</v>
      </c>
    </row>
    <row r="1180" spans="1:9" ht="20.100000000000001" customHeight="1">
      <c r="A1180" s="563">
        <v>44811</v>
      </c>
      <c r="B1180">
        <f t="shared" si="75"/>
        <v>568.77115460931827</v>
      </c>
      <c r="C1180">
        <f t="shared" si="75"/>
        <v>168.28983651786882</v>
      </c>
      <c r="D1180">
        <v>50.450000762939453</v>
      </c>
      <c r="E1180" s="604">
        <v>11791.900390625</v>
      </c>
      <c r="F1180" s="748">
        <f t="shared" si="72"/>
        <v>2.4975189345463944E-2</v>
      </c>
      <c r="G1180" s="748">
        <f t="shared" si="72"/>
        <v>5.9557399453047388E-3</v>
      </c>
      <c r="H1180" s="1067">
        <f t="shared" si="73"/>
        <v>1.9019449400159205E-2</v>
      </c>
      <c r="I1180">
        <f t="shared" si="74"/>
        <v>400.48131809144945</v>
      </c>
    </row>
    <row r="1181" spans="1:9" ht="20.100000000000001" customHeight="1">
      <c r="A1181" s="563">
        <v>44812</v>
      </c>
      <c r="B1181">
        <f t="shared" si="75"/>
        <v>582.97632188992418</v>
      </c>
      <c r="C1181">
        <f t="shared" si="75"/>
        <v>169.29212701960711</v>
      </c>
      <c r="D1181">
        <v>51.709999084472663</v>
      </c>
      <c r="E1181" s="604">
        <v>11862.1298828125</v>
      </c>
      <c r="F1181" s="748">
        <f t="shared" si="72"/>
        <v>3.6356625438033419E-2</v>
      </c>
      <c r="G1181" s="748">
        <f t="shared" si="72"/>
        <v>2.1090621159231659E-2</v>
      </c>
      <c r="H1181" s="1067">
        <f t="shared" si="73"/>
        <v>1.5266004278801759E-2</v>
      </c>
      <c r="I1181">
        <f t="shared" si="74"/>
        <v>413.68419487031707</v>
      </c>
    </row>
    <row r="1182" spans="1:9" ht="20.100000000000001" customHeight="1">
      <c r="A1182" s="563">
        <v>44813</v>
      </c>
      <c r="B1182">
        <f t="shared" si="75"/>
        <v>604.17137366411851</v>
      </c>
      <c r="C1182">
        <f t="shared" si="75"/>
        <v>172.86260313581818</v>
      </c>
      <c r="D1182">
        <v>53.590000152587891</v>
      </c>
      <c r="E1182" s="604">
        <v>12112.3095703125</v>
      </c>
      <c r="F1182" s="748">
        <f t="shared" si="72"/>
        <v>4.19854449261714E-2</v>
      </c>
      <c r="G1182" s="748">
        <f t="shared" si="72"/>
        <v>1.2722642617655877E-2</v>
      </c>
      <c r="H1182" s="1067">
        <f t="shared" si="73"/>
        <v>2.9262802308515523E-2</v>
      </c>
      <c r="I1182">
        <f t="shared" si="74"/>
        <v>431.30877052830033</v>
      </c>
    </row>
    <row r="1183" spans="1:9" ht="20.100000000000001" customHeight="1">
      <c r="A1183" s="563">
        <v>44816</v>
      </c>
      <c r="B1183">
        <f t="shared" si="75"/>
        <v>629.53777759906268</v>
      </c>
      <c r="C1183">
        <f t="shared" si="75"/>
        <v>175.06187225747288</v>
      </c>
      <c r="D1183">
        <v>55.840000152587891</v>
      </c>
      <c r="E1183" s="604">
        <v>12266.41015625</v>
      </c>
      <c r="F1183" s="748">
        <f t="shared" si="72"/>
        <v>-7.1096010205134785E-2</v>
      </c>
      <c r="G1183" s="748">
        <f t="shared" si="72"/>
        <v>-5.1591283487904094E-2</v>
      </c>
      <c r="H1183" s="1067">
        <f t="shared" si="73"/>
        <v>-1.9504726717230692E-2</v>
      </c>
      <c r="I1183">
        <f t="shared" si="74"/>
        <v>454.47590534158979</v>
      </c>
    </row>
    <row r="1184" spans="1:9" ht="20.100000000000001" customHeight="1">
      <c r="A1184" s="563">
        <v>44817</v>
      </c>
      <c r="B1184">
        <f t="shared" si="75"/>
        <v>584.78015333836186</v>
      </c>
      <c r="C1184">
        <f t="shared" si="75"/>
        <v>166.03020557791436</v>
      </c>
      <c r="D1184">
        <v>51.869998931884773</v>
      </c>
      <c r="E1184" s="604">
        <v>11633.5703125</v>
      </c>
      <c r="F1184" s="748">
        <f t="shared" si="72"/>
        <v>1.3495218096326589E-3</v>
      </c>
      <c r="G1184" s="748">
        <f t="shared" si="72"/>
        <v>7.4018012258436627E-3</v>
      </c>
      <c r="H1184" s="1067">
        <f t="shared" si="73"/>
        <v>-6.0522794162110038E-3</v>
      </c>
      <c r="I1184">
        <f t="shared" si="74"/>
        <v>418.74994776044753</v>
      </c>
    </row>
    <row r="1185" spans="1:9" ht="20.100000000000001" customHeight="1">
      <c r="A1185" s="563">
        <v>44818</v>
      </c>
      <c r="B1185">
        <f t="shared" si="75"/>
        <v>585.56932690913231</v>
      </c>
      <c r="C1185">
        <f t="shared" si="75"/>
        <v>167.25912815708804</v>
      </c>
      <c r="D1185">
        <v>51.939998626708977</v>
      </c>
      <c r="E1185" s="604">
        <v>11719.6796875</v>
      </c>
      <c r="F1185" s="748">
        <f t="shared" si="72"/>
        <v>-2.1563322323786549E-2</v>
      </c>
      <c r="G1185" s="748">
        <f t="shared" si="72"/>
        <v>-1.4276784041799329E-2</v>
      </c>
      <c r="H1185" s="1067">
        <f t="shared" si="73"/>
        <v>-7.2865382819872204E-3</v>
      </c>
      <c r="I1185">
        <f t="shared" si="74"/>
        <v>418.31019875204424</v>
      </c>
    </row>
    <row r="1186" spans="1:9" ht="20.100000000000001" customHeight="1">
      <c r="A1186" s="563">
        <v>44819</v>
      </c>
      <c r="B1186">
        <f t="shared" si="75"/>
        <v>572.94250677006801</v>
      </c>
      <c r="C1186">
        <f t="shared" si="75"/>
        <v>164.87120570536965</v>
      </c>
      <c r="D1186">
        <v>50.819999694824219</v>
      </c>
      <c r="E1186" s="604">
        <v>11552.3603515625</v>
      </c>
      <c r="F1186" s="748">
        <f t="shared" si="72"/>
        <v>-7.8709470342567256E-3</v>
      </c>
      <c r="G1186" s="748">
        <f t="shared" si="72"/>
        <v>-8.999023383428173E-3</v>
      </c>
      <c r="H1186" s="1067">
        <f t="shared" si="73"/>
        <v>1.1280763491714474E-3</v>
      </c>
      <c r="I1186">
        <f t="shared" si="74"/>
        <v>408.07130106469833</v>
      </c>
    </row>
    <row r="1187" spans="1:9" ht="20.100000000000001" customHeight="1">
      <c r="A1187" s="563">
        <v>44820</v>
      </c>
      <c r="B1187">
        <f t="shared" si="75"/>
        <v>568.43290664560652</v>
      </c>
      <c r="C1187">
        <f t="shared" si="75"/>
        <v>163.38752586997302</v>
      </c>
      <c r="D1187">
        <v>50.419998168945313</v>
      </c>
      <c r="E1187" s="604">
        <v>11448.400390625</v>
      </c>
      <c r="F1187" s="748">
        <f t="shared" si="72"/>
        <v>6.3467576585232166E-3</v>
      </c>
      <c r="G1187" s="748">
        <f t="shared" si="72"/>
        <v>7.5660474537500022E-3</v>
      </c>
      <c r="H1187" s="1067">
        <f t="shared" si="73"/>
        <v>-1.2192897952267856E-3</v>
      </c>
      <c r="I1187">
        <f t="shared" si="74"/>
        <v>405.04538077563348</v>
      </c>
    </row>
    <row r="1188" spans="1:9" ht="20.100000000000001" customHeight="1">
      <c r="A1188" s="563">
        <v>44823</v>
      </c>
      <c r="B1188">
        <f t="shared" si="75"/>
        <v>572.04061254921612</v>
      </c>
      <c r="C1188">
        <f t="shared" si="75"/>
        <v>164.62372364405604</v>
      </c>
      <c r="D1188">
        <v>50.740001678466797</v>
      </c>
      <c r="E1188" s="604">
        <v>11535.01953125</v>
      </c>
      <c r="F1188" s="748">
        <f t="shared" si="72"/>
        <v>5.9122542973044645E-4</v>
      </c>
      <c r="G1188" s="748">
        <f t="shared" si="72"/>
        <v>-9.5335535639602398E-3</v>
      </c>
      <c r="H1188" s="1067">
        <f t="shared" si="73"/>
        <v>1.0124778993690686E-2</v>
      </c>
      <c r="I1188">
        <f t="shared" si="74"/>
        <v>407.41688890516008</v>
      </c>
    </row>
    <row r="1189" spans="1:9" ht="20.100000000000001" customHeight="1">
      <c r="A1189" s="563">
        <v>44824</v>
      </c>
      <c r="B1189">
        <f t="shared" si="75"/>
        <v>572.37881750619385</v>
      </c>
      <c r="C1189">
        <f t="shared" si="75"/>
        <v>163.05427455679686</v>
      </c>
      <c r="D1189">
        <v>50.770000457763672</v>
      </c>
      <c r="E1189" s="604">
        <v>11425.0498046875</v>
      </c>
      <c r="F1189" s="748">
        <f t="shared" si="72"/>
        <v>-1.9105794996202241E-2</v>
      </c>
      <c r="G1189" s="748">
        <f t="shared" si="72"/>
        <v>-1.7930720522194132E-2</v>
      </c>
      <c r="H1189" s="1067">
        <f t="shared" si="73"/>
        <v>-1.1750744740081087E-3</v>
      </c>
      <c r="I1189">
        <f t="shared" si="74"/>
        <v>409.32454294939703</v>
      </c>
    </row>
    <row r="1190" spans="1:9" ht="20.100000000000001" customHeight="1">
      <c r="A1190" s="563">
        <v>44825</v>
      </c>
      <c r="B1190">
        <f t="shared" si="75"/>
        <v>561.44306515875189</v>
      </c>
      <c r="C1190">
        <f t="shared" si="75"/>
        <v>160.13059392976982</v>
      </c>
      <c r="D1190">
        <v>49.799999237060547</v>
      </c>
      <c r="E1190" s="604">
        <v>11220.1904296875</v>
      </c>
      <c r="F1190" s="748">
        <f t="shared" si="72"/>
        <v>-2.1285091864116201E-2</v>
      </c>
      <c r="G1190" s="748">
        <f t="shared" si="72"/>
        <v>-1.367007630896977E-2</v>
      </c>
      <c r="H1190" s="1067">
        <f t="shared" si="73"/>
        <v>-7.6150155551464316E-3</v>
      </c>
      <c r="I1190">
        <f t="shared" si="74"/>
        <v>401.31247122898208</v>
      </c>
    </row>
    <row r="1191" spans="1:9" ht="20.100000000000001" customHeight="1">
      <c r="A1191" s="563">
        <v>44826</v>
      </c>
      <c r="B1191">
        <f t="shared" si="75"/>
        <v>549.49269794037684</v>
      </c>
      <c r="C1191">
        <f t="shared" si="75"/>
        <v>157.9415964913492</v>
      </c>
      <c r="D1191">
        <v>48.740001678466797</v>
      </c>
      <c r="E1191" s="604">
        <v>11066.8095703125</v>
      </c>
      <c r="F1191" s="748">
        <f t="shared" si="72"/>
        <v>-3.0775855706458577E-3</v>
      </c>
      <c r="G1191" s="748">
        <f t="shared" si="72"/>
        <v>-1.7970841690997275E-2</v>
      </c>
      <c r="H1191" s="1067">
        <f t="shared" si="73"/>
        <v>1.4893256120351417E-2</v>
      </c>
      <c r="I1191">
        <f t="shared" si="74"/>
        <v>391.55110144902767</v>
      </c>
    </row>
    <row r="1192" spans="1:9" ht="20.100000000000001" customHeight="1">
      <c r="A1192" s="563">
        <v>44827</v>
      </c>
      <c r="B1192">
        <f t="shared" si="75"/>
        <v>547.80158714202025</v>
      </c>
      <c r="C1192">
        <f t="shared" si="75"/>
        <v>155.1032530643798</v>
      </c>
      <c r="D1192">
        <v>48.590000152587891</v>
      </c>
      <c r="E1192" s="604">
        <v>10867.9296875</v>
      </c>
      <c r="F1192" s="748">
        <f t="shared" si="72"/>
        <v>-6.174094178194367E-3</v>
      </c>
      <c r="G1192" s="748">
        <f t="shared" si="72"/>
        <v>-5.9817985112446959E-3</v>
      </c>
      <c r="H1192" s="1067">
        <f t="shared" si="73"/>
        <v>-1.9229566694967115E-4</v>
      </c>
      <c r="I1192">
        <f t="shared" si="74"/>
        <v>392.69833407764042</v>
      </c>
    </row>
    <row r="1193" spans="1:9" ht="20.100000000000001" customHeight="1">
      <c r="A1193" s="563">
        <v>44830</v>
      </c>
      <c r="B1193">
        <f t="shared" si="75"/>
        <v>544.41940855204109</v>
      </c>
      <c r="C1193">
        <f t="shared" si="75"/>
        <v>154.17545665611007</v>
      </c>
      <c r="D1193">
        <v>48.290000915527337</v>
      </c>
      <c r="E1193" s="604">
        <v>10802.919921875</v>
      </c>
      <c r="F1193" s="748">
        <f t="shared" si="72"/>
        <v>4.3487074030088557E-3</v>
      </c>
      <c r="G1193" s="748">
        <f t="shared" si="72"/>
        <v>2.4604531290819409E-3</v>
      </c>
      <c r="H1193" s="1067">
        <f t="shared" si="73"/>
        <v>1.8882542739269148E-3</v>
      </c>
      <c r="I1193">
        <f t="shared" si="74"/>
        <v>390.24395189593099</v>
      </c>
    </row>
    <row r="1194" spans="1:9" ht="20.100000000000001" customHeight="1">
      <c r="A1194" s="563">
        <v>44831</v>
      </c>
      <c r="B1194">
        <f t="shared" si="75"/>
        <v>546.78692926435303</v>
      </c>
      <c r="C1194">
        <f t="shared" si="75"/>
        <v>154.55479814086723</v>
      </c>
      <c r="D1194">
        <v>48.5</v>
      </c>
      <c r="E1194" s="604">
        <v>10829.5</v>
      </c>
      <c r="F1194" s="748">
        <f t="shared" si="72"/>
        <v>3.0309303519651998E-2</v>
      </c>
      <c r="G1194" s="748">
        <f t="shared" si="72"/>
        <v>2.05124565711714E-2</v>
      </c>
      <c r="H1194" s="1067">
        <f t="shared" si="73"/>
        <v>9.7968469484805976E-3</v>
      </c>
      <c r="I1194">
        <f t="shared" si="74"/>
        <v>392.23213112348583</v>
      </c>
    </row>
    <row r="1195" spans="1:9" ht="20.100000000000001" customHeight="1">
      <c r="A1195" s="563">
        <v>44832</v>
      </c>
      <c r="B1195">
        <f t="shared" si="75"/>
        <v>563.35966026400479</v>
      </c>
      <c r="C1195">
        <f t="shared" si="75"/>
        <v>157.72509672559792</v>
      </c>
      <c r="D1195">
        <v>49.970001220703118</v>
      </c>
      <c r="E1195" s="604">
        <v>11051.6396484375</v>
      </c>
      <c r="F1195" s="748">
        <f t="shared" si="72"/>
        <v>-6.804085336844512E-3</v>
      </c>
      <c r="G1195" s="748">
        <f t="shared" si="72"/>
        <v>-2.842382603896354E-2</v>
      </c>
      <c r="H1195" s="1067">
        <f t="shared" si="73"/>
        <v>2.1619740702119028E-2</v>
      </c>
      <c r="I1195">
        <f t="shared" si="74"/>
        <v>405.63456353840684</v>
      </c>
    </row>
    <row r="1196" spans="1:9" ht="20.100000000000001" customHeight="1">
      <c r="A1196" s="563">
        <v>44833</v>
      </c>
      <c r="B1196">
        <f t="shared" si="75"/>
        <v>559.52651306023279</v>
      </c>
      <c r="C1196">
        <f t="shared" si="75"/>
        <v>153.24194601429082</v>
      </c>
      <c r="D1196">
        <v>49.630001068115227</v>
      </c>
      <c r="E1196" s="604">
        <v>10737.509765625</v>
      </c>
      <c r="F1196" s="748">
        <f t="shared" si="72"/>
        <v>-1.0074551465630077E-2</v>
      </c>
      <c r="G1196" s="748">
        <f t="shared" si="72"/>
        <v>-1.5077019902302924E-2</v>
      </c>
      <c r="H1196" s="1067">
        <f t="shared" si="73"/>
        <v>5.0024684366728467E-3</v>
      </c>
      <c r="I1196">
        <f t="shared" si="74"/>
        <v>406.28456704594197</v>
      </c>
    </row>
    <row r="1197" spans="1:9" ht="20.100000000000001" customHeight="1">
      <c r="A1197" s="563">
        <v>44834</v>
      </c>
      <c r="B1197">
        <f t="shared" si="75"/>
        <v>553.88953440802288</v>
      </c>
      <c r="C1197">
        <f t="shared" si="75"/>
        <v>150.93151414436574</v>
      </c>
      <c r="D1197">
        <v>49.130001068115227</v>
      </c>
      <c r="E1197" s="604">
        <v>10575.6201171875</v>
      </c>
      <c r="F1197" s="748">
        <f t="shared" si="72"/>
        <v>3.7248076054797519E-2</v>
      </c>
      <c r="G1197" s="748">
        <f t="shared" si="72"/>
        <v>2.2675698224330354E-2</v>
      </c>
      <c r="H1197" s="1067">
        <f t="shared" si="73"/>
        <v>1.4572377830467165E-2</v>
      </c>
      <c r="I1197">
        <f t="shared" si="74"/>
        <v>402.95802026365715</v>
      </c>
    </row>
    <row r="1198" spans="1:9" ht="20.100000000000001" customHeight="1">
      <c r="A1198" s="563">
        <v>44837</v>
      </c>
      <c r="B1198">
        <f t="shared" si="75"/>
        <v>574.52085391160927</v>
      </c>
      <c r="C1198">
        <f t="shared" si="75"/>
        <v>154.35399161164463</v>
      </c>
      <c r="D1198">
        <v>50.959999084472663</v>
      </c>
      <c r="E1198" s="604">
        <v>10815.4296875</v>
      </c>
      <c r="F1198" s="748">
        <f t="shared" si="72"/>
        <v>3.375198688390868E-2</v>
      </c>
      <c r="G1198" s="748">
        <f t="shared" si="72"/>
        <v>3.3376433408577988E-2</v>
      </c>
      <c r="H1198" s="1067">
        <f t="shared" si="73"/>
        <v>3.7555347533069217E-4</v>
      </c>
      <c r="I1198">
        <f t="shared" si="74"/>
        <v>420.16686229996463</v>
      </c>
    </row>
    <row r="1199" spans="1:9" ht="20.100000000000001" customHeight="1">
      <c r="A1199" s="563">
        <v>44838</v>
      </c>
      <c r="B1199">
        <f t="shared" si="75"/>
        <v>593.91207423736591</v>
      </c>
      <c r="C1199">
        <f t="shared" si="75"/>
        <v>159.50577733401889</v>
      </c>
      <c r="D1199">
        <v>52.680000305175781</v>
      </c>
      <c r="E1199" s="604">
        <v>11176.41015625</v>
      </c>
      <c r="F1199" s="748">
        <f t="shared" si="72"/>
        <v>1.7274104824230641E-2</v>
      </c>
      <c r="G1199" s="748">
        <f t="shared" si="72"/>
        <v>-2.4847430815672089E-3</v>
      </c>
      <c r="H1199" s="1067">
        <f t="shared" si="73"/>
        <v>1.9758847905797849E-2</v>
      </c>
      <c r="I1199">
        <f t="shared" si="74"/>
        <v>434.40629690334703</v>
      </c>
    </row>
    <row r="1200" spans="1:9" ht="20.100000000000001" customHeight="1">
      <c r="A1200" s="563">
        <v>44839</v>
      </c>
      <c r="B1200">
        <f t="shared" si="75"/>
        <v>604.17137366411839</v>
      </c>
      <c r="C1200">
        <f t="shared" si="75"/>
        <v>159.10944645731817</v>
      </c>
      <c r="D1200">
        <v>53.590000152587891</v>
      </c>
      <c r="E1200" s="604">
        <v>11148.6396484375</v>
      </c>
      <c r="F1200" s="748">
        <f t="shared" si="72"/>
        <v>2.7990581349468524E-3</v>
      </c>
      <c r="G1200" s="748">
        <f t="shared" si="72"/>
        <v>-6.7568851896255833E-3</v>
      </c>
      <c r="H1200" s="1067">
        <f t="shared" si="73"/>
        <v>9.5559433245724357E-3</v>
      </c>
      <c r="I1200">
        <f t="shared" si="74"/>
        <v>445.06192720680019</v>
      </c>
    </row>
    <row r="1201" spans="1:9" ht="20.100000000000001" customHeight="1">
      <c r="A1201" s="563">
        <v>44840</v>
      </c>
      <c r="B1201">
        <f t="shared" si="75"/>
        <v>605.86248446247498</v>
      </c>
      <c r="C1201">
        <f t="shared" si="75"/>
        <v>158.0343621950212</v>
      </c>
      <c r="D1201">
        <v>53.740001678466797</v>
      </c>
      <c r="E1201" s="604">
        <v>11073.3095703125</v>
      </c>
      <c r="F1201" s="748">
        <f t="shared" si="72"/>
        <v>-4.2240424020553169E-2</v>
      </c>
      <c r="G1201" s="748">
        <f t="shared" si="72"/>
        <v>-3.8011145359464704E-2</v>
      </c>
      <c r="H1201" s="1067">
        <f t="shared" si="73"/>
        <v>-4.2292786610884647E-3</v>
      </c>
      <c r="I1201">
        <f t="shared" si="74"/>
        <v>447.82812226745375</v>
      </c>
    </row>
    <row r="1202" spans="1:9" ht="20.100000000000001" customHeight="1">
      <c r="A1202" s="563">
        <v>44841</v>
      </c>
      <c r="B1202">
        <f t="shared" si="75"/>
        <v>580.27059622063427</v>
      </c>
      <c r="C1202">
        <f t="shared" si="75"/>
        <v>152.02729508183594</v>
      </c>
      <c r="D1202">
        <v>51.470001220703118</v>
      </c>
      <c r="E1202" s="604">
        <v>10652.400390625</v>
      </c>
      <c r="F1202" s="748">
        <f t="shared" si="72"/>
        <v>-4.6629429332566419E-3</v>
      </c>
      <c r="G1202" s="748">
        <f t="shared" si="72"/>
        <v>-1.0354547069698405E-2</v>
      </c>
      <c r="H1202" s="1067">
        <f t="shared" si="73"/>
        <v>5.6916041364417636E-3</v>
      </c>
      <c r="I1202">
        <f t="shared" si="74"/>
        <v>428.2433011387983</v>
      </c>
    </row>
    <row r="1203" spans="1:9" ht="20.100000000000001" customHeight="1">
      <c r="A1203" s="563">
        <v>44844</v>
      </c>
      <c r="B1203">
        <f t="shared" si="75"/>
        <v>577.56482754461069</v>
      </c>
      <c r="C1203">
        <f t="shared" si="75"/>
        <v>150.45312129903215</v>
      </c>
      <c r="D1203">
        <v>51.229999542236328</v>
      </c>
      <c r="E1203" s="604">
        <v>10542.099609375</v>
      </c>
      <c r="F1203" s="748">
        <f t="shared" si="72"/>
        <v>-5.1727459200870407E-2</v>
      </c>
      <c r="G1203" s="748">
        <f t="shared" si="72"/>
        <v>-1.099488564729767E-2</v>
      </c>
      <c r="H1203" s="1067">
        <f t="shared" si="73"/>
        <v>-4.0732573553572737E-2</v>
      </c>
      <c r="I1203">
        <f t="shared" si="74"/>
        <v>427.11170624557855</v>
      </c>
    </row>
    <row r="1204" spans="1:9" ht="20.100000000000001" customHeight="1">
      <c r="A1204" s="563">
        <v>44845</v>
      </c>
      <c r="B1204">
        <f t="shared" si="75"/>
        <v>547.68886649193905</v>
      </c>
      <c r="C1204">
        <f t="shared" si="75"/>
        <v>148.79890643507028</v>
      </c>
      <c r="D1204">
        <v>48.580001831054688</v>
      </c>
      <c r="E1204" s="604">
        <v>10426.1904296875</v>
      </c>
      <c r="F1204" s="748">
        <f t="shared" si="72"/>
        <v>-7.6163592555795745E-3</v>
      </c>
      <c r="G1204" s="748">
        <f t="shared" si="72"/>
        <v>-8.7192156845850022E-4</v>
      </c>
      <c r="H1204" s="1067">
        <f t="shared" si="73"/>
        <v>-6.7444376871210743E-3</v>
      </c>
      <c r="I1204">
        <f t="shared" si="74"/>
        <v>398.88996005686874</v>
      </c>
    </row>
    <row r="1205" spans="1:9" ht="20.100000000000001" customHeight="1">
      <c r="A1205" s="563">
        <v>44846</v>
      </c>
      <c r="B1205">
        <f t="shared" si="75"/>
        <v>543.5174713244553</v>
      </c>
      <c r="C1205">
        <f t="shared" si="75"/>
        <v>148.6691654591865</v>
      </c>
      <c r="D1205">
        <v>48.209999084472663</v>
      </c>
      <c r="E1205" s="604">
        <v>10417.099609375</v>
      </c>
      <c r="F1205" s="748">
        <f t="shared" si="72"/>
        <v>2.0535193886482395E-2</v>
      </c>
      <c r="G1205" s="748">
        <f t="shared" si="72"/>
        <v>2.2275949155863284E-2</v>
      </c>
      <c r="H1205" s="1067">
        <f t="shared" si="73"/>
        <v>-1.7407552693808892E-3</v>
      </c>
      <c r="I1205">
        <f t="shared" si="74"/>
        <v>394.8483058652688</v>
      </c>
    </row>
    <row r="1206" spans="1:9" ht="20.100000000000001" customHeight="1">
      <c r="A1206" s="563">
        <v>44847</v>
      </c>
      <c r="B1206">
        <f t="shared" si="75"/>
        <v>554.67870797879368</v>
      </c>
      <c r="C1206">
        <f t="shared" si="75"/>
        <v>151.98091222999997</v>
      </c>
      <c r="D1206">
        <v>49.200000762939453</v>
      </c>
      <c r="E1206" s="604">
        <v>10649.150390625</v>
      </c>
      <c r="F1206" s="748">
        <f t="shared" si="72"/>
        <v>-2.1747960939671684E-2</v>
      </c>
      <c r="G1206" s="748">
        <f t="shared" si="72"/>
        <v>-3.0778111883558834E-2</v>
      </c>
      <c r="H1206" s="1067">
        <f t="shared" si="73"/>
        <v>9.0301509438871497E-3</v>
      </c>
      <c r="I1206">
        <f t="shared" si="74"/>
        <v>402.69779574879374</v>
      </c>
    </row>
    <row r="1207" spans="1:9" ht="20.100000000000001" customHeight="1">
      <c r="A1207" s="563">
        <v>44848</v>
      </c>
      <c r="B1207">
        <f t="shared" si="75"/>
        <v>542.6155771036033</v>
      </c>
      <c r="C1207">
        <f t="shared" si="75"/>
        <v>147.3032267092197</v>
      </c>
      <c r="D1207">
        <v>48.130001068115227</v>
      </c>
      <c r="E1207" s="604">
        <v>10321.3896484375</v>
      </c>
      <c r="F1207" s="748">
        <f t="shared" si="72"/>
        <v>4.8410512458953558E-2</v>
      </c>
      <c r="G1207" s="748">
        <f t="shared" si="72"/>
        <v>3.4337445665918898E-2</v>
      </c>
      <c r="H1207" s="1067">
        <f t="shared" si="73"/>
        <v>1.4073066793034661E-2</v>
      </c>
      <c r="I1207">
        <f t="shared" si="74"/>
        <v>395.3123503943836</v>
      </c>
    </row>
    <row r="1208" spans="1:9" ht="20.100000000000001" customHeight="1">
      <c r="A1208" s="563">
        <v>44851</v>
      </c>
      <c r="B1208">
        <f t="shared" si="75"/>
        <v>568.88387525939959</v>
      </c>
      <c r="C1208">
        <f t="shared" si="75"/>
        <v>152.36124325276205</v>
      </c>
      <c r="D1208">
        <v>50.459999084472663</v>
      </c>
      <c r="E1208" s="604">
        <v>10675.7998046875</v>
      </c>
      <c r="F1208" s="748">
        <f t="shared" si="72"/>
        <v>2.1799490859619297E-2</v>
      </c>
      <c r="G1208" s="748">
        <f t="shared" si="72"/>
        <v>9.048557270162183E-3</v>
      </c>
      <c r="H1208" s="1067">
        <f t="shared" si="73"/>
        <v>1.2750933589457114E-2</v>
      </c>
      <c r="I1208">
        <f t="shared" si="74"/>
        <v>416.52263200663754</v>
      </c>
    </row>
    <row r="1209" spans="1:9" ht="20.100000000000001" customHeight="1">
      <c r="A1209" s="563">
        <v>44852</v>
      </c>
      <c r="B1209">
        <f t="shared" si="75"/>
        <v>581.28525409830172</v>
      </c>
      <c r="C1209">
        <f t="shared" si="75"/>
        <v>153.73989268808779</v>
      </c>
      <c r="D1209">
        <v>51.560001373291023</v>
      </c>
      <c r="E1209" s="604">
        <v>10772.400390625</v>
      </c>
      <c r="F1209" s="748">
        <f t="shared" si="72"/>
        <v>4.4608133458168275E-3</v>
      </c>
      <c r="G1209" s="748">
        <f t="shared" si="72"/>
        <v>-8.5301902703106558E-3</v>
      </c>
      <c r="H1209" s="1067">
        <f t="shared" si="73"/>
        <v>1.2991003616127483E-2</v>
      </c>
      <c r="I1209">
        <f t="shared" si="74"/>
        <v>427.5453614102139</v>
      </c>
    </row>
    <row r="1210" spans="1:9" ht="20.100000000000001" customHeight="1">
      <c r="A1210" s="563">
        <v>44853</v>
      </c>
      <c r="B1210">
        <f t="shared" si="75"/>
        <v>583.87825911750997</v>
      </c>
      <c r="C1210">
        <f t="shared" si="75"/>
        <v>152.42846215132127</v>
      </c>
      <c r="D1210">
        <v>51.790000915527337</v>
      </c>
      <c r="E1210" s="604">
        <v>10680.509765625</v>
      </c>
      <c r="F1210" s="748">
        <f t="shared" si="72"/>
        <v>-3.8617640356033434E-3</v>
      </c>
      <c r="G1210" s="748">
        <f t="shared" si="72"/>
        <v>-6.1485756125945201E-3</v>
      </c>
      <c r="H1210" s="1067">
        <f t="shared" si="73"/>
        <v>2.2868115769911768E-3</v>
      </c>
      <c r="I1210">
        <f t="shared" si="74"/>
        <v>431.44979696618873</v>
      </c>
    </row>
    <row r="1211" spans="1:9" ht="20.100000000000001" customHeight="1">
      <c r="A1211" s="563">
        <v>44854</v>
      </c>
      <c r="B1211">
        <f t="shared" si="75"/>
        <v>581.62345905527923</v>
      </c>
      <c r="C1211">
        <f t="shared" si="75"/>
        <v>151.49124422627236</v>
      </c>
      <c r="D1211">
        <v>51.590000152587891</v>
      </c>
      <c r="E1211" s="604">
        <v>10614.83984375</v>
      </c>
      <c r="F1211" s="748">
        <f t="shared" si="72"/>
        <v>4.1868576100474453E-2</v>
      </c>
      <c r="G1211" s="748">
        <f t="shared" si="72"/>
        <v>2.306957866695325E-2</v>
      </c>
      <c r="H1211" s="1067">
        <f t="shared" si="73"/>
        <v>1.8798997433521203E-2</v>
      </c>
      <c r="I1211">
        <f t="shared" si="74"/>
        <v>430.1322148290069</v>
      </c>
    </row>
    <row r="1212" spans="1:9" ht="20.100000000000001" customHeight="1">
      <c r="A1212" s="563">
        <v>44855</v>
      </c>
      <c r="B1212">
        <f t="shared" si="75"/>
        <v>605.97520511255641</v>
      </c>
      <c r="C1212">
        <f t="shared" si="75"/>
        <v>154.98608340230498</v>
      </c>
      <c r="D1212">
        <v>53.75</v>
      </c>
      <c r="E1212" s="604">
        <v>10859.7197265625</v>
      </c>
      <c r="F1212" s="748">
        <f t="shared" si="72"/>
        <v>2.13953772256541E-2</v>
      </c>
      <c r="G1212" s="748">
        <f t="shared" si="72"/>
        <v>8.5536853011769498E-3</v>
      </c>
      <c r="H1212" s="1067">
        <f t="shared" si="73"/>
        <v>1.284169192447715E-2</v>
      </c>
      <c r="I1212">
        <f t="shared" si="74"/>
        <v>450.98912171025142</v>
      </c>
    </row>
    <row r="1213" spans="1:9" ht="20.100000000000001" customHeight="1">
      <c r="A1213" s="563">
        <v>44858</v>
      </c>
      <c r="B1213">
        <f t="shared" si="75"/>
        <v>618.9402732153327</v>
      </c>
      <c r="C1213">
        <f t="shared" si="75"/>
        <v>156.31178558579026</v>
      </c>
      <c r="D1213">
        <v>54.900001525878913</v>
      </c>
      <c r="E1213" s="604">
        <v>10952.6103515625</v>
      </c>
      <c r="F1213" s="748">
        <f t="shared" si="72"/>
        <v>1.8579173309960506E-2</v>
      </c>
      <c r="G1213" s="748">
        <f t="shared" si="72"/>
        <v>2.2506941972041616E-2</v>
      </c>
      <c r="H1213" s="1067">
        <f t="shared" si="73"/>
        <v>-3.9277686620811103E-3</v>
      </c>
      <c r="I1213">
        <f t="shared" si="74"/>
        <v>462.62848762954241</v>
      </c>
    </row>
    <row r="1214" spans="1:9" ht="20.100000000000001" customHeight="1">
      <c r="A1214" s="563">
        <v>44859</v>
      </c>
      <c r="B1214">
        <f t="shared" si="75"/>
        <v>630.43967181991468</v>
      </c>
      <c r="C1214">
        <f t="shared" si="75"/>
        <v>159.82988587351585</v>
      </c>
      <c r="D1214">
        <v>55.919998168945313</v>
      </c>
      <c r="E1214" s="604">
        <v>11199.1201171875</v>
      </c>
      <c r="F1214" s="748">
        <f t="shared" si="72"/>
        <v>-7.689494001401953E-3</v>
      </c>
      <c r="G1214" s="748">
        <f t="shared" si="72"/>
        <v>-2.0370339850394603E-2</v>
      </c>
      <c r="H1214" s="1067">
        <f t="shared" si="73"/>
        <v>1.268084584899265E-2</v>
      </c>
      <c r="I1214">
        <f t="shared" si="74"/>
        <v>470.6097859463988</v>
      </c>
    </row>
    <row r="1215" spans="1:9" ht="20.100000000000001" customHeight="1">
      <c r="A1215" s="563">
        <v>44860</v>
      </c>
      <c r="B1215">
        <f t="shared" si="75"/>
        <v>625.59190974520959</v>
      </c>
      <c r="C1215">
        <f t="shared" si="75"/>
        <v>156.57409678002256</v>
      </c>
      <c r="D1215">
        <v>55.490001678466797</v>
      </c>
      <c r="E1215" s="604">
        <v>10970.990234375</v>
      </c>
      <c r="F1215" s="748">
        <f t="shared" si="72"/>
        <v>9.3709970686159938E-3</v>
      </c>
      <c r="G1215" s="748">
        <f t="shared" si="72"/>
        <v>-1.625380286469269E-2</v>
      </c>
      <c r="H1215" s="1067">
        <f t="shared" si="73"/>
        <v>2.5624799933308684E-2</v>
      </c>
      <c r="I1215">
        <f t="shared" si="74"/>
        <v>469.01781296518703</v>
      </c>
    </row>
    <row r="1216" spans="1:9" ht="20.100000000000001" customHeight="1">
      <c r="A1216" s="563">
        <v>44861</v>
      </c>
      <c r="B1216">
        <f t="shared" si="75"/>
        <v>631.45432969758178</v>
      </c>
      <c r="C1216">
        <f t="shared" si="75"/>
        <v>154.02917227724276</v>
      </c>
      <c r="D1216">
        <v>56.009998321533203</v>
      </c>
      <c r="E1216" s="604">
        <v>10792.669921875</v>
      </c>
      <c r="F1216" s="748">
        <f t="shared" si="72"/>
        <v>1.9460813877025807E-2</v>
      </c>
      <c r="G1216" s="748">
        <f t="shared" si="72"/>
        <v>2.8702839582782413E-2</v>
      </c>
      <c r="H1216" s="1067">
        <f t="shared" si="73"/>
        <v>-9.2420257057566069E-3</v>
      </c>
      <c r="I1216">
        <f t="shared" si="74"/>
        <v>477.42515742033902</v>
      </c>
    </row>
    <row r="1217" spans="1:9" ht="20.100000000000001" customHeight="1">
      <c r="A1217" s="563">
        <v>44862</v>
      </c>
      <c r="B1217">
        <f t="shared" si="75"/>
        <v>643.74294487966847</v>
      </c>
      <c r="C1217">
        <f t="shared" si="75"/>
        <v>158.45024690018522</v>
      </c>
      <c r="D1217">
        <v>57.099998474121087</v>
      </c>
      <c r="E1217" s="604">
        <v>11102.4501953125</v>
      </c>
      <c r="F1217" s="748">
        <f t="shared" si="72"/>
        <v>1.0508121697798689E-3</v>
      </c>
      <c r="G1217" s="748">
        <f t="shared" si="72"/>
        <v>-1.0295007199019768E-2</v>
      </c>
      <c r="H1217" s="1067">
        <f t="shared" si="73"/>
        <v>1.1345819368799637E-2</v>
      </c>
      <c r="I1217">
        <f t="shared" si="74"/>
        <v>485.29269797948325</v>
      </c>
    </row>
    <row r="1218" spans="1:9" ht="20.100000000000001" customHeight="1">
      <c r="A1218" s="563">
        <v>44865</v>
      </c>
      <c r="B1218">
        <f t="shared" si="75"/>
        <v>644.41939780035796</v>
      </c>
      <c r="C1218">
        <f t="shared" si="75"/>
        <v>156.81900046766134</v>
      </c>
      <c r="D1218">
        <v>57.159999847412109</v>
      </c>
      <c r="E1218" s="604">
        <v>10988.150390625</v>
      </c>
      <c r="F1218" s="748">
        <f t="shared" si="72"/>
        <v>-1.29461455640697E-2</v>
      </c>
      <c r="G1218" s="748">
        <f t="shared" si="72"/>
        <v>-8.8550645732894395E-3</v>
      </c>
      <c r="H1218" s="1067">
        <f t="shared" si="73"/>
        <v>-4.0910809907802603E-3</v>
      </c>
      <c r="I1218">
        <f t="shared" si="74"/>
        <v>487.60039733269662</v>
      </c>
    </row>
    <row r="1219" spans="1:9" ht="20.100000000000001" customHeight="1">
      <c r="A1219" s="563">
        <v>44866</v>
      </c>
      <c r="B1219">
        <f t="shared" si="75"/>
        <v>636.07665047212436</v>
      </c>
      <c r="C1219">
        <f t="shared" si="75"/>
        <v>155.43035809220149</v>
      </c>
      <c r="D1219">
        <v>56.419998168945313</v>
      </c>
      <c r="E1219" s="604">
        <v>10890.849609375</v>
      </c>
      <c r="F1219" s="748">
        <f t="shared" ref="F1219:G1282" si="76">D1220/D1219-1</f>
        <v>-5.6540211454044753E-2</v>
      </c>
      <c r="G1219" s="748">
        <f t="shared" si="76"/>
        <v>-3.361076663591045E-2</v>
      </c>
      <c r="H1219" s="1067">
        <f t="shared" ref="H1219:H1282" si="77">F1219-G1219</f>
        <v>-2.2929444818134304E-2</v>
      </c>
      <c r="I1219">
        <f t="shared" ref="I1219:I1282" si="78">B1219-C1219</f>
        <v>480.6462923799229</v>
      </c>
    </row>
    <row r="1220" spans="1:9" ht="20.100000000000001" customHeight="1">
      <c r="A1220" s="563">
        <v>44867</v>
      </c>
      <c r="B1220">
        <f t="shared" ref="B1220:C1283" si="79">B1219*(1+F1219)</f>
        <v>600.11274215344997</v>
      </c>
      <c r="C1220">
        <f t="shared" si="79"/>
        <v>150.20622459822852</v>
      </c>
      <c r="D1220">
        <v>53.229999542236328</v>
      </c>
      <c r="E1220" s="604">
        <v>10524.7998046875</v>
      </c>
      <c r="F1220" s="748">
        <f t="shared" si="76"/>
        <v>-0.1371406969723572</v>
      </c>
      <c r="G1220" s="748">
        <f t="shared" si="76"/>
        <v>-1.7279129140205018E-2</v>
      </c>
      <c r="H1220" s="1067">
        <f t="shared" si="77"/>
        <v>-0.11986156783215218</v>
      </c>
      <c r="I1220">
        <f t="shared" si="78"/>
        <v>449.90651755522146</v>
      </c>
    </row>
    <row r="1221" spans="1:9" ht="20.100000000000001" customHeight="1">
      <c r="A1221" s="563">
        <v>44868</v>
      </c>
      <c r="B1221">
        <f t="shared" si="79"/>
        <v>517.81286243253339</v>
      </c>
      <c r="C1221">
        <f t="shared" si="79"/>
        <v>147.61079184573308</v>
      </c>
      <c r="D1221">
        <v>45.930000305175781</v>
      </c>
      <c r="E1221" s="604">
        <v>10342.9404296875</v>
      </c>
      <c r="F1221" s="748">
        <f t="shared" si="76"/>
        <v>2.5473506666044088E-2</v>
      </c>
      <c r="G1221" s="748">
        <f t="shared" si="76"/>
        <v>1.2792258759678266E-2</v>
      </c>
      <c r="H1221" s="1067">
        <f t="shared" si="77"/>
        <v>1.2681247906365822E-2</v>
      </c>
      <c r="I1221">
        <f t="shared" si="78"/>
        <v>370.20207058680035</v>
      </c>
    </row>
    <row r="1222" spans="1:9" ht="20.100000000000001" customHeight="1">
      <c r="A1222" s="563">
        <v>44869</v>
      </c>
      <c r="B1222">
        <f t="shared" si="79"/>
        <v>531.00337183547185</v>
      </c>
      <c r="C1222">
        <f t="shared" si="79"/>
        <v>149.4990672907447</v>
      </c>
      <c r="D1222">
        <v>47.099998474121087</v>
      </c>
      <c r="E1222" s="604">
        <v>10475.25</v>
      </c>
      <c r="F1222" s="748">
        <f t="shared" si="76"/>
        <v>1.613592698199473E-2</v>
      </c>
      <c r="G1222" s="748">
        <f t="shared" si="76"/>
        <v>8.5219475668838474E-3</v>
      </c>
      <c r="H1222" s="1067">
        <f t="shared" si="77"/>
        <v>7.6139794151108831E-3</v>
      </c>
      <c r="I1222">
        <f t="shared" si="78"/>
        <v>381.50430454472712</v>
      </c>
    </row>
    <row r="1223" spans="1:9" ht="20.100000000000001" customHeight="1">
      <c r="A1223" s="563">
        <v>44872</v>
      </c>
      <c r="B1223">
        <f t="shared" si="79"/>
        <v>539.57160347060199</v>
      </c>
      <c r="C1223">
        <f t="shared" si="79"/>
        <v>150.77309050349447</v>
      </c>
      <c r="D1223">
        <v>47.860000610351563</v>
      </c>
      <c r="E1223" s="604">
        <v>10564.51953125</v>
      </c>
      <c r="F1223" s="748">
        <f t="shared" si="76"/>
        <v>5.7250268049033215E-2</v>
      </c>
      <c r="G1223" s="748">
        <f t="shared" si="76"/>
        <v>4.8919086106686827E-3</v>
      </c>
      <c r="H1223" s="1067">
        <f t="shared" si="77"/>
        <v>5.2358359438364532E-2</v>
      </c>
      <c r="I1223">
        <f t="shared" si="78"/>
        <v>388.79851296710751</v>
      </c>
    </row>
    <row r="1224" spans="1:9" ht="20.100000000000001" customHeight="1">
      <c r="A1224" s="563">
        <v>44873</v>
      </c>
      <c r="B1224">
        <f t="shared" si="79"/>
        <v>570.46222240094062</v>
      </c>
      <c r="C1224">
        <f t="shared" si="79"/>
        <v>151.51065868318565</v>
      </c>
      <c r="D1224">
        <v>50.599998474121087</v>
      </c>
      <c r="E1224" s="604">
        <v>10616.2001953125</v>
      </c>
      <c r="F1224" s="748">
        <f t="shared" si="76"/>
        <v>-1.4229198176242908E-2</v>
      </c>
      <c r="G1224" s="748">
        <f t="shared" si="76"/>
        <v>-2.4776310600627016E-2</v>
      </c>
      <c r="H1224" s="1067">
        <f t="shared" si="77"/>
        <v>1.0547112424384109E-2</v>
      </c>
      <c r="I1224">
        <f t="shared" si="78"/>
        <v>418.95156371775499</v>
      </c>
    </row>
    <row r="1225" spans="1:9" ht="20.100000000000001" customHeight="1">
      <c r="A1225" s="563">
        <v>44874</v>
      </c>
      <c r="B1225">
        <f t="shared" si="79"/>
        <v>562.34500238633768</v>
      </c>
      <c r="C1225">
        <f t="shared" si="79"/>
        <v>147.75678354434547</v>
      </c>
      <c r="D1225">
        <v>49.880001068115227</v>
      </c>
      <c r="E1225" s="604">
        <v>10353.169921875</v>
      </c>
      <c r="F1225" s="748">
        <f t="shared" si="76"/>
        <v>9.0416965215667E-2</v>
      </c>
      <c r="G1225" s="748">
        <f t="shared" si="76"/>
        <v>7.3502171266612848E-2</v>
      </c>
      <c r="H1225" s="1067">
        <f t="shared" si="77"/>
        <v>1.6914793949054152E-2</v>
      </c>
      <c r="I1225">
        <f t="shared" si="78"/>
        <v>414.58821884199222</v>
      </c>
    </row>
    <row r="1226" spans="1:9" ht="20.100000000000001" customHeight="1">
      <c r="A1226" s="563">
        <v>44875</v>
      </c>
      <c r="B1226">
        <f t="shared" si="79"/>
        <v>613.19053090630734</v>
      </c>
      <c r="C1226">
        <f t="shared" si="79"/>
        <v>158.6172279542258</v>
      </c>
      <c r="D1226">
        <v>54.389999389648438</v>
      </c>
      <c r="E1226" s="604">
        <v>11114.150390625</v>
      </c>
      <c r="F1226" s="748">
        <f t="shared" si="76"/>
        <v>3.1991206067156996E-2</v>
      </c>
      <c r="G1226" s="748">
        <f t="shared" si="76"/>
        <v>1.8821023663351477E-2</v>
      </c>
      <c r="H1226" s="1067">
        <f t="shared" si="77"/>
        <v>1.3170182403805519E-2</v>
      </c>
      <c r="I1226">
        <f t="shared" si="78"/>
        <v>454.57330295208158</v>
      </c>
    </row>
    <row r="1227" spans="1:9" ht="20.100000000000001" customHeight="1">
      <c r="A1227" s="563">
        <v>44876</v>
      </c>
      <c r="B1227">
        <f t="shared" si="79"/>
        <v>632.80723553896041</v>
      </c>
      <c r="C1227">
        <f t="shared" si="79"/>
        <v>161.6025665549675</v>
      </c>
      <c r="D1227">
        <v>56.130001068115227</v>
      </c>
      <c r="E1227" s="604">
        <v>11323.330078125</v>
      </c>
      <c r="F1227" s="748">
        <f t="shared" si="76"/>
        <v>-1.0867639386133332E-2</v>
      </c>
      <c r="G1227" s="748">
        <f t="shared" si="76"/>
        <v>-1.1225527356838128E-2</v>
      </c>
      <c r="H1227" s="1067">
        <f t="shared" si="77"/>
        <v>3.578879707047955E-4</v>
      </c>
      <c r="I1227">
        <f t="shared" si="78"/>
        <v>471.20466898399292</v>
      </c>
    </row>
    <row r="1228" spans="1:9" ht="20.100000000000001" customHeight="1">
      <c r="A1228" s="563">
        <v>44879</v>
      </c>
      <c r="B1228">
        <f t="shared" si="79"/>
        <v>625.9301147021871</v>
      </c>
      <c r="C1228">
        <f t="shared" si="79"/>
        <v>159.78849252316945</v>
      </c>
      <c r="D1228">
        <v>55.520000457763672</v>
      </c>
      <c r="E1228" s="604">
        <v>11196.2197265625</v>
      </c>
      <c r="F1228" s="748">
        <f t="shared" si="76"/>
        <v>1.2247844012412967E-2</v>
      </c>
      <c r="G1228" s="748">
        <f t="shared" si="76"/>
        <v>1.4486177803630484E-2</v>
      </c>
      <c r="H1228" s="1067">
        <f t="shared" si="77"/>
        <v>-2.2383337912175172E-3</v>
      </c>
      <c r="I1228">
        <f t="shared" si="78"/>
        <v>466.14162217901765</v>
      </c>
    </row>
    <row r="1229" spans="1:9" ht="20.100000000000001" customHeight="1">
      <c r="A1229" s="563">
        <v>44880</v>
      </c>
      <c r="B1229">
        <f t="shared" si="79"/>
        <v>633.59640910973121</v>
      </c>
      <c r="C1229">
        <f t="shared" si="79"/>
        <v>162.10321703683417</v>
      </c>
      <c r="D1229">
        <v>56.200000762939453</v>
      </c>
      <c r="E1229" s="604">
        <v>11358.41015625</v>
      </c>
      <c r="F1229" s="748">
        <f t="shared" si="76"/>
        <v>-2.6868365048603904E-2</v>
      </c>
      <c r="G1229" s="748">
        <f t="shared" si="76"/>
        <v>-1.538507569246772E-2</v>
      </c>
      <c r="H1229" s="1067">
        <f t="shared" si="77"/>
        <v>-1.1483289356136184E-2</v>
      </c>
      <c r="I1229">
        <f t="shared" si="78"/>
        <v>471.49319207289705</v>
      </c>
    </row>
    <row r="1230" spans="1:9" ht="20.100000000000001" customHeight="1">
      <c r="A1230" s="563">
        <v>44881</v>
      </c>
      <c r="B1230">
        <f t="shared" si="79"/>
        <v>616.57270949628639</v>
      </c>
      <c r="C1230">
        <f t="shared" si="79"/>
        <v>159.60924677272996</v>
      </c>
      <c r="D1230">
        <v>54.689998626708977</v>
      </c>
      <c r="E1230" s="604">
        <v>11183.66015625</v>
      </c>
      <c r="F1230" s="748">
        <f t="shared" si="76"/>
        <v>-1.0056669425329567E-2</v>
      </c>
      <c r="G1230" s="748">
        <f t="shared" si="76"/>
        <v>-3.4604230432442318E-3</v>
      </c>
      <c r="H1230" s="1067">
        <f t="shared" si="77"/>
        <v>-6.5962463820853356E-3</v>
      </c>
      <c r="I1230">
        <f t="shared" si="78"/>
        <v>456.9634627235564</v>
      </c>
    </row>
    <row r="1231" spans="1:9" ht="20.100000000000001" customHeight="1">
      <c r="A1231" s="563">
        <v>44882</v>
      </c>
      <c r="B1231">
        <f t="shared" si="79"/>
        <v>610.37204158020245</v>
      </c>
      <c r="C1231">
        <f t="shared" si="79"/>
        <v>159.05693125728274</v>
      </c>
      <c r="D1231">
        <v>54.139999389648438</v>
      </c>
      <c r="E1231" s="604">
        <v>11144.9599609375</v>
      </c>
      <c r="F1231" s="748">
        <f t="shared" si="76"/>
        <v>-3.6756518031103136E-2</v>
      </c>
      <c r="G1231" s="748">
        <f t="shared" si="76"/>
        <v>9.8664273254778223E-5</v>
      </c>
      <c r="H1231" s="1067">
        <f t="shared" si="77"/>
        <v>-3.6855182304357914E-2</v>
      </c>
      <c r="I1231">
        <f t="shared" si="78"/>
        <v>451.31511032291974</v>
      </c>
    </row>
    <row r="1232" spans="1:9" ht="20.100000000000001" customHeight="1">
      <c r="A1232" s="563">
        <v>44883</v>
      </c>
      <c r="B1232">
        <f t="shared" si="79"/>
        <v>587.9368906281785</v>
      </c>
      <c r="C1232">
        <f t="shared" si="79"/>
        <v>159.07262449381139</v>
      </c>
      <c r="D1232">
        <v>52.150001525878913</v>
      </c>
      <c r="E1232" s="604">
        <v>11146.0595703125</v>
      </c>
      <c r="F1232" s="748">
        <f t="shared" si="76"/>
        <v>3.259792214213908E-3</v>
      </c>
      <c r="G1232" s="748">
        <f t="shared" si="76"/>
        <v>-1.0905181685126442E-2</v>
      </c>
      <c r="H1232" s="1067">
        <f t="shared" si="77"/>
        <v>1.416497389934035E-2</v>
      </c>
      <c r="I1232">
        <f t="shared" si="78"/>
        <v>428.86426613436709</v>
      </c>
    </row>
    <row r="1233" spans="1:9" ht="20.100000000000001" customHeight="1">
      <c r="A1233" s="563">
        <v>44886</v>
      </c>
      <c r="B1233">
        <f t="shared" si="79"/>
        <v>589.85344272669738</v>
      </c>
      <c r="C1233">
        <f t="shared" si="79"/>
        <v>157.33790862257649</v>
      </c>
      <c r="D1233">
        <v>52.319999694824219</v>
      </c>
      <c r="E1233" s="604">
        <v>11024.509765625</v>
      </c>
      <c r="F1233" s="748">
        <f t="shared" si="76"/>
        <v>-7.6454349695442847E-4</v>
      </c>
      <c r="G1233" s="748">
        <f t="shared" si="76"/>
        <v>1.3597011913617951E-2</v>
      </c>
      <c r="H1233" s="1067">
        <f t="shared" si="77"/>
        <v>-1.436155541057238E-2</v>
      </c>
      <c r="I1233">
        <f t="shared" si="78"/>
        <v>432.51553410412089</v>
      </c>
    </row>
    <row r="1234" spans="1:9" ht="20.100000000000001" customHeight="1">
      <c r="A1234" s="563">
        <v>44887</v>
      </c>
      <c r="B1234">
        <f t="shared" si="79"/>
        <v>589.40247411290454</v>
      </c>
      <c r="C1234">
        <f t="shared" si="79"/>
        <v>159.47723404058141</v>
      </c>
      <c r="D1234">
        <v>52.279998779296882</v>
      </c>
      <c r="E1234" s="604">
        <v>11174.41015625</v>
      </c>
      <c r="F1234" s="748">
        <f t="shared" si="76"/>
        <v>2.0466712314613389E-2</v>
      </c>
      <c r="G1234" s="748">
        <f t="shared" si="76"/>
        <v>9.9253700821038127E-3</v>
      </c>
      <c r="H1234" s="1067">
        <f t="shared" si="77"/>
        <v>1.0541342232509576E-2</v>
      </c>
      <c r="I1234">
        <f t="shared" si="78"/>
        <v>429.92524007232316</v>
      </c>
    </row>
    <row r="1235" spans="1:9" ht="20.100000000000001" customHeight="1">
      <c r="A1235" s="563">
        <v>44888</v>
      </c>
      <c r="B1235">
        <f t="shared" si="79"/>
        <v>601.4656049880947</v>
      </c>
      <c r="C1235">
        <f t="shared" si="79"/>
        <v>161.06010460810447</v>
      </c>
      <c r="D1235">
        <v>53.349998474121087</v>
      </c>
      <c r="E1235" s="604">
        <v>11285.3203125</v>
      </c>
      <c r="F1235" s="748">
        <f t="shared" si="76"/>
        <v>-8.2473971751360065E-3</v>
      </c>
      <c r="G1235" s="748">
        <f t="shared" si="76"/>
        <v>-5.224482717800627E-3</v>
      </c>
      <c r="H1235" s="1067">
        <f t="shared" si="77"/>
        <v>-3.0229144573353794E-3</v>
      </c>
      <c r="I1235">
        <f t="shared" si="78"/>
        <v>440.40550037999026</v>
      </c>
    </row>
    <row r="1236" spans="1:9" ht="20.100000000000001" customHeight="1">
      <c r="A1236" s="563">
        <v>44890</v>
      </c>
      <c r="B1236">
        <f t="shared" si="79"/>
        <v>596.50507925657439</v>
      </c>
      <c r="C1236">
        <f t="shared" si="79"/>
        <v>160.21864887505225</v>
      </c>
      <c r="D1236">
        <v>52.909999847412109</v>
      </c>
      <c r="E1236" s="604">
        <v>11226.3603515625</v>
      </c>
      <c r="F1236" s="748">
        <f t="shared" si="76"/>
        <v>-1.5686978241373328E-2</v>
      </c>
      <c r="G1236" s="748">
        <f t="shared" si="76"/>
        <v>-1.5754024102556441E-2</v>
      </c>
      <c r="H1236" s="1067">
        <f t="shared" si="77"/>
        <v>6.7045861183112621E-5</v>
      </c>
      <c r="I1236">
        <f t="shared" si="78"/>
        <v>436.28643038152211</v>
      </c>
    </row>
    <row r="1237" spans="1:9" ht="20.100000000000001" customHeight="1">
      <c r="A1237" s="563">
        <v>44893</v>
      </c>
      <c r="B1237">
        <f t="shared" si="79"/>
        <v>587.14771705740782</v>
      </c>
      <c r="C1237">
        <f t="shared" si="79"/>
        <v>157.69456041899565</v>
      </c>
      <c r="D1237">
        <v>52.080001831054688</v>
      </c>
      <c r="E1237" s="604">
        <v>11049.5</v>
      </c>
      <c r="F1237" s="748">
        <f t="shared" si="76"/>
        <v>-9.4086340483693354E-3</v>
      </c>
      <c r="G1237" s="748">
        <f t="shared" si="76"/>
        <v>-5.9477556959590672E-3</v>
      </c>
      <c r="H1237" s="1067">
        <f t="shared" si="77"/>
        <v>-3.4608783524102682E-3</v>
      </c>
      <c r="I1237">
        <f t="shared" si="78"/>
        <v>429.45315663841217</v>
      </c>
    </row>
    <row r="1238" spans="1:9" ht="20.100000000000001" customHeight="1">
      <c r="A1238" s="563">
        <v>44894</v>
      </c>
      <c r="B1238">
        <f t="shared" si="79"/>
        <v>581.62345905527911</v>
      </c>
      <c r="C1238">
        <f t="shared" si="79"/>
        <v>156.7566316990418</v>
      </c>
      <c r="D1238">
        <v>51.590000152587891</v>
      </c>
      <c r="E1238" s="604">
        <v>10983.7802734375</v>
      </c>
      <c r="F1238" s="748">
        <f t="shared" si="76"/>
        <v>3.0432248307435961E-2</v>
      </c>
      <c r="G1238" s="748">
        <f t="shared" si="76"/>
        <v>4.4084979352100317E-2</v>
      </c>
      <c r="H1238" s="1067">
        <f t="shared" si="77"/>
        <v>-1.3652731044664357E-2</v>
      </c>
      <c r="I1238">
        <f t="shared" si="78"/>
        <v>424.86682735623731</v>
      </c>
    </row>
    <row r="1239" spans="1:9" ht="20.100000000000001" customHeight="1">
      <c r="A1239" s="563">
        <v>44895</v>
      </c>
      <c r="B1239">
        <f t="shared" si="79"/>
        <v>599.32356858267917</v>
      </c>
      <c r="C1239">
        <f t="shared" si="79"/>
        <v>163.66724457079886</v>
      </c>
      <c r="D1239">
        <v>53.159999847412109</v>
      </c>
      <c r="E1239" s="604">
        <v>11468</v>
      </c>
      <c r="F1239" s="748">
        <f t="shared" si="76"/>
        <v>4.1760745430310386E-2</v>
      </c>
      <c r="G1239" s="748">
        <f t="shared" si="76"/>
        <v>1.2600449348185716E-3</v>
      </c>
      <c r="H1239" s="1067">
        <f t="shared" si="77"/>
        <v>4.0500700495491815E-2</v>
      </c>
      <c r="I1239">
        <f t="shared" si="78"/>
        <v>435.65632401188032</v>
      </c>
    </row>
    <row r="1240" spans="1:9" ht="20.100000000000001" customHeight="1">
      <c r="A1240" s="563">
        <v>44896</v>
      </c>
      <c r="B1240">
        <f t="shared" si="79"/>
        <v>624.35176756064561</v>
      </c>
      <c r="C1240">
        <f t="shared" si="79"/>
        <v>163.87347265331601</v>
      </c>
      <c r="D1240">
        <v>55.380001068115227</v>
      </c>
      <c r="E1240" s="604">
        <v>11482.4501953125</v>
      </c>
      <c r="F1240" s="748">
        <f t="shared" si="76"/>
        <v>-3.1961004399162718E-2</v>
      </c>
      <c r="G1240" s="748">
        <f t="shared" si="76"/>
        <v>-1.8245404905873341E-3</v>
      </c>
      <c r="H1240" s="1067">
        <f t="shared" si="77"/>
        <v>-3.0136463908575384E-2</v>
      </c>
      <c r="I1240">
        <f t="shared" si="78"/>
        <v>460.4782949073296</v>
      </c>
    </row>
    <row r="1241" spans="1:9" ht="20.100000000000001" customHeight="1">
      <c r="A1241" s="563">
        <v>44897</v>
      </c>
      <c r="B1241">
        <f t="shared" si="79"/>
        <v>604.39685797101481</v>
      </c>
      <c r="C1241">
        <f t="shared" si="79"/>
        <v>163.57447886712689</v>
      </c>
      <c r="D1241">
        <v>53.610000610351563</v>
      </c>
      <c r="E1241" s="604">
        <v>11461.5</v>
      </c>
      <c r="F1241" s="748">
        <f t="shared" si="76"/>
        <v>-3.618732362095245E-2</v>
      </c>
      <c r="G1241" s="748">
        <f t="shared" si="76"/>
        <v>-1.9330765633861158E-2</v>
      </c>
      <c r="H1241" s="1067">
        <f t="shared" si="77"/>
        <v>-1.6856557987091292E-2</v>
      </c>
      <c r="I1241">
        <f t="shared" si="78"/>
        <v>440.8223791038879</v>
      </c>
    </row>
    <row r="1242" spans="1:9" ht="20.100000000000001" customHeight="1">
      <c r="A1242" s="563">
        <v>44900</v>
      </c>
      <c r="B1242">
        <f t="shared" si="79"/>
        <v>582.52535327613089</v>
      </c>
      <c r="C1242">
        <f t="shared" si="79"/>
        <v>160.41245895246547</v>
      </c>
      <c r="D1242">
        <v>51.669998168945313</v>
      </c>
      <c r="E1242" s="604">
        <v>11239.9404296875</v>
      </c>
      <c r="F1242" s="748">
        <f t="shared" si="76"/>
        <v>-1.5869938530732597E-2</v>
      </c>
      <c r="G1242" s="748">
        <f t="shared" si="76"/>
        <v>-2.0022417614917631E-2</v>
      </c>
      <c r="H1242" s="1067">
        <f t="shared" si="77"/>
        <v>4.1524790841850345E-3</v>
      </c>
      <c r="I1242">
        <f t="shared" si="78"/>
        <v>422.11289432366539</v>
      </c>
    </row>
    <row r="1243" spans="1:9" ht="20.100000000000001" customHeight="1">
      <c r="A1243" s="563">
        <v>44901</v>
      </c>
      <c r="B1243">
        <f t="shared" si="79"/>
        <v>573.2807117270454</v>
      </c>
      <c r="C1243">
        <f t="shared" si="79"/>
        <v>157.20061370868336</v>
      </c>
      <c r="D1243">
        <v>50.849998474121087</v>
      </c>
      <c r="E1243" s="604">
        <v>11014.8896484375</v>
      </c>
      <c r="F1243" s="748">
        <f t="shared" si="76"/>
        <v>1.4749262979460998E-2</v>
      </c>
      <c r="G1243" s="748">
        <f t="shared" si="76"/>
        <v>-5.1148804525692482E-3</v>
      </c>
      <c r="H1243" s="1067">
        <f t="shared" si="77"/>
        <v>1.9864143432030246E-2</v>
      </c>
      <c r="I1243">
        <f t="shared" si="78"/>
        <v>416.08009801836204</v>
      </c>
    </row>
    <row r="1244" spans="1:9" ht="20.100000000000001" customHeight="1">
      <c r="A1244" s="563">
        <v>44902</v>
      </c>
      <c r="B1244">
        <f t="shared" si="79"/>
        <v>581.7361797053602</v>
      </c>
      <c r="C1244">
        <f t="shared" si="79"/>
        <v>156.39655136249294</v>
      </c>
      <c r="D1244">
        <v>51.599998474121087</v>
      </c>
      <c r="E1244" s="604">
        <v>10958.5498046875</v>
      </c>
      <c r="F1244" s="748">
        <f t="shared" si="76"/>
        <v>2.5387624264136877E-2</v>
      </c>
      <c r="G1244" s="748">
        <f t="shared" si="76"/>
        <v>1.1265194529635147E-2</v>
      </c>
      <c r="H1244" s="1067">
        <f t="shared" si="77"/>
        <v>1.4122429734501729E-2</v>
      </c>
      <c r="I1244">
        <f t="shared" si="78"/>
        <v>425.33962834286729</v>
      </c>
    </row>
    <row r="1245" spans="1:9" ht="20.100000000000001" customHeight="1">
      <c r="A1245" s="563">
        <v>44903</v>
      </c>
      <c r="B1245">
        <f t="shared" si="79"/>
        <v>596.50507925657428</v>
      </c>
      <c r="C1245">
        <f t="shared" si="79"/>
        <v>158.15838893735551</v>
      </c>
      <c r="D1245">
        <v>52.909999847412109</v>
      </c>
      <c r="E1245" s="604">
        <v>11082</v>
      </c>
      <c r="F1245" s="748">
        <f t="shared" si="76"/>
        <v>-1.4741991713217328E-2</v>
      </c>
      <c r="G1245" s="748">
        <f t="shared" si="76"/>
        <v>-6.9824835600523771E-3</v>
      </c>
      <c r="H1245" s="1067">
        <f t="shared" si="77"/>
        <v>-7.7595081531649512E-3</v>
      </c>
      <c r="I1245">
        <f t="shared" si="78"/>
        <v>438.34669031921874</v>
      </c>
    </row>
    <row r="1246" spans="1:9" ht="20.100000000000001" customHeight="1">
      <c r="A1246" s="563">
        <v>44904</v>
      </c>
      <c r="B1246">
        <f t="shared" si="79"/>
        <v>587.71140632128186</v>
      </c>
      <c r="C1246">
        <f t="shared" si="79"/>
        <v>157.05405058671604</v>
      </c>
      <c r="D1246">
        <v>52.130001068115227</v>
      </c>
      <c r="E1246" s="604">
        <v>11004.6201171875</v>
      </c>
      <c r="F1246" s="748">
        <f t="shared" si="76"/>
        <v>2.8966013631194443E-2</v>
      </c>
      <c r="G1246" s="748">
        <f t="shared" si="76"/>
        <v>1.2641973617082636E-2</v>
      </c>
      <c r="H1246" s="1067">
        <f t="shared" si="77"/>
        <v>1.6324040014111807E-2</v>
      </c>
      <c r="I1246">
        <f t="shared" si="78"/>
        <v>430.65735573456584</v>
      </c>
    </row>
    <row r="1247" spans="1:9" ht="20.100000000000001" customHeight="1">
      <c r="A1247" s="563">
        <v>44907</v>
      </c>
      <c r="B1247">
        <f t="shared" si="79"/>
        <v>604.73506292799254</v>
      </c>
      <c r="C1247">
        <f t="shared" si="79"/>
        <v>159.03952375068928</v>
      </c>
      <c r="D1247">
        <v>53.639999389648438</v>
      </c>
      <c r="E1247" s="604">
        <v>11143.740234375</v>
      </c>
      <c r="F1247" s="748">
        <f t="shared" si="76"/>
        <v>1.9947794686789644E-2</v>
      </c>
      <c r="G1247" s="748">
        <f t="shared" si="76"/>
        <v>1.0146443972977481E-2</v>
      </c>
      <c r="H1247" s="1067">
        <f t="shared" si="77"/>
        <v>9.8013507138121625E-3</v>
      </c>
      <c r="I1247">
        <f t="shared" si="78"/>
        <v>445.69553917730326</v>
      </c>
    </row>
    <row r="1248" spans="1:9" ht="20.100000000000001" customHeight="1">
      <c r="A1248" s="563">
        <v>44908</v>
      </c>
      <c r="B1248">
        <f t="shared" si="79"/>
        <v>616.79819380318293</v>
      </c>
      <c r="C1248">
        <f t="shared" si="79"/>
        <v>160.65320936791468</v>
      </c>
      <c r="D1248">
        <v>54.709999084472663</v>
      </c>
      <c r="E1248" s="604">
        <v>11256.8095703125</v>
      </c>
      <c r="F1248" s="748">
        <f t="shared" si="76"/>
        <v>-8.0423804436484669E-3</v>
      </c>
      <c r="G1248" s="748">
        <f t="shared" si="76"/>
        <v>-7.6327063488393909E-3</v>
      </c>
      <c r="H1248" s="1067">
        <f t="shared" si="77"/>
        <v>-4.0967409480907602E-4</v>
      </c>
      <c r="I1248">
        <f t="shared" si="78"/>
        <v>456.14498443526827</v>
      </c>
    </row>
    <row r="1249" spans="1:9" ht="20.100000000000001" customHeight="1">
      <c r="A1249" s="563">
        <v>44909</v>
      </c>
      <c r="B1249">
        <f t="shared" si="79"/>
        <v>611.83766807166251</v>
      </c>
      <c r="C1249">
        <f t="shared" si="79"/>
        <v>159.42699059681078</v>
      </c>
      <c r="D1249">
        <v>54.270000457763672</v>
      </c>
      <c r="E1249" s="604">
        <v>11170.8896484375</v>
      </c>
      <c r="F1249" s="748">
        <f t="shared" si="76"/>
        <v>-3.8695453677998648E-2</v>
      </c>
      <c r="G1249" s="748">
        <f t="shared" si="76"/>
        <v>-3.2258789258598042E-2</v>
      </c>
      <c r="H1249" s="1067">
        <f t="shared" si="77"/>
        <v>-6.4366644194006062E-3</v>
      </c>
      <c r="I1249">
        <f t="shared" si="78"/>
        <v>452.4106774748517</v>
      </c>
    </row>
    <row r="1250" spans="1:9" ht="20.100000000000001" customHeight="1">
      <c r="A1250" s="563">
        <v>44910</v>
      </c>
      <c r="B1250">
        <f t="shared" si="79"/>
        <v>588.16233192834079</v>
      </c>
      <c r="C1250">
        <f t="shared" si="79"/>
        <v>154.28406890501577</v>
      </c>
      <c r="D1250">
        <v>52.169998168945313</v>
      </c>
      <c r="E1250" s="604">
        <v>10810.5302734375</v>
      </c>
      <c r="F1250" s="748">
        <f t="shared" si="76"/>
        <v>-4.7920262368116306E-3</v>
      </c>
      <c r="G1250" s="748">
        <f t="shared" si="76"/>
        <v>-9.7238631712442958E-3</v>
      </c>
      <c r="H1250" s="1067">
        <f t="shared" si="77"/>
        <v>4.9318369344326651E-3</v>
      </c>
      <c r="I1250">
        <f t="shared" si="78"/>
        <v>433.87826302332502</v>
      </c>
    </row>
    <row r="1251" spans="1:9" ht="20.100000000000001" customHeight="1">
      <c r="A1251" s="563">
        <v>44911</v>
      </c>
      <c r="B1251">
        <f t="shared" si="79"/>
        <v>585.3438426022359</v>
      </c>
      <c r="C1251">
        <f t="shared" si="79"/>
        <v>152.78383172948057</v>
      </c>
      <c r="D1251">
        <v>51.919998168945313</v>
      </c>
      <c r="E1251" s="604">
        <v>10705.41015625</v>
      </c>
      <c r="F1251" s="748">
        <f t="shared" si="76"/>
        <v>-3.7365152063301599E-2</v>
      </c>
      <c r="G1251" s="748">
        <f t="shared" si="76"/>
        <v>-1.4887788556092962E-2</v>
      </c>
      <c r="H1251" s="1067">
        <f t="shared" si="77"/>
        <v>-2.2477363507208636E-2</v>
      </c>
      <c r="I1251">
        <f t="shared" si="78"/>
        <v>432.56001087275536</v>
      </c>
    </row>
    <row r="1252" spans="1:9" ht="20.100000000000001" customHeight="1">
      <c r="A1252" s="563">
        <v>44914</v>
      </c>
      <c r="B1252">
        <f t="shared" si="79"/>
        <v>563.4723809140861</v>
      </c>
      <c r="C1252">
        <f t="shared" si="79"/>
        <v>150.50921834790236</v>
      </c>
      <c r="D1252">
        <v>49.979999542236328</v>
      </c>
      <c r="E1252" s="604">
        <v>10546.0302734375</v>
      </c>
      <c r="F1252" s="748">
        <f t="shared" si="76"/>
        <v>9.8039552411901543E-3</v>
      </c>
      <c r="G1252" s="748">
        <f t="shared" si="76"/>
        <v>1.0241561013923928E-4</v>
      </c>
      <c r="H1252" s="1067">
        <f t="shared" si="77"/>
        <v>9.701539631050915E-3</v>
      </c>
      <c r="I1252">
        <f t="shared" si="78"/>
        <v>412.96316256618377</v>
      </c>
    </row>
    <row r="1253" spans="1:9" ht="20.100000000000001" customHeight="1">
      <c r="A1253" s="563">
        <v>44915</v>
      </c>
      <c r="B1253">
        <f t="shared" si="79"/>
        <v>568.99663891621469</v>
      </c>
      <c r="C1253">
        <f t="shared" si="79"/>
        <v>150.52463284133106</v>
      </c>
      <c r="D1253">
        <v>50.470001220703118</v>
      </c>
      <c r="E1253" s="604">
        <v>10547.1103515625</v>
      </c>
      <c r="F1253" s="748">
        <f t="shared" si="76"/>
        <v>-9.1143825647703736E-3</v>
      </c>
      <c r="G1253" s="748">
        <f t="shared" si="76"/>
        <v>1.538428633212896E-2</v>
      </c>
      <c r="H1253" s="1067">
        <f t="shared" si="77"/>
        <v>-2.4498668896899334E-2</v>
      </c>
      <c r="I1253">
        <f t="shared" si="78"/>
        <v>418.47200607488367</v>
      </c>
    </row>
    <row r="1254" spans="1:9" ht="20.100000000000001" customHeight="1">
      <c r="A1254" s="563">
        <v>44916</v>
      </c>
      <c r="B1254">
        <f t="shared" si="79"/>
        <v>563.81058587106384</v>
      </c>
      <c r="C1254">
        <f t="shared" si="79"/>
        <v>152.84034689300069</v>
      </c>
      <c r="D1254">
        <v>50.009998321533203</v>
      </c>
      <c r="E1254" s="604">
        <v>10709.3701171875</v>
      </c>
      <c r="F1254" s="748">
        <f t="shared" si="76"/>
        <v>-1.7196497190922644E-2</v>
      </c>
      <c r="G1254" s="748">
        <f t="shared" si="76"/>
        <v>-2.1779992422304661E-2</v>
      </c>
      <c r="H1254" s="1067">
        <f t="shared" si="77"/>
        <v>4.5834952313820176E-3</v>
      </c>
      <c r="I1254">
        <f t="shared" si="78"/>
        <v>410.97023897806315</v>
      </c>
    </row>
    <row r="1255" spans="1:9" ht="20.100000000000001" customHeight="1">
      <c r="A1255" s="563">
        <v>44917</v>
      </c>
      <c r="B1255">
        <f t="shared" si="79"/>
        <v>554.11501871491964</v>
      </c>
      <c r="C1255">
        <f t="shared" si="79"/>
        <v>149.5114852958487</v>
      </c>
      <c r="D1255">
        <v>49.150001525878913</v>
      </c>
      <c r="E1255" s="604">
        <v>10476.1201171875</v>
      </c>
      <c r="F1255" s="748">
        <f t="shared" si="76"/>
        <v>-8.5453096765712999E-3</v>
      </c>
      <c r="G1255" s="748">
        <f t="shared" si="76"/>
        <v>2.0752181276857407E-3</v>
      </c>
      <c r="H1255" s="1067">
        <f t="shared" si="77"/>
        <v>-1.0620527804257041E-2</v>
      </c>
      <c r="I1255">
        <f t="shared" si="78"/>
        <v>404.60353341907091</v>
      </c>
    </row>
    <row r="1256" spans="1:9" ht="20.100000000000001" customHeight="1">
      <c r="A1256" s="563">
        <v>44918</v>
      </c>
      <c r="B1256">
        <f t="shared" si="79"/>
        <v>549.37993428356151</v>
      </c>
      <c r="C1256">
        <f t="shared" si="79"/>
        <v>149.82175424043186</v>
      </c>
      <c r="D1256">
        <v>48.729999542236328</v>
      </c>
      <c r="E1256" s="604">
        <v>10497.8603515625</v>
      </c>
      <c r="F1256" s="748">
        <f t="shared" si="76"/>
        <v>-3.6938294042003772E-3</v>
      </c>
      <c r="G1256" s="748">
        <f t="shared" si="76"/>
        <v>-1.3777081992805584E-2</v>
      </c>
      <c r="H1256" s="1067">
        <f t="shared" si="77"/>
        <v>1.0083252588605207E-2</v>
      </c>
      <c r="I1256">
        <f t="shared" si="78"/>
        <v>399.55818004312965</v>
      </c>
    </row>
    <row r="1257" spans="1:9" ht="20.100000000000001" customHeight="1">
      <c r="A1257" s="563">
        <v>44922</v>
      </c>
      <c r="B1257">
        <f t="shared" si="79"/>
        <v>547.35061852822719</v>
      </c>
      <c r="C1257">
        <f t="shared" si="79"/>
        <v>147.75764764795545</v>
      </c>
      <c r="D1257">
        <v>48.549999237060547</v>
      </c>
      <c r="E1257" s="604">
        <v>10353.23046875</v>
      </c>
      <c r="F1257" s="748">
        <f t="shared" si="76"/>
        <v>-1.4212124357404265E-2</v>
      </c>
      <c r="G1257" s="748">
        <f t="shared" si="76"/>
        <v>-1.3516595627798833E-2</v>
      </c>
      <c r="H1257" s="1067">
        <f t="shared" si="77"/>
        <v>-6.9552872960543244E-4</v>
      </c>
      <c r="I1257">
        <f t="shared" si="78"/>
        <v>399.59297088027176</v>
      </c>
    </row>
    <row r="1258" spans="1:9" ht="20.100000000000001" customHeight="1">
      <c r="A1258" s="563">
        <v>44923</v>
      </c>
      <c r="B1258">
        <f t="shared" si="79"/>
        <v>539.57160347060187</v>
      </c>
      <c r="C1258">
        <f t="shared" si="79"/>
        <v>145.76046727378326</v>
      </c>
      <c r="D1258">
        <v>47.860000610351563</v>
      </c>
      <c r="E1258" s="604">
        <v>10213.2900390625</v>
      </c>
      <c r="F1258" s="748">
        <f t="shared" si="76"/>
        <v>2.8207238965832993E-2</v>
      </c>
      <c r="G1258" s="748">
        <f t="shared" si="76"/>
        <v>2.5926983731464404E-2</v>
      </c>
      <c r="H1258" s="1067">
        <f t="shared" si="77"/>
        <v>2.2802552343685889E-3</v>
      </c>
      <c r="I1258">
        <f t="shared" si="78"/>
        <v>393.81113619681861</v>
      </c>
    </row>
    <row r="1259" spans="1:9" ht="20.100000000000001" customHeight="1">
      <c r="A1259" s="563">
        <v>44924</v>
      </c>
      <c r="B1259">
        <f t="shared" si="79"/>
        <v>554.79142862887477</v>
      </c>
      <c r="C1259">
        <f t="shared" si="79"/>
        <v>149.53959653748129</v>
      </c>
      <c r="D1259">
        <v>49.209999084472663</v>
      </c>
      <c r="E1259" s="604">
        <v>10478.08984375</v>
      </c>
      <c r="F1259" s="748">
        <f t="shared" si="76"/>
        <v>-6.5027372643295944E-3</v>
      </c>
      <c r="G1259" s="748">
        <f t="shared" si="76"/>
        <v>-1.1079667356473921E-3</v>
      </c>
      <c r="H1259" s="1067">
        <f t="shared" si="77"/>
        <v>-5.3947705286822023E-3</v>
      </c>
      <c r="I1259">
        <f t="shared" si="78"/>
        <v>405.25183209139345</v>
      </c>
    </row>
    <row r="1260" spans="1:9" ht="20.100000000000001" customHeight="1">
      <c r="A1260" s="563">
        <v>44925</v>
      </c>
      <c r="B1260">
        <f t="shared" si="79"/>
        <v>551.18376573199919</v>
      </c>
      <c r="C1260">
        <f t="shared" si="79"/>
        <v>149.37391163885562</v>
      </c>
      <c r="D1260">
        <v>48.889999389648438</v>
      </c>
      <c r="E1260" s="604">
        <v>10466.48046875</v>
      </c>
      <c r="F1260" s="748">
        <f t="shared" si="76"/>
        <v>-7.5679880651237097E-3</v>
      </c>
      <c r="G1260" s="748">
        <f t="shared" si="76"/>
        <v>-7.5956765253959446E-3</v>
      </c>
      <c r="H1260" s="1067">
        <f t="shared" si="77"/>
        <v>2.7688460272234927E-5</v>
      </c>
      <c r="I1260">
        <f t="shared" si="78"/>
        <v>401.8098540931436</v>
      </c>
    </row>
    <row r="1261" spans="1:9" ht="20.100000000000001" customHeight="1">
      <c r="A1261" s="563">
        <v>44929</v>
      </c>
      <c r="B1261">
        <f t="shared" si="79"/>
        <v>547.01241357124945</v>
      </c>
      <c r="C1261">
        <f t="shared" si="79"/>
        <v>148.2393157247138</v>
      </c>
      <c r="D1261">
        <v>48.520000457763672</v>
      </c>
      <c r="E1261" s="604">
        <v>10386.98046875</v>
      </c>
      <c r="F1261" s="748">
        <f t="shared" si="76"/>
        <v>-4.5342378117789739E-3</v>
      </c>
      <c r="G1261" s="748">
        <f t="shared" si="76"/>
        <v>6.9105065799395238E-3</v>
      </c>
      <c r="H1261" s="1067">
        <f t="shared" si="77"/>
        <v>-1.1444744391718498E-2</v>
      </c>
      <c r="I1261">
        <f t="shared" si="78"/>
        <v>398.77309784653562</v>
      </c>
    </row>
    <row r="1262" spans="1:9" ht="20.100000000000001" customHeight="1">
      <c r="A1262" s="563">
        <v>44930</v>
      </c>
      <c r="B1262">
        <f t="shared" si="79"/>
        <v>544.53212920212218</v>
      </c>
      <c r="C1262">
        <f t="shared" si="79"/>
        <v>149.26372449143517</v>
      </c>
      <c r="D1262">
        <v>48.299999237060547</v>
      </c>
      <c r="E1262" s="604">
        <v>10458.759765625</v>
      </c>
      <c r="F1262" s="748">
        <f t="shared" si="76"/>
        <v>-1.7598312371584712E-2</v>
      </c>
      <c r="G1262" s="748">
        <f t="shared" si="76"/>
        <v>-1.4678559857027706E-2</v>
      </c>
      <c r="H1262" s="1067">
        <f t="shared" si="77"/>
        <v>-2.9197525145570058E-3</v>
      </c>
      <c r="I1262">
        <f t="shared" si="78"/>
        <v>395.26840471068704</v>
      </c>
    </row>
    <row r="1263" spans="1:9" ht="20.100000000000001" customHeight="1">
      <c r="A1263" s="563">
        <v>44931</v>
      </c>
      <c r="B1263">
        <f t="shared" si="79"/>
        <v>534.94928269605907</v>
      </c>
      <c r="C1263">
        <f t="shared" si="79"/>
        <v>147.07274797700475</v>
      </c>
      <c r="D1263">
        <v>47.450000762939453</v>
      </c>
      <c r="E1263" s="604">
        <v>10305.240234375</v>
      </c>
      <c r="F1263" s="748">
        <f t="shared" si="76"/>
        <v>2.6132725897404452E-2</v>
      </c>
      <c r="G1263" s="748">
        <f t="shared" si="76"/>
        <v>2.5622867461809751E-2</v>
      </c>
      <c r="H1263" s="1067">
        <f t="shared" si="77"/>
        <v>5.0985843559470112E-4</v>
      </c>
      <c r="I1263">
        <f t="shared" si="78"/>
        <v>387.87653471905435</v>
      </c>
    </row>
    <row r="1264" spans="1:9" ht="20.100000000000001" customHeight="1">
      <c r="A1264" s="563">
        <v>44932</v>
      </c>
      <c r="B1264">
        <f t="shared" si="79"/>
        <v>548.92896566976833</v>
      </c>
      <c r="C1264">
        <f t="shared" si="79"/>
        <v>150.8411735056637</v>
      </c>
      <c r="D1264">
        <v>48.689998626708977</v>
      </c>
      <c r="E1264" s="604">
        <v>10569.2900390625</v>
      </c>
      <c r="F1264" s="748">
        <f t="shared" si="76"/>
        <v>1.4787456171916569E-2</v>
      </c>
      <c r="G1264" s="748">
        <f t="shared" si="76"/>
        <v>6.2786006739565803E-3</v>
      </c>
      <c r="H1264" s="1067">
        <f t="shared" si="77"/>
        <v>8.5088554979599884E-3</v>
      </c>
      <c r="I1264">
        <f t="shared" si="78"/>
        <v>398.0877921641046</v>
      </c>
    </row>
    <row r="1265" spans="1:9" ht="20.100000000000001" customHeight="1">
      <c r="A1265" s="563">
        <v>44935</v>
      </c>
      <c r="B1265">
        <f t="shared" si="79"/>
        <v>557.04622869110551</v>
      </c>
      <c r="C1265">
        <f t="shared" si="79"/>
        <v>151.78824499929678</v>
      </c>
      <c r="D1265">
        <v>49.409999847412109</v>
      </c>
      <c r="E1265" s="604">
        <v>10635.650390625</v>
      </c>
      <c r="F1265" s="748">
        <f t="shared" si="76"/>
        <v>-2.0036463904556157E-2</v>
      </c>
      <c r="G1265" s="748">
        <f t="shared" si="76"/>
        <v>1.0058575475722531E-2</v>
      </c>
      <c r="H1265" s="1067">
        <f t="shared" si="77"/>
        <v>-3.0095039380278688E-2</v>
      </c>
      <c r="I1265">
        <f t="shared" si="78"/>
        <v>405.2579836918087</v>
      </c>
    </row>
    <row r="1266" spans="1:9" ht="20.100000000000001" customHeight="1">
      <c r="A1266" s="563">
        <v>44936</v>
      </c>
      <c r="B1266">
        <f t="shared" si="79"/>
        <v>545.88499203676702</v>
      </c>
      <c r="C1266">
        <f t="shared" si="79"/>
        <v>153.31501851794968</v>
      </c>
      <c r="D1266">
        <v>48.419998168945313</v>
      </c>
      <c r="E1266" s="604">
        <v>10742.6298828125</v>
      </c>
      <c r="F1266" s="748">
        <f t="shared" si="76"/>
        <v>7.8480190517427051E-3</v>
      </c>
      <c r="G1266" s="748">
        <f t="shared" si="76"/>
        <v>1.7597184406860311E-2</v>
      </c>
      <c r="H1266" s="1067">
        <f t="shared" si="77"/>
        <v>-9.7491653551176061E-3</v>
      </c>
      <c r="I1266">
        <f t="shared" si="78"/>
        <v>392.56997351881733</v>
      </c>
    </row>
    <row r="1267" spans="1:9" ht="20.100000000000001" customHeight="1">
      <c r="A1267" s="563">
        <v>44937</v>
      </c>
      <c r="B1267">
        <f t="shared" si="79"/>
        <v>550.16910785433197</v>
      </c>
      <c r="C1267">
        <f t="shared" si="79"/>
        <v>156.01293117115125</v>
      </c>
      <c r="D1267">
        <v>48.799999237060547</v>
      </c>
      <c r="E1267" s="604">
        <v>10931.669921875</v>
      </c>
      <c r="F1267" s="748">
        <f t="shared" si="76"/>
        <v>-8.1966745376065298E-3</v>
      </c>
      <c r="G1267" s="748">
        <f t="shared" si="76"/>
        <v>6.3512425819833851E-3</v>
      </c>
      <c r="H1267" s="1067">
        <f t="shared" si="77"/>
        <v>-1.4547917119589915E-2</v>
      </c>
      <c r="I1267">
        <f t="shared" si="78"/>
        <v>394.15617668318072</v>
      </c>
    </row>
    <row r="1268" spans="1:9" ht="20.100000000000001" customHeight="1">
      <c r="A1268" s="563">
        <v>44938</v>
      </c>
      <c r="B1268">
        <f t="shared" si="79"/>
        <v>545.65955073660461</v>
      </c>
      <c r="C1268">
        <f t="shared" si="79"/>
        <v>157.0038071429455</v>
      </c>
      <c r="D1268">
        <v>48.400001525878913</v>
      </c>
      <c r="E1268" s="604">
        <v>11001.099609375</v>
      </c>
      <c r="F1268" s="748">
        <f t="shared" si="76"/>
        <v>9.7106899005892089E-3</v>
      </c>
      <c r="G1268" s="748">
        <f t="shared" si="76"/>
        <v>7.0957040338475164E-3</v>
      </c>
      <c r="H1268" s="1067">
        <f t="shared" si="77"/>
        <v>2.6149858667416925E-3</v>
      </c>
      <c r="I1268">
        <f t="shared" si="78"/>
        <v>388.65574359365911</v>
      </c>
    </row>
    <row r="1269" spans="1:9" ht="20.100000000000001" customHeight="1">
      <c r="A1269" s="563">
        <v>44939</v>
      </c>
      <c r="B1269">
        <f t="shared" si="79"/>
        <v>550.95828142510265</v>
      </c>
      <c r="C1269">
        <f t="shared" si="79"/>
        <v>158.11785969061913</v>
      </c>
      <c r="D1269">
        <v>48.869998931884773</v>
      </c>
      <c r="E1269" s="604">
        <v>11079.16015625</v>
      </c>
      <c r="F1269" s="748">
        <f t="shared" si="76"/>
        <v>2.5168806407192434E-2</v>
      </c>
      <c r="G1269" s="748">
        <f t="shared" si="76"/>
        <v>1.4396574368051862E-3</v>
      </c>
      <c r="H1269" s="1067">
        <f t="shared" si="77"/>
        <v>2.3729148970387248E-2</v>
      </c>
      <c r="I1269">
        <f t="shared" si="78"/>
        <v>392.84042173448353</v>
      </c>
    </row>
    <row r="1270" spans="1:9" ht="20.100000000000001" customHeight="1">
      <c r="A1270" s="563">
        <v>44943</v>
      </c>
      <c r="B1270">
        <f t="shared" si="79"/>
        <v>564.82524374873049</v>
      </c>
      <c r="C1270">
        <f t="shared" si="79"/>
        <v>158.34549524321446</v>
      </c>
      <c r="D1270">
        <v>50.099998474121087</v>
      </c>
      <c r="E1270" s="604">
        <v>11095.1103515625</v>
      </c>
      <c r="F1270" s="748">
        <f t="shared" si="76"/>
        <v>-3.433128659463569E-2</v>
      </c>
      <c r="G1270" s="748">
        <f t="shared" si="76"/>
        <v>-1.2446977232457357E-2</v>
      </c>
      <c r="H1270" s="1067">
        <f t="shared" si="77"/>
        <v>-2.1884309362178334E-2</v>
      </c>
      <c r="I1270">
        <f t="shared" si="78"/>
        <v>406.479748505516</v>
      </c>
    </row>
    <row r="1271" spans="1:9" ht="20.100000000000001" customHeight="1">
      <c r="A1271" s="563">
        <v>44944</v>
      </c>
      <c r="B1271">
        <f t="shared" si="79"/>
        <v>545.43406642970785</v>
      </c>
      <c r="C1271">
        <f t="shared" si="79"/>
        <v>156.37457246905998</v>
      </c>
      <c r="D1271">
        <v>48.380001068115227</v>
      </c>
      <c r="E1271" s="604">
        <v>10957.009765625</v>
      </c>
      <c r="F1271" s="748">
        <f t="shared" si="76"/>
        <v>8.2672798567684502E-4</v>
      </c>
      <c r="G1271" s="748">
        <f t="shared" si="76"/>
        <v>-9.5591987791776578E-3</v>
      </c>
      <c r="H1271" s="1067">
        <f t="shared" si="77"/>
        <v>1.0385926764854503E-2</v>
      </c>
      <c r="I1271">
        <f t="shared" si="78"/>
        <v>389.05949396064784</v>
      </c>
    </row>
    <row r="1272" spans="1:9" ht="20.100000000000001" customHeight="1">
      <c r="A1272" s="563">
        <v>44945</v>
      </c>
      <c r="B1272">
        <f t="shared" si="79"/>
        <v>545.88499203676679</v>
      </c>
      <c r="C1272">
        <f t="shared" si="79"/>
        <v>154.8797568468193</v>
      </c>
      <c r="D1272">
        <v>48.419998168945313</v>
      </c>
      <c r="E1272" s="604">
        <v>10852.26953125</v>
      </c>
      <c r="F1272" s="748">
        <f t="shared" si="76"/>
        <v>1.7554777384595655E-2</v>
      </c>
      <c r="G1272" s="748">
        <f t="shared" si="76"/>
        <v>2.6552985568614851E-2</v>
      </c>
      <c r="H1272" s="1067">
        <f t="shared" si="77"/>
        <v>-8.9982081840191963E-3</v>
      </c>
      <c r="I1272">
        <f t="shared" si="78"/>
        <v>391.00523518994748</v>
      </c>
    </row>
    <row r="1273" spans="1:9" ht="20.100000000000001" customHeight="1">
      <c r="A1273" s="563">
        <v>44946</v>
      </c>
      <c r="B1273">
        <f t="shared" si="79"/>
        <v>555.46788154956403</v>
      </c>
      <c r="C1273">
        <f t="shared" si="79"/>
        <v>158.99227679524347</v>
      </c>
      <c r="D1273">
        <v>49.270000457763672</v>
      </c>
      <c r="E1273" s="604">
        <v>11140.4296875</v>
      </c>
      <c r="F1273" s="748">
        <f t="shared" si="76"/>
        <v>2.5167401101051645E-2</v>
      </c>
      <c r="G1273" s="748">
        <f t="shared" si="76"/>
        <v>2.0105191184978777E-2</v>
      </c>
      <c r="H1273" s="1067">
        <f t="shared" si="77"/>
        <v>5.0622099160728684E-3</v>
      </c>
      <c r="I1273">
        <f t="shared" si="78"/>
        <v>396.47560475432056</v>
      </c>
    </row>
    <row r="1274" spans="1:9" ht="20.100000000000001" customHeight="1">
      <c r="A1274" s="563">
        <v>44949</v>
      </c>
      <c r="B1274">
        <f t="shared" si="79"/>
        <v>569.4475645232734</v>
      </c>
      <c r="C1274">
        <f t="shared" si="79"/>
        <v>162.18884691714692</v>
      </c>
      <c r="D1274">
        <v>50.509998321533203</v>
      </c>
      <c r="E1274" s="604">
        <v>11364.41015625</v>
      </c>
      <c r="F1274" s="748">
        <f t="shared" si="76"/>
        <v>1.1482911311193389E-2</v>
      </c>
      <c r="G1274" s="748">
        <f t="shared" si="76"/>
        <v>-2.6521944021373756E-3</v>
      </c>
      <c r="H1274" s="1067">
        <f t="shared" si="77"/>
        <v>1.4135105713330764E-2</v>
      </c>
      <c r="I1274">
        <f t="shared" si="78"/>
        <v>407.25871760612648</v>
      </c>
    </row>
    <row r="1275" spans="1:9" ht="20.100000000000001" customHeight="1">
      <c r="A1275" s="563">
        <v>44950</v>
      </c>
      <c r="B1275">
        <f t="shared" si="79"/>
        <v>575.98648040306921</v>
      </c>
      <c r="C1275">
        <f t="shared" si="79"/>
        <v>161.75869056526415</v>
      </c>
      <c r="D1275">
        <v>51.090000152587891</v>
      </c>
      <c r="E1275" s="604">
        <v>11334.26953125</v>
      </c>
      <c r="F1275" s="748">
        <f t="shared" si="76"/>
        <v>1.3114076471800074E-2</v>
      </c>
      <c r="G1275" s="748">
        <f t="shared" si="76"/>
        <v>-1.8447752305387199E-3</v>
      </c>
      <c r="H1275" s="1067">
        <f t="shared" si="77"/>
        <v>1.4958851702338793E-2</v>
      </c>
      <c r="I1275">
        <f t="shared" si="78"/>
        <v>414.22778983780506</v>
      </c>
    </row>
    <row r="1276" spans="1:9" ht="20.100000000000001" customHeight="1">
      <c r="A1276" s="563">
        <v>44951</v>
      </c>
      <c r="B1276">
        <f t="shared" si="79"/>
        <v>583.54001115379799</v>
      </c>
      <c r="C1276">
        <f t="shared" si="79"/>
        <v>161.46028213958496</v>
      </c>
      <c r="D1276">
        <v>51.759998321533203</v>
      </c>
      <c r="E1276" s="604">
        <v>11313.3603515625</v>
      </c>
      <c r="F1276" s="748">
        <f t="shared" si="76"/>
        <v>2.80139260038621E-2</v>
      </c>
      <c r="G1276" s="748">
        <f t="shared" si="76"/>
        <v>1.7594224748618492E-2</v>
      </c>
      <c r="H1276" s="1067">
        <f t="shared" si="77"/>
        <v>1.0419701255243607E-2</v>
      </c>
      <c r="I1276">
        <f t="shared" si="78"/>
        <v>422.07972901421306</v>
      </c>
    </row>
    <row r="1277" spans="1:9" ht="20.100000000000001" customHeight="1">
      <c r="A1277" s="563">
        <v>44952</v>
      </c>
      <c r="B1277">
        <f t="shared" si="79"/>
        <v>599.88725784655333</v>
      </c>
      <c r="C1277">
        <f t="shared" si="79"/>
        <v>164.30105063152416</v>
      </c>
      <c r="D1277">
        <v>53.209999084472663</v>
      </c>
      <c r="E1277" s="604">
        <v>11512.41015625</v>
      </c>
      <c r="F1277" s="748">
        <f t="shared" si="76"/>
        <v>-9.5846331574553911E-3</v>
      </c>
      <c r="G1277" s="748">
        <f t="shared" si="76"/>
        <v>9.4940853569365213E-3</v>
      </c>
      <c r="H1277" s="1067">
        <f t="shared" si="77"/>
        <v>-1.9078718514391912E-2</v>
      </c>
      <c r="I1277">
        <f t="shared" si="78"/>
        <v>435.58620721502916</v>
      </c>
    </row>
    <row r="1278" spans="1:9" ht="20.100000000000001" customHeight="1">
      <c r="A1278" s="563">
        <v>44953</v>
      </c>
      <c r="B1278">
        <f t="shared" si="79"/>
        <v>594.13755854426222</v>
      </c>
      <c r="C1278">
        <f t="shared" si="79"/>
        <v>165.86093883045422</v>
      </c>
      <c r="D1278">
        <v>52.700000762939453</v>
      </c>
      <c r="E1278" s="604">
        <v>11621.7099609375</v>
      </c>
      <c r="F1278" s="748">
        <f t="shared" si="76"/>
        <v>-3.1309326413506366E-2</v>
      </c>
      <c r="G1278" s="748">
        <f t="shared" si="76"/>
        <v>-1.9609884551499812E-2</v>
      </c>
      <c r="H1278" s="1067">
        <f t="shared" si="77"/>
        <v>-1.1699441862006554E-2</v>
      </c>
      <c r="I1278">
        <f t="shared" si="78"/>
        <v>428.27661971380803</v>
      </c>
    </row>
    <row r="1279" spans="1:9" ht="20.100000000000001" customHeight="1">
      <c r="A1279" s="563">
        <v>44956</v>
      </c>
      <c r="B1279">
        <f t="shared" si="79"/>
        <v>575.53551178927614</v>
      </c>
      <c r="C1279">
        <f t="shared" si="79"/>
        <v>162.60842496838563</v>
      </c>
      <c r="D1279">
        <v>51.049999237060547</v>
      </c>
      <c r="E1279" s="604">
        <v>11393.8095703125</v>
      </c>
      <c r="F1279" s="748">
        <f t="shared" si="76"/>
        <v>2.5269362092190661E-2</v>
      </c>
      <c r="G1279" s="748">
        <f t="shared" si="76"/>
        <v>1.6740690038561823E-2</v>
      </c>
      <c r="H1279" s="1067">
        <f t="shared" si="77"/>
        <v>8.5286720536288385E-3</v>
      </c>
      <c r="I1279">
        <f t="shared" si="78"/>
        <v>412.92708682089051</v>
      </c>
    </row>
    <row r="1280" spans="1:9" ht="20.100000000000001" customHeight="1">
      <c r="A1280" s="563">
        <v>44957</v>
      </c>
      <c r="B1280">
        <f t="shared" si="79"/>
        <v>590.07892703359357</v>
      </c>
      <c r="C1280">
        <f t="shared" si="79"/>
        <v>165.33060220844013</v>
      </c>
      <c r="D1280">
        <v>52.340000152587891</v>
      </c>
      <c r="E1280" s="604">
        <v>11584.5498046875</v>
      </c>
      <c r="F1280" s="748">
        <f t="shared" si="76"/>
        <v>1.4329384749971474E-2</v>
      </c>
      <c r="G1280" s="748">
        <f t="shared" si="76"/>
        <v>2.0006863600233959E-2</v>
      </c>
      <c r="H1280" s="1067">
        <f t="shared" si="77"/>
        <v>-5.6774788502624851E-3</v>
      </c>
      <c r="I1280">
        <f t="shared" si="78"/>
        <v>424.74832482515342</v>
      </c>
    </row>
    <row r="1281" spans="1:9" ht="20.100000000000001" customHeight="1">
      <c r="A1281" s="563">
        <v>44958</v>
      </c>
      <c r="B1281">
        <f t="shared" si="79"/>
        <v>598.53439501190826</v>
      </c>
      <c r="C1281">
        <f t="shared" si="79"/>
        <v>168.63834901576894</v>
      </c>
      <c r="D1281">
        <v>53.090000152587891</v>
      </c>
      <c r="E1281" s="604">
        <v>11816.3203125</v>
      </c>
      <c r="F1281" s="748">
        <f t="shared" si="76"/>
        <v>1.4315281961741588E-2</v>
      </c>
      <c r="G1281" s="748">
        <f t="shared" si="76"/>
        <v>3.2539740784891746E-2</v>
      </c>
      <c r="H1281" s="1067">
        <f t="shared" si="77"/>
        <v>-1.8224458823150158E-2</v>
      </c>
      <c r="I1281">
        <f t="shared" si="78"/>
        <v>429.89604599613932</v>
      </c>
    </row>
    <row r="1282" spans="1:9" ht="20.100000000000001" customHeight="1">
      <c r="A1282" s="563">
        <v>44959</v>
      </c>
      <c r="B1282">
        <f t="shared" si="79"/>
        <v>607.10258364030415</v>
      </c>
      <c r="C1282">
        <f t="shared" si="79"/>
        <v>174.12579717913417</v>
      </c>
      <c r="D1282">
        <v>53.849998474121087</v>
      </c>
      <c r="E1282" s="604">
        <v>12200.8203125</v>
      </c>
      <c r="F1282" s="748">
        <f t="shared" si="76"/>
        <v>-1.5784558926767223E-2</v>
      </c>
      <c r="G1282" s="748">
        <f t="shared" si="76"/>
        <v>-1.5889924793735077E-2</v>
      </c>
      <c r="H1282" s="1067">
        <f t="shared" si="77"/>
        <v>1.0536586696785477E-4</v>
      </c>
      <c r="I1282">
        <f t="shared" si="78"/>
        <v>432.97678646116998</v>
      </c>
    </row>
    <row r="1283" spans="1:9" ht="20.100000000000001" customHeight="1">
      <c r="A1283" s="563">
        <v>44960</v>
      </c>
      <c r="B1283">
        <f t="shared" si="79"/>
        <v>597.51973713424115</v>
      </c>
      <c r="C1283">
        <f t="shared" si="79"/>
        <v>171.35895135730857</v>
      </c>
      <c r="D1283">
        <v>53</v>
      </c>
      <c r="E1283" s="604">
        <v>12006.9501953125</v>
      </c>
      <c r="F1283" s="748">
        <f t="shared" ref="F1283:G1346" si="80">D1284/D1283-1</f>
        <v>-1.9056572104400038E-2</v>
      </c>
      <c r="G1283" s="748">
        <f t="shared" si="80"/>
        <v>-9.9525689751468471E-3</v>
      </c>
      <c r="H1283" s="1067">
        <f t="shared" ref="H1283:H1346" si="81">F1283-G1283</f>
        <v>-9.1040031292531909E-3</v>
      </c>
      <c r="I1283">
        <f t="shared" ref="I1283:I1346" si="82">B1283-C1283</f>
        <v>426.16078577693258</v>
      </c>
    </row>
    <row r="1284" spans="1:9" ht="20.100000000000001" customHeight="1">
      <c r="A1284" s="563">
        <v>44963</v>
      </c>
      <c r="B1284">
        <f t="shared" ref="B1284:C1347" si="83">B1283*(1+F1283)</f>
        <v>586.13305917974037</v>
      </c>
      <c r="C1284">
        <f t="shared" si="83"/>
        <v>169.65348957441611</v>
      </c>
      <c r="D1284">
        <v>51.990001678466797</v>
      </c>
      <c r="E1284" s="604">
        <v>11887.4501953125</v>
      </c>
      <c r="F1284" s="748">
        <f t="shared" si="80"/>
        <v>3.4429641143317369E-2</v>
      </c>
      <c r="G1284" s="748">
        <f t="shared" si="80"/>
        <v>1.9040234872172324E-2</v>
      </c>
      <c r="H1284" s="1067">
        <f t="shared" si="81"/>
        <v>1.5389406271145045E-2</v>
      </c>
      <c r="I1284">
        <f t="shared" si="82"/>
        <v>416.47956960532429</v>
      </c>
    </row>
    <row r="1285" spans="1:9" ht="20.100000000000001" customHeight="1">
      <c r="A1285" s="563">
        <v>44964</v>
      </c>
      <c r="B1285">
        <f t="shared" si="83"/>
        <v>606.31341006953369</v>
      </c>
      <c r="C1285">
        <f t="shared" si="83"/>
        <v>172.88373186279662</v>
      </c>
      <c r="D1285">
        <v>53.779998779296882</v>
      </c>
      <c r="E1285" s="604">
        <v>12113.7900390625</v>
      </c>
      <c r="F1285" s="748">
        <f t="shared" si="80"/>
        <v>0.1089624533908955</v>
      </c>
      <c r="G1285" s="748">
        <f t="shared" si="80"/>
        <v>-1.6780091710111189E-2</v>
      </c>
      <c r="H1285" s="1067">
        <f t="shared" si="81"/>
        <v>0.12574254510100669</v>
      </c>
      <c r="I1285">
        <f t="shared" si="82"/>
        <v>433.42967820673709</v>
      </c>
    </row>
    <row r="1286" spans="1:9" ht="20.100000000000001" customHeight="1">
      <c r="A1286" s="563">
        <v>44965</v>
      </c>
      <c r="B1286">
        <f t="shared" si="83"/>
        <v>672.37880675451015</v>
      </c>
      <c r="C1286">
        <f t="shared" si="83"/>
        <v>169.98272698695263</v>
      </c>
      <c r="D1286">
        <v>59.639999389648438</v>
      </c>
      <c r="E1286" s="604">
        <v>11910.51953125</v>
      </c>
      <c r="F1286" s="748">
        <f t="shared" si="80"/>
        <v>-3.0516427120220735E-2</v>
      </c>
      <c r="G1286" s="748">
        <f t="shared" si="80"/>
        <v>-1.0154003174058679E-2</v>
      </c>
      <c r="H1286" s="1067">
        <f t="shared" si="81"/>
        <v>-2.0362423946162056E-2</v>
      </c>
      <c r="I1286">
        <f t="shared" si="82"/>
        <v>502.39607976755752</v>
      </c>
    </row>
    <row r="1287" spans="1:9" ht="20.100000000000001" customHeight="1">
      <c r="A1287" s="563">
        <v>44966</v>
      </c>
      <c r="B1287">
        <f t="shared" si="83"/>
        <v>651.8602079010052</v>
      </c>
      <c r="C1287">
        <f t="shared" si="83"/>
        <v>168.25672183759195</v>
      </c>
      <c r="D1287">
        <v>57.819999694824219</v>
      </c>
      <c r="E1287" s="604">
        <v>11789.580078125</v>
      </c>
      <c r="F1287" s="748">
        <f t="shared" si="80"/>
        <v>3.0958161967745257E-2</v>
      </c>
      <c r="G1287" s="748">
        <f t="shared" si="80"/>
        <v>-6.0612812724424314E-3</v>
      </c>
      <c r="H1287" s="1067">
        <f t="shared" si="81"/>
        <v>3.7019443240187688E-2</v>
      </c>
      <c r="I1287">
        <f t="shared" si="82"/>
        <v>483.60348606341324</v>
      </c>
    </row>
    <row r="1288" spans="1:9" ht="20.100000000000001" customHeight="1">
      <c r="A1288" s="563">
        <v>44967</v>
      </c>
      <c r="B1288">
        <f t="shared" si="83"/>
        <v>672.04060179753264</v>
      </c>
      <c r="C1288">
        <f t="shared" si="83"/>
        <v>167.23687052055521</v>
      </c>
      <c r="D1288">
        <v>59.610000610351563</v>
      </c>
      <c r="E1288" s="604">
        <v>11718.1201171875</v>
      </c>
      <c r="F1288" s="748">
        <f t="shared" si="80"/>
        <v>9.0588980036609978E-3</v>
      </c>
      <c r="G1288" s="748">
        <f t="shared" si="80"/>
        <v>1.4820629942192687E-2</v>
      </c>
      <c r="H1288" s="1067">
        <f t="shared" si="81"/>
        <v>-5.761731938531689E-3</v>
      </c>
      <c r="I1288">
        <f t="shared" si="82"/>
        <v>504.80373127697743</v>
      </c>
    </row>
    <row r="1289" spans="1:9" ht="20.100000000000001" customHeight="1">
      <c r="A1289" s="563">
        <v>44970</v>
      </c>
      <c r="B1289">
        <f t="shared" si="83"/>
        <v>678.1285490635355</v>
      </c>
      <c r="C1289">
        <f t="shared" si="83"/>
        <v>169.71542629123076</v>
      </c>
      <c r="D1289">
        <v>60.150001525878913</v>
      </c>
      <c r="E1289" s="604">
        <v>11891.7900390625</v>
      </c>
      <c r="F1289" s="748">
        <f t="shared" si="80"/>
        <v>1.729005942556161E-2</v>
      </c>
      <c r="G1289" s="748">
        <f t="shared" si="80"/>
        <v>5.7485333442608422E-3</v>
      </c>
      <c r="H1289" s="1067">
        <f t="shared" si="81"/>
        <v>1.1541526081300768E-2</v>
      </c>
      <c r="I1289">
        <f t="shared" si="82"/>
        <v>508.41312277230475</v>
      </c>
    </row>
    <row r="1290" spans="1:9" ht="20.100000000000001" customHeight="1">
      <c r="A1290" s="563">
        <v>44971</v>
      </c>
      <c r="B1290">
        <f t="shared" si="83"/>
        <v>689.8534319750139</v>
      </c>
      <c r="C1290">
        <f t="shared" si="83"/>
        <v>170.69104107830134</v>
      </c>
      <c r="D1290">
        <v>61.189998626708977</v>
      </c>
      <c r="E1290" s="604">
        <v>11960.150390625</v>
      </c>
      <c r="F1290" s="748">
        <f t="shared" si="80"/>
        <v>2.6474959681971999E-2</v>
      </c>
      <c r="G1290" s="748">
        <f t="shared" si="80"/>
        <v>9.2339518750172989E-3</v>
      </c>
      <c r="H1290" s="1067">
        <f t="shared" si="81"/>
        <v>1.72410078069547E-2</v>
      </c>
      <c r="I1290">
        <f t="shared" si="82"/>
        <v>519.16239089671262</v>
      </c>
    </row>
    <row r="1291" spans="1:9" ht="20.100000000000001" customHeight="1">
      <c r="A1291" s="563">
        <v>44972</v>
      </c>
      <c r="B1291">
        <f t="shared" si="83"/>
        <v>708.11727377302236</v>
      </c>
      <c r="C1291">
        <f t="shared" si="83"/>
        <v>172.26719393711497</v>
      </c>
      <c r="D1291">
        <v>62.810001373291023</v>
      </c>
      <c r="E1291" s="604">
        <v>12070.58984375</v>
      </c>
      <c r="F1291" s="748">
        <f t="shared" si="80"/>
        <v>-2.2607896076983991E-2</v>
      </c>
      <c r="G1291" s="748">
        <f t="shared" si="80"/>
        <v>-1.7791986009382921E-2</v>
      </c>
      <c r="H1291" s="1067">
        <f t="shared" si="81"/>
        <v>-4.8159100676010702E-3</v>
      </c>
      <c r="I1291">
        <f t="shared" si="82"/>
        <v>535.85007983590742</v>
      </c>
    </row>
    <row r="1292" spans="1:9" ht="20.100000000000001" customHeight="1">
      <c r="A1292" s="563">
        <v>44973</v>
      </c>
      <c r="B1292">
        <f t="shared" si="83"/>
        <v>692.10823203724465</v>
      </c>
      <c r="C1292">
        <f t="shared" si="83"/>
        <v>169.20221843271017</v>
      </c>
      <c r="D1292">
        <v>61.389999389648438</v>
      </c>
      <c r="E1292" s="604">
        <v>11855.830078125</v>
      </c>
      <c r="F1292" s="748">
        <f t="shared" si="80"/>
        <v>-1.2216973569907918E-2</v>
      </c>
      <c r="G1292" s="748">
        <f t="shared" si="80"/>
        <v>-5.7828550530173439E-3</v>
      </c>
      <c r="H1292" s="1067">
        <f t="shared" si="81"/>
        <v>-6.4341185168905746E-3</v>
      </c>
      <c r="I1292">
        <f t="shared" si="82"/>
        <v>522.90601360453445</v>
      </c>
    </row>
    <row r="1293" spans="1:9" ht="20.100000000000001" customHeight="1">
      <c r="A1293" s="563">
        <v>44974</v>
      </c>
      <c r="B1293">
        <f t="shared" si="83"/>
        <v>683.65276405892996</v>
      </c>
      <c r="C1293">
        <f t="shared" si="83"/>
        <v>168.22374652886484</v>
      </c>
      <c r="D1293">
        <v>60.639999389648438</v>
      </c>
      <c r="E1293" s="604">
        <v>11787.26953125</v>
      </c>
      <c r="F1293" s="748">
        <f t="shared" si="80"/>
        <v>-1.5336416796444263E-2</v>
      </c>
      <c r="G1293" s="748">
        <f t="shared" si="80"/>
        <v>-2.5024432145246744E-2</v>
      </c>
      <c r="H1293" s="1067">
        <f t="shared" si="81"/>
        <v>9.6880153488024812E-3</v>
      </c>
      <c r="I1293">
        <f t="shared" si="82"/>
        <v>515.42901753006515</v>
      </c>
    </row>
    <row r="1294" spans="1:9" ht="20.100000000000001" customHeight="1">
      <c r="A1294" s="563">
        <v>44978</v>
      </c>
      <c r="B1294">
        <f t="shared" si="83"/>
        <v>673.16798032528106</v>
      </c>
      <c r="C1294">
        <f t="shared" si="83"/>
        <v>164.01404279863408</v>
      </c>
      <c r="D1294">
        <v>59.709999084472663</v>
      </c>
      <c r="E1294" s="604">
        <v>11492.2998046875</v>
      </c>
      <c r="F1294" s="748">
        <f t="shared" si="80"/>
        <v>8.3738068609353622E-3</v>
      </c>
      <c r="G1294" s="748">
        <f t="shared" si="80"/>
        <v>1.2852525659377001E-3</v>
      </c>
      <c r="H1294" s="1067">
        <f t="shared" si="81"/>
        <v>7.0885542949976621E-3</v>
      </c>
      <c r="I1294">
        <f t="shared" si="82"/>
        <v>509.15393752664698</v>
      </c>
    </row>
    <row r="1295" spans="1:9" ht="20.100000000000001" customHeight="1">
      <c r="A1295" s="563">
        <v>44979</v>
      </c>
      <c r="B1295">
        <f t="shared" si="83"/>
        <v>678.80495897749086</v>
      </c>
      <c r="C1295">
        <f t="shared" si="83"/>
        <v>164.22484226799085</v>
      </c>
      <c r="D1295">
        <v>60.209999084472663</v>
      </c>
      <c r="E1295" s="604">
        <v>11507.0703125</v>
      </c>
      <c r="F1295" s="748">
        <f t="shared" si="80"/>
        <v>6.1452043216763119E-3</v>
      </c>
      <c r="G1295" s="748">
        <f t="shared" si="80"/>
        <v>7.2416415179525906E-3</v>
      </c>
      <c r="H1295" s="1067">
        <f t="shared" si="81"/>
        <v>-1.0964371962762787E-3</v>
      </c>
      <c r="I1295">
        <f t="shared" si="82"/>
        <v>514.58011670949998</v>
      </c>
    </row>
    <row r="1296" spans="1:9" ht="20.100000000000001" customHeight="1">
      <c r="A1296" s="563">
        <v>44980</v>
      </c>
      <c r="B1296">
        <f t="shared" si="83"/>
        <v>682.97635414497461</v>
      </c>
      <c r="C1296">
        <f t="shared" si="83"/>
        <v>165.41409970403794</v>
      </c>
      <c r="D1296">
        <v>60.580001831054688</v>
      </c>
      <c r="E1296" s="604">
        <v>11590.400390625</v>
      </c>
      <c r="F1296" s="748">
        <f t="shared" si="80"/>
        <v>-2.839222794181917E-2</v>
      </c>
      <c r="G1296" s="748">
        <f t="shared" si="80"/>
        <v>-1.6863952439089114E-2</v>
      </c>
      <c r="H1296" s="1067">
        <f t="shared" si="81"/>
        <v>-1.1528275502730057E-2</v>
      </c>
      <c r="I1296">
        <f t="shared" si="82"/>
        <v>517.56225444093661</v>
      </c>
    </row>
    <row r="1297" spans="1:9" ht="20.100000000000001" customHeight="1">
      <c r="A1297" s="563">
        <v>44981</v>
      </c>
      <c r="B1297">
        <f t="shared" si="83"/>
        <v>663.58513381921784</v>
      </c>
      <c r="C1297">
        <f t="shared" si="83"/>
        <v>162.62456419387431</v>
      </c>
      <c r="D1297">
        <v>58.860000610351563</v>
      </c>
      <c r="E1297" s="604">
        <v>11394.9404296875</v>
      </c>
      <c r="F1297" s="748">
        <f t="shared" si="80"/>
        <v>1.2911965913224188E-2</v>
      </c>
      <c r="G1297" s="748">
        <f t="shared" si="80"/>
        <v>6.3221075623012268E-3</v>
      </c>
      <c r="H1297" s="1067">
        <f t="shared" si="81"/>
        <v>6.5898583509229613E-3</v>
      </c>
      <c r="I1297">
        <f t="shared" si="82"/>
        <v>500.96056962534351</v>
      </c>
    </row>
    <row r="1298" spans="1:9" ht="20.100000000000001" customHeight="1">
      <c r="A1298" s="563">
        <v>44984</v>
      </c>
      <c r="B1298">
        <f t="shared" si="83"/>
        <v>672.15332244761385</v>
      </c>
      <c r="C1298">
        <f t="shared" si="83"/>
        <v>163.65269418098035</v>
      </c>
      <c r="D1298">
        <v>59.619998931884773</v>
      </c>
      <c r="E1298" s="604">
        <v>11466.98046875</v>
      </c>
      <c r="F1298" s="748">
        <f t="shared" si="80"/>
        <v>-3.0191262730723256E-3</v>
      </c>
      <c r="G1298" s="748">
        <f t="shared" si="80"/>
        <v>-9.9768458825566508E-4</v>
      </c>
      <c r="H1298" s="1067">
        <f t="shared" si="81"/>
        <v>-2.0214416848166605E-3</v>
      </c>
      <c r="I1298">
        <f t="shared" si="82"/>
        <v>508.5006282666335</v>
      </c>
    </row>
    <row r="1299" spans="1:9" ht="20.100000000000001" customHeight="1">
      <c r="A1299" s="563">
        <v>44985</v>
      </c>
      <c r="B1299">
        <f t="shared" si="83"/>
        <v>670.12400669227941</v>
      </c>
      <c r="C1299">
        <f t="shared" si="83"/>
        <v>163.48942041016946</v>
      </c>
      <c r="D1299">
        <v>59.439998626708977</v>
      </c>
      <c r="E1299" s="604">
        <v>11455.5400390625</v>
      </c>
      <c r="F1299" s="748">
        <f t="shared" si="80"/>
        <v>-1.6823688141046733E-2</v>
      </c>
      <c r="G1299" s="748">
        <f t="shared" si="80"/>
        <v>-6.6395447140110697E-3</v>
      </c>
      <c r="H1299" s="1067">
        <f t="shared" si="81"/>
        <v>-1.0184143427035663E-2</v>
      </c>
      <c r="I1299">
        <f t="shared" si="82"/>
        <v>506.63458628210992</v>
      </c>
    </row>
    <row r="1300" spans="1:9" ht="20.100000000000001" customHeight="1">
      <c r="A1300" s="563">
        <v>44986</v>
      </c>
      <c r="B1300">
        <f t="shared" si="83"/>
        <v>658.85004938785983</v>
      </c>
      <c r="C1300">
        <f t="shared" si="83"/>
        <v>162.40392509308839</v>
      </c>
      <c r="D1300">
        <v>58.439998626708977</v>
      </c>
      <c r="E1300" s="604">
        <v>11379.48046875</v>
      </c>
      <c r="F1300" s="748">
        <f t="shared" si="80"/>
        <v>2.0533894441109979E-2</v>
      </c>
      <c r="G1300" s="748">
        <f t="shared" si="80"/>
        <v>7.3377690861462508E-3</v>
      </c>
      <c r="H1300" s="1067">
        <f t="shared" si="81"/>
        <v>1.3196125354963728E-2</v>
      </c>
      <c r="I1300">
        <f t="shared" si="82"/>
        <v>496.44612429477144</v>
      </c>
    </row>
    <row r="1301" spans="1:9" ht="20.100000000000001" customHeight="1">
      <c r="A1301" s="563">
        <v>44987</v>
      </c>
      <c r="B1301">
        <f t="shared" si="83"/>
        <v>672.37880675451026</v>
      </c>
      <c r="C1301">
        <f t="shared" si="83"/>
        <v>163.59560759410527</v>
      </c>
      <c r="D1301">
        <v>59.639999389648438</v>
      </c>
      <c r="E1301" s="604">
        <v>11462.98046875</v>
      </c>
      <c r="F1301" s="748">
        <f t="shared" si="80"/>
        <v>2.0120737344402784E-2</v>
      </c>
      <c r="G1301" s="748">
        <f t="shared" si="80"/>
        <v>1.9718196108873487E-2</v>
      </c>
      <c r="H1301" s="1067">
        <f t="shared" si="81"/>
        <v>4.0254123552929677E-4</v>
      </c>
      <c r="I1301">
        <f t="shared" si="82"/>
        <v>508.78319916040499</v>
      </c>
    </row>
    <row r="1302" spans="1:9" ht="20.100000000000001" customHeight="1">
      <c r="A1302" s="563">
        <v>44988</v>
      </c>
      <c r="B1302">
        <f t="shared" si="83"/>
        <v>685.9075641211607</v>
      </c>
      <c r="C1302">
        <f t="shared" si="83"/>
        <v>166.82141786719615</v>
      </c>
      <c r="D1302">
        <v>60.840000152587891</v>
      </c>
      <c r="E1302" s="604">
        <v>11689.009765625</v>
      </c>
      <c r="F1302" s="748">
        <f t="shared" si="80"/>
        <v>7.7252008468828848E-3</v>
      </c>
      <c r="G1302" s="748">
        <f t="shared" si="80"/>
        <v>-1.1352143180701768E-3</v>
      </c>
      <c r="H1302" s="1067">
        <f t="shared" si="81"/>
        <v>8.8604151649530616E-3</v>
      </c>
      <c r="I1302">
        <f t="shared" si="82"/>
        <v>519.08614625396456</v>
      </c>
    </row>
    <row r="1303" spans="1:9" ht="20.100000000000001" customHeight="1">
      <c r="A1303" s="563">
        <v>44991</v>
      </c>
      <c r="B1303">
        <f t="shared" si="83"/>
        <v>691.20633781639287</v>
      </c>
      <c r="C1303">
        <f t="shared" si="83"/>
        <v>166.63203980507254</v>
      </c>
      <c r="D1303">
        <v>61.310001373291023</v>
      </c>
      <c r="E1303" s="604">
        <v>11675.740234375</v>
      </c>
      <c r="F1303" s="748">
        <f t="shared" si="80"/>
        <v>-1.5331959229342829E-2</v>
      </c>
      <c r="G1303" s="748">
        <f t="shared" si="80"/>
        <v>-1.2454041742200883E-2</v>
      </c>
      <c r="H1303" s="1067">
        <f t="shared" si="81"/>
        <v>-2.8779174871419455E-3</v>
      </c>
      <c r="I1303">
        <f t="shared" si="82"/>
        <v>524.57429801132037</v>
      </c>
    </row>
    <row r="1304" spans="1:9" ht="20.100000000000001" customHeight="1">
      <c r="A1304" s="563">
        <v>44992</v>
      </c>
      <c r="B1304">
        <f t="shared" si="83"/>
        <v>680.60879042592853</v>
      </c>
      <c r="C1304">
        <f t="shared" si="83"/>
        <v>164.55679742575208</v>
      </c>
      <c r="D1304">
        <v>60.369998931884773</v>
      </c>
      <c r="E1304" s="604">
        <v>11530.330078125</v>
      </c>
      <c r="F1304" s="748">
        <f t="shared" si="80"/>
        <v>2.3521649971283587E-2</v>
      </c>
      <c r="G1304" s="748">
        <f t="shared" si="80"/>
        <v>3.960851212893246E-3</v>
      </c>
      <c r="H1304" s="1067">
        <f t="shared" si="81"/>
        <v>1.9560798758390341E-2</v>
      </c>
      <c r="I1304">
        <f t="shared" si="82"/>
        <v>516.05199300017648</v>
      </c>
    </row>
    <row r="1305" spans="1:9" ht="20.100000000000001" customHeight="1">
      <c r="A1305" s="563">
        <v>44993</v>
      </c>
      <c r="B1305">
        <f t="shared" si="83"/>
        <v>696.61783216170591</v>
      </c>
      <c r="C1305">
        <f t="shared" si="83"/>
        <v>165.20858241642568</v>
      </c>
      <c r="D1305">
        <v>61.790000915527337</v>
      </c>
      <c r="E1305" s="604">
        <v>11576</v>
      </c>
      <c r="F1305" s="748">
        <f t="shared" si="80"/>
        <v>-2.9778283303528941E-2</v>
      </c>
      <c r="G1305" s="748">
        <f t="shared" si="80"/>
        <v>-2.0529577628282669E-2</v>
      </c>
      <c r="H1305" s="1067">
        <f t="shared" si="81"/>
        <v>-9.2487056752462715E-3</v>
      </c>
      <c r="I1305">
        <f t="shared" si="82"/>
        <v>531.40924974528025</v>
      </c>
    </row>
    <row r="1306" spans="1:9" ht="20.100000000000001" customHeight="1">
      <c r="A1306" s="563">
        <v>44994</v>
      </c>
      <c r="B1306">
        <f t="shared" si="83"/>
        <v>675.87374900130442</v>
      </c>
      <c r="C1306">
        <f t="shared" si="83"/>
        <v>161.81691999884913</v>
      </c>
      <c r="D1306">
        <v>59.950000762939453</v>
      </c>
      <c r="E1306" s="604">
        <v>11338.349609375</v>
      </c>
      <c r="F1306" s="748">
        <f t="shared" si="80"/>
        <v>-1.9849915367172066E-2</v>
      </c>
      <c r="G1306" s="748">
        <f t="shared" si="80"/>
        <v>-1.7591622044585642E-2</v>
      </c>
      <c r="H1306" s="1067">
        <f t="shared" si="81"/>
        <v>-2.2582933225864243E-3</v>
      </c>
      <c r="I1306">
        <f t="shared" si="82"/>
        <v>514.05682900245529</v>
      </c>
    </row>
    <row r="1307" spans="1:9" ht="20.100000000000001" customHeight="1">
      <c r="A1307" s="563">
        <v>44995</v>
      </c>
      <c r="B1307">
        <f t="shared" si="83"/>
        <v>662.45771228473518</v>
      </c>
      <c r="C1307">
        <f t="shared" si="83"/>
        <v>158.97029790181043</v>
      </c>
      <c r="D1307">
        <v>58.759998321533203</v>
      </c>
      <c r="E1307" s="604">
        <v>11138.8896484375</v>
      </c>
      <c r="F1307" s="748">
        <f t="shared" si="80"/>
        <v>8.6794103267284761E-3</v>
      </c>
      <c r="G1307" s="748">
        <f t="shared" si="80"/>
        <v>4.4843065053172815E-3</v>
      </c>
      <c r="H1307" s="1067">
        <f t="shared" si="81"/>
        <v>4.1951038214111946E-3</v>
      </c>
      <c r="I1307">
        <f t="shared" si="82"/>
        <v>503.48741438292473</v>
      </c>
    </row>
    <row r="1308" spans="1:9" ht="20.100000000000001" customHeight="1">
      <c r="A1308" s="563">
        <v>44998</v>
      </c>
      <c r="B1308">
        <f t="shared" si="83"/>
        <v>668.20745459376019</v>
      </c>
      <c r="C1308">
        <f t="shared" si="83"/>
        <v>159.68316944284373</v>
      </c>
      <c r="D1308">
        <v>59.270000457763672</v>
      </c>
      <c r="E1308" s="604">
        <v>11188.83984375</v>
      </c>
      <c r="F1308" s="748">
        <f t="shared" si="80"/>
        <v>2.7332527743764601E-2</v>
      </c>
      <c r="G1308" s="748">
        <f t="shared" si="80"/>
        <v>2.1388325350699899E-2</v>
      </c>
      <c r="H1308" s="1067">
        <f t="shared" si="81"/>
        <v>5.9442023930647014E-3</v>
      </c>
      <c r="I1308">
        <f t="shared" si="82"/>
        <v>508.52428515091646</v>
      </c>
    </row>
    <row r="1309" spans="1:9" ht="20.100000000000001" customHeight="1">
      <c r="A1309" s="563">
        <v>44999</v>
      </c>
      <c r="B1309">
        <f t="shared" si="83"/>
        <v>686.47125338503452</v>
      </c>
      <c r="C1309">
        <f t="shared" si="83"/>
        <v>163.09852502391823</v>
      </c>
      <c r="D1309">
        <v>60.889999389648438</v>
      </c>
      <c r="E1309" s="604">
        <v>11428.150390625</v>
      </c>
      <c r="F1309" s="748">
        <f t="shared" si="80"/>
        <v>-8.2115290690083498E-3</v>
      </c>
      <c r="G1309" s="748">
        <f t="shared" si="80"/>
        <v>5.1621774835397538E-4</v>
      </c>
      <c r="H1309" s="1067">
        <f t="shared" si="81"/>
        <v>-8.7277468173623252E-3</v>
      </c>
      <c r="I1309">
        <f t="shared" si="82"/>
        <v>523.37272836111629</v>
      </c>
    </row>
    <row r="1310" spans="1:9" ht="20.100000000000001" customHeight="1">
      <c r="A1310" s="563">
        <v>45000</v>
      </c>
      <c r="B1310">
        <f t="shared" si="83"/>
        <v>680.83427473282472</v>
      </c>
      <c r="C1310">
        <f t="shared" si="83"/>
        <v>163.18271937726593</v>
      </c>
      <c r="D1310">
        <v>60.389999389648438</v>
      </c>
      <c r="E1310" s="604">
        <v>11434.0498046875</v>
      </c>
      <c r="F1310" s="748">
        <f t="shared" si="80"/>
        <v>2.4672987142341229E-2</v>
      </c>
      <c r="G1310" s="748">
        <f t="shared" si="80"/>
        <v>2.4770791940567527E-2</v>
      </c>
      <c r="H1310" s="1067">
        <f t="shared" si="81"/>
        <v>-9.7804798226297507E-5</v>
      </c>
      <c r="I1310">
        <f t="shared" si="82"/>
        <v>517.6515553555588</v>
      </c>
    </row>
    <row r="1311" spans="1:9" ht="20.100000000000001" customHeight="1">
      <c r="A1311" s="563">
        <v>45001</v>
      </c>
      <c r="B1311">
        <f t="shared" si="83"/>
        <v>697.6324900393729</v>
      </c>
      <c r="C1311">
        <f t="shared" si="83"/>
        <v>167.2248845672562</v>
      </c>
      <c r="D1311">
        <v>61.880001068115227</v>
      </c>
      <c r="E1311" s="604">
        <v>11717.2802734375</v>
      </c>
      <c r="F1311" s="748">
        <f t="shared" si="80"/>
        <v>-1.0665802133481006E-2</v>
      </c>
      <c r="G1311" s="748">
        <f t="shared" si="80"/>
        <v>-7.4053454204048297E-3</v>
      </c>
      <c r="H1311" s="1067">
        <f t="shared" si="81"/>
        <v>-3.2604567130761763E-3</v>
      </c>
      <c r="I1311">
        <f t="shared" si="82"/>
        <v>530.40760547211676</v>
      </c>
    </row>
    <row r="1312" spans="1:9" ht="20.100000000000001" customHeight="1">
      <c r="A1312" s="563">
        <v>45002</v>
      </c>
      <c r="B1312">
        <f t="shared" si="83"/>
        <v>690.19167993872531</v>
      </c>
      <c r="C1312">
        <f t="shared" si="83"/>
        <v>165.98652653414834</v>
      </c>
      <c r="D1312">
        <v>61.220001220703118</v>
      </c>
      <c r="E1312" s="604">
        <v>11630.509765625</v>
      </c>
      <c r="F1312" s="748">
        <f t="shared" si="80"/>
        <v>5.2270448945368475E-3</v>
      </c>
      <c r="G1312" s="748">
        <f t="shared" si="80"/>
        <v>3.8717368666496554E-3</v>
      </c>
      <c r="H1312" s="1067">
        <f t="shared" si="81"/>
        <v>1.3553080278871921E-3</v>
      </c>
      <c r="I1312">
        <f t="shared" si="82"/>
        <v>524.205153404577</v>
      </c>
    </row>
    <row r="1313" spans="1:9" ht="20.100000000000001" customHeight="1">
      <c r="A1313" s="563">
        <v>45005</v>
      </c>
      <c r="B1313">
        <f t="shared" si="83"/>
        <v>693.79934283560078</v>
      </c>
      <c r="C1313">
        <f t="shared" si="83"/>
        <v>166.62918268829773</v>
      </c>
      <c r="D1313">
        <v>61.540000915527337</v>
      </c>
      <c r="E1313" s="604">
        <v>11675.5400390625</v>
      </c>
      <c r="F1313" s="748">
        <f t="shared" si="80"/>
        <v>1.4949596283044597E-2</v>
      </c>
      <c r="G1313" s="748">
        <f t="shared" si="80"/>
        <v>1.5808289114035645E-2</v>
      </c>
      <c r="H1313" s="1067">
        <f t="shared" si="81"/>
        <v>-8.5869283099104798E-4</v>
      </c>
      <c r="I1313">
        <f t="shared" si="82"/>
        <v>527.17016014730302</v>
      </c>
    </row>
    <row r="1314" spans="1:9" ht="20.100000000000001" customHeight="1">
      <c r="A1314" s="563">
        <v>45006</v>
      </c>
      <c r="B1314">
        <f t="shared" si="83"/>
        <v>704.17136291243469</v>
      </c>
      <c r="C1314">
        <f t="shared" si="83"/>
        <v>169.26330498306982</v>
      </c>
      <c r="D1314">
        <v>62.459999084472663</v>
      </c>
      <c r="E1314" s="604">
        <v>11860.1103515625</v>
      </c>
      <c r="F1314" s="748">
        <f t="shared" si="80"/>
        <v>-2.0012808490590395E-2</v>
      </c>
      <c r="G1314" s="748">
        <f t="shared" si="80"/>
        <v>-1.6032767401691905E-2</v>
      </c>
      <c r="H1314" s="1067">
        <f t="shared" si="81"/>
        <v>-3.9800410888984894E-3</v>
      </c>
      <c r="I1314">
        <f t="shared" si="82"/>
        <v>534.90805792936487</v>
      </c>
    </row>
    <row r="1315" spans="1:9" ht="20.100000000000001" customHeight="1">
      <c r="A1315" s="563">
        <v>45007</v>
      </c>
      <c r="B1315">
        <f t="shared" si="83"/>
        <v>690.0789162819101</v>
      </c>
      <c r="C1315">
        <f t="shared" si="83"/>
        <v>166.54954578463463</v>
      </c>
      <c r="D1315">
        <v>61.209999084472663</v>
      </c>
      <c r="E1315" s="604">
        <v>11669.9599609375</v>
      </c>
      <c r="F1315" s="748">
        <f t="shared" si="80"/>
        <v>3.3327903055708985E-2</v>
      </c>
      <c r="G1315" s="748">
        <f t="shared" si="80"/>
        <v>1.00634818011891E-2</v>
      </c>
      <c r="H1315" s="1067">
        <f t="shared" si="81"/>
        <v>2.3264421254519885E-2</v>
      </c>
      <c r="I1315">
        <f t="shared" si="82"/>
        <v>523.52937049727552</v>
      </c>
    </row>
    <row r="1316" spans="1:9" ht="20.100000000000001" customHeight="1">
      <c r="A1316" s="563">
        <v>45008</v>
      </c>
      <c r="B1316">
        <f t="shared" si="83"/>
        <v>713.07779950454233</v>
      </c>
      <c r="C1316">
        <f t="shared" si="83"/>
        <v>168.22561410763461</v>
      </c>
      <c r="D1316">
        <v>63.25</v>
      </c>
      <c r="E1316" s="604">
        <v>11787.400390625</v>
      </c>
      <c r="F1316" s="748">
        <f t="shared" si="80"/>
        <v>-4.1106453997344916E-3</v>
      </c>
      <c r="G1316" s="748">
        <f t="shared" si="80"/>
        <v>3.1015804249405754E-3</v>
      </c>
      <c r="H1316" s="1067">
        <f t="shared" si="81"/>
        <v>-7.212225824675067E-3</v>
      </c>
      <c r="I1316">
        <f t="shared" si="82"/>
        <v>544.85218539690777</v>
      </c>
    </row>
    <row r="1317" spans="1:9" ht="20.100000000000001" customHeight="1">
      <c r="A1317" s="563">
        <v>45009</v>
      </c>
      <c r="B1317">
        <f t="shared" si="83"/>
        <v>710.14658952835623</v>
      </c>
      <c r="C1317">
        <f t="shared" si="83"/>
        <v>168.74737937932446</v>
      </c>
      <c r="D1317">
        <v>62.990001678466797</v>
      </c>
      <c r="E1317" s="604">
        <v>11823.9599609375</v>
      </c>
      <c r="F1317" s="748">
        <f t="shared" si="80"/>
        <v>1.5716746108739299E-2</v>
      </c>
      <c r="G1317" s="748">
        <f t="shared" si="80"/>
        <v>-4.6617307035543565E-3</v>
      </c>
      <c r="H1317" s="1067">
        <f t="shared" si="81"/>
        <v>2.0378476812293655E-2</v>
      </c>
      <c r="I1317">
        <f t="shared" si="82"/>
        <v>541.39921014903177</v>
      </c>
    </row>
    <row r="1318" spans="1:9" ht="20.100000000000001" customHeight="1">
      <c r="A1318" s="563">
        <v>45012</v>
      </c>
      <c r="B1318">
        <f t="shared" si="83"/>
        <v>721.30778317596048</v>
      </c>
      <c r="C1318">
        <f t="shared" si="83"/>
        <v>167.96072453972752</v>
      </c>
      <c r="D1318">
        <v>63.979999542236328</v>
      </c>
      <c r="E1318" s="604">
        <v>11768.83984375</v>
      </c>
      <c r="F1318" s="748">
        <f t="shared" si="80"/>
        <v>4.5326211770075897E-3</v>
      </c>
      <c r="G1318" s="748">
        <f t="shared" si="80"/>
        <v>-4.4830048097747044E-3</v>
      </c>
      <c r="H1318" s="1067">
        <f t="shared" si="81"/>
        <v>9.0156259867822941E-3</v>
      </c>
      <c r="I1318">
        <f t="shared" si="82"/>
        <v>553.34705863623299</v>
      </c>
    </row>
    <row r="1319" spans="1:9" ht="20.100000000000001" customHeight="1">
      <c r="A1319" s="563">
        <v>45013</v>
      </c>
      <c r="B1319">
        <f t="shared" si="83"/>
        <v>724.5771981091242</v>
      </c>
      <c r="C1319">
        <f t="shared" si="83"/>
        <v>167.20775580376267</v>
      </c>
      <c r="D1319">
        <v>64.269996643066406</v>
      </c>
      <c r="E1319" s="604">
        <v>11716.080078125</v>
      </c>
      <c r="F1319" s="748">
        <f t="shared" si="80"/>
        <v>8.4020685192551792E-3</v>
      </c>
      <c r="G1319" s="748">
        <f t="shared" si="80"/>
        <v>1.7937753484835728E-2</v>
      </c>
      <c r="H1319" s="1067">
        <f t="shared" si="81"/>
        <v>-9.5356849655805487E-3</v>
      </c>
      <c r="I1319">
        <f t="shared" si="82"/>
        <v>557.36944230536153</v>
      </c>
    </row>
    <row r="1320" spans="1:9" ht="20.100000000000001" customHeight="1">
      <c r="A1320" s="563">
        <v>45014</v>
      </c>
      <c r="B1320">
        <f t="shared" si="83"/>
        <v>730.66514537512694</v>
      </c>
      <c r="C1320">
        <f t="shared" si="83"/>
        <v>170.20708730812316</v>
      </c>
      <c r="D1320">
        <v>64.80999755859375</v>
      </c>
      <c r="E1320" s="604">
        <v>11926.240234375</v>
      </c>
      <c r="F1320" s="748">
        <f t="shared" si="80"/>
        <v>1.5429718217407906E-2</v>
      </c>
      <c r="G1320" s="748">
        <f t="shared" si="80"/>
        <v>7.3140814266074994E-3</v>
      </c>
      <c r="H1320" s="1067">
        <f t="shared" si="81"/>
        <v>8.1156367908004068E-3</v>
      </c>
      <c r="I1320">
        <f t="shared" si="82"/>
        <v>560.45805806700378</v>
      </c>
    </row>
    <row r="1321" spans="1:9" ht="20.100000000000001" customHeight="1">
      <c r="A1321" s="563">
        <v>45015</v>
      </c>
      <c r="B1321">
        <f t="shared" si="83"/>
        <v>741.93910267954652</v>
      </c>
      <c r="C1321">
        <f t="shared" si="83"/>
        <v>171.45199580408047</v>
      </c>
      <c r="D1321">
        <v>65.80999755859375</v>
      </c>
      <c r="E1321" s="604">
        <v>12013.4697265625</v>
      </c>
      <c r="F1321" s="748">
        <f t="shared" si="80"/>
        <v>9.8769419539967984E-3</v>
      </c>
      <c r="G1321" s="748">
        <f t="shared" si="80"/>
        <v>1.7350560198826193E-2</v>
      </c>
      <c r="H1321" s="1067">
        <f t="shared" si="81"/>
        <v>-7.4736182448293942E-3</v>
      </c>
      <c r="I1321">
        <f t="shared" si="82"/>
        <v>570.487106875466</v>
      </c>
    </row>
    <row r="1322" spans="1:9" ht="20.100000000000001" customHeight="1">
      <c r="A1322" s="563">
        <v>45016</v>
      </c>
      <c r="B1322">
        <f t="shared" si="83"/>
        <v>749.2671921301129</v>
      </c>
      <c r="C1322">
        <f t="shared" si="83"/>
        <v>174.42678397848806</v>
      </c>
      <c r="D1322">
        <v>66.459999084472656</v>
      </c>
      <c r="E1322" s="604">
        <v>12221.91015625</v>
      </c>
      <c r="F1322" s="748">
        <f t="shared" si="80"/>
        <v>-2.2570196801876552E-3</v>
      </c>
      <c r="G1322" s="748">
        <f t="shared" si="80"/>
        <v>-2.6558827975756705E-3</v>
      </c>
      <c r="H1322" s="1067">
        <f t="shared" si="81"/>
        <v>3.9886311738801528E-4</v>
      </c>
      <c r="I1322">
        <f t="shared" si="82"/>
        <v>574.84040815162484</v>
      </c>
    </row>
    <row r="1323" spans="1:9" ht="20.100000000000001" customHeight="1">
      <c r="A1323" s="563">
        <v>45019</v>
      </c>
      <c r="B1323">
        <f t="shared" si="83"/>
        <v>747.57608133175631</v>
      </c>
      <c r="C1323">
        <f t="shared" si="83"/>
        <v>173.96352688348315</v>
      </c>
      <c r="D1323">
        <v>66.30999755859375</v>
      </c>
      <c r="E1323" s="604">
        <v>12189.4501953125</v>
      </c>
      <c r="F1323" s="748">
        <f t="shared" si="80"/>
        <v>-5.1273767215900268E-3</v>
      </c>
      <c r="G1323" s="748">
        <f t="shared" si="80"/>
        <v>-5.17825793420712E-3</v>
      </c>
      <c r="H1323" s="1067">
        <f t="shared" si="81"/>
        <v>5.0881212617093219E-5</v>
      </c>
      <c r="I1323">
        <f t="shared" si="82"/>
        <v>573.61255444827316</v>
      </c>
    </row>
    <row r="1324" spans="1:9" ht="20.100000000000001" customHeight="1">
      <c r="A1324" s="563">
        <v>45020</v>
      </c>
      <c r="B1324">
        <f t="shared" si="83"/>
        <v>743.74297713471833</v>
      </c>
      <c r="C1324">
        <f t="shared" si="83"/>
        <v>173.0626988701361</v>
      </c>
      <c r="D1324">
        <v>65.970001220703125</v>
      </c>
      <c r="E1324" s="604">
        <v>12126.330078125</v>
      </c>
      <c r="F1324" s="748">
        <f t="shared" si="80"/>
        <v>-1.2429887519342375E-2</v>
      </c>
      <c r="G1324" s="748">
        <f t="shared" si="80"/>
        <v>-1.0676744384193637E-2</v>
      </c>
      <c r="H1324" s="1067">
        <f t="shared" si="81"/>
        <v>-1.7531431351487381E-3</v>
      </c>
      <c r="I1324">
        <f t="shared" si="82"/>
        <v>570.68027826458228</v>
      </c>
    </row>
    <row r="1325" spans="1:9" ht="20.100000000000001" customHeight="1">
      <c r="A1325" s="563">
        <v>45021</v>
      </c>
      <c r="B1325">
        <f t="shared" si="83"/>
        <v>734.49833558563296</v>
      </c>
      <c r="C1325">
        <f t="shared" si="83"/>
        <v>171.21495267186097</v>
      </c>
      <c r="D1325">
        <v>65.150001525878906</v>
      </c>
      <c r="E1325" s="604">
        <v>11996.8603515625</v>
      </c>
      <c r="F1325" s="748">
        <f t="shared" si="80"/>
        <v>5.6791267616551622E-3</v>
      </c>
      <c r="G1325" s="748">
        <f t="shared" si="80"/>
        <v>7.5936208895801549E-3</v>
      </c>
      <c r="H1325" s="1067">
        <f t="shared" si="81"/>
        <v>-1.9144941279249927E-3</v>
      </c>
      <c r="I1325">
        <f t="shared" si="82"/>
        <v>563.28338291377202</v>
      </c>
    </row>
    <row r="1326" spans="1:9" ht="20.100000000000001" customHeight="1">
      <c r="A1326" s="563">
        <v>45022</v>
      </c>
      <c r="B1326">
        <f t="shared" si="83"/>
        <v>738.66964473964845</v>
      </c>
      <c r="C1326">
        <f t="shared" si="83"/>
        <v>172.5150941130785</v>
      </c>
      <c r="D1326">
        <v>65.519996643066406</v>
      </c>
      <c r="E1326" s="604">
        <v>12087.9599609375</v>
      </c>
      <c r="F1326" s="748">
        <f t="shared" si="80"/>
        <v>2.1215004430102713E-2</v>
      </c>
      <c r="G1326" s="748">
        <f t="shared" si="80"/>
        <v>-2.9778468712937656E-4</v>
      </c>
      <c r="H1326" s="1067">
        <f t="shared" si="81"/>
        <v>2.151278911723209E-2</v>
      </c>
      <c r="I1326">
        <f t="shared" si="82"/>
        <v>566.15455062656997</v>
      </c>
    </row>
    <row r="1327" spans="1:9" ht="20.100000000000001" customHeight="1">
      <c r="A1327" s="563">
        <v>45026</v>
      </c>
      <c r="B1327">
        <f t="shared" si="83"/>
        <v>754.34052452518245</v>
      </c>
      <c r="C1327">
        <f t="shared" si="83"/>
        <v>172.46372175975296</v>
      </c>
      <c r="D1327">
        <v>66.910003662109375</v>
      </c>
      <c r="E1327" s="604">
        <v>12084.3603515625</v>
      </c>
      <c r="F1327" s="748">
        <f t="shared" si="80"/>
        <v>1.3450356144815157E-3</v>
      </c>
      <c r="G1327" s="748">
        <f t="shared" si="80"/>
        <v>-4.3428420887179353E-3</v>
      </c>
      <c r="H1327" s="1067">
        <f t="shared" si="81"/>
        <v>5.687877703199451E-3</v>
      </c>
      <c r="I1327">
        <f t="shared" si="82"/>
        <v>581.87680276542949</v>
      </c>
    </row>
    <row r="1328" spans="1:9" ht="20.100000000000001" customHeight="1">
      <c r="A1328" s="563">
        <v>45027</v>
      </c>
      <c r="B1328">
        <f t="shared" si="83"/>
        <v>755.35513939611553</v>
      </c>
      <c r="C1328">
        <f t="shared" si="83"/>
        <v>171.71473905011777</v>
      </c>
      <c r="D1328">
        <v>67</v>
      </c>
      <c r="E1328" s="604">
        <v>12031.8798828125</v>
      </c>
      <c r="F1328" s="748">
        <f t="shared" si="80"/>
        <v>2.8358573344215987E-3</v>
      </c>
      <c r="G1328" s="748">
        <f t="shared" si="80"/>
        <v>-8.5223622626899864E-3</v>
      </c>
      <c r="H1328" s="1067">
        <f t="shared" si="81"/>
        <v>1.1358219597111585E-2</v>
      </c>
      <c r="I1328">
        <f t="shared" si="82"/>
        <v>583.6404003459977</v>
      </c>
    </row>
    <row r="1329" spans="1:9" ht="20.100000000000001" customHeight="1">
      <c r="A1329" s="563">
        <v>45028</v>
      </c>
      <c r="B1329">
        <f t="shared" si="83"/>
        <v>757.49721880826507</v>
      </c>
      <c r="C1329">
        <f t="shared" si="83"/>
        <v>170.25132383808938</v>
      </c>
      <c r="D1329">
        <v>67.19000244140625</v>
      </c>
      <c r="E1329" s="604">
        <v>11929.33984375</v>
      </c>
      <c r="F1329" s="748">
        <f t="shared" si="80"/>
        <v>1.7859754496789337E-2</v>
      </c>
      <c r="G1329" s="748">
        <f t="shared" si="80"/>
        <v>1.9861089599533255E-2</v>
      </c>
      <c r="H1329" s="1067">
        <f t="shared" si="81"/>
        <v>-2.0013351027439175E-3</v>
      </c>
      <c r="I1329">
        <f t="shared" si="82"/>
        <v>587.24589497017564</v>
      </c>
    </row>
    <row r="1330" spans="1:9" ht="20.100000000000001" customHeight="1">
      <c r="A1330" s="563">
        <v>45029</v>
      </c>
      <c r="B1330">
        <f t="shared" si="83"/>
        <v>771.02593316818138</v>
      </c>
      <c r="C1330">
        <f t="shared" si="83"/>
        <v>173.63270063527682</v>
      </c>
      <c r="D1330">
        <v>68.389999389648438</v>
      </c>
      <c r="E1330" s="604">
        <v>12166.26953125</v>
      </c>
      <c r="F1330" s="748">
        <f t="shared" si="80"/>
        <v>-4.6790422237180662E-3</v>
      </c>
      <c r="G1330" s="748">
        <f t="shared" si="80"/>
        <v>-3.517906995037845E-3</v>
      </c>
      <c r="H1330" s="1067">
        <f t="shared" si="81"/>
        <v>-1.1611352286802212E-3</v>
      </c>
      <c r="I1330">
        <f t="shared" si="82"/>
        <v>597.39323253290456</v>
      </c>
    </row>
    <row r="1331" spans="1:9" ht="20.100000000000001" customHeight="1">
      <c r="A1331" s="563">
        <v>45030</v>
      </c>
      <c r="B1331">
        <f t="shared" si="83"/>
        <v>767.4182702713058</v>
      </c>
      <c r="C1331">
        <f t="shared" si="83"/>
        <v>173.02187694314466</v>
      </c>
      <c r="D1331">
        <v>68.069999694824219</v>
      </c>
      <c r="E1331" s="604">
        <v>12123.4697265625</v>
      </c>
      <c r="F1331" s="748">
        <f t="shared" si="80"/>
        <v>-5.288682414654633E-3</v>
      </c>
      <c r="G1331" s="748">
        <f t="shared" si="80"/>
        <v>2.8250988184479464E-3</v>
      </c>
      <c r="H1331" s="1067">
        <f t="shared" si="81"/>
        <v>-8.1137812331025794E-3</v>
      </c>
      <c r="I1331">
        <f t="shared" si="82"/>
        <v>594.39639332816114</v>
      </c>
    </row>
    <row r="1332" spans="1:9" ht="20.100000000000001" customHeight="1">
      <c r="A1332" s="563">
        <v>45033</v>
      </c>
      <c r="B1332">
        <f t="shared" si="83"/>
        <v>763.35963876063727</v>
      </c>
      <c r="C1332">
        <f t="shared" si="83"/>
        <v>173.51068084326238</v>
      </c>
      <c r="D1332">
        <v>67.709999084472656</v>
      </c>
      <c r="E1332" s="604">
        <v>12157.7197265625</v>
      </c>
      <c r="F1332" s="748">
        <f t="shared" si="80"/>
        <v>1.6245844312348101E-3</v>
      </c>
      <c r="G1332" s="748">
        <f t="shared" si="80"/>
        <v>-3.5447192478732514E-4</v>
      </c>
      <c r="H1332" s="1067">
        <f t="shared" si="81"/>
        <v>1.9790563560221353E-3</v>
      </c>
      <c r="I1332">
        <f t="shared" si="82"/>
        <v>589.84895791737495</v>
      </c>
    </row>
    <row r="1333" spans="1:9" ht="20.100000000000001" customHeight="1">
      <c r="A1333" s="563">
        <v>45034</v>
      </c>
      <c r="B1333">
        <f t="shared" si="83"/>
        <v>764.59978094520079</v>
      </c>
      <c r="C1333">
        <f t="shared" si="83"/>
        <v>173.44917617825271</v>
      </c>
      <c r="D1333">
        <v>67.819999694824219</v>
      </c>
      <c r="E1333" s="604">
        <v>12153.41015625</v>
      </c>
      <c r="F1333" s="748">
        <f t="shared" si="80"/>
        <v>-7.3724565356811933E-3</v>
      </c>
      <c r="G1333" s="748">
        <f t="shared" si="80"/>
        <v>3.1434078590986125E-4</v>
      </c>
      <c r="H1333" s="1067">
        <f t="shared" si="81"/>
        <v>-7.6867973215910546E-3</v>
      </c>
      <c r="I1333">
        <f t="shared" si="82"/>
        <v>591.15060476694805</v>
      </c>
    </row>
    <row r="1334" spans="1:9" ht="20.100000000000001" customHeight="1">
      <c r="A1334" s="563">
        <v>45035</v>
      </c>
      <c r="B1334">
        <f t="shared" si="83"/>
        <v>758.96280229299089</v>
      </c>
      <c r="C1334">
        <f t="shared" si="83"/>
        <v>173.50369832860801</v>
      </c>
      <c r="D1334">
        <v>67.319999694824219</v>
      </c>
      <c r="E1334" s="604">
        <v>12157.23046875</v>
      </c>
      <c r="F1334" s="748">
        <f t="shared" si="80"/>
        <v>-6.238832009050066E-3</v>
      </c>
      <c r="G1334" s="748">
        <f t="shared" si="80"/>
        <v>-8.0339760514174241E-3</v>
      </c>
      <c r="H1334" s="1067">
        <f t="shared" si="81"/>
        <v>1.7951440423673581E-3</v>
      </c>
      <c r="I1334">
        <f t="shared" si="82"/>
        <v>585.45910396438285</v>
      </c>
    </row>
    <row r="1335" spans="1:9" ht="20.100000000000001" customHeight="1">
      <c r="A1335" s="563">
        <v>45036</v>
      </c>
      <c r="B1335">
        <f t="shared" si="83"/>
        <v>754.227760868367</v>
      </c>
      <c r="C1335">
        <f t="shared" si="83"/>
        <v>172.10977377140361</v>
      </c>
      <c r="D1335">
        <v>66.900001525878906</v>
      </c>
      <c r="E1335" s="604">
        <v>12059.5595703125</v>
      </c>
      <c r="F1335" s="748">
        <f t="shared" si="80"/>
        <v>-1.7937629872192273E-3</v>
      </c>
      <c r="G1335" s="748">
        <f t="shared" si="80"/>
        <v>1.0697231975831389E-3</v>
      </c>
      <c r="H1335" s="1067">
        <f t="shared" si="81"/>
        <v>-2.8634861848023663E-3</v>
      </c>
      <c r="I1335">
        <f t="shared" si="82"/>
        <v>582.11798709696336</v>
      </c>
    </row>
    <row r="1336" spans="1:9" ht="20.100000000000001" customHeight="1">
      <c r="A1336" s="563">
        <v>45037</v>
      </c>
      <c r="B1336">
        <f t="shared" si="83"/>
        <v>752.87485502698814</v>
      </c>
      <c r="C1336">
        <f t="shared" si="83"/>
        <v>172.29388358893766</v>
      </c>
      <c r="D1336">
        <v>66.779998779296875</v>
      </c>
      <c r="E1336" s="604">
        <v>12072.4599609375</v>
      </c>
      <c r="F1336" s="748">
        <f t="shared" si="80"/>
        <v>-7.9364898021110353E-3</v>
      </c>
      <c r="G1336" s="748">
        <f t="shared" si="80"/>
        <v>-2.9206777855622645E-3</v>
      </c>
      <c r="H1336" s="1067">
        <f t="shared" si="81"/>
        <v>-5.0158120165487707E-3</v>
      </c>
      <c r="I1336">
        <f t="shared" si="82"/>
        <v>580.58097143805048</v>
      </c>
    </row>
    <row r="1337" spans="1:9" ht="20.100000000000001" customHeight="1">
      <c r="A1337" s="563">
        <v>45040</v>
      </c>
      <c r="B1337">
        <f t="shared" si="83"/>
        <v>746.89967141780062</v>
      </c>
      <c r="C1337">
        <f t="shared" si="83"/>
        <v>171.79066867055121</v>
      </c>
      <c r="D1337">
        <v>66.25</v>
      </c>
      <c r="E1337" s="604">
        <v>12037.2001953125</v>
      </c>
      <c r="F1337" s="748">
        <f t="shared" si="80"/>
        <v>-4.6490593676297154E-2</v>
      </c>
      <c r="G1337" s="748">
        <f t="shared" si="80"/>
        <v>-1.9775365965517211E-2</v>
      </c>
      <c r="H1337" s="1067">
        <f t="shared" si="81"/>
        <v>-2.6715227710779943E-2</v>
      </c>
      <c r="I1337">
        <f t="shared" si="82"/>
        <v>575.10900274724941</v>
      </c>
    </row>
    <row r="1338" spans="1:9" ht="20.100000000000001" customHeight="1">
      <c r="A1338" s="563">
        <v>45041</v>
      </c>
      <c r="B1338">
        <f t="shared" si="83"/>
        <v>712.17586227695574</v>
      </c>
      <c r="C1338">
        <f t="shared" si="83"/>
        <v>168.39344532813016</v>
      </c>
      <c r="D1338">
        <v>63.169998168945313</v>
      </c>
      <c r="E1338" s="604">
        <v>11799.16015625</v>
      </c>
      <c r="F1338" s="748">
        <f t="shared" si="80"/>
        <v>3.6410220611129418E-3</v>
      </c>
      <c r="G1338" s="748">
        <f t="shared" si="80"/>
        <v>4.6774052046210102E-3</v>
      </c>
      <c r="H1338" s="1067">
        <f t="shared" si="81"/>
        <v>-1.0363831435080684E-3</v>
      </c>
      <c r="I1338">
        <f t="shared" si="82"/>
        <v>543.78241694882558</v>
      </c>
    </row>
    <row r="1339" spans="1:9" ht="20.100000000000001" customHeight="1">
      <c r="A1339" s="563">
        <v>45042</v>
      </c>
      <c r="B1339">
        <f t="shared" si="83"/>
        <v>714.76891030289823</v>
      </c>
      <c r="C1339">
        <f t="shared" si="83"/>
        <v>169.18108970573201</v>
      </c>
      <c r="D1339">
        <v>63.400001525878913</v>
      </c>
      <c r="E1339" s="604">
        <v>11854.349609375</v>
      </c>
      <c r="F1339" s="748">
        <f t="shared" si="80"/>
        <v>-5.3627783029170928E-3</v>
      </c>
      <c r="G1339" s="748">
        <f t="shared" si="80"/>
        <v>2.4285653324440659E-2</v>
      </c>
      <c r="H1339" s="1067">
        <f t="shared" si="81"/>
        <v>-2.9648431627357752E-2</v>
      </c>
      <c r="I1339">
        <f t="shared" si="82"/>
        <v>545.58782059716623</v>
      </c>
    </row>
    <row r="1340" spans="1:9" ht="20.100000000000001" customHeight="1">
      <c r="A1340" s="563">
        <v>45043</v>
      </c>
      <c r="B1340">
        <f t="shared" si="83"/>
        <v>710.93576309912612</v>
      </c>
      <c r="C1340">
        <f t="shared" si="83"/>
        <v>173.28976299937651</v>
      </c>
      <c r="D1340">
        <v>63.060001373291023</v>
      </c>
      <c r="E1340" s="604">
        <v>12142.240234375</v>
      </c>
      <c r="F1340" s="748">
        <f t="shared" si="80"/>
        <v>-1.5861300368935627E-4</v>
      </c>
      <c r="G1340" s="748">
        <f t="shared" si="80"/>
        <v>6.9459870766872545E-3</v>
      </c>
      <c r="H1340" s="1067">
        <f t="shared" si="81"/>
        <v>-7.1046000803766107E-3</v>
      </c>
      <c r="I1340">
        <f t="shared" si="82"/>
        <v>537.64600009974959</v>
      </c>
    </row>
    <row r="1341" spans="1:9" ht="20.100000000000001" customHeight="1">
      <c r="A1341" s="563">
        <v>45044</v>
      </c>
      <c r="B1341">
        <f t="shared" si="83"/>
        <v>710.82299944231079</v>
      </c>
      <c r="C1341">
        <f t="shared" si="83"/>
        <v>174.49343145369238</v>
      </c>
      <c r="D1341">
        <v>63.049999237060547</v>
      </c>
      <c r="E1341" s="604">
        <v>12226.580078125</v>
      </c>
      <c r="F1341" s="748">
        <f t="shared" si="80"/>
        <v>-3.8064689401051677E-3</v>
      </c>
      <c r="G1341" s="748">
        <f t="shared" si="80"/>
        <v>-1.1434488352971561E-3</v>
      </c>
      <c r="H1341" s="1067">
        <f t="shared" si="81"/>
        <v>-2.6630201048080115E-3</v>
      </c>
      <c r="I1341">
        <f t="shared" si="82"/>
        <v>536.32956798861846</v>
      </c>
    </row>
    <row r="1342" spans="1:9" ht="20.100000000000001" customHeight="1">
      <c r="A1342" s="563">
        <v>45047</v>
      </c>
      <c r="B1342">
        <f t="shared" si="83"/>
        <v>708.11727377302122</v>
      </c>
      <c r="C1342">
        <f t="shared" si="83"/>
        <v>174.29390714272967</v>
      </c>
      <c r="D1342">
        <v>62.810001373291023</v>
      </c>
      <c r="E1342" s="604">
        <v>12212.599609375</v>
      </c>
      <c r="F1342" s="748">
        <f t="shared" si="80"/>
        <v>-2.1811856657029449E-2</v>
      </c>
      <c r="G1342" s="748">
        <f t="shared" si="80"/>
        <v>-1.0815866234458515E-2</v>
      </c>
      <c r="H1342" s="1067">
        <f t="shared" si="81"/>
        <v>-1.0995990422570934E-2</v>
      </c>
      <c r="I1342">
        <f t="shared" si="82"/>
        <v>533.8233666302915</v>
      </c>
    </row>
    <row r="1343" spans="1:9" ht="20.100000000000001" customHeight="1">
      <c r="A1343" s="563">
        <v>45048</v>
      </c>
      <c r="B1343">
        <f t="shared" si="83"/>
        <v>692.67192130111766</v>
      </c>
      <c r="C1343">
        <f t="shared" si="83"/>
        <v>172.40876755759277</v>
      </c>
      <c r="D1343">
        <v>61.439998626708977</v>
      </c>
      <c r="E1343" s="604">
        <v>12080.509765625</v>
      </c>
      <c r="F1343" s="748">
        <f t="shared" si="80"/>
        <v>-1.5462190258402786E-2</v>
      </c>
      <c r="G1343" s="748">
        <f t="shared" si="80"/>
        <v>-4.5676621740758927E-3</v>
      </c>
      <c r="H1343" s="1067">
        <f t="shared" si="81"/>
        <v>-1.0894528084326893E-2</v>
      </c>
      <c r="I1343">
        <f t="shared" si="82"/>
        <v>520.26315374352487</v>
      </c>
    </row>
    <row r="1344" spans="1:9" ht="20.100000000000001" customHeight="1">
      <c r="A1344" s="563">
        <v>45049</v>
      </c>
      <c r="B1344">
        <f t="shared" si="83"/>
        <v>681.96169626730637</v>
      </c>
      <c r="C1344">
        <f t="shared" si="83"/>
        <v>171.62126255154089</v>
      </c>
      <c r="D1344">
        <v>60.490001678466797</v>
      </c>
      <c r="E1344" s="604">
        <v>12025.330078125</v>
      </c>
      <c r="F1344" s="748">
        <f t="shared" si="80"/>
        <v>1.1406821087171615E-2</v>
      </c>
      <c r="G1344" s="748">
        <f t="shared" si="80"/>
        <v>-4.9004631986940828E-3</v>
      </c>
      <c r="H1344" s="1067">
        <f t="shared" si="81"/>
        <v>1.6307284285865697E-2</v>
      </c>
      <c r="I1344">
        <f t="shared" si="82"/>
        <v>510.34043371576547</v>
      </c>
    </row>
    <row r="1345" spans="1:9" ht="20.100000000000001" customHeight="1">
      <c r="A1345" s="563">
        <v>45050</v>
      </c>
      <c r="B1345">
        <f t="shared" si="83"/>
        <v>689.74071132493157</v>
      </c>
      <c r="C1345">
        <f t="shared" si="83"/>
        <v>170.78023887029366</v>
      </c>
      <c r="D1345">
        <v>61.180000305175781</v>
      </c>
      <c r="E1345" s="604">
        <v>11966.400390625</v>
      </c>
      <c r="F1345" s="748">
        <f t="shared" si="80"/>
        <v>5.5737103885342032E-2</v>
      </c>
      <c r="G1345" s="748">
        <f t="shared" si="80"/>
        <v>2.2480424926760278E-2</v>
      </c>
      <c r="H1345" s="1067">
        <f t="shared" si="81"/>
        <v>3.3256678958581753E-2</v>
      </c>
      <c r="I1345">
        <f t="shared" si="82"/>
        <v>518.96047245463797</v>
      </c>
    </row>
    <row r="1346" spans="1:9" ht="20.100000000000001" customHeight="1">
      <c r="A1346" s="563">
        <v>45051</v>
      </c>
      <c r="B1346">
        <f t="shared" si="83"/>
        <v>728.18486100599898</v>
      </c>
      <c r="C1346">
        <f t="shared" si="83"/>
        <v>174.61945120919148</v>
      </c>
      <c r="D1346">
        <v>64.589996337890625</v>
      </c>
      <c r="E1346" s="604">
        <v>12235.41015625</v>
      </c>
      <c r="F1346" s="748">
        <f t="shared" si="80"/>
        <v>2.3068672823100655E-2</v>
      </c>
      <c r="G1346" s="748">
        <f t="shared" si="80"/>
        <v>1.7579930178321934E-3</v>
      </c>
      <c r="H1346" s="1067">
        <f t="shared" si="81"/>
        <v>2.1310679805268462E-2</v>
      </c>
      <c r="I1346">
        <f t="shared" si="82"/>
        <v>553.56540979680744</v>
      </c>
    </row>
    <row r="1347" spans="1:9" ht="20.100000000000001" customHeight="1">
      <c r="A1347" s="563">
        <v>45054</v>
      </c>
      <c r="B1347">
        <f t="shared" si="83"/>
        <v>744.9831193192814</v>
      </c>
      <c r="C1347">
        <f t="shared" si="83"/>
        <v>174.92643098519494</v>
      </c>
      <c r="D1347">
        <v>66.080001831054688</v>
      </c>
      <c r="E1347" s="604">
        <v>12256.919921875</v>
      </c>
      <c r="F1347" s="748">
        <f t="shared" ref="F1347:G1410" si="84">D1348/D1347-1</f>
        <v>4.842610259641944E-3</v>
      </c>
      <c r="G1347" s="748">
        <f t="shared" si="84"/>
        <v>-6.3123621334441049E-3</v>
      </c>
      <c r="H1347" s="1067">
        <f t="shared" ref="H1347:H1410" si="85">F1347-G1347</f>
        <v>1.1154972393086049E-2</v>
      </c>
      <c r="I1347">
        <f t="shared" ref="I1347:I1410" si="86">B1347-C1347</f>
        <v>570.0566883340864</v>
      </c>
    </row>
    <row r="1348" spans="1:9" ht="20.100000000000001" customHeight="1">
      <c r="A1348" s="563">
        <v>45055</v>
      </c>
      <c r="B1348">
        <f t="shared" ref="B1348:C1411" si="87">B1347*(1+F1347)</f>
        <v>748.59078221615698</v>
      </c>
      <c r="C1348">
        <f t="shared" si="87"/>
        <v>173.82223200610548</v>
      </c>
      <c r="D1348">
        <v>66.400001525878906</v>
      </c>
      <c r="E1348" s="604">
        <v>12179.5498046875</v>
      </c>
      <c r="F1348" s="748">
        <f t="shared" si="84"/>
        <v>9.1867559688807443E-3</v>
      </c>
      <c r="G1348" s="748">
        <f t="shared" si="84"/>
        <v>1.0418334588292E-2</v>
      </c>
      <c r="H1348" s="1067">
        <f t="shared" si="85"/>
        <v>-1.2315786194112555E-3</v>
      </c>
      <c r="I1348">
        <f t="shared" si="86"/>
        <v>574.76855021005144</v>
      </c>
    </row>
    <row r="1349" spans="1:9" ht="20.100000000000001" customHeight="1">
      <c r="A1349" s="563">
        <v>45056</v>
      </c>
      <c r="B1349">
        <f t="shared" si="87"/>
        <v>755.46790305293041</v>
      </c>
      <c r="C1349">
        <f t="shared" si="87"/>
        <v>175.63317017802879</v>
      </c>
      <c r="D1349">
        <v>67.010002136230469</v>
      </c>
      <c r="E1349" s="604">
        <v>12306.4404296875</v>
      </c>
      <c r="F1349" s="748">
        <f t="shared" si="84"/>
        <v>7.3123093291860286E-3</v>
      </c>
      <c r="G1349" s="748">
        <f t="shared" si="84"/>
        <v>1.7933159522116604E-3</v>
      </c>
      <c r="H1349" s="1067">
        <f t="shared" si="85"/>
        <v>5.5189933769743682E-3</v>
      </c>
      <c r="I1349">
        <f t="shared" si="86"/>
        <v>579.83473287490165</v>
      </c>
    </row>
    <row r="1350" spans="1:9" ht="20.100000000000001" customHeight="1">
      <c r="A1350" s="563">
        <v>45057</v>
      </c>
      <c r="B1350">
        <f t="shared" si="87"/>
        <v>760.99211804832498</v>
      </c>
      <c r="C1350">
        <f t="shared" si="87"/>
        <v>175.94813594384655</v>
      </c>
      <c r="D1350">
        <v>67.5</v>
      </c>
      <c r="E1350" s="604">
        <v>12328.509765625</v>
      </c>
      <c r="F1350" s="748">
        <f t="shared" si="84"/>
        <v>3.9999502676504317E-3</v>
      </c>
      <c r="G1350" s="748">
        <f t="shared" si="84"/>
        <v>-3.5502694228333187E-3</v>
      </c>
      <c r="H1350" s="1067">
        <f t="shared" si="85"/>
        <v>7.5502196904837504E-3</v>
      </c>
      <c r="I1350">
        <f t="shared" si="86"/>
        <v>585.04398210447846</v>
      </c>
    </row>
    <row r="1351" spans="1:9" ht="20.100000000000001" customHeight="1">
      <c r="A1351" s="563">
        <v>45058</v>
      </c>
      <c r="B1351">
        <f t="shared" si="87"/>
        <v>764.03604867459228</v>
      </c>
      <c r="C1351">
        <f t="shared" si="87"/>
        <v>175.32347265680059</v>
      </c>
      <c r="D1351">
        <v>67.769996643066406</v>
      </c>
      <c r="E1351" s="604">
        <v>12284.740234375</v>
      </c>
      <c r="F1351" s="748">
        <f t="shared" si="84"/>
        <v>1.1657089488850803E-2</v>
      </c>
      <c r="G1351" s="748">
        <f t="shared" si="84"/>
        <v>6.5503807998585906E-3</v>
      </c>
      <c r="H1351" s="1067">
        <f t="shared" si="85"/>
        <v>5.106708688992212E-3</v>
      </c>
      <c r="I1351">
        <f t="shared" si="86"/>
        <v>588.71257601779166</v>
      </c>
    </row>
    <row r="1352" spans="1:9" ht="20.100000000000001" customHeight="1">
      <c r="A1352" s="563">
        <v>45061</v>
      </c>
      <c r="B1352">
        <f t="shared" si="87"/>
        <v>772.94248526669992</v>
      </c>
      <c r="C1352">
        <f t="shared" si="87"/>
        <v>176.47190816585623</v>
      </c>
      <c r="D1352">
        <v>68.55999755859375</v>
      </c>
      <c r="E1352" s="604">
        <v>12365.2099609375</v>
      </c>
      <c r="F1352" s="748">
        <f t="shared" si="84"/>
        <v>-3.646441203361217E-3</v>
      </c>
      <c r="G1352" s="748">
        <f t="shared" si="84"/>
        <v>-1.7921374825017322E-3</v>
      </c>
      <c r="H1352" s="1067">
        <f t="shared" si="85"/>
        <v>-1.8543037208594848E-3</v>
      </c>
      <c r="I1352">
        <f t="shared" si="86"/>
        <v>596.47057710084368</v>
      </c>
    </row>
    <row r="1353" spans="1:9" ht="20.100000000000001" customHeight="1">
      <c r="A1353" s="563">
        <v>45062</v>
      </c>
      <c r="B1353">
        <f t="shared" si="87"/>
        <v>770.12399594059502</v>
      </c>
      <c r="C1353">
        <f t="shared" si="87"/>
        <v>176.1556462446236</v>
      </c>
      <c r="D1353">
        <v>68.30999755859375</v>
      </c>
      <c r="E1353" s="604">
        <v>12343.0498046875</v>
      </c>
      <c r="F1353" s="748">
        <f t="shared" si="84"/>
        <v>1.7567376792702039E-3</v>
      </c>
      <c r="G1353" s="748">
        <f t="shared" si="84"/>
        <v>1.276187897683756E-2</v>
      </c>
      <c r="H1353" s="1067">
        <f t="shared" si="85"/>
        <v>-1.1005141297567356E-2</v>
      </c>
      <c r="I1353">
        <f t="shared" si="86"/>
        <v>593.96834969597148</v>
      </c>
    </row>
    <row r="1354" spans="1:9" ht="20.100000000000001" customHeight="1">
      <c r="A1354" s="563">
        <v>45063</v>
      </c>
      <c r="B1354">
        <f t="shared" si="87"/>
        <v>771.47690178197399</v>
      </c>
      <c r="C1354">
        <f t="shared" si="87"/>
        <v>178.4037232830841</v>
      </c>
      <c r="D1354">
        <v>68.430000305175781</v>
      </c>
      <c r="E1354" s="604">
        <v>12500.5703125</v>
      </c>
      <c r="F1354" s="748">
        <f t="shared" si="84"/>
        <v>-4.2379207107121619E-3</v>
      </c>
      <c r="G1354" s="748">
        <f t="shared" si="84"/>
        <v>1.5060875347562286E-2</v>
      </c>
      <c r="H1354" s="1067">
        <f t="shared" si="85"/>
        <v>-1.9298796058274448E-2</v>
      </c>
      <c r="I1354">
        <f t="shared" si="86"/>
        <v>593.07317849888989</v>
      </c>
    </row>
    <row r="1355" spans="1:9" ht="20.100000000000001" customHeight="1">
      <c r="A1355" s="563">
        <v>45064</v>
      </c>
      <c r="B1355">
        <f t="shared" si="87"/>
        <v>768.20744384207615</v>
      </c>
      <c r="C1355">
        <f t="shared" si="87"/>
        <v>181.09063952099163</v>
      </c>
      <c r="D1355">
        <v>68.139999389648438</v>
      </c>
      <c r="E1355" s="604">
        <v>12688.83984375</v>
      </c>
      <c r="F1355" s="748">
        <f t="shared" si="84"/>
        <v>2.1866713782153102E-2</v>
      </c>
      <c r="G1355" s="748">
        <f t="shared" si="84"/>
        <v>-2.4383200911972658E-3</v>
      </c>
      <c r="H1355" s="1067">
        <f t="shared" si="85"/>
        <v>2.4305033873350368E-2</v>
      </c>
      <c r="I1355">
        <f t="shared" si="86"/>
        <v>587.11680432108449</v>
      </c>
    </row>
    <row r="1356" spans="1:9" ht="20.100000000000001" customHeight="1">
      <c r="A1356" s="563">
        <v>45065</v>
      </c>
      <c r="B1356">
        <f t="shared" si="87"/>
        <v>785.0056161418903</v>
      </c>
      <c r="C1356">
        <f t="shared" si="87"/>
        <v>180.64908257631984</v>
      </c>
      <c r="D1356">
        <v>69.629997253417969</v>
      </c>
      <c r="E1356" s="604">
        <v>12657.900390625</v>
      </c>
      <c r="F1356" s="748">
        <f t="shared" si="84"/>
        <v>-1.5797876589197513E-3</v>
      </c>
      <c r="G1356" s="748">
        <f t="shared" si="84"/>
        <v>4.9676392507458367E-3</v>
      </c>
      <c r="H1356" s="1067">
        <f t="shared" si="85"/>
        <v>-6.5474269096655879E-3</v>
      </c>
      <c r="I1356">
        <f t="shared" si="86"/>
        <v>604.35653356557043</v>
      </c>
    </row>
    <row r="1357" spans="1:9" ht="20.100000000000001" customHeight="1">
      <c r="A1357" s="563">
        <v>45068</v>
      </c>
      <c r="B1357">
        <f t="shared" si="87"/>
        <v>783.76547395732666</v>
      </c>
      <c r="C1357">
        <f t="shared" si="87"/>
        <v>181.54648204953719</v>
      </c>
      <c r="D1357">
        <v>69.519996643066406</v>
      </c>
      <c r="E1357" s="604">
        <v>12720.7802734375</v>
      </c>
      <c r="F1357" s="748">
        <f t="shared" si="84"/>
        <v>-2.0569625636171596E-2</v>
      </c>
      <c r="G1357" s="748">
        <f t="shared" si="84"/>
        <v>-1.2619530405120427E-2</v>
      </c>
      <c r="H1357" s="1067">
        <f t="shared" si="85"/>
        <v>-7.9500952310511686E-3</v>
      </c>
      <c r="I1357">
        <f t="shared" si="86"/>
        <v>602.21899190778947</v>
      </c>
    </row>
    <row r="1358" spans="1:9" ht="20.100000000000001" customHeight="1">
      <c r="A1358" s="563">
        <v>45069</v>
      </c>
      <c r="B1358">
        <f t="shared" si="87"/>
        <v>767.64371157146786</v>
      </c>
      <c r="C1358">
        <f t="shared" si="87"/>
        <v>179.25545069937041</v>
      </c>
      <c r="D1358">
        <v>68.089996337890625</v>
      </c>
      <c r="E1358" s="604">
        <v>12560.25</v>
      </c>
      <c r="F1358" s="748">
        <f t="shared" si="84"/>
        <v>-2.2029667802541564E-2</v>
      </c>
      <c r="G1358" s="748">
        <f t="shared" si="84"/>
        <v>-6.0579879978504003E-3</v>
      </c>
      <c r="H1358" s="1067">
        <f t="shared" si="85"/>
        <v>-1.5971679804691163E-2</v>
      </c>
      <c r="I1358">
        <f t="shared" si="86"/>
        <v>588.38826087209748</v>
      </c>
    </row>
    <row r="1359" spans="1:9" ht="20.100000000000001" customHeight="1">
      <c r="A1359" s="563">
        <v>45070</v>
      </c>
      <c r="B1359">
        <f t="shared" si="87"/>
        <v>750.73277561483837</v>
      </c>
      <c r="C1359">
        <f t="shared" si="87"/>
        <v>178.16952333048437</v>
      </c>
      <c r="D1359">
        <v>66.589996337890625</v>
      </c>
      <c r="E1359" s="604">
        <v>12484.16015625</v>
      </c>
      <c r="F1359" s="748">
        <f t="shared" si="84"/>
        <v>8.7100444954471001E-3</v>
      </c>
      <c r="G1359" s="748">
        <f t="shared" si="84"/>
        <v>1.7136089638588814E-2</v>
      </c>
      <c r="H1359" s="1067">
        <f t="shared" si="85"/>
        <v>-8.4260451431417138E-3</v>
      </c>
      <c r="I1359">
        <f t="shared" si="86"/>
        <v>572.56325228435401</v>
      </c>
    </row>
    <row r="1360" spans="1:9" ht="20.100000000000001" customHeight="1">
      <c r="A1360" s="563">
        <v>45071</v>
      </c>
      <c r="B1360">
        <f t="shared" si="87"/>
        <v>757.27169149463407</v>
      </c>
      <c r="C1360">
        <f t="shared" si="87"/>
        <v>181.22265225314018</v>
      </c>
      <c r="D1360">
        <v>67.169998168945313</v>
      </c>
      <c r="E1360" s="604">
        <v>12698.08984375</v>
      </c>
      <c r="F1360" s="748">
        <f t="shared" si="84"/>
        <v>8.9325367050328008E-3</v>
      </c>
      <c r="G1360" s="748">
        <f t="shared" si="84"/>
        <v>2.1861601969538347E-2</v>
      </c>
      <c r="H1360" s="1067">
        <f t="shared" si="85"/>
        <v>-1.2929065264505546E-2</v>
      </c>
      <c r="I1360">
        <f t="shared" si="86"/>
        <v>576.04903924149392</v>
      </c>
    </row>
    <row r="1361" spans="1:9" ht="20.100000000000001" customHeight="1">
      <c r="A1361" s="563">
        <v>45072</v>
      </c>
      <c r="B1361">
        <f t="shared" si="87"/>
        <v>764.03604867459217</v>
      </c>
      <c r="C1361">
        <f t="shared" si="87"/>
        <v>185.18446974456239</v>
      </c>
      <c r="D1361">
        <v>67.769996643066406</v>
      </c>
      <c r="E1361" s="604">
        <v>12975.6904296875</v>
      </c>
      <c r="F1361" s="748">
        <f t="shared" si="84"/>
        <v>1.1362023175483182E-2</v>
      </c>
      <c r="G1361" s="748">
        <f t="shared" si="84"/>
        <v>3.2167273131766816E-3</v>
      </c>
      <c r="H1361" s="1067">
        <f t="shared" si="85"/>
        <v>8.1452958623065008E-3</v>
      </c>
      <c r="I1361">
        <f t="shared" si="86"/>
        <v>578.85157893002975</v>
      </c>
    </row>
    <row r="1362" spans="1:9" ht="20.100000000000001" customHeight="1">
      <c r="A1362" s="563">
        <v>45076</v>
      </c>
      <c r="B1362">
        <f t="shared" si="87"/>
        <v>772.71704396653752</v>
      </c>
      <c r="C1362">
        <f t="shared" si="87"/>
        <v>185.78015768636587</v>
      </c>
      <c r="D1362">
        <v>68.540000915527344</v>
      </c>
      <c r="E1362" s="604">
        <v>13017.4296875</v>
      </c>
      <c r="F1362" s="748">
        <f t="shared" si="84"/>
        <v>-3.06389089097725E-3</v>
      </c>
      <c r="G1362" s="748">
        <f t="shared" si="84"/>
        <v>-6.3099744273152902E-3</v>
      </c>
      <c r="H1362" s="1067">
        <f t="shared" si="85"/>
        <v>3.2460835363380403E-3</v>
      </c>
      <c r="I1362">
        <f t="shared" si="86"/>
        <v>586.93688628017162</v>
      </c>
    </row>
    <row r="1363" spans="1:9" ht="20.100000000000001" customHeight="1">
      <c r="A1363" s="563">
        <v>45077</v>
      </c>
      <c r="B1363">
        <f t="shared" si="87"/>
        <v>770.34952325422557</v>
      </c>
      <c r="C1363">
        <f t="shared" si="87"/>
        <v>184.60788964226231</v>
      </c>
      <c r="D1363">
        <v>68.330001831054688</v>
      </c>
      <c r="E1363" s="604">
        <v>12935.2900390625</v>
      </c>
      <c r="F1363" s="748">
        <f t="shared" si="84"/>
        <v>4.5367708222840974E-3</v>
      </c>
      <c r="G1363" s="748">
        <f t="shared" si="84"/>
        <v>1.2809177775460867E-2</v>
      </c>
      <c r="H1363" s="1067">
        <f t="shared" si="85"/>
        <v>-8.2724069531767697E-3</v>
      </c>
      <c r="I1363">
        <f t="shared" si="86"/>
        <v>585.74163361196327</v>
      </c>
    </row>
    <row r="1364" spans="1:9" ht="20.100000000000001" customHeight="1">
      <c r="A1364" s="563">
        <v>45078</v>
      </c>
      <c r="B1364">
        <f t="shared" si="87"/>
        <v>773.84442249428582</v>
      </c>
      <c r="C1364">
        <f t="shared" si="87"/>
        <v>186.9725649194427</v>
      </c>
      <c r="D1364">
        <v>68.639999389648438</v>
      </c>
      <c r="E1364" s="604">
        <v>13100.98046875</v>
      </c>
      <c r="F1364" s="748">
        <f t="shared" si="84"/>
        <v>-7.4301011183776078E-3</v>
      </c>
      <c r="G1364" s="748">
        <f t="shared" si="84"/>
        <v>1.0670122196841714E-2</v>
      </c>
      <c r="H1364" s="1067">
        <f t="shared" si="85"/>
        <v>-1.8100223315219321E-2</v>
      </c>
      <c r="I1364">
        <f t="shared" si="86"/>
        <v>586.87185757484315</v>
      </c>
    </row>
    <row r="1365" spans="1:9" ht="20.100000000000001" customHeight="1">
      <c r="A1365" s="563">
        <v>45079</v>
      </c>
      <c r="B1365">
        <f t="shared" si="87"/>
        <v>768.0946801852607</v>
      </c>
      <c r="C1365">
        <f t="shared" si="87"/>
        <v>188.96758503459009</v>
      </c>
      <c r="D1365">
        <v>68.129997253417969</v>
      </c>
      <c r="E1365" s="604">
        <v>13240.76953125</v>
      </c>
      <c r="F1365" s="748">
        <f t="shared" si="84"/>
        <v>4.6088353386670722E-2</v>
      </c>
      <c r="G1365" s="748">
        <f t="shared" si="84"/>
        <v>-8.5643388952860722E-4</v>
      </c>
      <c r="H1365" s="1067">
        <f t="shared" si="85"/>
        <v>4.6944787276199329E-2</v>
      </c>
      <c r="I1365">
        <f t="shared" si="86"/>
        <v>579.12709515067058</v>
      </c>
    </row>
    <row r="1366" spans="1:9" ht="20.100000000000001" customHeight="1">
      <c r="A1366" s="563">
        <v>45082</v>
      </c>
      <c r="B1366">
        <f t="shared" si="87"/>
        <v>803.49489924006082</v>
      </c>
      <c r="C1366">
        <f t="shared" si="87"/>
        <v>188.80574679074408</v>
      </c>
      <c r="D1366">
        <v>71.269996643066406</v>
      </c>
      <c r="E1366" s="604">
        <v>13229.4296875</v>
      </c>
      <c r="F1366" s="748">
        <f t="shared" si="84"/>
        <v>-2.4273829227230204E-2</v>
      </c>
      <c r="G1366" s="748">
        <f t="shared" si="84"/>
        <v>3.5519470971148159E-3</v>
      </c>
      <c r="H1366" s="1067">
        <f t="shared" si="85"/>
        <v>-2.782577632434502E-2</v>
      </c>
      <c r="I1366">
        <f t="shared" si="86"/>
        <v>614.68915244931668</v>
      </c>
    </row>
    <row r="1367" spans="1:9" ht="20.100000000000001" customHeight="1">
      <c r="A1367" s="563">
        <v>45083</v>
      </c>
      <c r="B1367">
        <f t="shared" si="87"/>
        <v>783.99100127095699</v>
      </c>
      <c r="C1367">
        <f t="shared" si="87"/>
        <v>189.47637481497605</v>
      </c>
      <c r="D1367">
        <v>69.540000915527344</v>
      </c>
      <c r="E1367" s="604">
        <v>13276.419921875</v>
      </c>
      <c r="F1367" s="748">
        <f t="shared" si="84"/>
        <v>-3.5662975615231018E-2</v>
      </c>
      <c r="G1367" s="748">
        <f t="shared" si="84"/>
        <v>-1.2919110141085155E-2</v>
      </c>
      <c r="H1367" s="1067">
        <f t="shared" si="85"/>
        <v>-2.2743865474145863E-2</v>
      </c>
      <c r="I1367">
        <f t="shared" si="86"/>
        <v>594.51462645598099</v>
      </c>
    </row>
    <row r="1368" spans="1:9" ht="20.100000000000001" customHeight="1">
      <c r="A1368" s="563">
        <v>45084</v>
      </c>
      <c r="B1368">
        <f t="shared" si="87"/>
        <v>756.03154931007032</v>
      </c>
      <c r="C1368">
        <f t="shared" si="87"/>
        <v>187.02850865960784</v>
      </c>
      <c r="D1368">
        <v>67.05999755859375</v>
      </c>
      <c r="E1368" s="604">
        <v>13104.900390625</v>
      </c>
      <c r="F1368" s="748">
        <f t="shared" si="84"/>
        <v>2.8929354489032999E-2</v>
      </c>
      <c r="G1368" s="748">
        <f t="shared" si="84"/>
        <v>1.019612027883765E-2</v>
      </c>
      <c r="H1368" s="1067">
        <f t="shared" si="85"/>
        <v>1.8733234210195349E-2</v>
      </c>
      <c r="I1368">
        <f t="shared" si="86"/>
        <v>569.00304065046248</v>
      </c>
    </row>
    <row r="1369" spans="1:9" ht="20.100000000000001" customHeight="1">
      <c r="A1369" s="563">
        <v>45085</v>
      </c>
      <c r="B1369">
        <f t="shared" si="87"/>
        <v>777.90305400495413</v>
      </c>
      <c r="C1369">
        <f t="shared" si="87"/>
        <v>188.93547382947284</v>
      </c>
      <c r="D1369">
        <v>69</v>
      </c>
      <c r="E1369" s="604">
        <v>13238.51953125</v>
      </c>
      <c r="F1369" s="748">
        <f t="shared" si="84"/>
        <v>-1.4347795127094609E-2</v>
      </c>
      <c r="G1369" s="748">
        <f t="shared" si="84"/>
        <v>1.5575848295441563E-3</v>
      </c>
      <c r="H1369" s="1067">
        <f t="shared" si="85"/>
        <v>-1.5905379956638765E-2</v>
      </c>
      <c r="I1369">
        <f t="shared" si="86"/>
        <v>588.96758017548132</v>
      </c>
    </row>
    <row r="1370" spans="1:9" ht="20.100000000000001" customHeight="1">
      <c r="A1370" s="563">
        <v>45086</v>
      </c>
      <c r="B1370">
        <f t="shared" si="87"/>
        <v>766.74186035734988</v>
      </c>
      <c r="C1370">
        <f t="shared" si="87"/>
        <v>189.22975685727238</v>
      </c>
      <c r="D1370">
        <v>68.010002136230469</v>
      </c>
      <c r="E1370" s="604">
        <v>13259.1396484375</v>
      </c>
      <c r="F1370" s="748">
        <f t="shared" si="84"/>
        <v>2.6907721572990262E-2</v>
      </c>
      <c r="G1370" s="748">
        <f t="shared" si="84"/>
        <v>1.5293622272195995E-2</v>
      </c>
      <c r="H1370" s="1067">
        <f t="shared" si="85"/>
        <v>1.1614099300794267E-2</v>
      </c>
      <c r="I1370">
        <f t="shared" si="86"/>
        <v>577.5121035000775</v>
      </c>
    </row>
    <row r="1371" spans="1:9" ht="20.100000000000001" customHeight="1">
      <c r="A1371" s="563">
        <v>45089</v>
      </c>
      <c r="B1371">
        <f t="shared" si="87"/>
        <v>787.37313685420202</v>
      </c>
      <c r="C1371">
        <f t="shared" si="87"/>
        <v>192.12376528130699</v>
      </c>
      <c r="D1371">
        <v>69.839996337890625</v>
      </c>
      <c r="E1371" s="604">
        <v>13461.919921875</v>
      </c>
      <c r="F1371" s="748">
        <f t="shared" si="84"/>
        <v>9.3070097359992943E-3</v>
      </c>
      <c r="G1371" s="748">
        <f t="shared" si="84"/>
        <v>8.2752230938456517E-3</v>
      </c>
      <c r="H1371" s="1067">
        <f t="shared" si="85"/>
        <v>1.0317866421536426E-3</v>
      </c>
      <c r="I1371">
        <f t="shared" si="86"/>
        <v>595.24937157289503</v>
      </c>
    </row>
    <row r="1372" spans="1:9" ht="20.100000000000001" customHeight="1">
      <c r="A1372" s="563">
        <v>45090</v>
      </c>
      <c r="B1372">
        <f t="shared" si="87"/>
        <v>794.7012263047684</v>
      </c>
      <c r="C1372">
        <f t="shared" si="87"/>
        <v>193.71363230063943</v>
      </c>
      <c r="D1372">
        <v>70.489997863769531</v>
      </c>
      <c r="E1372" s="604">
        <v>13573.3203125</v>
      </c>
      <c r="F1372" s="748">
        <f t="shared" si="84"/>
        <v>1.4044623679480894E-2</v>
      </c>
      <c r="G1372" s="748">
        <f t="shared" si="84"/>
        <v>3.9165182155940226E-3</v>
      </c>
      <c r="H1372" s="1067">
        <f t="shared" si="85"/>
        <v>1.0128105463886872E-2</v>
      </c>
      <c r="I1372">
        <f t="shared" si="86"/>
        <v>600.98759400412894</v>
      </c>
    </row>
    <row r="1373" spans="1:9" ht="20.100000000000001" customHeight="1">
      <c r="A1373" s="563">
        <v>45091</v>
      </c>
      <c r="B1373">
        <f t="shared" si="87"/>
        <v>805.8625059658408</v>
      </c>
      <c r="C1373">
        <f t="shared" si="87"/>
        <v>194.47231527015376</v>
      </c>
      <c r="D1373">
        <v>71.480003356933594</v>
      </c>
      <c r="E1373" s="604">
        <v>13626.48046875</v>
      </c>
      <c r="F1373" s="748">
        <f t="shared" si="84"/>
        <v>2.9518646920325908E-2</v>
      </c>
      <c r="G1373" s="748">
        <f t="shared" si="84"/>
        <v>1.1473237282990212E-2</v>
      </c>
      <c r="H1373" s="1067">
        <f t="shared" si="85"/>
        <v>1.8045409637335696E-2</v>
      </c>
      <c r="I1373">
        <f t="shared" si="86"/>
        <v>611.39019069568701</v>
      </c>
    </row>
    <row r="1374" spans="1:9" ht="20.100000000000001" customHeight="1">
      <c r="A1374" s="563">
        <v>45092</v>
      </c>
      <c r="B1374">
        <f t="shared" si="87"/>
        <v>829.65047674577545</v>
      </c>
      <c r="C1374">
        <f t="shared" si="87"/>
        <v>196.70354228822072</v>
      </c>
      <c r="D1374">
        <v>73.589996337890625</v>
      </c>
      <c r="E1374" s="604">
        <v>13782.8203125</v>
      </c>
      <c r="F1374" s="748">
        <f t="shared" si="84"/>
        <v>-1.1006897661397064E-2</v>
      </c>
      <c r="G1374" s="748">
        <f t="shared" si="84"/>
        <v>-6.7656689912317658E-3</v>
      </c>
      <c r="H1374" s="1067">
        <f t="shared" si="85"/>
        <v>-4.2412286701652979E-3</v>
      </c>
      <c r="I1374">
        <f t="shared" si="86"/>
        <v>632.94693445755479</v>
      </c>
    </row>
    <row r="1375" spans="1:9" ht="20.100000000000001" customHeight="1">
      <c r="A1375" s="563">
        <v>45093</v>
      </c>
      <c r="B1375">
        <f t="shared" si="87"/>
        <v>820.51859885350541</v>
      </c>
      <c r="C1375">
        <f t="shared" si="87"/>
        <v>195.37271123169586</v>
      </c>
      <c r="D1375">
        <v>72.779998779296875</v>
      </c>
      <c r="E1375" s="604">
        <v>13689.5703125</v>
      </c>
      <c r="F1375" s="748">
        <f t="shared" si="84"/>
        <v>-1.5388776256837433E-2</v>
      </c>
      <c r="G1375" s="748">
        <f t="shared" si="84"/>
        <v>-1.6275363600825044E-3</v>
      </c>
      <c r="H1375" s="1067">
        <f t="shared" si="85"/>
        <v>-1.3761239896754929E-2</v>
      </c>
      <c r="I1375">
        <f t="shared" si="86"/>
        <v>625.14588762180961</v>
      </c>
    </row>
    <row r="1376" spans="1:9" ht="20.100000000000001" customHeight="1">
      <c r="A1376" s="563">
        <v>45097</v>
      </c>
      <c r="B1376">
        <f t="shared" si="87"/>
        <v>807.89182172117512</v>
      </c>
      <c r="C1376">
        <f t="shared" si="87"/>
        <v>195.05473504039838</v>
      </c>
      <c r="D1376">
        <v>71.660003662109375</v>
      </c>
      <c r="E1376" s="604">
        <v>13667.2900390625</v>
      </c>
      <c r="F1376" s="748">
        <f t="shared" si="84"/>
        <v>-7.6751747648685642E-3</v>
      </c>
      <c r="G1376" s="748">
        <f t="shared" si="84"/>
        <v>-1.2079193701030499E-2</v>
      </c>
      <c r="H1376" s="1067">
        <f t="shared" si="85"/>
        <v>4.4040189361619353E-3</v>
      </c>
      <c r="I1376">
        <f t="shared" si="86"/>
        <v>612.83708668077679</v>
      </c>
    </row>
    <row r="1377" spans="1:9" ht="20.100000000000001" customHeight="1">
      <c r="A1377" s="563">
        <v>45098</v>
      </c>
      <c r="B1377">
        <f t="shared" si="87"/>
        <v>801.69111079835704</v>
      </c>
      <c r="C1377">
        <f t="shared" si="87"/>
        <v>192.69863111354223</v>
      </c>
      <c r="D1377">
        <v>71.110000610351563</v>
      </c>
      <c r="E1377" s="604">
        <v>13502.2001953125</v>
      </c>
      <c r="F1377" s="748">
        <f t="shared" si="84"/>
        <v>1.0547039706969352E-2</v>
      </c>
      <c r="G1377" s="748">
        <f t="shared" si="84"/>
        <v>9.5103134594745065E-3</v>
      </c>
      <c r="H1377" s="1067">
        <f t="shared" si="85"/>
        <v>1.0367262474948458E-3</v>
      </c>
      <c r="I1377">
        <f t="shared" si="86"/>
        <v>608.99247968481484</v>
      </c>
    </row>
    <row r="1378" spans="1:9" ht="20.100000000000001" customHeight="1">
      <c r="A1378" s="563">
        <v>45099</v>
      </c>
      <c r="B1378">
        <f t="shared" si="87"/>
        <v>810.14657877667173</v>
      </c>
      <c r="C1378">
        <f t="shared" si="87"/>
        <v>194.53125549864367</v>
      </c>
      <c r="D1378">
        <v>71.860000610351563</v>
      </c>
      <c r="E1378" s="604">
        <v>13630.6103515625</v>
      </c>
      <c r="F1378" s="748">
        <f t="shared" si="84"/>
        <v>-3.7573652959591586E-3</v>
      </c>
      <c r="G1378" s="748">
        <f t="shared" si="84"/>
        <v>-1.0130934474014253E-2</v>
      </c>
      <c r="H1378" s="1067">
        <f t="shared" si="85"/>
        <v>6.373569178055094E-3</v>
      </c>
      <c r="I1378">
        <f t="shared" si="86"/>
        <v>615.61532327802809</v>
      </c>
    </row>
    <row r="1379" spans="1:9" ht="20.100000000000001" customHeight="1">
      <c r="A1379" s="563">
        <v>45100</v>
      </c>
      <c r="B1379">
        <f t="shared" si="87"/>
        <v>807.10256213693617</v>
      </c>
      <c r="C1379">
        <f t="shared" si="87"/>
        <v>192.56047209603918</v>
      </c>
      <c r="D1379">
        <v>71.589996337890625</v>
      </c>
      <c r="E1379" s="604">
        <v>13492.51953125</v>
      </c>
      <c r="F1379" s="748">
        <f t="shared" si="84"/>
        <v>-7.4032519403323116E-3</v>
      </c>
      <c r="G1379" s="748">
        <f t="shared" si="84"/>
        <v>-1.1616752338173497E-2</v>
      </c>
      <c r="H1379" s="1067">
        <f t="shared" si="85"/>
        <v>4.2135003978411856E-3</v>
      </c>
      <c r="I1379">
        <f t="shared" si="86"/>
        <v>614.54209004089694</v>
      </c>
    </row>
    <row r="1380" spans="1:9" ht="20.100000000000001" customHeight="1">
      <c r="A1380" s="563">
        <v>45103</v>
      </c>
      <c r="B1380">
        <f t="shared" si="87"/>
        <v>801.12737852774876</v>
      </c>
      <c r="C1380">
        <f t="shared" si="87"/>
        <v>190.32354478157771</v>
      </c>
      <c r="D1380">
        <v>71.05999755859375</v>
      </c>
      <c r="E1380" s="604">
        <v>13335.7802734375</v>
      </c>
      <c r="F1380" s="748">
        <f t="shared" si="84"/>
        <v>3.6588885348212141E-2</v>
      </c>
      <c r="G1380" s="748">
        <f t="shared" si="84"/>
        <v>1.6488697618652459E-2</v>
      </c>
      <c r="H1380" s="1067">
        <f t="shared" si="85"/>
        <v>2.0100187729559682E-2</v>
      </c>
      <c r="I1380">
        <f t="shared" si="86"/>
        <v>610.80383374617099</v>
      </c>
    </row>
    <row r="1381" spans="1:9" ht="20.100000000000001" customHeight="1">
      <c r="A1381" s="563">
        <v>45104</v>
      </c>
      <c r="B1381">
        <f t="shared" si="87"/>
        <v>830.43973633001428</v>
      </c>
      <c r="C1381">
        <f t="shared" si="87"/>
        <v>193.46173216119121</v>
      </c>
      <c r="D1381">
        <v>73.660003662109375</v>
      </c>
      <c r="E1381" s="604">
        <v>13555.669921875</v>
      </c>
      <c r="F1381" s="748">
        <f t="shared" si="84"/>
        <v>9.0958204674915777E-3</v>
      </c>
      <c r="G1381" s="748">
        <f t="shared" si="84"/>
        <v>2.6616226518452191E-3</v>
      </c>
      <c r="H1381" s="1067">
        <f t="shared" si="85"/>
        <v>6.4341978156463586E-3</v>
      </c>
      <c r="I1381">
        <f t="shared" si="86"/>
        <v>636.97800416882308</v>
      </c>
    </row>
    <row r="1382" spans="1:9" ht="20.100000000000001" customHeight="1">
      <c r="A1382" s="563">
        <v>45105</v>
      </c>
      <c r="B1382">
        <f t="shared" si="87"/>
        <v>837.99326708074318</v>
      </c>
      <c r="C1382">
        <f t="shared" si="87"/>
        <v>193.97665428977663</v>
      </c>
      <c r="D1382">
        <v>74.330001831054688</v>
      </c>
      <c r="E1382" s="604">
        <v>13591.75</v>
      </c>
      <c r="F1382" s="748">
        <f t="shared" si="84"/>
        <v>1.0224599597929984E-2</v>
      </c>
      <c r="G1382" s="748">
        <f t="shared" si="84"/>
        <v>-3.0895350120463405E-5</v>
      </c>
      <c r="H1382" s="1067">
        <f t="shared" si="85"/>
        <v>1.0255494948050448E-2</v>
      </c>
      <c r="I1382">
        <f t="shared" si="86"/>
        <v>644.01661279096652</v>
      </c>
    </row>
    <row r="1383" spans="1:9" ht="20.100000000000001" customHeight="1">
      <c r="A1383" s="563">
        <v>45106</v>
      </c>
      <c r="B1383">
        <f t="shared" si="87"/>
        <v>846.56141270240494</v>
      </c>
      <c r="C1383">
        <f t="shared" si="87"/>
        <v>193.97066131312715</v>
      </c>
      <c r="D1383">
        <v>75.089996337890625</v>
      </c>
      <c r="E1383" s="604">
        <v>13591.330078125</v>
      </c>
      <c r="F1383" s="748">
        <f t="shared" si="84"/>
        <v>6.6586765799014902E-3</v>
      </c>
      <c r="G1383" s="748">
        <f t="shared" si="84"/>
        <v>1.4464356514040322E-2</v>
      </c>
      <c r="H1383" s="1067">
        <f t="shared" si="85"/>
        <v>-7.8056799341388317E-3</v>
      </c>
      <c r="I1383">
        <f t="shared" si="86"/>
        <v>652.59075138927778</v>
      </c>
    </row>
    <row r="1384" spans="1:9" ht="20.100000000000001" customHeight="1">
      <c r="A1384" s="563">
        <v>45107</v>
      </c>
      <c r="B1384">
        <f t="shared" si="87"/>
        <v>852.19839135461473</v>
      </c>
      <c r="C1384">
        <f t="shared" si="87"/>
        <v>196.77632211162438</v>
      </c>
      <c r="D1384">
        <v>75.589996337890625</v>
      </c>
      <c r="E1384" s="604">
        <v>13787.919921875</v>
      </c>
      <c r="F1384" s="748">
        <f t="shared" si="84"/>
        <v>-1.2303118412972824E-2</v>
      </c>
      <c r="G1384" s="748">
        <f t="shared" si="84"/>
        <v>2.0923830090737727E-3</v>
      </c>
      <c r="H1384" s="1067">
        <f t="shared" si="85"/>
        <v>-1.4395501422046597E-2</v>
      </c>
      <c r="I1384">
        <f t="shared" si="86"/>
        <v>655.42206924299035</v>
      </c>
    </row>
    <row r="1385" spans="1:9" ht="20.100000000000001" customHeight="1">
      <c r="A1385" s="563">
        <v>45110</v>
      </c>
      <c r="B1385">
        <f t="shared" si="87"/>
        <v>841.71369363443398</v>
      </c>
      <c r="C1385">
        <f t="shared" si="87"/>
        <v>197.18805354459877</v>
      </c>
      <c r="D1385">
        <v>74.660003662109375</v>
      </c>
      <c r="E1385" s="604">
        <v>13816.76953125</v>
      </c>
      <c r="F1385" s="748">
        <f t="shared" si="84"/>
        <v>-4.6880000850207937E-3</v>
      </c>
      <c r="G1385" s="748">
        <f t="shared" si="84"/>
        <v>-1.8180183557514606E-3</v>
      </c>
      <c r="H1385" s="1067">
        <f t="shared" si="85"/>
        <v>-2.869981729269333E-3</v>
      </c>
      <c r="I1385">
        <f t="shared" si="86"/>
        <v>644.52564008983518</v>
      </c>
    </row>
    <row r="1386" spans="1:9" ht="20.100000000000001" customHeight="1">
      <c r="A1386" s="563">
        <v>45112</v>
      </c>
      <c r="B1386">
        <f t="shared" si="87"/>
        <v>837.76773976711263</v>
      </c>
      <c r="C1386">
        <f t="shared" si="87"/>
        <v>196.82956204371979</v>
      </c>
      <c r="D1386">
        <v>74.30999755859375</v>
      </c>
      <c r="E1386" s="604">
        <v>13791.650390625</v>
      </c>
      <c r="F1386" s="748">
        <f t="shared" si="84"/>
        <v>4.5754808027957949E-3</v>
      </c>
      <c r="G1386" s="748">
        <f t="shared" si="84"/>
        <v>-8.1651106555781228E-3</v>
      </c>
      <c r="H1386" s="1067">
        <f t="shared" si="85"/>
        <v>1.2740591458373918E-2</v>
      </c>
      <c r="I1386">
        <f t="shared" si="86"/>
        <v>640.93817772339287</v>
      </c>
    </row>
    <row r="1387" spans="1:9" ht="20.100000000000001" customHeight="1">
      <c r="A1387" s="563">
        <v>45113</v>
      </c>
      <c r="B1387">
        <f t="shared" si="87"/>
        <v>841.60092997761865</v>
      </c>
      <c r="C1387">
        <f t="shared" si="87"/>
        <v>195.22242688934384</v>
      </c>
      <c r="D1387">
        <v>74.650001525878906</v>
      </c>
      <c r="E1387" s="604">
        <v>13679.0400390625</v>
      </c>
      <c r="F1387" s="748">
        <f t="shared" si="84"/>
        <v>4.0185905805345534E-4</v>
      </c>
      <c r="G1387" s="748">
        <f t="shared" si="84"/>
        <v>-1.3392981121250758E-3</v>
      </c>
      <c r="H1387" s="1067">
        <f t="shared" si="85"/>
        <v>1.7411571701785311E-3</v>
      </c>
      <c r="I1387">
        <f t="shared" si="86"/>
        <v>646.37850308827478</v>
      </c>
    </row>
    <row r="1388" spans="1:9" ht="20.100000000000001" customHeight="1">
      <c r="A1388" s="563">
        <v>45114</v>
      </c>
      <c r="B1388">
        <f t="shared" si="87"/>
        <v>841.93913493459638</v>
      </c>
      <c r="C1388">
        <f t="shared" si="87"/>
        <v>194.96096586156645</v>
      </c>
      <c r="D1388">
        <v>74.680000305175781</v>
      </c>
      <c r="E1388" s="604">
        <v>13660.7197265625</v>
      </c>
      <c r="F1388" s="748">
        <f t="shared" si="84"/>
        <v>4.2581685754966347E-2</v>
      </c>
      <c r="G1388" s="748">
        <f t="shared" si="84"/>
        <v>1.8125503401811294E-3</v>
      </c>
      <c r="H1388" s="1067">
        <f t="shared" si="85"/>
        <v>4.0769135414785218E-2</v>
      </c>
      <c r="I1388">
        <f t="shared" si="86"/>
        <v>646.9781690730299</v>
      </c>
    </row>
    <row r="1389" spans="1:9" ht="20.100000000000001" customHeight="1">
      <c r="A1389" s="563">
        <v>45117</v>
      </c>
      <c r="B1389">
        <f t="shared" si="87"/>
        <v>877.79032260318957</v>
      </c>
      <c r="C1389">
        <f t="shared" si="87"/>
        <v>195.31434242656087</v>
      </c>
      <c r="D1389">
        <v>77.860000610351563</v>
      </c>
      <c r="E1389" s="604">
        <v>13685.48046875</v>
      </c>
      <c r="F1389" s="748">
        <f t="shared" si="84"/>
        <v>5.9080282669750073E-3</v>
      </c>
      <c r="G1389" s="748">
        <f t="shared" si="84"/>
        <v>5.4963160945835643E-3</v>
      </c>
      <c r="H1389" s="1067">
        <f t="shared" si="85"/>
        <v>4.1171217239144298E-4</v>
      </c>
      <c r="I1389">
        <f t="shared" si="86"/>
        <v>682.4759801766287</v>
      </c>
    </row>
    <row r="1390" spans="1:9" ht="20.100000000000001" customHeight="1">
      <c r="A1390" s="563">
        <v>45118</v>
      </c>
      <c r="B1390">
        <f t="shared" si="87"/>
        <v>882.97633264160629</v>
      </c>
      <c r="C1390">
        <f t="shared" si="87"/>
        <v>196.38785179034298</v>
      </c>
      <c r="D1390">
        <v>78.319999694824219</v>
      </c>
      <c r="E1390" s="604">
        <v>13760.7001953125</v>
      </c>
      <c r="F1390" s="748">
        <f t="shared" si="84"/>
        <v>-2.0428989790034824E-2</v>
      </c>
      <c r="G1390" s="748">
        <f t="shared" si="84"/>
        <v>1.1500851219686581E-2</v>
      </c>
      <c r="H1390" s="1067">
        <f t="shared" si="85"/>
        <v>-3.1929841009721405E-2</v>
      </c>
      <c r="I1390">
        <f t="shared" si="86"/>
        <v>686.58848085126328</v>
      </c>
    </row>
    <row r="1391" spans="1:9" ht="20.100000000000001" customHeight="1">
      <c r="A1391" s="563">
        <v>45119</v>
      </c>
      <c r="B1391">
        <f t="shared" si="87"/>
        <v>864.9380181572285</v>
      </c>
      <c r="C1391">
        <f t="shared" si="87"/>
        <v>198.64647925513756</v>
      </c>
      <c r="D1391">
        <v>76.720001220703125</v>
      </c>
      <c r="E1391" s="604">
        <v>13918.9599609375</v>
      </c>
      <c r="F1391" s="748">
        <f t="shared" si="84"/>
        <v>1.9942632363827428E-2</v>
      </c>
      <c r="G1391" s="748">
        <f t="shared" si="84"/>
        <v>1.5777784559968477E-2</v>
      </c>
      <c r="H1391" s="1067">
        <f t="shared" si="85"/>
        <v>4.1648478038589509E-3</v>
      </c>
      <c r="I1391">
        <f t="shared" si="86"/>
        <v>666.29153890209091</v>
      </c>
    </row>
    <row r="1392" spans="1:9" ht="20.100000000000001" customHeight="1">
      <c r="A1392" s="563">
        <v>45120</v>
      </c>
      <c r="B1392">
        <f t="shared" si="87"/>
        <v>882.18715907083561</v>
      </c>
      <c r="C1392">
        <f t="shared" si="87"/>
        <v>201.78068060842136</v>
      </c>
      <c r="D1392">
        <v>78.25</v>
      </c>
      <c r="E1392" s="604">
        <v>14138.5703125</v>
      </c>
      <c r="F1392" s="748">
        <f t="shared" si="84"/>
        <v>8.5622769194289017E-3</v>
      </c>
      <c r="G1392" s="748">
        <f t="shared" si="84"/>
        <v>-1.7590263115579985E-3</v>
      </c>
      <c r="H1392" s="1067">
        <f t="shared" si="85"/>
        <v>1.03213032309869E-2</v>
      </c>
      <c r="I1392">
        <f t="shared" si="86"/>
        <v>680.40647846241427</v>
      </c>
    </row>
    <row r="1393" spans="1:9" ht="20.100000000000001" customHeight="1">
      <c r="A1393" s="563">
        <v>45121</v>
      </c>
      <c r="B1393">
        <f t="shared" si="87"/>
        <v>889.74068982156439</v>
      </c>
      <c r="C1393">
        <f t="shared" si="87"/>
        <v>201.42574308206707</v>
      </c>
      <c r="D1393">
        <v>78.919998168945313</v>
      </c>
      <c r="E1393" s="604">
        <v>14113.7001953125</v>
      </c>
      <c r="F1393" s="748">
        <f t="shared" si="84"/>
        <v>1.7232648782380622E-2</v>
      </c>
      <c r="G1393" s="748">
        <f t="shared" si="84"/>
        <v>9.2994748495218715E-3</v>
      </c>
      <c r="H1393" s="1067">
        <f t="shared" si="85"/>
        <v>7.9331739328587503E-3</v>
      </c>
      <c r="I1393">
        <f t="shared" si="86"/>
        <v>688.31494673949737</v>
      </c>
    </row>
    <row r="1394" spans="1:9" ht="20.100000000000001" customHeight="1">
      <c r="A1394" s="563">
        <v>45124</v>
      </c>
      <c r="B1394">
        <f t="shared" si="87"/>
        <v>905.0732786366525</v>
      </c>
      <c r="C1394">
        <f t="shared" si="87"/>
        <v>203.29889671390501</v>
      </c>
      <c r="D1394">
        <v>80.279998779296875</v>
      </c>
      <c r="E1394" s="604">
        <v>14244.9501953125</v>
      </c>
      <c r="F1394" s="748">
        <f t="shared" si="84"/>
        <v>-4.982675153908378E-4</v>
      </c>
      <c r="G1394" s="748">
        <f t="shared" si="84"/>
        <v>7.6300339162129749E-3</v>
      </c>
      <c r="H1394" s="1067">
        <f t="shared" si="85"/>
        <v>-8.1283014316038127E-3</v>
      </c>
      <c r="I1394">
        <f t="shared" si="86"/>
        <v>701.77438192274747</v>
      </c>
    </row>
    <row r="1395" spans="1:9" ht="20.100000000000001" customHeight="1">
      <c r="A1395" s="563">
        <v>45125</v>
      </c>
      <c r="B1395">
        <f t="shared" si="87"/>
        <v>904.62231002285955</v>
      </c>
      <c r="C1395">
        <f t="shared" si="87"/>
        <v>204.85007419096078</v>
      </c>
      <c r="D1395">
        <v>80.239997863769531</v>
      </c>
      <c r="E1395" s="604">
        <v>14353.6396484375</v>
      </c>
      <c r="F1395" s="748">
        <f t="shared" si="84"/>
        <v>-1.9316992318405113E-2</v>
      </c>
      <c r="G1395" s="748">
        <f t="shared" si="84"/>
        <v>3.051409203362887E-4</v>
      </c>
      <c r="H1395" s="1067">
        <f t="shared" si="85"/>
        <v>-1.9622133238741402E-2</v>
      </c>
      <c r="I1395">
        <f t="shared" si="86"/>
        <v>699.7722358318988</v>
      </c>
    </row>
    <row r="1396" spans="1:9" ht="20.100000000000001" customHeight="1">
      <c r="A1396" s="563">
        <v>45126</v>
      </c>
      <c r="B1396">
        <f t="shared" si="87"/>
        <v>887.14772780909004</v>
      </c>
      <c r="C1396">
        <f t="shared" si="87"/>
        <v>204.91258233113038</v>
      </c>
      <c r="D1396">
        <v>78.69000244140625</v>
      </c>
      <c r="E1396" s="604">
        <v>14358.01953125</v>
      </c>
      <c r="F1396" s="748">
        <f t="shared" si="84"/>
        <v>-1.2581083523300673E-2</v>
      </c>
      <c r="G1396" s="748">
        <f t="shared" si="84"/>
        <v>-2.052580861142228E-2</v>
      </c>
      <c r="H1396" s="1067">
        <f t="shared" si="85"/>
        <v>7.9447250881216069E-3</v>
      </c>
      <c r="I1396">
        <f t="shared" si="86"/>
        <v>682.23514547795969</v>
      </c>
    </row>
    <row r="1397" spans="1:9" ht="20.100000000000001" customHeight="1">
      <c r="A1397" s="563">
        <v>45127</v>
      </c>
      <c r="B1397">
        <f t="shared" si="87"/>
        <v>875.98644814801742</v>
      </c>
      <c r="C1397">
        <f t="shared" si="87"/>
        <v>200.70658588412928</v>
      </c>
      <c r="D1397">
        <v>77.699996948242188</v>
      </c>
      <c r="E1397" s="604">
        <v>14063.3095703125</v>
      </c>
      <c r="F1397" s="748">
        <f t="shared" si="84"/>
        <v>5.9202925602894751E-3</v>
      </c>
      <c r="G1397" s="748">
        <f t="shared" si="84"/>
        <v>-2.1687640343482917E-3</v>
      </c>
      <c r="H1397" s="1067">
        <f t="shared" si="85"/>
        <v>8.0890565946377668E-3</v>
      </c>
      <c r="I1397">
        <f t="shared" si="86"/>
        <v>675.27986226388816</v>
      </c>
    </row>
    <row r="1398" spans="1:9" ht="20.100000000000001" customHeight="1">
      <c r="A1398" s="563">
        <v>45128</v>
      </c>
      <c r="B1398">
        <f t="shared" si="87"/>
        <v>881.17254419990252</v>
      </c>
      <c r="C1398">
        <f t="shared" si="87"/>
        <v>200.27130065920696</v>
      </c>
      <c r="D1398">
        <v>78.160003662109375</v>
      </c>
      <c r="E1398" s="604">
        <v>14032.8095703125</v>
      </c>
      <c r="F1398" s="748">
        <f t="shared" si="84"/>
        <v>-1.1386987939388082E-2</v>
      </c>
      <c r="G1398" s="748">
        <f t="shared" si="84"/>
        <v>1.8571154083166785E-3</v>
      </c>
      <c r="H1398" s="1067">
        <f t="shared" si="85"/>
        <v>-1.3244103347704761E-2</v>
      </c>
      <c r="I1398">
        <f t="shared" si="86"/>
        <v>680.90124354069553</v>
      </c>
    </row>
    <row r="1399" spans="1:9" ht="20.100000000000001" customHeight="1">
      <c r="A1399" s="563">
        <v>45131</v>
      </c>
      <c r="B1399">
        <f t="shared" si="87"/>
        <v>871.13864306657831</v>
      </c>
      <c r="C1399">
        <f t="shared" si="87"/>
        <v>200.6432275775048</v>
      </c>
      <c r="D1399">
        <v>77.269996643066406</v>
      </c>
      <c r="E1399" s="604">
        <v>14058.8701171875</v>
      </c>
      <c r="F1399" s="748">
        <f t="shared" si="84"/>
        <v>1.3847544212624685E-2</v>
      </c>
      <c r="G1399" s="748">
        <f t="shared" si="84"/>
        <v>6.0950455058434994E-3</v>
      </c>
      <c r="H1399" s="1067">
        <f t="shared" si="85"/>
        <v>7.7524987067811857E-3</v>
      </c>
      <c r="I1399">
        <f t="shared" si="86"/>
        <v>670.49541548907348</v>
      </c>
    </row>
    <row r="1400" spans="1:9" ht="20.100000000000001" customHeight="1">
      <c r="A1400" s="563">
        <v>45132</v>
      </c>
      <c r="B1400">
        <f t="shared" si="87"/>
        <v>883.20177394176858</v>
      </c>
      <c r="C1400">
        <f t="shared" si="87"/>
        <v>201.86615718002901</v>
      </c>
      <c r="D1400">
        <v>78.339996337890625</v>
      </c>
      <c r="E1400" s="604">
        <v>14144.5595703125</v>
      </c>
      <c r="F1400" s="748">
        <f t="shared" si="84"/>
        <v>-1.3785987390170451E-2</v>
      </c>
      <c r="G1400" s="748">
        <f t="shared" si="84"/>
        <v>-1.2216214148701443E-3</v>
      </c>
      <c r="H1400" s="1067">
        <f t="shared" si="85"/>
        <v>-1.2564365975300307E-2</v>
      </c>
      <c r="I1400">
        <f t="shared" si="86"/>
        <v>681.33561676173963</v>
      </c>
    </row>
    <row r="1401" spans="1:9" ht="20.100000000000001" customHeight="1">
      <c r="A1401" s="563">
        <v>45133</v>
      </c>
      <c r="B1401">
        <f t="shared" si="87"/>
        <v>871.02596542323113</v>
      </c>
      <c r="C1401">
        <f t="shared" si="87"/>
        <v>201.61955315948035</v>
      </c>
      <c r="D1401">
        <v>77.260002136230469</v>
      </c>
      <c r="E1401" s="604">
        <v>14127.2802734375</v>
      </c>
      <c r="F1401" s="748">
        <f t="shared" si="84"/>
        <v>-8.801453357155653E-3</v>
      </c>
      <c r="G1401" s="748">
        <f t="shared" si="84"/>
        <v>-5.4624754645872242E-3</v>
      </c>
      <c r="H1401" s="1067">
        <f t="shared" si="85"/>
        <v>-3.3389778925684288E-3</v>
      </c>
      <c r="I1401">
        <f t="shared" si="86"/>
        <v>669.40641226375078</v>
      </c>
    </row>
    <row r="1402" spans="1:9" ht="20.100000000000001" customHeight="1">
      <c r="A1402" s="563">
        <v>45134</v>
      </c>
      <c r="B1402">
        <f t="shared" si="87"/>
        <v>863.35967101568713</v>
      </c>
      <c r="C1402">
        <f t="shared" si="87"/>
        <v>200.51821129716564</v>
      </c>
      <c r="D1402">
        <v>76.580001831054688</v>
      </c>
      <c r="E1402" s="604">
        <v>14050.1103515625</v>
      </c>
      <c r="F1402" s="748">
        <f t="shared" si="84"/>
        <v>2.8728286163857142E-3</v>
      </c>
      <c r="G1402" s="748">
        <f t="shared" si="84"/>
        <v>1.8971367342880407E-2</v>
      </c>
      <c r="H1402" s="1067">
        <f t="shared" si="85"/>
        <v>-1.6098538726494693E-2</v>
      </c>
      <c r="I1402">
        <f t="shared" si="86"/>
        <v>662.84145971852149</v>
      </c>
    </row>
    <row r="1403" spans="1:9" ht="20.100000000000001" customHeight="1">
      <c r="A1403" s="563">
        <v>45135</v>
      </c>
      <c r="B1403">
        <f t="shared" si="87"/>
        <v>865.8399553848144</v>
      </c>
      <c r="C1403">
        <f t="shared" si="87"/>
        <v>204.32231594262149</v>
      </c>
      <c r="D1403">
        <v>76.800003051757813</v>
      </c>
      <c r="E1403" s="604">
        <v>14316.66015625</v>
      </c>
      <c r="F1403" s="748">
        <f t="shared" si="84"/>
        <v>1.1979142348800487E-2</v>
      </c>
      <c r="G1403" s="748">
        <f t="shared" si="84"/>
        <v>2.0507139709664557E-3</v>
      </c>
      <c r="H1403" s="1067">
        <f t="shared" si="85"/>
        <v>9.928428377834031E-3</v>
      </c>
      <c r="I1403">
        <f t="shared" si="86"/>
        <v>661.51763944219294</v>
      </c>
    </row>
    <row r="1404" spans="1:9" ht="20.100000000000001" customHeight="1">
      <c r="A1404" s="563">
        <v>45138</v>
      </c>
      <c r="B1404">
        <f t="shared" si="87"/>
        <v>876.21197546164819</v>
      </c>
      <c r="C1404">
        <f t="shared" si="87"/>
        <v>204.74132257050525</v>
      </c>
      <c r="D1404">
        <v>77.720001220703125</v>
      </c>
      <c r="E1404" s="604">
        <v>14346.01953125</v>
      </c>
      <c r="F1404" s="748">
        <f t="shared" si="84"/>
        <v>3.9886458276479075E-3</v>
      </c>
      <c r="G1404" s="748">
        <f t="shared" si="84"/>
        <v>-4.3293803458657187E-3</v>
      </c>
      <c r="H1404" s="1067">
        <f t="shared" si="85"/>
        <v>8.3180261735136263E-3</v>
      </c>
      <c r="I1404">
        <f t="shared" si="86"/>
        <v>671.47065289114289</v>
      </c>
    </row>
    <row r="1405" spans="1:9" ht="20.100000000000001" customHeight="1">
      <c r="A1405" s="563">
        <v>45139</v>
      </c>
      <c r="B1405">
        <f t="shared" si="87"/>
        <v>879.70687470170844</v>
      </c>
      <c r="C1405">
        <f t="shared" si="87"/>
        <v>203.85491951258194</v>
      </c>
      <c r="D1405">
        <v>78.029998779296875</v>
      </c>
      <c r="E1405" s="604">
        <v>14283.91015625</v>
      </c>
      <c r="F1405" s="748">
        <f t="shared" si="84"/>
        <v>-4.7545804722695983E-2</v>
      </c>
      <c r="G1405" s="748">
        <f t="shared" si="84"/>
        <v>-2.1734942151092729E-2</v>
      </c>
      <c r="H1405" s="1067">
        <f t="shared" si="85"/>
        <v>-2.5810862571603255E-2</v>
      </c>
      <c r="I1405">
        <f t="shared" si="86"/>
        <v>675.85195518912656</v>
      </c>
    </row>
    <row r="1406" spans="1:9" ht="20.100000000000001" customHeight="1">
      <c r="A1406" s="563">
        <v>45140</v>
      </c>
      <c r="B1406">
        <f t="shared" si="87"/>
        <v>837.88050342392785</v>
      </c>
      <c r="C1406">
        <f t="shared" si="87"/>
        <v>199.42414462976032</v>
      </c>
      <c r="D1406">
        <v>74.319999694824219</v>
      </c>
      <c r="E1406" s="604">
        <v>13973.4501953125</v>
      </c>
      <c r="F1406" s="748">
        <f t="shared" si="84"/>
        <v>1.9375705695899414E-2</v>
      </c>
      <c r="G1406" s="748">
        <f t="shared" si="84"/>
        <v>-9.826112061147585E-4</v>
      </c>
      <c r="H1406" s="1067">
        <f t="shared" si="85"/>
        <v>2.0358316902014173E-2</v>
      </c>
      <c r="I1406">
        <f t="shared" si="86"/>
        <v>638.4563587941675</v>
      </c>
    </row>
    <row r="1407" spans="1:9" ht="20.100000000000001" customHeight="1">
      <c r="A1407" s="563">
        <v>45141</v>
      </c>
      <c r="B1407">
        <f t="shared" si="87"/>
        <v>854.11502946660187</v>
      </c>
      <c r="C1407">
        <f t="shared" si="87"/>
        <v>199.22818823047726</v>
      </c>
      <c r="D1407">
        <v>75.760002136230469</v>
      </c>
      <c r="E1407" s="604">
        <v>13959.7197265625</v>
      </c>
      <c r="F1407" s="748">
        <f t="shared" si="84"/>
        <v>-0.25065999396778349</v>
      </c>
      <c r="G1407" s="748">
        <f t="shared" si="84"/>
        <v>-3.6160820687143325E-3</v>
      </c>
      <c r="H1407" s="1067">
        <f t="shared" si="85"/>
        <v>-0.24704391189906916</v>
      </c>
      <c r="I1407">
        <f t="shared" si="86"/>
        <v>654.88684123612461</v>
      </c>
    </row>
    <row r="1408" spans="1:9" ht="20.100000000000001" customHeight="1">
      <c r="A1408" s="563">
        <v>45142</v>
      </c>
      <c r="B1408">
        <f t="shared" si="87"/>
        <v>640.02256133271021</v>
      </c>
      <c r="C1408">
        <f t="shared" si="87"/>
        <v>198.5077627514346</v>
      </c>
      <c r="D1408">
        <v>56.770000457763672</v>
      </c>
      <c r="E1408" s="604">
        <v>13909.240234375</v>
      </c>
      <c r="F1408" s="748">
        <f t="shared" si="84"/>
        <v>1.6381897087841102E-2</v>
      </c>
      <c r="G1408" s="748">
        <f t="shared" si="84"/>
        <v>6.1225598821377236E-3</v>
      </c>
      <c r="H1408" s="1067">
        <f t="shared" si="85"/>
        <v>1.0259337205703378E-2</v>
      </c>
      <c r="I1408">
        <f t="shared" si="86"/>
        <v>441.51479858127561</v>
      </c>
    </row>
    <row r="1409" spans="1:9" ht="20.100000000000001" customHeight="1">
      <c r="A1409" s="563">
        <v>45145</v>
      </c>
      <c r="B1409">
        <f t="shared" si="87"/>
        <v>650.50734506635911</v>
      </c>
      <c r="C1409">
        <f t="shared" si="87"/>
        <v>199.72313841594945</v>
      </c>
      <c r="D1409">
        <v>57.700000762939453</v>
      </c>
      <c r="E1409" s="604">
        <v>13994.400390625</v>
      </c>
      <c r="F1409" s="748">
        <f t="shared" si="84"/>
        <v>1.5077970890488457E-2</v>
      </c>
      <c r="G1409" s="748">
        <f t="shared" si="84"/>
        <v>-7.8660089073014916E-3</v>
      </c>
      <c r="H1409" s="1067">
        <f t="shared" si="85"/>
        <v>2.2943979797789948E-2</v>
      </c>
      <c r="I1409">
        <f t="shared" si="86"/>
        <v>450.78420665040966</v>
      </c>
    </row>
    <row r="1410" spans="1:9" ht="20.100000000000001" customHeight="1">
      <c r="A1410" s="563">
        <v>45146</v>
      </c>
      <c r="B1410">
        <f t="shared" si="87"/>
        <v>660.31567587931863</v>
      </c>
      <c r="C1410">
        <f t="shared" si="87"/>
        <v>198.15211443017537</v>
      </c>
      <c r="D1410">
        <v>58.569999694824219</v>
      </c>
      <c r="E1410" s="604">
        <v>13884.3203125</v>
      </c>
      <c r="F1410" s="748">
        <f t="shared" si="84"/>
        <v>2.0659024940708592E-2</v>
      </c>
      <c r="G1410" s="748">
        <f t="shared" si="84"/>
        <v>-1.1689501365355404E-2</v>
      </c>
      <c r="H1410" s="1067">
        <f t="shared" si="85"/>
        <v>3.2348526306063996E-2</v>
      </c>
      <c r="I1410">
        <f t="shared" si="86"/>
        <v>462.16356144914323</v>
      </c>
    </row>
    <row r="1411" spans="1:9" ht="20.100000000000001" customHeight="1">
      <c r="A1411" s="563">
        <v>45147</v>
      </c>
      <c r="B1411">
        <f t="shared" si="87"/>
        <v>673.95715389605027</v>
      </c>
      <c r="C1411">
        <f t="shared" si="87"/>
        <v>195.83581501799577</v>
      </c>
      <c r="D1411">
        <v>59.779998779296882</v>
      </c>
      <c r="E1411" s="604">
        <v>13722.01953125</v>
      </c>
      <c r="F1411" s="748">
        <f t="shared" ref="F1411:G1474" si="88">D1412/D1411-1</f>
        <v>1.3047885746432453E-2</v>
      </c>
      <c r="G1411" s="748">
        <f t="shared" si="88"/>
        <v>1.1638740994814878E-3</v>
      </c>
      <c r="H1411" s="1067">
        <f t="shared" ref="H1411:H1474" si="89">F1411-G1411</f>
        <v>1.1884011646950965E-2</v>
      </c>
      <c r="I1411">
        <f t="shared" ref="I1411:I1474" si="90">B1411-C1411</f>
        <v>478.12133887805453</v>
      </c>
    </row>
    <row r="1412" spans="1:9" ht="20.100000000000001" customHeight="1">
      <c r="A1412" s="563">
        <v>45148</v>
      </c>
      <c r="B1412">
        <f t="shared" ref="B1412:C1475" si="91">B1411*(1+F1411)</f>
        <v>682.75086983807671</v>
      </c>
      <c r="C1412">
        <f t="shared" si="91"/>
        <v>196.06374325084607</v>
      </c>
      <c r="D1412">
        <v>60.560001373291023</v>
      </c>
      <c r="E1412" s="604">
        <v>13737.990234375</v>
      </c>
      <c r="F1412" s="748">
        <f t="shared" si="88"/>
        <v>-1.4531060900922488E-2</v>
      </c>
      <c r="G1412" s="748">
        <f t="shared" si="88"/>
        <v>-6.7797853551347931E-3</v>
      </c>
      <c r="H1412" s="1067">
        <f t="shared" si="89"/>
        <v>-7.7512755457876947E-3</v>
      </c>
      <c r="I1412">
        <f t="shared" si="90"/>
        <v>486.68712658723064</v>
      </c>
    </row>
    <row r="1413" spans="1:9" ht="20.100000000000001" customHeight="1">
      <c r="A1413" s="563">
        <v>45149</v>
      </c>
      <c r="B1413">
        <f t="shared" si="91"/>
        <v>672.82977536830185</v>
      </c>
      <c r="C1413">
        <f t="shared" si="91"/>
        <v>194.73447315568109</v>
      </c>
      <c r="D1413">
        <v>59.680000305175781</v>
      </c>
      <c r="E1413" s="604">
        <v>13644.849609375</v>
      </c>
      <c r="F1413" s="748">
        <f t="shared" si="88"/>
        <v>-3.3512831202076043E-4</v>
      </c>
      <c r="G1413" s="748">
        <f t="shared" si="88"/>
        <v>1.0515357285537208E-2</v>
      </c>
      <c r="H1413" s="1067">
        <f t="shared" si="89"/>
        <v>-1.0850485597557968E-2</v>
      </c>
      <c r="I1413">
        <f t="shared" si="90"/>
        <v>478.09530221262077</v>
      </c>
    </row>
    <row r="1414" spans="1:9" ht="20.100000000000001" customHeight="1">
      <c r="A1414" s="563">
        <v>45152</v>
      </c>
      <c r="B1414">
        <f t="shared" si="91"/>
        <v>672.60429106140532</v>
      </c>
      <c r="C1414">
        <f t="shared" si="91"/>
        <v>196.78217571672394</v>
      </c>
      <c r="D1414">
        <v>59.659999847412109</v>
      </c>
      <c r="E1414" s="604">
        <v>13788.330078125</v>
      </c>
      <c r="F1414" s="748">
        <f t="shared" si="88"/>
        <v>-8.2132363345631676E-3</v>
      </c>
      <c r="G1414" s="748">
        <f t="shared" si="88"/>
        <v>-1.1406767356623049E-2</v>
      </c>
      <c r="H1414" s="1067">
        <f t="shared" si="89"/>
        <v>3.1935310220598812E-3</v>
      </c>
      <c r="I1414">
        <f t="shared" si="90"/>
        <v>475.82211534468138</v>
      </c>
    </row>
    <row r="1415" spans="1:9" ht="20.100000000000001" customHeight="1">
      <c r="A1415" s="563">
        <v>45153</v>
      </c>
      <c r="B1415">
        <f t="shared" si="91"/>
        <v>667.08003305927673</v>
      </c>
      <c r="C1415">
        <f t="shared" si="91"/>
        <v>194.53752721839317</v>
      </c>
      <c r="D1415">
        <v>59.169998168945313</v>
      </c>
      <c r="E1415" s="604">
        <v>13631.0498046875</v>
      </c>
      <c r="F1415" s="748">
        <f t="shared" si="88"/>
        <v>-1.6731416163692225E-2</v>
      </c>
      <c r="G1415" s="748">
        <f t="shared" si="88"/>
        <v>-1.1475265963829862E-2</v>
      </c>
      <c r="H1415" s="1067">
        <f t="shared" si="89"/>
        <v>-5.2561501998623639E-3</v>
      </c>
      <c r="I1415">
        <f t="shared" si="90"/>
        <v>472.54250584088356</v>
      </c>
    </row>
    <row r="1416" spans="1:9" ht="20.100000000000001" customHeight="1">
      <c r="A1416" s="563">
        <v>45154</v>
      </c>
      <c r="B1416">
        <f t="shared" si="91"/>
        <v>655.91883941167237</v>
      </c>
      <c r="C1416">
        <f t="shared" si="91"/>
        <v>192.30515735361632</v>
      </c>
      <c r="D1416">
        <v>58.180000305175781</v>
      </c>
      <c r="E1416" s="604">
        <v>13474.6298828125</v>
      </c>
      <c r="F1416" s="748">
        <f t="shared" si="88"/>
        <v>-1.3234796385780845E-2</v>
      </c>
      <c r="G1416" s="748">
        <f t="shared" si="88"/>
        <v>-1.1703489942506917E-2</v>
      </c>
      <c r="H1416" s="1067">
        <f t="shared" si="89"/>
        <v>-1.5313064432739276E-3</v>
      </c>
      <c r="I1416">
        <f t="shared" si="90"/>
        <v>463.61368205805604</v>
      </c>
    </row>
    <row r="1417" spans="1:9" ht="20.100000000000001" customHeight="1">
      <c r="A1417" s="563">
        <v>45155</v>
      </c>
      <c r="B1417">
        <f t="shared" si="91"/>
        <v>647.23788712646115</v>
      </c>
      <c r="C1417">
        <f t="shared" si="91"/>
        <v>190.05451587863607</v>
      </c>
      <c r="D1417">
        <v>57.409999847412109</v>
      </c>
      <c r="E1417" s="604">
        <v>13316.9296875</v>
      </c>
      <c r="F1417" s="748">
        <f t="shared" si="88"/>
        <v>-4.3546420599976932E-3</v>
      </c>
      <c r="G1417" s="748">
        <f t="shared" si="88"/>
        <v>-1.963621846486574E-3</v>
      </c>
      <c r="H1417" s="1067">
        <f t="shared" si="89"/>
        <v>-2.3910202135111192E-3</v>
      </c>
      <c r="I1417">
        <f t="shared" si="90"/>
        <v>457.18337124782511</v>
      </c>
    </row>
    <row r="1418" spans="1:9" ht="20.100000000000001" customHeight="1">
      <c r="A1418" s="563">
        <v>45156</v>
      </c>
      <c r="B1418">
        <f t="shared" si="91"/>
        <v>644.41939780035625</v>
      </c>
      <c r="C1418">
        <f t="shared" si="91"/>
        <v>189.68132067923335</v>
      </c>
      <c r="D1418">
        <v>57.159999847412109</v>
      </c>
      <c r="E1418" s="604">
        <v>13290.7802734375</v>
      </c>
      <c r="F1418" s="748">
        <f t="shared" si="88"/>
        <v>2.1518536485650719E-2</v>
      </c>
      <c r="G1418" s="748">
        <f t="shared" si="88"/>
        <v>1.5560378401998198E-2</v>
      </c>
      <c r="H1418" s="1067">
        <f t="shared" si="89"/>
        <v>5.9581580836525205E-3</v>
      </c>
      <c r="I1418">
        <f t="shared" si="90"/>
        <v>454.7380771211229</v>
      </c>
    </row>
    <row r="1419" spans="1:9" ht="20.100000000000001" customHeight="1">
      <c r="A1419" s="563">
        <v>45159</v>
      </c>
      <c r="B1419">
        <f t="shared" si="91"/>
        <v>658.28636012398431</v>
      </c>
      <c r="C1419">
        <f t="shared" si="91"/>
        <v>192.63283380479299</v>
      </c>
      <c r="D1419">
        <v>58.389999389648438</v>
      </c>
      <c r="E1419" s="604">
        <v>13497.58984375</v>
      </c>
      <c r="F1419" s="748">
        <f t="shared" si="88"/>
        <v>-1.1988302030472298E-3</v>
      </c>
      <c r="G1419" s="748">
        <f t="shared" si="88"/>
        <v>6.1346310958865224E-4</v>
      </c>
      <c r="H1419" s="1067">
        <f t="shared" si="89"/>
        <v>-1.812293312635882E-3</v>
      </c>
      <c r="I1419">
        <f t="shared" si="90"/>
        <v>465.65352631919131</v>
      </c>
    </row>
    <row r="1420" spans="1:9" ht="20.100000000000001" customHeight="1">
      <c r="A1420" s="563">
        <v>45160</v>
      </c>
      <c r="B1420">
        <f t="shared" si="91"/>
        <v>657.49718655321362</v>
      </c>
      <c r="C1420">
        <f t="shared" si="91"/>
        <v>192.75100694202774</v>
      </c>
      <c r="D1420">
        <v>58.319999694824219</v>
      </c>
      <c r="E1420" s="604">
        <v>13505.8701171875</v>
      </c>
      <c r="F1420" s="748">
        <f t="shared" si="88"/>
        <v>1.4917677236578664E-2</v>
      </c>
      <c r="G1420" s="748">
        <f t="shared" si="88"/>
        <v>1.5930862238648924E-2</v>
      </c>
      <c r="H1420" s="1067">
        <f t="shared" si="89"/>
        <v>-1.0131850020702604E-3</v>
      </c>
      <c r="I1420">
        <f t="shared" si="90"/>
        <v>464.74617961118588</v>
      </c>
    </row>
    <row r="1421" spans="1:9" ht="20.100000000000001" customHeight="1">
      <c r="A1421" s="563">
        <v>45161</v>
      </c>
      <c r="B1421">
        <f t="shared" si="91"/>
        <v>667.30551736617304</v>
      </c>
      <c r="C1421">
        <f t="shared" si="91"/>
        <v>195.82169667998204</v>
      </c>
      <c r="D1421">
        <v>59.189998626708977</v>
      </c>
      <c r="E1421" s="604">
        <v>13721.0302734375</v>
      </c>
      <c r="F1421" s="748">
        <f t="shared" si="88"/>
        <v>-1.757048699036079E-2</v>
      </c>
      <c r="G1421" s="748">
        <f t="shared" si="88"/>
        <v>-1.8734784615455746E-2</v>
      </c>
      <c r="H1421" s="1067">
        <f t="shared" si="89"/>
        <v>1.1642976250949566E-3</v>
      </c>
      <c r="I1421">
        <f t="shared" si="90"/>
        <v>471.483820686191</v>
      </c>
    </row>
    <row r="1422" spans="1:9" ht="20.100000000000001" customHeight="1">
      <c r="A1422" s="563">
        <v>45162</v>
      </c>
      <c r="B1422">
        <f t="shared" si="91"/>
        <v>655.58063445469475</v>
      </c>
      <c r="C1422">
        <f t="shared" si="91"/>
        <v>192.15301936964948</v>
      </c>
      <c r="D1422">
        <v>58.150001525878913</v>
      </c>
      <c r="E1422" s="604">
        <v>13463.9697265625</v>
      </c>
      <c r="F1422" s="748">
        <f t="shared" si="88"/>
        <v>1.1349954085871916E-2</v>
      </c>
      <c r="G1422" s="748">
        <f t="shared" si="88"/>
        <v>9.4088642974721193E-3</v>
      </c>
      <c r="H1422" s="1067">
        <f t="shared" si="89"/>
        <v>1.9410897883997968E-3</v>
      </c>
      <c r="I1422">
        <f t="shared" si="90"/>
        <v>463.42761508504526</v>
      </c>
    </row>
    <row r="1423" spans="1:9" ht="20.100000000000001" customHeight="1">
      <c r="A1423" s="563">
        <v>45163</v>
      </c>
      <c r="B1423">
        <f t="shared" si="91"/>
        <v>663.02144455534233</v>
      </c>
      <c r="C1423">
        <f t="shared" si="91"/>
        <v>193.96096105324804</v>
      </c>
      <c r="D1423">
        <v>58.810001373291023</v>
      </c>
      <c r="E1423" s="604">
        <v>13590.650390625</v>
      </c>
      <c r="F1423" s="748">
        <f t="shared" si="88"/>
        <v>-1.8704405336321672E-3</v>
      </c>
      <c r="G1423" s="748">
        <f t="shared" si="88"/>
        <v>8.4234005656174116E-3</v>
      </c>
      <c r="H1423" s="1067">
        <f t="shared" si="89"/>
        <v>-1.0293841099249579E-2</v>
      </c>
      <c r="I1423">
        <f t="shared" si="90"/>
        <v>469.06048350209426</v>
      </c>
    </row>
    <row r="1424" spans="1:9" ht="20.100000000000001" customHeight="1">
      <c r="A1424" s="563">
        <v>45166</v>
      </c>
      <c r="B1424">
        <f t="shared" si="91"/>
        <v>661.78130237077869</v>
      </c>
      <c r="C1424">
        <f t="shared" si="91"/>
        <v>195.59477192229167</v>
      </c>
      <c r="D1424">
        <v>58.700000762939453</v>
      </c>
      <c r="E1424" s="604">
        <v>13705.1298828125</v>
      </c>
      <c r="F1424" s="748">
        <f t="shared" si="88"/>
        <v>3.2879050768160889E-2</v>
      </c>
      <c r="G1424" s="748">
        <f t="shared" si="88"/>
        <v>1.7411719907285406E-2</v>
      </c>
      <c r="H1424" s="1067">
        <f t="shared" si="89"/>
        <v>1.5467330860875483E-2</v>
      </c>
      <c r="I1424">
        <f t="shared" si="90"/>
        <v>466.18653044848702</v>
      </c>
    </row>
    <row r="1425" spans="1:9" ht="20.100000000000001" customHeight="1">
      <c r="A1425" s="563">
        <v>45167</v>
      </c>
      <c r="B1425">
        <f t="shared" si="91"/>
        <v>683.54004340884717</v>
      </c>
      <c r="C1425">
        <f t="shared" si="91"/>
        <v>199.00041330633198</v>
      </c>
      <c r="D1425">
        <v>60.630001068115227</v>
      </c>
      <c r="E1425" s="604">
        <v>13943.759765625</v>
      </c>
      <c r="F1425" s="748">
        <f t="shared" si="88"/>
        <v>9.7311585385764232E-3</v>
      </c>
      <c r="G1425" s="748">
        <f t="shared" si="88"/>
        <v>5.4181803155952668E-3</v>
      </c>
      <c r="H1425" s="1067">
        <f t="shared" si="89"/>
        <v>4.3129782229811564E-3</v>
      </c>
      <c r="I1425">
        <f t="shared" si="90"/>
        <v>484.53963010251516</v>
      </c>
    </row>
    <row r="1426" spans="1:9" ht="20.100000000000001" customHeight="1">
      <c r="A1426" s="563">
        <v>45168</v>
      </c>
      <c r="B1426">
        <f t="shared" si="91"/>
        <v>690.19167993872406</v>
      </c>
      <c r="C1426">
        <f t="shared" si="91"/>
        <v>200.07863342850368</v>
      </c>
      <c r="D1426">
        <v>61.220001220703118</v>
      </c>
      <c r="E1426" s="604">
        <v>14019.3095703125</v>
      </c>
      <c r="F1426" s="748">
        <f t="shared" si="88"/>
        <v>-1.6497911076305161E-2</v>
      </c>
      <c r="G1426" s="748">
        <f t="shared" si="88"/>
        <v>1.1170419036299339E-3</v>
      </c>
      <c r="H1426" s="1067">
        <f t="shared" si="89"/>
        <v>-1.7614952979935095E-2</v>
      </c>
      <c r="I1426">
        <f t="shared" si="90"/>
        <v>490.11304651022039</v>
      </c>
    </row>
    <row r="1427" spans="1:9" ht="20.100000000000001" customHeight="1">
      <c r="A1427" s="563">
        <v>45169</v>
      </c>
      <c r="B1427">
        <f t="shared" si="91"/>
        <v>678.80495897748938</v>
      </c>
      <c r="C1427">
        <f t="shared" si="91"/>
        <v>200.30212964606434</v>
      </c>
      <c r="D1427">
        <v>60.209999084472663</v>
      </c>
      <c r="E1427" s="604">
        <v>14034.9697265625</v>
      </c>
      <c r="F1427" s="748">
        <f t="shared" si="88"/>
        <v>1.0961631912436154E-2</v>
      </c>
      <c r="G1427" s="748">
        <f t="shared" si="88"/>
        <v>-2.2516302575414926E-4</v>
      </c>
      <c r="H1427" s="1067">
        <f t="shared" si="89"/>
        <v>1.1186794938190303E-2</v>
      </c>
      <c r="I1427">
        <f t="shared" si="90"/>
        <v>478.502829331425</v>
      </c>
    </row>
    <row r="1428" spans="1:9" ht="20.100000000000001" customHeight="1">
      <c r="A1428" s="563">
        <v>45170</v>
      </c>
      <c r="B1428">
        <f t="shared" si="91"/>
        <v>686.24576907813696</v>
      </c>
      <c r="C1428">
        <f t="shared" si="91"/>
        <v>200.25702901248823</v>
      </c>
      <c r="D1428">
        <v>60.869998931884773</v>
      </c>
      <c r="E1428" s="604">
        <v>14031.8095703125</v>
      </c>
      <c r="F1428" s="748">
        <f t="shared" si="88"/>
        <v>1.7085607586277973E-2</v>
      </c>
      <c r="G1428" s="748">
        <f t="shared" si="88"/>
        <v>-7.7391122973724524E-4</v>
      </c>
      <c r="H1428" s="1067">
        <f t="shared" si="89"/>
        <v>1.7859518816015219E-2</v>
      </c>
      <c r="I1428">
        <f t="shared" si="90"/>
        <v>485.9887400656487</v>
      </c>
    </row>
    <row r="1429" spans="1:9" ht="20.100000000000001" customHeight="1">
      <c r="A1429" s="563">
        <v>45174</v>
      </c>
      <c r="B1429">
        <f t="shared" si="91"/>
        <v>697.97069499634949</v>
      </c>
      <c r="C1429">
        <f t="shared" si="91"/>
        <v>200.10204784890166</v>
      </c>
      <c r="D1429">
        <v>61.909999847412109</v>
      </c>
      <c r="E1429" s="604">
        <v>14020.9501953125</v>
      </c>
      <c r="F1429" s="748">
        <f t="shared" si="88"/>
        <v>5.1687884931823636E-3</v>
      </c>
      <c r="G1429" s="748">
        <f t="shared" si="88"/>
        <v>-1.0589900590306622E-2</v>
      </c>
      <c r="H1429" s="1067">
        <f t="shared" si="89"/>
        <v>1.5758689083488986E-2</v>
      </c>
      <c r="I1429">
        <f t="shared" si="90"/>
        <v>497.86864714744786</v>
      </c>
    </row>
    <row r="1430" spans="1:9" ht="20.100000000000001" customHeight="1">
      <c r="A1430" s="563">
        <v>45175</v>
      </c>
      <c r="B1430">
        <f t="shared" si="91"/>
        <v>701.57835789322507</v>
      </c>
      <c r="C1430">
        <f t="shared" si="91"/>
        <v>197.98298705426501</v>
      </c>
      <c r="D1430">
        <v>62.229999542236328</v>
      </c>
      <c r="E1430" s="604">
        <v>13872.4697265625</v>
      </c>
      <c r="F1430" s="748">
        <f t="shared" si="88"/>
        <v>1.5105232743429342E-2</v>
      </c>
      <c r="G1430" s="748">
        <f t="shared" si="88"/>
        <v>-8.9125909715095375E-3</v>
      </c>
      <c r="H1430" s="1067">
        <f t="shared" si="89"/>
        <v>2.401782371493888E-2</v>
      </c>
      <c r="I1430">
        <f t="shared" si="90"/>
        <v>503.59537083896009</v>
      </c>
    </row>
    <row r="1431" spans="1:9" ht="20.100000000000001" customHeight="1">
      <c r="A1431" s="563">
        <v>45176</v>
      </c>
      <c r="B1431">
        <f t="shared" si="91"/>
        <v>712.17586227695517</v>
      </c>
      <c r="C1431">
        <f t="shared" si="91"/>
        <v>196.21844567133269</v>
      </c>
      <c r="D1431">
        <v>63.169998168945313</v>
      </c>
      <c r="E1431" s="604">
        <v>13748.830078125</v>
      </c>
      <c r="F1431" s="748">
        <f t="shared" si="88"/>
        <v>1.4247293841483044E-2</v>
      </c>
      <c r="G1431" s="748">
        <f t="shared" si="88"/>
        <v>9.2372916388772097E-4</v>
      </c>
      <c r="H1431" s="1067">
        <f t="shared" si="89"/>
        <v>1.3323564677595323E-2</v>
      </c>
      <c r="I1431">
        <f t="shared" si="90"/>
        <v>515.95741660562248</v>
      </c>
    </row>
    <row r="1432" spans="1:9" ht="20.100000000000001" customHeight="1">
      <c r="A1432" s="563">
        <v>45177</v>
      </c>
      <c r="B1432">
        <f t="shared" si="91"/>
        <v>722.32244105362656</v>
      </c>
      <c r="C1432">
        <f t="shared" si="91"/>
        <v>196.39969837209202</v>
      </c>
      <c r="D1432">
        <v>64.069999694824219</v>
      </c>
      <c r="E1432" s="604">
        <v>13761.5302734375</v>
      </c>
      <c r="F1432" s="748">
        <f t="shared" si="88"/>
        <v>1.560792890218754E-2</v>
      </c>
      <c r="G1432" s="748">
        <f t="shared" si="88"/>
        <v>1.1362063076793438E-2</v>
      </c>
      <c r="H1432" s="1067">
        <f t="shared" si="89"/>
        <v>4.2458658253941017E-3</v>
      </c>
      <c r="I1432">
        <f t="shared" si="90"/>
        <v>525.9227426815346</v>
      </c>
    </row>
    <row r="1433" spans="1:9" ht="20.100000000000001" customHeight="1">
      <c r="A1433" s="563">
        <v>45180</v>
      </c>
      <c r="B1433">
        <f t="shared" si="91"/>
        <v>733.59639835804614</v>
      </c>
      <c r="C1433">
        <f t="shared" si="91"/>
        <v>198.63120413325893</v>
      </c>
      <c r="D1433">
        <v>65.069999694824219</v>
      </c>
      <c r="E1433" s="604">
        <v>13917.8896484375</v>
      </c>
      <c r="F1433" s="748">
        <f t="shared" si="88"/>
        <v>-2.4127857725333546E-2</v>
      </c>
      <c r="G1433" s="748">
        <f t="shared" si="88"/>
        <v>-1.0366463632020317E-2</v>
      </c>
      <c r="H1433" s="1067">
        <f t="shared" si="89"/>
        <v>-1.3761394093313228E-2</v>
      </c>
      <c r="I1433">
        <f t="shared" si="90"/>
        <v>534.96519422478718</v>
      </c>
    </row>
    <row r="1434" spans="1:9" ht="20.100000000000001" customHeight="1">
      <c r="A1434" s="563">
        <v>45181</v>
      </c>
      <c r="B1434">
        <f t="shared" si="91"/>
        <v>715.89628883064609</v>
      </c>
      <c r="C1434">
        <f t="shared" si="91"/>
        <v>196.57210097942709</v>
      </c>
      <c r="D1434">
        <v>63.5</v>
      </c>
      <c r="E1434" s="604">
        <v>13773.6103515625</v>
      </c>
      <c r="F1434" s="748">
        <f t="shared" si="88"/>
        <v>-1.3858284537247689E-2</v>
      </c>
      <c r="G1434" s="748">
        <f t="shared" si="88"/>
        <v>2.9026153032538637E-3</v>
      </c>
      <c r="H1434" s="1067">
        <f t="shared" si="89"/>
        <v>-1.6760899840501553E-2</v>
      </c>
      <c r="I1434">
        <f t="shared" si="90"/>
        <v>519.32418785121899</v>
      </c>
    </row>
    <row r="1435" spans="1:9" ht="20.100000000000001" customHeight="1">
      <c r="A1435" s="563">
        <v>45182</v>
      </c>
      <c r="B1435">
        <f t="shared" si="91"/>
        <v>705.97519436087134</v>
      </c>
      <c r="C1435">
        <f t="shared" si="91"/>
        <v>197.14267416792273</v>
      </c>
      <c r="D1435">
        <v>62.619998931884773</v>
      </c>
      <c r="E1435" s="604">
        <v>13813.58984375</v>
      </c>
      <c r="F1435" s="748">
        <f t="shared" si="88"/>
        <v>7.6652754778618881E-3</v>
      </c>
      <c r="G1435" s="748">
        <f t="shared" si="88"/>
        <v>8.1412552572917019E-3</v>
      </c>
      <c r="H1435" s="1067">
        <f t="shared" si="89"/>
        <v>-4.7597977942981373E-4</v>
      </c>
      <c r="I1435">
        <f t="shared" si="90"/>
        <v>508.83252019294861</v>
      </c>
    </row>
    <row r="1436" spans="1:9" ht="20.100000000000001" customHeight="1">
      <c r="A1436" s="563">
        <v>45183</v>
      </c>
      <c r="B1436">
        <f t="shared" si="91"/>
        <v>711.38668870618449</v>
      </c>
      <c r="C1436">
        <f t="shared" si="91"/>
        <v>198.74766300042887</v>
      </c>
      <c r="D1436">
        <v>63.099998474121087</v>
      </c>
      <c r="E1436" s="604">
        <v>13926.0498046875</v>
      </c>
      <c r="F1436" s="748">
        <f t="shared" si="88"/>
        <v>-3.2963519281390741E-2</v>
      </c>
      <c r="G1436" s="748">
        <f t="shared" si="88"/>
        <v>-1.5633990228098638E-2</v>
      </c>
      <c r="H1436" s="1067">
        <f t="shared" si="89"/>
        <v>-1.7329529053292103E-2</v>
      </c>
      <c r="I1436">
        <f t="shared" si="90"/>
        <v>512.63902570575556</v>
      </c>
    </row>
    <row r="1437" spans="1:9" ht="20.100000000000001" customHeight="1">
      <c r="A1437" s="563">
        <v>45184</v>
      </c>
      <c r="B1437">
        <f t="shared" si="91"/>
        <v>687.93687987649344</v>
      </c>
      <c r="C1437">
        <f t="shared" si="91"/>
        <v>195.64044397922274</v>
      </c>
      <c r="D1437">
        <v>61.020000457763672</v>
      </c>
      <c r="E1437" s="604">
        <v>13708.330078125</v>
      </c>
      <c r="F1437" s="748">
        <f t="shared" si="88"/>
        <v>-9.3411945353680803E-3</v>
      </c>
      <c r="G1437" s="748">
        <f t="shared" si="88"/>
        <v>1.3934273825588761E-4</v>
      </c>
      <c r="H1437" s="1067">
        <f t="shared" si="89"/>
        <v>-9.4805372736239679E-3</v>
      </c>
      <c r="I1437">
        <f t="shared" si="90"/>
        <v>492.29643589727073</v>
      </c>
    </row>
    <row r="1438" spans="1:9" ht="20.100000000000001" customHeight="1">
      <c r="A1438" s="563">
        <v>45187</v>
      </c>
      <c r="B1438">
        <f t="shared" si="91"/>
        <v>681.51072765351296</v>
      </c>
      <c r="C1438">
        <f t="shared" si="91"/>
        <v>195.66770505440039</v>
      </c>
      <c r="D1438">
        <v>60.450000762939453</v>
      </c>
      <c r="E1438" s="604">
        <v>13710.240234375</v>
      </c>
      <c r="F1438" s="748">
        <f t="shared" si="88"/>
        <v>-1.6546130858952068E-4</v>
      </c>
      <c r="G1438" s="748">
        <f t="shared" si="88"/>
        <v>-2.3376544932555143E-3</v>
      </c>
      <c r="H1438" s="1067">
        <f t="shared" si="89"/>
        <v>2.1721931846659936E-3</v>
      </c>
      <c r="I1438">
        <f t="shared" si="90"/>
        <v>485.8430225991126</v>
      </c>
    </row>
    <row r="1439" spans="1:9" ht="20.100000000000001" customHeight="1">
      <c r="A1439" s="563">
        <v>45188</v>
      </c>
      <c r="B1439">
        <f t="shared" si="91"/>
        <v>681.39796399669763</v>
      </c>
      <c r="C1439">
        <f t="shared" si="91"/>
        <v>195.21030156449498</v>
      </c>
      <c r="D1439">
        <v>60.439998626708977</v>
      </c>
      <c r="E1439" s="604">
        <v>13678.1904296875</v>
      </c>
      <c r="F1439" s="748">
        <f t="shared" si="88"/>
        <v>-4.7980990638525345E-3</v>
      </c>
      <c r="G1439" s="748">
        <f t="shared" si="88"/>
        <v>-1.52842254938379E-2</v>
      </c>
      <c r="H1439" s="1067">
        <f t="shared" si="89"/>
        <v>1.0486126429985365E-2</v>
      </c>
      <c r="I1439">
        <f t="shared" si="90"/>
        <v>486.18766243220261</v>
      </c>
    </row>
    <row r="1440" spans="1:9" ht="20.100000000000001" customHeight="1">
      <c r="A1440" s="563">
        <v>45189</v>
      </c>
      <c r="B1440">
        <f t="shared" si="91"/>
        <v>678.12854906353402</v>
      </c>
      <c r="C1440">
        <f t="shared" si="91"/>
        <v>192.22666329666313</v>
      </c>
      <c r="D1440">
        <v>60.150001525878913</v>
      </c>
      <c r="E1440" s="604">
        <v>13469.1298828125</v>
      </c>
      <c r="F1440" s="748">
        <f t="shared" si="88"/>
        <v>-2.2776437436873631E-2</v>
      </c>
      <c r="G1440" s="748">
        <f t="shared" si="88"/>
        <v>-1.8200835257764281E-2</v>
      </c>
      <c r="H1440" s="1067">
        <f t="shared" si="89"/>
        <v>-4.5756021791093504E-3</v>
      </c>
      <c r="I1440">
        <f t="shared" si="90"/>
        <v>485.90188576687092</v>
      </c>
    </row>
    <row r="1441" spans="1:9" ht="20.100000000000001" customHeight="1">
      <c r="A1441" s="563">
        <v>45190</v>
      </c>
      <c r="B1441">
        <f t="shared" si="91"/>
        <v>662.68319659163058</v>
      </c>
      <c r="C1441">
        <f t="shared" si="91"/>
        <v>188.72797746585084</v>
      </c>
      <c r="D1441">
        <v>58.779998779296882</v>
      </c>
      <c r="E1441" s="604">
        <v>13223.98046875</v>
      </c>
      <c r="F1441" s="748">
        <f t="shared" si="88"/>
        <v>-9.1867490990877876E-3</v>
      </c>
      <c r="G1441" s="748">
        <f t="shared" si="88"/>
        <v>-9.2036572999043553E-4</v>
      </c>
      <c r="H1441" s="1067">
        <f t="shared" si="89"/>
        <v>-8.2663833690973521E-3</v>
      </c>
      <c r="I1441">
        <f t="shared" si="90"/>
        <v>473.95521912577976</v>
      </c>
    </row>
    <row r="1442" spans="1:9" ht="20.100000000000001" customHeight="1">
      <c r="A1442" s="563">
        <v>45191</v>
      </c>
      <c r="B1442">
        <f t="shared" si="91"/>
        <v>656.59529233236185</v>
      </c>
      <c r="C1442">
        <f t="shared" si="91"/>
        <v>188.55427870310086</v>
      </c>
      <c r="D1442">
        <v>58.240001678466797</v>
      </c>
      <c r="E1442" s="604">
        <v>13211.8095703125</v>
      </c>
      <c r="F1442" s="748">
        <f t="shared" si="88"/>
        <v>-2.232161132703081E-3</v>
      </c>
      <c r="G1442" s="748">
        <f t="shared" si="88"/>
        <v>4.5043596693388199E-3</v>
      </c>
      <c r="H1442" s="1067">
        <f t="shared" si="89"/>
        <v>-6.736520802041901E-3</v>
      </c>
      <c r="I1442">
        <f t="shared" si="90"/>
        <v>468.04101362926099</v>
      </c>
    </row>
    <row r="1443" spans="1:9" ht="20.100000000000001" customHeight="1">
      <c r="A1443" s="563">
        <v>45194</v>
      </c>
      <c r="B1443">
        <f t="shared" si="91"/>
        <v>655.12966584090168</v>
      </c>
      <c r="C1443">
        <f t="shared" si="91"/>
        <v>189.40359499157239</v>
      </c>
      <c r="D1443">
        <v>58.110000610351563</v>
      </c>
      <c r="E1443" s="604">
        <v>13271.3203125</v>
      </c>
      <c r="F1443" s="748">
        <f t="shared" si="88"/>
        <v>-1.1701949716631854E-2</v>
      </c>
      <c r="G1443" s="748">
        <f t="shared" si="88"/>
        <v>-1.5651039689085211E-2</v>
      </c>
      <c r="H1443" s="1067">
        <f t="shared" si="89"/>
        <v>3.9490899724533568E-3</v>
      </c>
      <c r="I1443">
        <f t="shared" si="90"/>
        <v>465.72607084932929</v>
      </c>
    </row>
    <row r="1444" spans="1:9" ht="20.100000000000001" customHeight="1">
      <c r="A1444" s="563">
        <v>45195</v>
      </c>
      <c r="B1444">
        <f t="shared" si="91"/>
        <v>647.46337143335757</v>
      </c>
      <c r="C1444">
        <f t="shared" si="91"/>
        <v>186.43923180910386</v>
      </c>
      <c r="D1444">
        <v>57.430000305175781</v>
      </c>
      <c r="E1444" s="604">
        <v>13063.6103515625</v>
      </c>
      <c r="F1444" s="748">
        <f t="shared" si="88"/>
        <v>1.236286053804303E-2</v>
      </c>
      <c r="G1444" s="748">
        <f t="shared" si="88"/>
        <v>2.2382218257912534E-3</v>
      </c>
      <c r="H1444" s="1067">
        <f t="shared" si="89"/>
        <v>1.0124638712251777E-2</v>
      </c>
      <c r="I1444">
        <f t="shared" si="90"/>
        <v>461.02413962425373</v>
      </c>
    </row>
    <row r="1445" spans="1:9" ht="20.100000000000001" customHeight="1">
      <c r="A1445" s="563">
        <v>45196</v>
      </c>
      <c r="B1445">
        <f t="shared" si="91"/>
        <v>655.4678707978793</v>
      </c>
      <c r="C1445">
        <f t="shared" si="91"/>
        <v>186.85652416692275</v>
      </c>
      <c r="D1445">
        <v>58.139999389648438</v>
      </c>
      <c r="E1445" s="604">
        <v>13092.849609375</v>
      </c>
      <c r="F1445" s="748">
        <f t="shared" si="88"/>
        <v>7.911921040620884E-3</v>
      </c>
      <c r="G1445" s="748">
        <f t="shared" si="88"/>
        <v>8.2816703236903155E-3</v>
      </c>
      <c r="H1445" s="1067">
        <f t="shared" si="89"/>
        <v>-3.6974928306943156E-4</v>
      </c>
      <c r="I1445">
        <f t="shared" si="90"/>
        <v>468.61134663095652</v>
      </c>
    </row>
    <row r="1446" spans="1:9" ht="20.100000000000001" customHeight="1">
      <c r="A1446" s="563">
        <v>45197</v>
      </c>
      <c r="B1446">
        <f t="shared" si="91"/>
        <v>660.65388083629603</v>
      </c>
      <c r="C1446">
        <f t="shared" si="91"/>
        <v>188.40400829790389</v>
      </c>
      <c r="D1446">
        <v>58.599998474121087</v>
      </c>
      <c r="E1446" s="604">
        <v>13201.2802734375</v>
      </c>
      <c r="F1446" s="748">
        <f t="shared" si="88"/>
        <v>1.3652189955264404E-3</v>
      </c>
      <c r="G1446" s="748">
        <f t="shared" si="88"/>
        <v>1.3665370849522684E-3</v>
      </c>
      <c r="H1446" s="1067">
        <f t="shared" si="89"/>
        <v>-1.3180894258280063E-6</v>
      </c>
      <c r="I1446">
        <f t="shared" si="90"/>
        <v>472.24987253839214</v>
      </c>
    </row>
    <row r="1447" spans="1:9" ht="20.100000000000001" customHeight="1">
      <c r="A1447" s="563">
        <v>45198</v>
      </c>
      <c r="B1447">
        <f t="shared" si="91"/>
        <v>661.55581806388204</v>
      </c>
      <c r="C1447">
        <f t="shared" si="91"/>
        <v>188.66146936219661</v>
      </c>
      <c r="D1447">
        <v>58.680000305175781</v>
      </c>
      <c r="E1447" s="604">
        <v>13219.3203125</v>
      </c>
      <c r="F1447" s="748">
        <f t="shared" si="88"/>
        <v>-8.5206606681198505E-4</v>
      </c>
      <c r="G1447" s="748">
        <f t="shared" si="88"/>
        <v>6.6909051796228969E-3</v>
      </c>
      <c r="H1447" s="1067">
        <f t="shared" si="89"/>
        <v>-7.5429712464348819E-3</v>
      </c>
      <c r="I1447">
        <f t="shared" si="90"/>
        <v>472.89434870168543</v>
      </c>
    </row>
    <row r="1448" spans="1:9" ht="20.100000000000001" customHeight="1">
      <c r="A1448" s="563">
        <v>45201</v>
      </c>
      <c r="B1448">
        <f t="shared" si="91"/>
        <v>660.99212880000778</v>
      </c>
      <c r="C1448">
        <f t="shared" si="91"/>
        <v>189.9237853647474</v>
      </c>
      <c r="D1448">
        <v>58.630001068115227</v>
      </c>
      <c r="E1448" s="604">
        <v>13307.76953125</v>
      </c>
      <c r="F1448" s="748">
        <f t="shared" si="88"/>
        <v>-1.7397244400160328E-2</v>
      </c>
      <c r="G1448" s="748">
        <f t="shared" si="88"/>
        <v>-1.8658258553729046E-2</v>
      </c>
      <c r="H1448" s="1067">
        <f t="shared" si="89"/>
        <v>1.261014153568718E-3</v>
      </c>
      <c r="I1448">
        <f t="shared" si="90"/>
        <v>471.06834343526037</v>
      </c>
    </row>
    <row r="1449" spans="1:9" ht="20.100000000000001" customHeight="1">
      <c r="A1449" s="563">
        <v>45202</v>
      </c>
      <c r="B1449">
        <f t="shared" si="91"/>
        <v>649.49268718869178</v>
      </c>
      <c r="C1449">
        <f t="shared" si="91"/>
        <v>186.380138271909</v>
      </c>
      <c r="D1449">
        <v>57.610000610351563</v>
      </c>
      <c r="E1449" s="604">
        <v>13059.4697265625</v>
      </c>
      <c r="F1449" s="748">
        <f t="shared" si="88"/>
        <v>1.1282723560062768E-2</v>
      </c>
      <c r="G1449" s="748">
        <f t="shared" si="88"/>
        <v>1.3518162893201069E-2</v>
      </c>
      <c r="H1449" s="1067">
        <f t="shared" si="89"/>
        <v>-2.2354393331383005E-3</v>
      </c>
      <c r="I1449">
        <f t="shared" si="90"/>
        <v>463.11254891678277</v>
      </c>
    </row>
    <row r="1450" spans="1:9" ht="20.100000000000001" customHeight="1">
      <c r="A1450" s="563">
        <v>45203</v>
      </c>
      <c r="B1450">
        <f t="shared" si="91"/>
        <v>656.82073363252414</v>
      </c>
      <c r="C1450">
        <f t="shared" si="91"/>
        <v>188.89965534112602</v>
      </c>
      <c r="D1450">
        <v>58.259998321533203</v>
      </c>
      <c r="E1450" s="604">
        <v>13236.009765625</v>
      </c>
      <c r="F1450" s="748">
        <f t="shared" si="88"/>
        <v>-4.1194279211097529E-3</v>
      </c>
      <c r="G1450" s="748">
        <f t="shared" si="88"/>
        <v>-1.2223991812109203E-3</v>
      </c>
      <c r="H1450" s="1067">
        <f t="shared" si="89"/>
        <v>-2.8970287398988326E-3</v>
      </c>
      <c r="I1450">
        <f t="shared" si="90"/>
        <v>467.92107829139809</v>
      </c>
    </row>
    <row r="1451" spans="1:9" ht="20.100000000000001" customHeight="1">
      <c r="A1451" s="563">
        <v>45204</v>
      </c>
      <c r="B1451">
        <f t="shared" si="91"/>
        <v>654.11500796323458</v>
      </c>
      <c r="C1451">
        <f t="shared" si="91"/>
        <v>188.66874455710601</v>
      </c>
      <c r="D1451">
        <v>58.020000457763672</v>
      </c>
      <c r="E1451" s="604">
        <v>13219.830078125</v>
      </c>
      <c r="F1451" s="748">
        <f t="shared" si="88"/>
        <v>3.2919679978329563E-2</v>
      </c>
      <c r="G1451" s="748">
        <f t="shared" si="88"/>
        <v>1.5999431488532334E-2</v>
      </c>
      <c r="H1451" s="1067">
        <f t="shared" si="89"/>
        <v>1.6920248489797229E-2</v>
      </c>
      <c r="I1451">
        <f t="shared" si="90"/>
        <v>465.44626340612854</v>
      </c>
    </row>
    <row r="1452" spans="1:9" ht="20.100000000000001" customHeight="1">
      <c r="A1452" s="563">
        <v>45205</v>
      </c>
      <c r="B1452">
        <f t="shared" si="91"/>
        <v>675.64826469440675</v>
      </c>
      <c r="C1452">
        <f t="shared" si="91"/>
        <v>191.68733720967484</v>
      </c>
      <c r="D1452">
        <v>59.930000305175781</v>
      </c>
      <c r="E1452" s="604">
        <v>13431.33984375</v>
      </c>
      <c r="F1452" s="748">
        <f t="shared" si="88"/>
        <v>-7.0082092692114184E-3</v>
      </c>
      <c r="G1452" s="748">
        <f t="shared" si="88"/>
        <v>3.9385788194181703E-3</v>
      </c>
      <c r="H1452" s="1067">
        <f t="shared" si="89"/>
        <v>-1.0946788088629589E-2</v>
      </c>
      <c r="I1452">
        <f t="shared" si="90"/>
        <v>483.96092748473188</v>
      </c>
    </row>
    <row r="1453" spans="1:9" ht="20.100000000000001" customHeight="1">
      <c r="A1453" s="563">
        <v>45208</v>
      </c>
      <c r="B1453">
        <f t="shared" si="91"/>
        <v>670.91318026304884</v>
      </c>
      <c r="C1453">
        <f t="shared" si="91"/>
        <v>192.44231289595953</v>
      </c>
      <c r="D1453">
        <v>59.509998321533203</v>
      </c>
      <c r="E1453" s="604">
        <v>13484.240234375</v>
      </c>
      <c r="F1453" s="748">
        <f t="shared" si="88"/>
        <v>-1.8483750421227629E-3</v>
      </c>
      <c r="G1453" s="748">
        <f t="shared" si="88"/>
        <v>5.8289980012835585E-3</v>
      </c>
      <c r="H1453" s="1067">
        <f t="shared" si="89"/>
        <v>-7.6773730434063214E-3</v>
      </c>
      <c r="I1453">
        <f t="shared" si="90"/>
        <v>478.47086736708934</v>
      </c>
    </row>
    <row r="1454" spans="1:9" ht="20.100000000000001" customHeight="1">
      <c r="A1454" s="563">
        <v>45209</v>
      </c>
      <c r="B1454">
        <f t="shared" si="91"/>
        <v>669.67308108521945</v>
      </c>
      <c r="C1454">
        <f t="shared" si="91"/>
        <v>193.56405875319246</v>
      </c>
      <c r="D1454">
        <v>59.400001525878913</v>
      </c>
      <c r="E1454" s="604">
        <v>13562.83984375</v>
      </c>
      <c r="F1454" s="748">
        <f t="shared" si="88"/>
        <v>-7.2390621907384434E-3</v>
      </c>
      <c r="G1454" s="748">
        <f t="shared" si="88"/>
        <v>7.1400860635115748E-3</v>
      </c>
      <c r="H1454" s="1067">
        <f t="shared" si="89"/>
        <v>-1.4379148254250018E-2</v>
      </c>
      <c r="I1454">
        <f t="shared" si="90"/>
        <v>476.109022332027</v>
      </c>
    </row>
    <row r="1455" spans="1:9" ht="20.100000000000001" customHeight="1">
      <c r="A1455" s="563">
        <v>45210</v>
      </c>
      <c r="B1455">
        <f t="shared" si="91"/>
        <v>664.82527600378012</v>
      </c>
      <c r="C1455">
        <f t="shared" si="91"/>
        <v>194.94612279149285</v>
      </c>
      <c r="D1455">
        <v>58.970001220703118</v>
      </c>
      <c r="E1455" s="604">
        <v>13659.6796875</v>
      </c>
      <c r="F1455" s="748">
        <f t="shared" si="88"/>
        <v>-1.6449062245611268E-2</v>
      </c>
      <c r="G1455" s="748">
        <f t="shared" si="88"/>
        <v>-6.2563663931083369E-3</v>
      </c>
      <c r="H1455" s="1067">
        <f t="shared" si="89"/>
        <v>-1.0192695852502931E-2</v>
      </c>
      <c r="I1455">
        <f t="shared" si="90"/>
        <v>469.87915321228729</v>
      </c>
    </row>
    <row r="1456" spans="1:9" ht="20.100000000000001" customHeight="1">
      <c r="A1456" s="563">
        <v>45211</v>
      </c>
      <c r="B1456">
        <f t="shared" si="91"/>
        <v>653.88952365633827</v>
      </c>
      <c r="C1456">
        <f t="shared" si="91"/>
        <v>193.72646842039339</v>
      </c>
      <c r="D1456">
        <v>58</v>
      </c>
      <c r="E1456" s="604">
        <v>13574.2197265625</v>
      </c>
      <c r="F1456" s="748">
        <f t="shared" si="88"/>
        <v>-4.1379599735654748E-3</v>
      </c>
      <c r="G1456" s="748">
        <f t="shared" si="88"/>
        <v>-1.2301941561011387E-2</v>
      </c>
      <c r="H1456" s="1067">
        <f t="shared" si="89"/>
        <v>8.1639815874459121E-3</v>
      </c>
      <c r="I1456">
        <f t="shared" si="90"/>
        <v>460.16305523594485</v>
      </c>
    </row>
    <row r="1457" spans="1:9" ht="20.100000000000001" customHeight="1">
      <c r="A1457" s="563">
        <v>45212</v>
      </c>
      <c r="B1457">
        <f t="shared" si="91"/>
        <v>651.18375498031457</v>
      </c>
      <c r="C1457">
        <f t="shared" si="91"/>
        <v>191.34325672706458</v>
      </c>
      <c r="D1457">
        <v>57.759998321533203</v>
      </c>
      <c r="E1457" s="604">
        <v>13407.23046875</v>
      </c>
      <c r="F1457" s="748">
        <f t="shared" si="88"/>
        <v>2.3891985945587502E-2</v>
      </c>
      <c r="G1457" s="748">
        <f t="shared" si="88"/>
        <v>1.1989799114342059E-2</v>
      </c>
      <c r="H1457" s="1067">
        <f t="shared" si="89"/>
        <v>1.1902186831245443E-2</v>
      </c>
      <c r="I1457">
        <f t="shared" si="90"/>
        <v>459.84049825324996</v>
      </c>
    </row>
    <row r="1458" spans="1:9" ht="20.100000000000001" customHeight="1">
      <c r="A1458" s="563">
        <v>45215</v>
      </c>
      <c r="B1458">
        <f t="shared" si="91"/>
        <v>666.74182810229911</v>
      </c>
      <c r="C1458">
        <f t="shared" si="91"/>
        <v>193.63742393710606</v>
      </c>
      <c r="D1458">
        <v>59.139999389648438</v>
      </c>
      <c r="E1458" s="604">
        <v>13567.98046875</v>
      </c>
      <c r="F1458" s="748">
        <f t="shared" si="88"/>
        <v>-8.2853883805634743E-3</v>
      </c>
      <c r="G1458" s="748">
        <f t="shared" si="88"/>
        <v>-2.5228860572757972E-3</v>
      </c>
      <c r="H1458" s="1067">
        <f t="shared" si="89"/>
        <v>-5.7625023232876771E-3</v>
      </c>
      <c r="I1458">
        <f t="shared" si="90"/>
        <v>473.10440416519305</v>
      </c>
    </row>
    <row r="1459" spans="1:9" ht="20.100000000000001" customHeight="1">
      <c r="A1459" s="563">
        <v>45216</v>
      </c>
      <c r="B1459">
        <f t="shared" si="91"/>
        <v>661.21761310690465</v>
      </c>
      <c r="C1459">
        <f t="shared" si="91"/>
        <v>193.14889878008833</v>
      </c>
      <c r="D1459">
        <v>58.650001525878913</v>
      </c>
      <c r="E1459" s="604">
        <v>13533.75</v>
      </c>
      <c r="F1459" s="748">
        <f t="shared" si="88"/>
        <v>-1.6709349214614755E-2</v>
      </c>
      <c r="G1459" s="748">
        <f t="shared" si="88"/>
        <v>-1.6215032442043031E-2</v>
      </c>
      <c r="H1459" s="1067">
        <f t="shared" si="89"/>
        <v>-4.9431677257172346E-4</v>
      </c>
      <c r="I1459">
        <f t="shared" si="90"/>
        <v>468.06871432681635</v>
      </c>
    </row>
    <row r="1460" spans="1:9" ht="20.100000000000001" customHeight="1">
      <c r="A1460" s="563">
        <v>45217</v>
      </c>
      <c r="B1460">
        <f t="shared" si="91"/>
        <v>650.16909710264736</v>
      </c>
      <c r="C1460">
        <f t="shared" si="91"/>
        <v>190.01698312022432</v>
      </c>
      <c r="D1460">
        <v>57.669998168945313</v>
      </c>
      <c r="E1460" s="604">
        <v>13314.2998046875</v>
      </c>
      <c r="F1460" s="748">
        <f t="shared" si="88"/>
        <v>1.7340435580628366E-3</v>
      </c>
      <c r="G1460" s="748">
        <f t="shared" si="88"/>
        <v>-9.6227453990778145E-3</v>
      </c>
      <c r="H1460" s="1067">
        <f t="shared" si="89"/>
        <v>1.1356788957140651E-2</v>
      </c>
      <c r="I1460">
        <f t="shared" si="90"/>
        <v>460.15211398242303</v>
      </c>
    </row>
    <row r="1461" spans="1:9" ht="20.100000000000001" customHeight="1">
      <c r="A1461" s="563">
        <v>45218</v>
      </c>
      <c r="B1461">
        <f t="shared" si="91"/>
        <v>651.29651863712968</v>
      </c>
      <c r="C1461">
        <f t="shared" si="91"/>
        <v>188.18849807015755</v>
      </c>
      <c r="D1461">
        <v>57.770000457763672</v>
      </c>
      <c r="E1461" s="604">
        <v>13186.1796875</v>
      </c>
      <c r="F1461" s="748">
        <f t="shared" si="88"/>
        <v>-2.440712889457175E-2</v>
      </c>
      <c r="G1461" s="748">
        <f t="shared" si="88"/>
        <v>-1.5347137835482361E-2</v>
      </c>
      <c r="H1461" s="1067">
        <f t="shared" si="89"/>
        <v>-9.0599910590893895E-3</v>
      </c>
      <c r="I1461">
        <f t="shared" si="90"/>
        <v>463.10802056697213</v>
      </c>
    </row>
    <row r="1462" spans="1:9" ht="20.100000000000001" customHeight="1">
      <c r="A1462" s="563">
        <v>45219</v>
      </c>
      <c r="B1462">
        <f t="shared" si="91"/>
        <v>635.40024055816741</v>
      </c>
      <c r="C1462">
        <f t="shared" si="91"/>
        <v>185.30034325122244</v>
      </c>
      <c r="D1462">
        <v>56.360000610351563</v>
      </c>
      <c r="E1462" s="604">
        <v>12983.8095703125</v>
      </c>
      <c r="F1462" s="748">
        <f t="shared" si="88"/>
        <v>-4.6132387050173973E-3</v>
      </c>
      <c r="G1462" s="748">
        <f t="shared" si="88"/>
        <v>2.6587349133209148E-3</v>
      </c>
      <c r="H1462" s="1067">
        <f t="shared" si="89"/>
        <v>-7.2719736183383121E-3</v>
      </c>
      <c r="I1462">
        <f t="shared" si="90"/>
        <v>450.09989730694497</v>
      </c>
    </row>
    <row r="1463" spans="1:9" ht="20.100000000000001" customHeight="1">
      <c r="A1463" s="563">
        <v>45222</v>
      </c>
      <c r="B1463">
        <f t="shared" si="91"/>
        <v>632.46898757524707</v>
      </c>
      <c r="C1463">
        <f t="shared" si="91"/>
        <v>185.79300774327481</v>
      </c>
      <c r="D1463">
        <v>56.099998474121087</v>
      </c>
      <c r="E1463" s="604">
        <v>13018.330078125</v>
      </c>
      <c r="F1463" s="748">
        <f t="shared" si="88"/>
        <v>2.5668493414853222E-2</v>
      </c>
      <c r="G1463" s="748">
        <f t="shared" si="88"/>
        <v>9.3360698594304736E-3</v>
      </c>
      <c r="H1463" s="1067">
        <f t="shared" si="89"/>
        <v>1.6332423555422748E-2</v>
      </c>
      <c r="I1463">
        <f t="shared" si="90"/>
        <v>446.67597983197226</v>
      </c>
    </row>
    <row r="1464" spans="1:9" ht="20.100000000000001" customHeight="1">
      <c r="A1464" s="563">
        <v>45223</v>
      </c>
      <c r="B1464">
        <f t="shared" si="91"/>
        <v>648.7035136179212</v>
      </c>
      <c r="C1464">
        <f t="shared" si="91"/>
        <v>187.52758424295973</v>
      </c>
      <c r="D1464">
        <v>57.540000915527337</v>
      </c>
      <c r="E1464" s="604">
        <v>13139.8701171875</v>
      </c>
      <c r="F1464" s="748">
        <f t="shared" si="88"/>
        <v>-2.7806782470637614E-2</v>
      </c>
      <c r="G1464" s="748">
        <f t="shared" si="88"/>
        <v>-2.4250649951873759E-2</v>
      </c>
      <c r="H1464" s="1067">
        <f t="shared" si="89"/>
        <v>-3.5561325187638548E-3</v>
      </c>
      <c r="I1464">
        <f t="shared" si="90"/>
        <v>461.17592937496147</v>
      </c>
    </row>
    <row r="1465" spans="1:9" ht="20.100000000000001" customHeight="1">
      <c r="A1465" s="563">
        <v>45224</v>
      </c>
      <c r="B1465">
        <f t="shared" si="91"/>
        <v>630.66515612680939</v>
      </c>
      <c r="C1465">
        <f t="shared" si="91"/>
        <v>182.97991844116319</v>
      </c>
      <c r="D1465">
        <v>55.939998626708977</v>
      </c>
      <c r="E1465" s="604">
        <v>12821.2197265625</v>
      </c>
      <c r="F1465" s="748">
        <f t="shared" si="88"/>
        <v>-3.9327388524607043E-3</v>
      </c>
      <c r="G1465" s="748">
        <f t="shared" si="88"/>
        <v>-1.759656099899698E-2</v>
      </c>
      <c r="H1465" s="1067">
        <f t="shared" si="89"/>
        <v>1.3663822146536275E-2</v>
      </c>
      <c r="I1465">
        <f t="shared" si="90"/>
        <v>447.6852376856462</v>
      </c>
    </row>
    <row r="1466" spans="1:9" ht="20.100000000000001" customHeight="1">
      <c r="A1466" s="563">
        <v>45225</v>
      </c>
      <c r="B1466">
        <f t="shared" si="91"/>
        <v>628.18491476441625</v>
      </c>
      <c r="C1466">
        <f t="shared" si="91"/>
        <v>179.76010114472177</v>
      </c>
      <c r="D1466">
        <v>55.720001220703118</v>
      </c>
      <c r="E1466" s="604">
        <v>12595.6103515625</v>
      </c>
      <c r="F1466" s="748">
        <f t="shared" si="88"/>
        <v>9.6912614680533249E-3</v>
      </c>
      <c r="G1466" s="748">
        <f t="shared" si="88"/>
        <v>3.7631692898962843E-3</v>
      </c>
      <c r="H1466" s="1067">
        <f t="shared" si="89"/>
        <v>5.9280921781570406E-3</v>
      </c>
      <c r="I1466">
        <f t="shared" si="90"/>
        <v>448.42481361969448</v>
      </c>
    </row>
    <row r="1467" spans="1:9" ht="20.100000000000001" customHeight="1">
      <c r="A1467" s="563">
        <v>45226</v>
      </c>
      <c r="B1467">
        <f t="shared" si="91"/>
        <v>634.27281902368497</v>
      </c>
      <c r="C1467">
        <f t="shared" si="91"/>
        <v>180.43656883689823</v>
      </c>
      <c r="D1467">
        <v>56.259998321533203</v>
      </c>
      <c r="E1467" s="604">
        <v>12643.009765625</v>
      </c>
      <c r="F1467" s="748">
        <f t="shared" si="88"/>
        <v>1.066501512284157E-3</v>
      </c>
      <c r="G1467" s="748">
        <f t="shared" si="88"/>
        <v>1.1585113500682365E-2</v>
      </c>
      <c r="H1467" s="1067">
        <f t="shared" si="89"/>
        <v>-1.0518611988398208E-2</v>
      </c>
      <c r="I1467">
        <f t="shared" si="90"/>
        <v>453.83625018678674</v>
      </c>
    </row>
    <row r="1468" spans="1:9" ht="20.100000000000001" customHeight="1">
      <c r="A1468" s="563">
        <v>45229</v>
      </c>
      <c r="B1468">
        <f t="shared" si="91"/>
        <v>634.94927194437446</v>
      </c>
      <c r="C1468">
        <f t="shared" si="91"/>
        <v>182.52694696654737</v>
      </c>
      <c r="D1468">
        <v>56.319999694824219</v>
      </c>
      <c r="E1468" s="604">
        <v>12789.48046875</v>
      </c>
      <c r="F1468" s="748">
        <f t="shared" si="88"/>
        <v>1.5092302534213342E-2</v>
      </c>
      <c r="G1468" s="748">
        <f t="shared" si="88"/>
        <v>4.8289503061444972E-3</v>
      </c>
      <c r="H1468" s="1067">
        <f t="shared" si="89"/>
        <v>1.0263352228068845E-2</v>
      </c>
      <c r="I1468">
        <f t="shared" si="90"/>
        <v>452.42232497782709</v>
      </c>
    </row>
    <row r="1469" spans="1:9" ht="20.100000000000001" customHeight="1">
      <c r="A1469" s="563">
        <v>45230</v>
      </c>
      <c r="B1469">
        <f t="shared" si="91"/>
        <v>644.53211845043745</v>
      </c>
      <c r="C1469">
        <f t="shared" si="91"/>
        <v>183.4083605229811</v>
      </c>
      <c r="D1469">
        <v>57.169998168945313</v>
      </c>
      <c r="E1469" s="604">
        <v>12851.240234375</v>
      </c>
      <c r="F1469" s="748">
        <f t="shared" si="88"/>
        <v>2.4488929303789764E-3</v>
      </c>
      <c r="G1469" s="748">
        <f t="shared" si="88"/>
        <v>1.6358692885156012E-2</v>
      </c>
      <c r="H1469" s="1067">
        <f t="shared" si="89"/>
        <v>-1.3909799954777036E-2</v>
      </c>
      <c r="I1469">
        <f t="shared" si="90"/>
        <v>461.12375792745638</v>
      </c>
    </row>
    <row r="1470" spans="1:9" ht="20.100000000000001" customHeight="1">
      <c r="A1470" s="563">
        <v>45231</v>
      </c>
      <c r="B1470">
        <f t="shared" si="91"/>
        <v>646.11050859871295</v>
      </c>
      <c r="C1470">
        <f t="shared" si="91"/>
        <v>186.40868156534651</v>
      </c>
      <c r="D1470">
        <v>57.310001373291023</v>
      </c>
      <c r="E1470" s="604">
        <v>13061.4697265625</v>
      </c>
      <c r="F1470" s="748">
        <f t="shared" si="88"/>
        <v>4.8856878832210793E-3</v>
      </c>
      <c r="G1470" s="748">
        <f t="shared" si="88"/>
        <v>1.7817344295621318E-2</v>
      </c>
      <c r="H1470" s="1067">
        <f t="shared" si="89"/>
        <v>-1.2931656412400239E-2</v>
      </c>
      <c r="I1470">
        <f t="shared" si="90"/>
        <v>459.70182703336644</v>
      </c>
    </row>
    <row r="1471" spans="1:9" ht="20.100000000000001" customHeight="1">
      <c r="A1471" s="563">
        <v>45232</v>
      </c>
      <c r="B1471">
        <f t="shared" si="91"/>
        <v>649.26720288179547</v>
      </c>
      <c r="C1471">
        <f t="shared" si="91"/>
        <v>189.72998922448912</v>
      </c>
      <c r="D1471">
        <v>57.590000152587891</v>
      </c>
      <c r="E1471" s="604">
        <v>13294.1904296875</v>
      </c>
      <c r="F1471" s="748">
        <f t="shared" si="88"/>
        <v>-0.12345894411379099</v>
      </c>
      <c r="G1471" s="748">
        <f t="shared" si="88"/>
        <v>1.3847390311102048E-2</v>
      </c>
      <c r="H1471" s="1067">
        <f t="shared" si="89"/>
        <v>-0.13730633442489304</v>
      </c>
      <c r="I1471">
        <f t="shared" si="90"/>
        <v>459.53721365730632</v>
      </c>
    </row>
    <row r="1472" spans="1:9" ht="20.100000000000001" customHeight="1">
      <c r="A1472" s="563">
        <v>45233</v>
      </c>
      <c r="B1472">
        <f t="shared" si="91"/>
        <v>569.10935956629453</v>
      </c>
      <c r="C1472">
        <f t="shared" si="91"/>
        <v>192.35725443900179</v>
      </c>
      <c r="D1472">
        <v>50.479999542236328</v>
      </c>
      <c r="E1472" s="604">
        <v>13478.2802734375</v>
      </c>
      <c r="F1472" s="748">
        <f t="shared" si="88"/>
        <v>-7.5277549833829838E-3</v>
      </c>
      <c r="G1472" s="748">
        <f t="shared" si="88"/>
        <v>3.0048343837911773E-3</v>
      </c>
      <c r="H1472" s="1067">
        <f t="shared" si="89"/>
        <v>-1.0532589367174161E-2</v>
      </c>
      <c r="I1472">
        <f t="shared" si="90"/>
        <v>376.75210512729274</v>
      </c>
    </row>
    <row r="1473" spans="1:9" ht="20.100000000000001" customHeight="1">
      <c r="A1473" s="563">
        <v>45236</v>
      </c>
      <c r="B1473">
        <f t="shared" si="91"/>
        <v>564.82524374872946</v>
      </c>
      <c r="C1473">
        <f t="shared" si="91"/>
        <v>192.93525613111177</v>
      </c>
      <c r="D1473">
        <v>50.099998474121087</v>
      </c>
      <c r="E1473" s="604">
        <v>13518.7802734375</v>
      </c>
      <c r="F1473" s="748">
        <f t="shared" si="88"/>
        <v>-1.1576807066311812E-2</v>
      </c>
      <c r="G1473" s="748">
        <f t="shared" si="88"/>
        <v>8.9564350981357066E-3</v>
      </c>
      <c r="H1473" s="1067">
        <f t="shared" si="89"/>
        <v>-2.0533242164447518E-2</v>
      </c>
      <c r="I1473">
        <f t="shared" si="90"/>
        <v>371.88998761761769</v>
      </c>
    </row>
    <row r="1474" spans="1:9" ht="20.100000000000001" customHeight="1">
      <c r="A1474" s="563">
        <v>45237</v>
      </c>
      <c r="B1474">
        <f t="shared" si="91"/>
        <v>558.2863708756679</v>
      </c>
      <c r="C1474">
        <f t="shared" si="91"/>
        <v>194.66326823079226</v>
      </c>
      <c r="D1474">
        <v>49.520000457763672</v>
      </c>
      <c r="E1474" s="604">
        <v>13639.8603515625</v>
      </c>
      <c r="F1474" s="748">
        <f t="shared" si="88"/>
        <v>1.4539604483994717E-2</v>
      </c>
      <c r="G1474" s="748">
        <f t="shared" si="88"/>
        <v>7.7345401020112448E-4</v>
      </c>
      <c r="H1474" s="1067">
        <f t="shared" si="89"/>
        <v>1.3766150473793592E-2</v>
      </c>
      <c r="I1474">
        <f t="shared" si="90"/>
        <v>363.62310264487564</v>
      </c>
    </row>
    <row r="1475" spans="1:9" ht="20.100000000000001" customHeight="1">
      <c r="A1475" s="563">
        <v>45238</v>
      </c>
      <c r="B1475">
        <f t="shared" si="91"/>
        <v>566.40363389700485</v>
      </c>
      <c r="C1475">
        <f t="shared" si="91"/>
        <v>194.8138313162442</v>
      </c>
      <c r="D1475">
        <v>50.240001678466797</v>
      </c>
      <c r="E1475" s="604">
        <v>13650.41015625</v>
      </c>
      <c r="F1475" s="748">
        <f t="shared" ref="F1475:G1510" si="92">D1476/D1475-1</f>
        <v>-1.1345610877353751E-2</v>
      </c>
      <c r="G1475" s="748">
        <f t="shared" si="92"/>
        <v>-9.4473323117294505E-3</v>
      </c>
      <c r="H1475" s="1067">
        <f t="shared" ref="H1475:H1510" si="93">F1475-G1475</f>
        <v>-1.8982785656243006E-3</v>
      </c>
      <c r="I1475">
        <f t="shared" ref="I1475:I1510" si="94">B1475-C1475</f>
        <v>371.58980258076065</v>
      </c>
    </row>
    <row r="1476" spans="1:9" ht="20.100000000000001" customHeight="1">
      <c r="A1476" s="563">
        <v>45239</v>
      </c>
      <c r="B1476">
        <f t="shared" ref="B1476:C1510" si="95">B1475*(1+F1475)</f>
        <v>559.97743866729036</v>
      </c>
      <c r="C1476">
        <f t="shared" si="95"/>
        <v>192.97336031287844</v>
      </c>
      <c r="D1476">
        <v>49.669998168945313</v>
      </c>
      <c r="E1476" s="604">
        <v>13521.4501953125</v>
      </c>
      <c r="F1476" s="748">
        <f t="shared" si="92"/>
        <v>2.31528401101877E-2</v>
      </c>
      <c r="G1476" s="748">
        <f t="shared" si="92"/>
        <v>2.0460834618605483E-2</v>
      </c>
      <c r="H1476" s="1067">
        <f t="shared" si="93"/>
        <v>2.6920054915822167E-3</v>
      </c>
      <c r="I1476">
        <f t="shared" si="94"/>
        <v>367.00407835441194</v>
      </c>
    </row>
    <row r="1477" spans="1:9" ht="20.100000000000001" customHeight="1">
      <c r="A1477" s="563">
        <v>45240</v>
      </c>
      <c r="B1477">
        <f t="shared" si="95"/>
        <v>572.94250677006653</v>
      </c>
      <c r="C1477">
        <f t="shared" si="95"/>
        <v>196.92175632403681</v>
      </c>
      <c r="D1477">
        <v>50.819999694824219</v>
      </c>
      <c r="E1477" s="604">
        <v>13798.1103515625</v>
      </c>
      <c r="F1477" s="748">
        <f t="shared" si="92"/>
        <v>-1.0232201119368178E-2</v>
      </c>
      <c r="G1477" s="748">
        <f t="shared" si="92"/>
        <v>-2.2010345194884984E-3</v>
      </c>
      <c r="H1477" s="1067">
        <f t="shared" si="93"/>
        <v>-8.03116659987968E-3</v>
      </c>
      <c r="I1477">
        <f t="shared" si="94"/>
        <v>376.02075044602975</v>
      </c>
    </row>
    <row r="1478" spans="1:9" ht="20.100000000000001" customHeight="1">
      <c r="A1478" s="563">
        <v>45243</v>
      </c>
      <c r="B1478">
        <f t="shared" si="95"/>
        <v>567.08004381096021</v>
      </c>
      <c r="C1478">
        <f t="shared" si="95"/>
        <v>196.4883247407293</v>
      </c>
      <c r="D1478">
        <v>50.299999237060547</v>
      </c>
      <c r="E1478" s="604">
        <v>13767.740234375</v>
      </c>
      <c r="F1478" s="748">
        <f t="shared" si="92"/>
        <v>2.0278339428127623E-2</v>
      </c>
      <c r="G1478" s="748">
        <f t="shared" si="92"/>
        <v>2.3725000826348541E-2</v>
      </c>
      <c r="H1478" s="1067">
        <f t="shared" si="93"/>
        <v>-3.4466613982209182E-3</v>
      </c>
      <c r="I1478">
        <f t="shared" si="94"/>
        <v>370.59171907023091</v>
      </c>
    </row>
    <row r="1479" spans="1:9" ht="20.100000000000001" customHeight="1">
      <c r="A1479" s="563">
        <v>45244</v>
      </c>
      <c r="B1479">
        <f t="shared" si="95"/>
        <v>578.57948542227632</v>
      </c>
      <c r="C1479">
        <f t="shared" si="95"/>
        <v>201.15001040757093</v>
      </c>
      <c r="D1479">
        <v>51.319999694824219</v>
      </c>
      <c r="E1479" s="604">
        <v>14094.3798828125</v>
      </c>
      <c r="F1479" s="748">
        <f t="shared" si="92"/>
        <v>-5.0662182985051762E-3</v>
      </c>
      <c r="G1479" s="748">
        <f t="shared" si="92"/>
        <v>6.7118674366350994E-4</v>
      </c>
      <c r="H1479" s="1067">
        <f t="shared" si="93"/>
        <v>-5.7374050421686862E-3</v>
      </c>
      <c r="I1479">
        <f t="shared" si="94"/>
        <v>377.42947501470542</v>
      </c>
    </row>
    <row r="1480" spans="1:9" ht="20.100000000000001" customHeight="1">
      <c r="A1480" s="563">
        <v>45245</v>
      </c>
      <c r="B1480">
        <f t="shared" si="95"/>
        <v>575.64827544609022</v>
      </c>
      <c r="C1480">
        <f t="shared" si="95"/>
        <v>201.28501962804427</v>
      </c>
      <c r="D1480">
        <v>51.060001373291023</v>
      </c>
      <c r="E1480" s="604">
        <v>14103.83984375</v>
      </c>
      <c r="F1480" s="748">
        <f t="shared" si="92"/>
        <v>-1.253433582319663E-2</v>
      </c>
      <c r="G1480" s="748">
        <f t="shared" si="92"/>
        <v>6.9697885355357592E-4</v>
      </c>
      <c r="H1480" s="1067">
        <f t="shared" si="93"/>
        <v>-1.3231314676750205E-2</v>
      </c>
      <c r="I1480">
        <f t="shared" si="94"/>
        <v>374.36325581804596</v>
      </c>
    </row>
    <row r="1481" spans="1:9" ht="20.100000000000001" customHeight="1">
      <c r="A1481" s="563">
        <v>45246</v>
      </c>
      <c r="B1481">
        <f t="shared" si="95"/>
        <v>568.43290664560493</v>
      </c>
      <c r="C1481">
        <f t="shared" si="95"/>
        <v>201.42531103026212</v>
      </c>
      <c r="D1481">
        <v>50.419998168945313</v>
      </c>
      <c r="E1481" s="604">
        <v>14113.669921875</v>
      </c>
      <c r="F1481" s="748">
        <f t="shared" si="92"/>
        <v>1.6660059164882446E-2</v>
      </c>
      <c r="G1481" s="748">
        <f t="shared" si="92"/>
        <v>8.3681614635855439E-4</v>
      </c>
      <c r="H1481" s="1067">
        <f t="shared" si="93"/>
        <v>1.5823243018523891E-2</v>
      </c>
      <c r="I1481">
        <f t="shared" si="94"/>
        <v>367.00759561534278</v>
      </c>
    </row>
    <row r="1482" spans="1:9" ht="20.100000000000001" customHeight="1">
      <c r="A1482" s="563">
        <v>45247</v>
      </c>
      <c r="B1482">
        <f t="shared" si="95"/>
        <v>577.90303250158684</v>
      </c>
      <c r="C1482">
        <f t="shared" si="95"/>
        <v>201.59386698281753</v>
      </c>
      <c r="D1482">
        <v>51.259998321533203</v>
      </c>
      <c r="E1482" s="604">
        <v>14125.48046875</v>
      </c>
      <c r="F1482" s="748">
        <f t="shared" si="92"/>
        <v>1.2680482777266411E-2</v>
      </c>
      <c r="G1482" s="748">
        <f t="shared" si="92"/>
        <v>1.1259780156814392E-2</v>
      </c>
      <c r="H1482" s="1067">
        <f t="shared" si="93"/>
        <v>1.420702620452019E-3</v>
      </c>
      <c r="I1482">
        <f t="shared" si="94"/>
        <v>376.3091655187693</v>
      </c>
    </row>
    <row r="1483" spans="1:9" ht="20.100000000000001" customHeight="1">
      <c r="A1483" s="563">
        <v>45250</v>
      </c>
      <c r="B1483">
        <f t="shared" si="95"/>
        <v>585.23112195215322</v>
      </c>
      <c r="C1483">
        <f t="shared" si="95"/>
        <v>203.86376960600614</v>
      </c>
      <c r="D1483">
        <v>51.909999847412109</v>
      </c>
      <c r="E1483" s="604">
        <v>14284.5302734375</v>
      </c>
      <c r="F1483" s="748">
        <f t="shared" si="92"/>
        <v>1.2906992595107525E-2</v>
      </c>
      <c r="G1483" s="748">
        <f t="shared" si="92"/>
        <v>-5.9189768980169033E-3</v>
      </c>
      <c r="H1483" s="1067">
        <f t="shared" si="93"/>
        <v>1.8825969493124428E-2</v>
      </c>
      <c r="I1483">
        <f t="shared" si="94"/>
        <v>381.36735234614707</v>
      </c>
    </row>
    <row r="1484" spans="1:9" ht="20.100000000000001" customHeight="1">
      <c r="A1484" s="563">
        <v>45251</v>
      </c>
      <c r="B1484">
        <f t="shared" si="95"/>
        <v>592.78469570961613</v>
      </c>
      <c r="C1484">
        <f t="shared" si="95"/>
        <v>202.65710466336554</v>
      </c>
      <c r="D1484">
        <v>52.580001831054688</v>
      </c>
      <c r="E1484" s="604">
        <v>14199.98046875</v>
      </c>
      <c r="F1484" s="748">
        <f t="shared" si="92"/>
        <v>7.4172570571895413E-3</v>
      </c>
      <c r="G1484" s="748">
        <f t="shared" si="92"/>
        <v>4.6394347483422749E-3</v>
      </c>
      <c r="H1484" s="1067">
        <f t="shared" si="93"/>
        <v>2.7778223088472664E-3</v>
      </c>
      <c r="I1484">
        <f t="shared" si="94"/>
        <v>390.12759104625059</v>
      </c>
    </row>
    <row r="1485" spans="1:9" ht="20.100000000000001" customHeight="1">
      <c r="A1485" s="563">
        <v>45252</v>
      </c>
      <c r="B1485">
        <f t="shared" si="95"/>
        <v>597.18153217726228</v>
      </c>
      <c r="C1485">
        <f t="shared" si="95"/>
        <v>203.59731907673921</v>
      </c>
      <c r="D1485">
        <v>52.970001220703118</v>
      </c>
      <c r="E1485" s="604">
        <v>14265.8603515625</v>
      </c>
      <c r="F1485" s="748">
        <f t="shared" si="92"/>
        <v>8.6841433617501629E-3</v>
      </c>
      <c r="G1485" s="748">
        <f t="shared" si="92"/>
        <v>-1.0522142946574053E-3</v>
      </c>
      <c r="H1485" s="1067">
        <f t="shared" si="93"/>
        <v>9.7363576564075682E-3</v>
      </c>
      <c r="I1485">
        <f t="shared" si="94"/>
        <v>393.58421310052307</v>
      </c>
    </row>
    <row r="1486" spans="1:9" ht="20.100000000000001" customHeight="1">
      <c r="A1486" s="563">
        <v>45254</v>
      </c>
      <c r="B1486">
        <f t="shared" si="95"/>
        <v>602.36754221567924</v>
      </c>
      <c r="C1486">
        <f t="shared" si="95"/>
        <v>203.38309106725274</v>
      </c>
      <c r="D1486">
        <v>53.430000305175781</v>
      </c>
      <c r="E1486" s="604">
        <v>14250.849609375</v>
      </c>
      <c r="F1486" s="748">
        <f t="shared" si="92"/>
        <v>5.8020095736548427E-3</v>
      </c>
      <c r="G1486" s="748">
        <f t="shared" si="92"/>
        <v>-6.8978891746451776E-4</v>
      </c>
      <c r="H1486" s="1067">
        <f t="shared" si="93"/>
        <v>6.4917984911193605E-3</v>
      </c>
      <c r="I1486">
        <f t="shared" si="94"/>
        <v>398.9844511484265</v>
      </c>
    </row>
    <row r="1487" spans="1:9" ht="20.100000000000001" customHeight="1">
      <c r="A1487" s="563">
        <v>45257</v>
      </c>
      <c r="B1487">
        <f t="shared" si="95"/>
        <v>605.8624844624735</v>
      </c>
      <c r="C1487">
        <f t="shared" si="95"/>
        <v>203.24279966503488</v>
      </c>
      <c r="D1487">
        <v>53.740001678466797</v>
      </c>
      <c r="E1487" s="604">
        <v>14241.01953125</v>
      </c>
      <c r="F1487" s="748">
        <f t="shared" si="92"/>
        <v>-1.7677721125195278E-2</v>
      </c>
      <c r="G1487" s="748">
        <f t="shared" si="92"/>
        <v>2.8607666948001764E-3</v>
      </c>
      <c r="H1487" s="1067">
        <f t="shared" si="93"/>
        <v>-2.0538487819995455E-2</v>
      </c>
      <c r="I1487">
        <f t="shared" si="94"/>
        <v>402.61968479743859</v>
      </c>
    </row>
    <row r="1488" spans="1:9" ht="20.100000000000001" customHeight="1">
      <c r="A1488" s="563">
        <v>45258</v>
      </c>
      <c r="B1488">
        <f t="shared" si="95"/>
        <v>595.15221642192796</v>
      </c>
      <c r="C1488">
        <f t="shared" si="95"/>
        <v>203.82422989727456</v>
      </c>
      <c r="D1488">
        <v>52.790000915527337</v>
      </c>
      <c r="E1488" s="604">
        <v>14281.759765625</v>
      </c>
      <c r="F1488" s="748">
        <f t="shared" si="92"/>
        <v>1.5343768602881447E-2</v>
      </c>
      <c r="G1488" s="748">
        <f t="shared" si="92"/>
        <v>-1.6293182095113989E-3</v>
      </c>
      <c r="H1488" s="1067">
        <f t="shared" si="93"/>
        <v>1.6973086812392846E-2</v>
      </c>
      <c r="I1488">
        <f t="shared" si="94"/>
        <v>391.3279865246534</v>
      </c>
    </row>
    <row r="1489" spans="1:9" ht="20.100000000000001" customHeight="1">
      <c r="A1489" s="563">
        <v>45259</v>
      </c>
      <c r="B1489">
        <f t="shared" si="95"/>
        <v>604.284094314198</v>
      </c>
      <c r="C1489">
        <f t="shared" si="95"/>
        <v>203.4921353679633</v>
      </c>
      <c r="D1489">
        <v>53.599998474121087</v>
      </c>
      <c r="E1489" s="604">
        <v>14258.490234375</v>
      </c>
      <c r="F1489" s="748">
        <f t="shared" si="92"/>
        <v>-1.9402931537995993E-2</v>
      </c>
      <c r="G1489" s="748">
        <f t="shared" si="92"/>
        <v>-2.2632485825673232E-3</v>
      </c>
      <c r="H1489" s="1067">
        <f t="shared" si="93"/>
        <v>-1.713968295542867E-2</v>
      </c>
      <c r="I1489">
        <f t="shared" si="94"/>
        <v>400.79195894623467</v>
      </c>
    </row>
    <row r="1490" spans="1:9" ht="20.100000000000001" customHeight="1">
      <c r="A1490" s="563">
        <v>45260</v>
      </c>
      <c r="B1490">
        <f t="shared" si="95"/>
        <v>592.55921140271971</v>
      </c>
      <c r="C1490">
        <f t="shared" si="95"/>
        <v>203.03158208102815</v>
      </c>
      <c r="D1490">
        <v>52.560001373291023</v>
      </c>
      <c r="E1490" s="604">
        <v>14226.2197265625</v>
      </c>
      <c r="F1490" s="748">
        <f t="shared" si="92"/>
        <v>-1.3318054222843934E-3</v>
      </c>
      <c r="G1490" s="748">
        <f t="shared" si="92"/>
        <v>5.5398094778367213E-3</v>
      </c>
      <c r="H1490" s="1067">
        <f t="shared" si="93"/>
        <v>-6.8716149001211146E-3</v>
      </c>
      <c r="I1490">
        <f t="shared" si="94"/>
        <v>389.52762932169156</v>
      </c>
    </row>
    <row r="1491" spans="1:9" ht="20.100000000000001" customHeight="1">
      <c r="A1491" s="563">
        <v>45261</v>
      </c>
      <c r="B1491">
        <f t="shared" si="95"/>
        <v>591.77003783194903</v>
      </c>
      <c r="C1491">
        <f t="shared" si="95"/>
        <v>204.15633836374082</v>
      </c>
      <c r="D1491">
        <v>52.490001678466797</v>
      </c>
      <c r="E1491" s="604">
        <v>14305.0302734375</v>
      </c>
      <c r="F1491" s="748">
        <f t="shared" si="92"/>
        <v>-4.5723313162943091E-3</v>
      </c>
      <c r="G1491" s="748">
        <f t="shared" si="92"/>
        <v>-8.3565037457117297E-3</v>
      </c>
      <c r="H1491" s="1067">
        <f t="shared" si="93"/>
        <v>3.7841724294174206E-3</v>
      </c>
      <c r="I1491">
        <f t="shared" si="94"/>
        <v>387.61369946820821</v>
      </c>
    </row>
    <row r="1492" spans="1:9" ht="20.100000000000001" customHeight="1">
      <c r="A1492" s="563">
        <v>45264</v>
      </c>
      <c r="B1492">
        <f t="shared" si="95"/>
        <v>589.06426915592533</v>
      </c>
      <c r="C1492">
        <f t="shared" si="95"/>
        <v>202.45030515749343</v>
      </c>
      <c r="D1492">
        <v>52.25</v>
      </c>
      <c r="E1492" s="604">
        <v>14185.490234375</v>
      </c>
      <c r="F1492" s="748">
        <f t="shared" si="92"/>
        <v>5.1674728758597244E-3</v>
      </c>
      <c r="G1492" s="748">
        <f t="shared" si="92"/>
        <v>3.1313631845699685E-3</v>
      </c>
      <c r="H1492" s="1067">
        <f t="shared" si="93"/>
        <v>2.0361096912897558E-3</v>
      </c>
      <c r="I1492">
        <f t="shared" si="94"/>
        <v>386.61396399843193</v>
      </c>
    </row>
    <row r="1493" spans="1:9" ht="20.100000000000001" customHeight="1">
      <c r="A1493" s="563">
        <v>45265</v>
      </c>
      <c r="B1493">
        <f t="shared" si="95"/>
        <v>592.10824278892676</v>
      </c>
      <c r="C1493">
        <f t="shared" si="95"/>
        <v>203.08425058976857</v>
      </c>
      <c r="D1493">
        <v>52.520000457763672</v>
      </c>
      <c r="E1493" s="604">
        <v>14229.91015625</v>
      </c>
      <c r="F1493" s="748">
        <f t="shared" si="92"/>
        <v>-1.3137825984291029E-2</v>
      </c>
      <c r="G1493" s="748">
        <f t="shared" si="92"/>
        <v>-5.8468531704648496E-3</v>
      </c>
      <c r="H1493" s="1067">
        <f t="shared" si="93"/>
        <v>-7.2909728138261798E-3</v>
      </c>
      <c r="I1493">
        <f t="shared" si="94"/>
        <v>389.02399219915822</v>
      </c>
    </row>
    <row r="1494" spans="1:9" ht="20.100000000000001" customHeight="1">
      <c r="A1494" s="563">
        <v>45266</v>
      </c>
      <c r="B1494">
        <f t="shared" si="95"/>
        <v>584.32922773130144</v>
      </c>
      <c r="C1494">
        <f t="shared" si="95"/>
        <v>201.8968467953363</v>
      </c>
      <c r="D1494">
        <v>51.830001831054688</v>
      </c>
      <c r="E1494" s="604">
        <v>14146.7099609375</v>
      </c>
      <c r="F1494" s="748">
        <f t="shared" si="92"/>
        <v>-9.8399019527892762E-3</v>
      </c>
      <c r="G1494" s="748">
        <f t="shared" si="92"/>
        <v>1.3662559985409661E-2</v>
      </c>
      <c r="H1494" s="1067">
        <f t="shared" si="93"/>
        <v>-2.3502461938198937E-2</v>
      </c>
      <c r="I1494">
        <f t="shared" si="94"/>
        <v>382.43238093596517</v>
      </c>
    </row>
    <row r="1495" spans="1:9" ht="20.100000000000001" customHeight="1">
      <c r="A1495" s="563">
        <v>45267</v>
      </c>
      <c r="B1495">
        <f t="shared" si="95"/>
        <v>578.57948542227632</v>
      </c>
      <c r="C1495">
        <f t="shared" si="95"/>
        <v>204.65527457554265</v>
      </c>
      <c r="D1495">
        <v>51.319999694824219</v>
      </c>
      <c r="E1495" s="604">
        <v>14339.990234375</v>
      </c>
      <c r="F1495" s="748">
        <f t="shared" si="92"/>
        <v>1.6367890833651089E-2</v>
      </c>
      <c r="G1495" s="748">
        <f t="shared" si="92"/>
        <v>4.4616133722414908E-3</v>
      </c>
      <c r="H1495" s="1067">
        <f t="shared" si="93"/>
        <v>1.1906277461409598E-2</v>
      </c>
      <c r="I1495">
        <f t="shared" si="94"/>
        <v>373.92421084673367</v>
      </c>
    </row>
    <row r="1496" spans="1:9" ht="20.100000000000001" customHeight="1">
      <c r="A1496" s="563">
        <v>45268</v>
      </c>
      <c r="B1496">
        <f t="shared" si="95"/>
        <v>588.04961127825811</v>
      </c>
      <c r="C1496">
        <f t="shared" si="95"/>
        <v>205.56836728528864</v>
      </c>
      <c r="D1496">
        <v>52.159999847412109</v>
      </c>
      <c r="E1496" s="604">
        <v>14403.9697265625</v>
      </c>
      <c r="F1496" s="748">
        <f t="shared" si="92"/>
        <v>2.8374224435695705E-2</v>
      </c>
      <c r="G1496" s="748">
        <f t="shared" si="92"/>
        <v>1.9800449705129619E-3</v>
      </c>
      <c r="H1496" s="1067">
        <f t="shared" si="93"/>
        <v>2.6394179465182743E-2</v>
      </c>
      <c r="I1496">
        <f t="shared" si="94"/>
        <v>382.48124399296944</v>
      </c>
    </row>
    <row r="1497" spans="1:9" ht="20.100000000000001" customHeight="1">
      <c r="A1497" s="563">
        <v>45271</v>
      </c>
      <c r="B1497">
        <f t="shared" si="95"/>
        <v>604.73506292799107</v>
      </c>
      <c r="C1497">
        <f t="shared" si="95"/>
        <v>205.97540189702843</v>
      </c>
      <c r="D1497">
        <v>53.639999389648438</v>
      </c>
      <c r="E1497" s="604">
        <v>14432.490234375</v>
      </c>
      <c r="F1497" s="748">
        <f t="shared" si="92"/>
        <v>2.6099954172428275E-2</v>
      </c>
      <c r="G1497" s="748">
        <f t="shared" si="92"/>
        <v>6.9918742095977926E-3</v>
      </c>
      <c r="H1497" s="1067">
        <f t="shared" si="93"/>
        <v>1.9108079962830482E-2</v>
      </c>
      <c r="I1497">
        <f t="shared" si="94"/>
        <v>398.75966103096266</v>
      </c>
    </row>
    <row r="1498" spans="1:9" ht="20.100000000000001" customHeight="1">
      <c r="A1498" s="563">
        <v>45272</v>
      </c>
      <c r="B1498">
        <f t="shared" si="95"/>
        <v>620.51862035687213</v>
      </c>
      <c r="C1498">
        <f t="shared" si="95"/>
        <v>207.41555599736381</v>
      </c>
      <c r="D1498">
        <v>55.040000915527337</v>
      </c>
      <c r="E1498" s="604">
        <v>14533.400390625</v>
      </c>
      <c r="F1498" s="748">
        <f t="shared" si="92"/>
        <v>5.632222991230007E-3</v>
      </c>
      <c r="G1498" s="748">
        <f t="shared" si="92"/>
        <v>1.3799906761109648E-2</v>
      </c>
      <c r="H1498" s="1067">
        <f t="shared" si="93"/>
        <v>-8.1676837698796412E-3</v>
      </c>
      <c r="I1498">
        <f t="shared" si="94"/>
        <v>413.10306435950832</v>
      </c>
    </row>
    <row r="1499" spans="1:9" ht="20.100000000000001" customHeight="1">
      <c r="A1499" s="563">
        <v>45273</v>
      </c>
      <c r="B1499">
        <f t="shared" si="95"/>
        <v>624.01351959693238</v>
      </c>
      <c r="C1499">
        <f t="shared" si="95"/>
        <v>210.27787133093113</v>
      </c>
      <c r="D1499">
        <v>55.349998474121087</v>
      </c>
      <c r="E1499" s="604">
        <v>14733.9599609375</v>
      </c>
      <c r="F1499" s="748">
        <f t="shared" si="92"/>
        <v>3.0713655100357284E-2</v>
      </c>
      <c r="G1499" s="748">
        <f t="shared" si="92"/>
        <v>1.8731969849363761E-3</v>
      </c>
      <c r="H1499" s="1067">
        <f t="shared" si="93"/>
        <v>2.8840458115420908E-2</v>
      </c>
      <c r="I1499">
        <f t="shared" si="94"/>
        <v>413.73564826600125</v>
      </c>
    </row>
    <row r="1500" spans="1:9" ht="20.100000000000001" customHeight="1">
      <c r="A1500" s="563">
        <v>45274</v>
      </c>
      <c r="B1500">
        <f t="shared" si="95"/>
        <v>643.17925561579261</v>
      </c>
      <c r="C1500">
        <f t="shared" si="95"/>
        <v>210.67176320550706</v>
      </c>
      <c r="D1500">
        <v>57.049999237060547</v>
      </c>
      <c r="E1500" s="604">
        <v>14761.5595703125</v>
      </c>
      <c r="F1500" s="748">
        <f t="shared" si="92"/>
        <v>1.3672263004824714E-2</v>
      </c>
      <c r="G1500" s="748">
        <f t="shared" si="92"/>
        <v>3.5470745020602656E-3</v>
      </c>
      <c r="H1500" s="1067">
        <f t="shared" si="93"/>
        <v>1.0125188502764448E-2</v>
      </c>
      <c r="I1500">
        <f t="shared" si="94"/>
        <v>432.50749241028552</v>
      </c>
    </row>
    <row r="1501" spans="1:9" ht="20.100000000000001" customHeight="1">
      <c r="A1501" s="563">
        <v>45275</v>
      </c>
      <c r="B1501">
        <f t="shared" si="95"/>
        <v>651.97297155781916</v>
      </c>
      <c r="C1501">
        <f t="shared" si="95"/>
        <v>211.41903164507738</v>
      </c>
      <c r="D1501">
        <v>57.830001831054688</v>
      </c>
      <c r="E1501" s="604">
        <v>14813.919921875</v>
      </c>
      <c r="F1501" s="748">
        <f t="shared" si="92"/>
        <v>-2.974236842889888E-2</v>
      </c>
      <c r="G1501" s="748">
        <f t="shared" si="92"/>
        <v>6.1354218813676198E-3</v>
      </c>
      <c r="H1501" s="1067">
        <f t="shared" si="93"/>
        <v>-3.58777903102665E-2</v>
      </c>
      <c r="I1501">
        <f t="shared" si="94"/>
        <v>440.55393991274178</v>
      </c>
    </row>
    <row r="1502" spans="1:9" ht="20.100000000000001" customHeight="1">
      <c r="A1502" s="563">
        <v>45278</v>
      </c>
      <c r="B1502">
        <f t="shared" si="95"/>
        <v>632.58175123206252</v>
      </c>
      <c r="C1502">
        <f t="shared" si="95"/>
        <v>212.71617659797013</v>
      </c>
      <c r="D1502">
        <v>56.110000610351563</v>
      </c>
      <c r="E1502" s="604">
        <v>14904.8095703125</v>
      </c>
      <c r="F1502" s="748">
        <f t="shared" si="92"/>
        <v>2.9406481789936656E-2</v>
      </c>
      <c r="G1502" s="748">
        <f t="shared" si="92"/>
        <v>6.6025772275557504E-3</v>
      </c>
      <c r="H1502" s="1067">
        <f t="shared" si="93"/>
        <v>2.2803904562380906E-2</v>
      </c>
      <c r="I1502">
        <f t="shared" si="94"/>
        <v>419.86557463409235</v>
      </c>
    </row>
    <row r="1503" spans="1:9" ht="20.100000000000001" customHeight="1">
      <c r="A1503" s="563">
        <v>45279</v>
      </c>
      <c r="B1503">
        <f t="shared" si="95"/>
        <v>651.18375498031435</v>
      </c>
      <c r="C1503">
        <f t="shared" si="95"/>
        <v>214.12065158150861</v>
      </c>
      <c r="D1503">
        <v>57.759998321533203</v>
      </c>
      <c r="E1503" s="604">
        <v>15003.2197265625</v>
      </c>
      <c r="F1503" s="748">
        <f t="shared" si="92"/>
        <v>-5.3669938989278076E-3</v>
      </c>
      <c r="G1503" s="748">
        <f t="shared" si="92"/>
        <v>-1.5015396760213684E-2</v>
      </c>
      <c r="H1503" s="1067">
        <f t="shared" si="93"/>
        <v>9.6484028612858763E-3</v>
      </c>
      <c r="I1503">
        <f t="shared" si="94"/>
        <v>437.06310339880577</v>
      </c>
    </row>
    <row r="1504" spans="1:9" ht="20.100000000000001" customHeight="1">
      <c r="A1504" s="563">
        <v>45280</v>
      </c>
      <c r="B1504">
        <f t="shared" si="95"/>
        <v>647.6888557402541</v>
      </c>
      <c r="C1504">
        <f t="shared" si="95"/>
        <v>210.90554504345678</v>
      </c>
      <c r="D1504">
        <v>57.450000762939453</v>
      </c>
      <c r="E1504" s="604">
        <v>14777.9404296875</v>
      </c>
      <c r="F1504" s="748">
        <f t="shared" si="92"/>
        <v>1.8450784064698356E-2</v>
      </c>
      <c r="G1504" s="748">
        <f t="shared" si="92"/>
        <v>1.2581569697390549E-2</v>
      </c>
      <c r="H1504" s="1067">
        <f t="shared" si="93"/>
        <v>5.8692143673078068E-3</v>
      </c>
      <c r="I1504">
        <f t="shared" si="94"/>
        <v>436.78331069679734</v>
      </c>
    </row>
    <row r="1505" spans="1:9" ht="20.100000000000001" customHeight="1">
      <c r="A1505" s="563">
        <v>45281</v>
      </c>
      <c r="B1505">
        <f t="shared" si="95"/>
        <v>659.63922295862903</v>
      </c>
      <c r="C1505">
        <f t="shared" si="95"/>
        <v>213.55906785798717</v>
      </c>
      <c r="D1505">
        <v>58.509998321533203</v>
      </c>
      <c r="E1505" s="604">
        <v>14963.8701171875</v>
      </c>
      <c r="F1505" s="748">
        <f t="shared" si="92"/>
        <v>1.2989269492950317E-2</v>
      </c>
      <c r="G1505" s="748">
        <f t="shared" si="92"/>
        <v>1.9446579759854199E-3</v>
      </c>
      <c r="H1505" s="1067">
        <f t="shared" si="93"/>
        <v>1.1044611516964897E-2</v>
      </c>
      <c r="I1505">
        <f t="shared" si="94"/>
        <v>446.08015510064183</v>
      </c>
    </row>
    <row r="1506" spans="1:9" ht="20.100000000000001" customHeight="1">
      <c r="A1506" s="563">
        <v>45282</v>
      </c>
      <c r="B1506">
        <f t="shared" si="95"/>
        <v>668.20745459375905</v>
      </c>
      <c r="C1506">
        <f t="shared" si="95"/>
        <v>213.97436720264122</v>
      </c>
      <c r="D1506">
        <v>59.270000457763672</v>
      </c>
      <c r="E1506" s="604">
        <v>14992.9697265625</v>
      </c>
      <c r="F1506" s="748">
        <f t="shared" si="92"/>
        <v>8.9421085743799367E-3</v>
      </c>
      <c r="G1506" s="748">
        <f t="shared" si="92"/>
        <v>5.4425899221908214E-3</v>
      </c>
      <c r="H1506" s="1067">
        <f t="shared" si="93"/>
        <v>3.4995186521891153E-3</v>
      </c>
      <c r="I1506">
        <f t="shared" si="94"/>
        <v>454.23308739111781</v>
      </c>
    </row>
    <row r="1507" spans="1:9" ht="20.100000000000001" customHeight="1">
      <c r="A1507" s="563">
        <v>45286</v>
      </c>
      <c r="B1507">
        <f t="shared" si="95"/>
        <v>674.18263820294646</v>
      </c>
      <c r="C1507">
        <f t="shared" si="95"/>
        <v>215.13894193718548</v>
      </c>
      <c r="D1507">
        <v>59.799999237060547</v>
      </c>
      <c r="E1507" s="604">
        <v>15074.5703125</v>
      </c>
      <c r="F1507" s="748">
        <f t="shared" si="92"/>
        <v>-7.6922924806255288E-3</v>
      </c>
      <c r="G1507" s="748">
        <f t="shared" si="92"/>
        <v>1.63250921849456E-3</v>
      </c>
      <c r="H1507" s="1067">
        <f t="shared" si="93"/>
        <v>-9.3248016991200888E-3</v>
      </c>
      <c r="I1507">
        <f t="shared" si="94"/>
        <v>459.04369626576101</v>
      </c>
    </row>
    <row r="1508" spans="1:9" ht="20.100000000000001" customHeight="1">
      <c r="A1508" s="563">
        <v>45287</v>
      </c>
      <c r="B1508">
        <f t="shared" si="95"/>
        <v>668.99662816452962</v>
      </c>
      <c r="C1508">
        <f t="shared" si="95"/>
        <v>215.49015824315509</v>
      </c>
      <c r="D1508">
        <v>59.340000152587891</v>
      </c>
      <c r="E1508" s="604">
        <v>15099.1796875</v>
      </c>
      <c r="F1508" s="748">
        <f t="shared" si="92"/>
        <v>1.0111454859578206E-3</v>
      </c>
      <c r="G1508" s="748">
        <f t="shared" si="92"/>
        <v>-2.6756679144923634E-4</v>
      </c>
      <c r="H1508" s="1067">
        <f t="shared" si="93"/>
        <v>1.278712277407057E-3</v>
      </c>
      <c r="I1508">
        <f t="shared" si="94"/>
        <v>453.50646992137456</v>
      </c>
    </row>
    <row r="1509" spans="1:9" ht="20.100000000000001" customHeight="1">
      <c r="A1509" s="563">
        <v>45288</v>
      </c>
      <c r="B1509">
        <f t="shared" si="95"/>
        <v>669.67308108521922</v>
      </c>
      <c r="C1509">
        <f t="shared" si="95"/>
        <v>215.43250023292509</v>
      </c>
      <c r="D1509">
        <v>59.400001525878913</v>
      </c>
      <c r="E1509" s="604">
        <v>15095.1396484375</v>
      </c>
      <c r="F1509" s="748">
        <f t="shared" si="92"/>
        <v>-1.4646510508976918E-2</v>
      </c>
      <c r="G1509" s="748">
        <f t="shared" si="92"/>
        <v>-5.550795886222426E-3</v>
      </c>
      <c r="H1509" s="1067">
        <f t="shared" si="93"/>
        <v>-9.0957146227544916E-3</v>
      </c>
      <c r="I1509">
        <f t="shared" si="94"/>
        <v>454.2405808522941</v>
      </c>
    </row>
    <row r="1510" spans="1:9" ht="20.100000000000001" customHeight="1">
      <c r="A1510" s="563">
        <v>45289</v>
      </c>
      <c r="B1510">
        <f t="shared" si="95"/>
        <v>659.86470726552557</v>
      </c>
      <c r="C1510">
        <f t="shared" si="95"/>
        <v>214.23667839687357</v>
      </c>
      <c r="D1510">
        <v>58.529998779296882</v>
      </c>
      <c r="E1510" s="604">
        <v>15011.349609375</v>
      </c>
      <c r="F1510" s="748">
        <f t="shared" si="92"/>
        <v>-1</v>
      </c>
      <c r="G1510" s="748">
        <f t="shared" si="92"/>
        <v>-1</v>
      </c>
      <c r="H1510" s="1067">
        <f t="shared" si="93"/>
        <v>0</v>
      </c>
      <c r="I1510">
        <f t="shared" si="94"/>
        <v>445.628028868652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DB10C-47F8-4AE3-81E5-0973EEF78D6D}">
  <dimension ref="A1:M504"/>
  <sheetViews>
    <sheetView topLeftCell="H1" workbookViewId="0">
      <selection activeCell="L5" sqref="L5"/>
    </sheetView>
  </sheetViews>
  <sheetFormatPr defaultColWidth="8.7109375" defaultRowHeight="12.75"/>
  <cols>
    <col min="1" max="1" width="17.85546875" style="563" bestFit="1" customWidth="1"/>
    <col min="2" max="2" width="13" style="604" bestFit="1" customWidth="1"/>
    <col min="3" max="3" width="13.85546875" style="604" bestFit="1" customWidth="1"/>
    <col min="4" max="4" width="13" style="604" bestFit="1" customWidth="1"/>
    <col min="5" max="5" width="15.85546875" style="604" bestFit="1" customWidth="1"/>
    <col min="6" max="6" width="32" style="604" bestFit="1" customWidth="1"/>
    <col min="7" max="7" width="35" style="604" bestFit="1" customWidth="1"/>
    <col min="8" max="8" width="43.85546875" style="604" bestFit="1" customWidth="1"/>
    <col min="9" max="9" width="37.5703125" style="604" bestFit="1" customWidth="1"/>
    <col min="10" max="10" width="12.5703125" style="604" bestFit="1" customWidth="1"/>
    <col min="11" max="12" width="11.85546875" style="604" bestFit="1" customWidth="1"/>
    <col min="13" max="16384" width="8.7109375" style="604"/>
  </cols>
  <sheetData>
    <row r="1" spans="1:13" ht="12.95" customHeight="1">
      <c r="A1" s="749" t="s">
        <v>1027</v>
      </c>
      <c r="B1" s="747" t="s">
        <v>1030</v>
      </c>
      <c r="C1" s="747" t="s">
        <v>1031</v>
      </c>
      <c r="D1" s="747" t="s">
        <v>1032</v>
      </c>
      <c r="E1" s="747" t="s">
        <v>1033</v>
      </c>
      <c r="F1" s="747" t="s">
        <v>1035</v>
      </c>
      <c r="G1" s="747" t="s">
        <v>1037</v>
      </c>
      <c r="H1" s="747" t="s">
        <v>1036</v>
      </c>
      <c r="I1" s="747" t="s">
        <v>1034</v>
      </c>
      <c r="K1" s="630" t="s">
        <v>87</v>
      </c>
      <c r="L1" s="630">
        <f>SUM(H2:H501)</f>
        <v>0.13200907415239446</v>
      </c>
      <c r="M1" s="630">
        <f>SUM(I2:I501)</f>
        <v>0.15312926956831471</v>
      </c>
    </row>
    <row r="2" spans="1:13">
      <c r="A2" s="563">
        <v>44564</v>
      </c>
      <c r="B2">
        <v>66.624000549316406</v>
      </c>
      <c r="C2" s="604">
        <v>15832.7998046875</v>
      </c>
      <c r="D2" s="748">
        <f t="shared" ref="D2:E18" si="0">B3/B2-1</f>
        <v>-3.2961082003508446E-2</v>
      </c>
      <c r="E2" s="748">
        <f t="shared" si="0"/>
        <v>-1.3268662568625578E-2</v>
      </c>
      <c r="F2" s="750">
        <f>D2-$F$504</f>
        <v>-3.3172037130247078E-2</v>
      </c>
      <c r="G2" s="750">
        <f>E2-$G$504</f>
        <v>-1.3294211809375253E-2</v>
      </c>
      <c r="H2" s="604">
        <f t="shared" ref="H2:H18" si="1">G2^2</f>
        <v>1.7673606763253242E-4</v>
      </c>
      <c r="I2" s="750">
        <f t="shared" ref="I2:I18" si="2">F2*G2</f>
        <v>4.409960877579651E-4</v>
      </c>
      <c r="K2" s="630" t="s">
        <v>1200</v>
      </c>
      <c r="L2" s="630">
        <f>COUNT(H2:H501)</f>
        <v>500</v>
      </c>
      <c r="M2" s="630">
        <f>COUNT(I2:I501)</f>
        <v>500</v>
      </c>
    </row>
    <row r="3" spans="1:13">
      <c r="A3" s="563">
        <v>44565</v>
      </c>
      <c r="B3">
        <v>64.428001403808594</v>
      </c>
      <c r="C3" s="604">
        <v>15622.7197265625</v>
      </c>
      <c r="D3" s="748">
        <f t="shared" si="0"/>
        <v>-5.7894074951327368E-2</v>
      </c>
      <c r="E3" s="748">
        <f t="shared" si="0"/>
        <v>-3.3448068827544475E-2</v>
      </c>
      <c r="F3" s="750">
        <f t="shared" ref="F3:F66" si="3">D3-$F$504</f>
        <v>-5.8105030078066E-2</v>
      </c>
      <c r="G3" s="750">
        <f t="shared" ref="G3:G66" si="4">E3-$G$504</f>
        <v>-3.3473618068294152E-2</v>
      </c>
      <c r="H3" s="604">
        <f t="shared" si="1"/>
        <v>1.1204831065820286E-3</v>
      </c>
      <c r="I3" s="750">
        <f t="shared" si="2"/>
        <v>1.9449855846799251E-3</v>
      </c>
      <c r="K3" s="604" t="s">
        <v>1201</v>
      </c>
      <c r="L3" s="604">
        <f>L1/499</f>
        <v>2.6454724279036964E-4</v>
      </c>
      <c r="M3" s="915">
        <f>SUM(I2:I501)</f>
        <v>0.15312926956831471</v>
      </c>
    </row>
    <row r="4" spans="1:13">
      <c r="A4" s="563">
        <v>44566</v>
      </c>
      <c r="B4">
        <v>60.698001861572273</v>
      </c>
      <c r="C4" s="604">
        <v>15100.169921875</v>
      </c>
      <c r="D4" s="748">
        <f t="shared" si="0"/>
        <v>3.4630421282764612E-2</v>
      </c>
      <c r="E4" s="748">
        <f t="shared" si="0"/>
        <v>-1.2787651008169254E-3</v>
      </c>
      <c r="F4" s="750">
        <f t="shared" si="3"/>
        <v>3.441946615602598E-2</v>
      </c>
      <c r="G4" s="750">
        <f t="shared" si="4"/>
        <v>-1.3043143415666012E-3</v>
      </c>
      <c r="H4" s="604">
        <f t="shared" si="1"/>
        <v>1.7012359016163164E-6</v>
      </c>
      <c r="I4" s="750">
        <f t="shared" si="2"/>
        <v>-4.4893803336370941E-5</v>
      </c>
      <c r="K4" s="604" t="s">
        <v>1202</v>
      </c>
      <c r="M4" s="604">
        <f>M1/499</f>
        <v>3.068722837040375E-4</v>
      </c>
    </row>
    <row r="5" spans="1:13" ht="18">
      <c r="A5" s="563">
        <v>44567</v>
      </c>
      <c r="B5">
        <v>62.799999237060547</v>
      </c>
      <c r="C5" s="604">
        <v>15080.8603515625</v>
      </c>
      <c r="D5" s="748">
        <f t="shared" si="0"/>
        <v>2.1019103676123141E-3</v>
      </c>
      <c r="E5" s="748">
        <f t="shared" si="0"/>
        <v>-9.6121811062643836E-3</v>
      </c>
      <c r="F5" s="750">
        <f t="shared" si="3"/>
        <v>1.8909552408736807E-3</v>
      </c>
      <c r="G5" s="750">
        <f t="shared" si="4"/>
        <v>-9.6377303470140587E-3</v>
      </c>
      <c r="H5" s="604">
        <f t="shared" si="1"/>
        <v>9.2885846241755722E-5</v>
      </c>
      <c r="I5" s="750">
        <f t="shared" si="2"/>
        <v>-1.8224516709813551E-5</v>
      </c>
      <c r="K5" s="913" t="s">
        <v>1203</v>
      </c>
      <c r="L5" s="914">
        <f>M4/L3</f>
        <v>1.1599904821053333</v>
      </c>
    </row>
    <row r="6" spans="1:13">
      <c r="A6" s="563">
        <v>44568</v>
      </c>
      <c r="B6">
        <v>62.931999206542969</v>
      </c>
      <c r="C6" s="604">
        <v>14935.900390625</v>
      </c>
      <c r="D6" s="748">
        <f t="shared" si="0"/>
        <v>3.1939270348517512E-2</v>
      </c>
      <c r="E6" s="748">
        <f t="shared" si="0"/>
        <v>4.6396181808705528E-4</v>
      </c>
      <c r="F6" s="750">
        <f t="shared" si="3"/>
        <v>3.172831522177888E-2</v>
      </c>
      <c r="G6" s="750">
        <f t="shared" si="4"/>
        <v>4.3841257733737946E-4</v>
      </c>
      <c r="H6" s="604">
        <f t="shared" si="1"/>
        <v>1.9220558796760372E-7</v>
      </c>
      <c r="I6" s="750">
        <f t="shared" si="2"/>
        <v>1.3910092450952888E-5</v>
      </c>
    </row>
    <row r="7" spans="1:13">
      <c r="A7" s="563">
        <v>44571</v>
      </c>
      <c r="B7">
        <v>64.942001342773438</v>
      </c>
      <c r="C7" s="604">
        <v>14942.830078125</v>
      </c>
      <c r="D7" s="748">
        <f t="shared" si="0"/>
        <v>-3.5416733728238503E-3</v>
      </c>
      <c r="E7" s="748">
        <f t="shared" si="0"/>
        <v>1.4095062052256635E-2</v>
      </c>
      <c r="F7" s="750">
        <f t="shared" si="3"/>
        <v>-3.7526284995624839E-3</v>
      </c>
      <c r="G7" s="750">
        <f t="shared" si="4"/>
        <v>1.406951281150696E-2</v>
      </c>
      <c r="H7" s="604">
        <f t="shared" si="1"/>
        <v>1.9795119075315847E-4</v>
      </c>
      <c r="I7" s="750">
        <f t="shared" si="2"/>
        <v>-5.2797654751420504E-5</v>
      </c>
    </row>
    <row r="8" spans="1:13">
      <c r="A8" s="563">
        <v>44572</v>
      </c>
      <c r="B8">
        <v>64.711997985839844</v>
      </c>
      <c r="C8" s="604">
        <v>15153.4501953125</v>
      </c>
      <c r="D8" s="748">
        <f t="shared" si="0"/>
        <v>-8.5610222483535336E-3</v>
      </c>
      <c r="E8" s="748">
        <f t="shared" si="0"/>
        <v>2.3057094374328013E-3</v>
      </c>
      <c r="F8" s="750">
        <f t="shared" si="3"/>
        <v>-8.7719773750921676E-3</v>
      </c>
      <c r="G8" s="750">
        <f t="shared" si="4"/>
        <v>2.2801601966831253E-3</v>
      </c>
      <c r="H8" s="604">
        <f t="shared" si="1"/>
        <v>5.1991305225380289E-6</v>
      </c>
      <c r="I8" s="750">
        <f t="shared" si="2"/>
        <v>-2.0001513656890084E-5</v>
      </c>
    </row>
    <row r="9" spans="1:13">
      <c r="A9" s="563">
        <v>44573</v>
      </c>
      <c r="B9">
        <v>64.157997131347656</v>
      </c>
      <c r="C9" s="604">
        <v>15188.3896484375</v>
      </c>
      <c r="D9" s="748">
        <f t="shared" si="0"/>
        <v>-4.0244350403249141E-2</v>
      </c>
      <c r="E9" s="748">
        <f t="shared" si="0"/>
        <v>-2.5123142542254673E-2</v>
      </c>
      <c r="F9" s="750">
        <f t="shared" si="3"/>
        <v>-4.0455305529987773E-2</v>
      </c>
      <c r="G9" s="750">
        <f t="shared" si="4"/>
        <v>-2.514869178300435E-2</v>
      </c>
      <c r="H9" s="604">
        <f t="shared" si="1"/>
        <v>6.3245669839655054E-4</v>
      </c>
      <c r="I9" s="750">
        <f t="shared" si="2"/>
        <v>1.0173980097609339E-3</v>
      </c>
    </row>
    <row r="10" spans="1:13">
      <c r="A10" s="563">
        <v>44574</v>
      </c>
      <c r="B10">
        <v>61.576000213623047</v>
      </c>
      <c r="C10" s="604">
        <v>14806.8095703125</v>
      </c>
      <c r="D10" s="748">
        <f t="shared" si="0"/>
        <v>1.5135754243692734E-2</v>
      </c>
      <c r="E10" s="748">
        <f t="shared" si="0"/>
        <v>5.8716517744521468E-3</v>
      </c>
      <c r="F10" s="750">
        <f t="shared" si="3"/>
        <v>1.49247991169541E-2</v>
      </c>
      <c r="G10" s="750">
        <f t="shared" si="4"/>
        <v>5.8461025337024708E-3</v>
      </c>
      <c r="H10" s="604">
        <f t="shared" si="1"/>
        <v>3.4176914834562447E-5</v>
      </c>
      <c r="I10" s="750">
        <f t="shared" si="2"/>
        <v>8.725190593262576E-5</v>
      </c>
    </row>
    <row r="11" spans="1:13">
      <c r="A11" s="563">
        <v>44575</v>
      </c>
      <c r="B11">
        <v>62.507999420166023</v>
      </c>
      <c r="C11" s="604">
        <v>14893.75</v>
      </c>
      <c r="D11" s="748">
        <f t="shared" si="0"/>
        <v>-1.3022320080248728E-2</v>
      </c>
      <c r="E11" s="748">
        <f t="shared" si="0"/>
        <v>-2.5973956147712918E-2</v>
      </c>
      <c r="F11" s="750">
        <f t="shared" si="3"/>
        <v>-1.3233275206987362E-2</v>
      </c>
      <c r="G11" s="750">
        <f t="shared" si="4"/>
        <v>-2.5999505388462595E-2</v>
      </c>
      <c r="H11" s="604">
        <f t="shared" si="1"/>
        <v>6.7597428044469544E-4</v>
      </c>
      <c r="I11" s="750">
        <f t="shared" si="2"/>
        <v>3.4405861005107639E-4</v>
      </c>
    </row>
    <row r="12" spans="1:13">
      <c r="A12" s="563">
        <v>44579</v>
      </c>
      <c r="B12">
        <v>61.694000244140618</v>
      </c>
      <c r="C12" s="604">
        <v>14506.900390625</v>
      </c>
      <c r="D12" s="748">
        <f t="shared" si="0"/>
        <v>-4.2467830998287326E-3</v>
      </c>
      <c r="E12" s="748">
        <f t="shared" si="0"/>
        <v>-1.1486990364095284E-2</v>
      </c>
      <c r="F12" s="750">
        <f t="shared" si="3"/>
        <v>-4.4577382265673657E-3</v>
      </c>
      <c r="G12" s="750">
        <f t="shared" si="4"/>
        <v>-1.1512539604844959E-2</v>
      </c>
      <c r="H12" s="604">
        <f t="shared" si="1"/>
        <v>1.3253856815312372E-4</v>
      </c>
      <c r="I12" s="750">
        <f t="shared" si="2"/>
        <v>5.131988788138813E-5</v>
      </c>
    </row>
    <row r="13" spans="1:13">
      <c r="A13" s="563">
        <v>44580</v>
      </c>
      <c r="B13">
        <v>61.431999206542969</v>
      </c>
      <c r="C13" s="604">
        <v>14340.259765625</v>
      </c>
      <c r="D13" s="748">
        <f t="shared" si="0"/>
        <v>-7.0646912605105694E-3</v>
      </c>
      <c r="E13" s="748">
        <f t="shared" si="0"/>
        <v>-1.2987228782384785E-2</v>
      </c>
      <c r="F13" s="750">
        <f t="shared" si="3"/>
        <v>-7.2756463872492025E-3</v>
      </c>
      <c r="G13" s="750">
        <f t="shared" si="4"/>
        <v>-1.3012778023134461E-2</v>
      </c>
      <c r="H13" s="604">
        <f t="shared" si="1"/>
        <v>1.693323918793712E-4</v>
      </c>
      <c r="I13" s="750">
        <f t="shared" si="2"/>
        <v>9.4676371412094059E-5</v>
      </c>
    </row>
    <row r="14" spans="1:13">
      <c r="A14" s="563">
        <v>44581</v>
      </c>
      <c r="B14">
        <v>60.998001098632813</v>
      </c>
      <c r="C14" s="604">
        <v>14154.01953125</v>
      </c>
      <c r="D14" s="748">
        <f t="shared" si="0"/>
        <v>-5.3575551617046857E-2</v>
      </c>
      <c r="E14" s="748">
        <f t="shared" si="0"/>
        <v>-2.7207791293826888E-2</v>
      </c>
      <c r="F14" s="750">
        <f t="shared" si="3"/>
        <v>-5.3786506743785489E-2</v>
      </c>
      <c r="G14" s="750">
        <f t="shared" si="4"/>
        <v>-2.7233340534576565E-2</v>
      </c>
      <c r="H14" s="604">
        <f t="shared" si="1"/>
        <v>7.4165483667221102E-4</v>
      </c>
      <c r="I14" s="750">
        <f t="shared" si="2"/>
        <v>1.4647862543188091E-3</v>
      </c>
    </row>
    <row r="15" spans="1:13">
      <c r="A15" s="563">
        <v>44582</v>
      </c>
      <c r="B15">
        <v>57.729999542236328</v>
      </c>
      <c r="C15" s="604">
        <v>13768.919921875</v>
      </c>
      <c r="D15" s="748">
        <f t="shared" si="0"/>
        <v>5.9588043088039111E-3</v>
      </c>
      <c r="E15" s="748">
        <f t="shared" si="0"/>
        <v>6.2611999653316985E-3</v>
      </c>
      <c r="F15" s="750">
        <f t="shared" si="3"/>
        <v>5.747849182065278E-3</v>
      </c>
      <c r="G15" s="750">
        <f t="shared" si="4"/>
        <v>6.2356507245820226E-3</v>
      </c>
      <c r="H15" s="604">
        <f t="shared" si="1"/>
        <v>3.8883339958980305E-5</v>
      </c>
      <c r="I15" s="750">
        <f t="shared" si="2"/>
        <v>3.5841579916933537E-5</v>
      </c>
    </row>
    <row r="16" spans="1:13">
      <c r="A16" s="563">
        <v>44585</v>
      </c>
      <c r="B16">
        <v>58.074001312255859</v>
      </c>
      <c r="C16" s="604">
        <v>13855.1298828125</v>
      </c>
      <c r="D16" s="748">
        <f t="shared" si="0"/>
        <v>-5.9992442072916208E-2</v>
      </c>
      <c r="E16" s="748">
        <f t="shared" si="0"/>
        <v>-2.279587751406098E-2</v>
      </c>
      <c r="F16" s="750">
        <f t="shared" si="3"/>
        <v>-6.020339719965484E-2</v>
      </c>
      <c r="G16" s="750">
        <f t="shared" si="4"/>
        <v>-2.2821426754810657E-2</v>
      </c>
      <c r="H16" s="604">
        <f t="shared" si="1"/>
        <v>5.2081751912518774E-4</v>
      </c>
      <c r="I16" s="750">
        <f t="shared" si="2"/>
        <v>1.3739274195826959E-3</v>
      </c>
    </row>
    <row r="17" spans="1:9">
      <c r="A17" s="563">
        <v>44586</v>
      </c>
      <c r="B17">
        <v>54.590000152587891</v>
      </c>
      <c r="C17" s="604">
        <v>13539.2900390625</v>
      </c>
      <c r="D17" s="748">
        <f t="shared" si="0"/>
        <v>-6.5946255604562021E-3</v>
      </c>
      <c r="E17" s="748">
        <f t="shared" si="0"/>
        <v>2.0902706987113717E-4</v>
      </c>
      <c r="F17" s="750">
        <f t="shared" si="3"/>
        <v>-6.8055806871948352E-3</v>
      </c>
      <c r="G17" s="750">
        <f t="shared" si="4"/>
        <v>1.8347782912146138E-4</v>
      </c>
      <c r="H17" s="604">
        <f t="shared" si="1"/>
        <v>3.3664113779124181E-8</v>
      </c>
      <c r="I17" s="750">
        <f t="shared" si="2"/>
        <v>-1.2486731703974517E-6</v>
      </c>
    </row>
    <row r="18" spans="1:9">
      <c r="A18" s="563">
        <v>44587</v>
      </c>
      <c r="B18">
        <v>54.229999542236328</v>
      </c>
      <c r="C18" s="604">
        <v>13542.1201171875</v>
      </c>
      <c r="D18" s="748">
        <f t="shared" si="0"/>
        <v>-5.2738207728171282E-3</v>
      </c>
      <c r="E18" s="748">
        <f t="shared" si="0"/>
        <v>-1.3981551050466057E-2</v>
      </c>
      <c r="F18" s="750">
        <f t="shared" si="3"/>
        <v>-5.4847758995557614E-3</v>
      </c>
      <c r="G18" s="750">
        <f t="shared" si="4"/>
        <v>-1.4007100291215732E-2</v>
      </c>
      <c r="H18" s="604">
        <f t="shared" si="1"/>
        <v>1.9619885856817583E-4</v>
      </c>
      <c r="I18" s="750">
        <f t="shared" si="2"/>
        <v>7.6825806099920535E-5</v>
      </c>
    </row>
    <row r="19" spans="1:9">
      <c r="A19" s="563">
        <v>44588</v>
      </c>
      <c r="B19">
        <v>53.944000244140618</v>
      </c>
      <c r="C19" s="604">
        <v>13352.7802734375</v>
      </c>
      <c r="D19" s="748">
        <f t="shared" ref="D19:E82" si="5">B20/B19-1</f>
        <v>4.6121884753487441E-2</v>
      </c>
      <c r="E19" s="748">
        <f t="shared" si="5"/>
        <v>3.1288617838908239E-2</v>
      </c>
      <c r="F19" s="750">
        <f t="shared" si="3"/>
        <v>4.5910929626748809E-2</v>
      </c>
      <c r="G19" s="750">
        <f t="shared" si="4"/>
        <v>3.1263068598158562E-2</v>
      </c>
      <c r="H19" s="604">
        <f t="shared" ref="H19:H82" si="6">G19^2</f>
        <v>9.7737945817316803E-4</v>
      </c>
      <c r="I19" s="750">
        <f t="shared" ref="I19:I82" si="7">F19*G19</f>
        <v>1.4353165423262784E-3</v>
      </c>
    </row>
    <row r="20" spans="1:9">
      <c r="A20" s="563">
        <v>44589</v>
      </c>
      <c r="B20">
        <v>56.431999206542969</v>
      </c>
      <c r="C20" s="604">
        <v>13770.5703125</v>
      </c>
      <c r="D20" s="748">
        <f t="shared" si="5"/>
        <v>5.3444901783306298E-2</v>
      </c>
      <c r="E20" s="748">
        <f t="shared" si="5"/>
        <v>3.4080619731957862E-2</v>
      </c>
      <c r="F20" s="750">
        <f t="shared" si="3"/>
        <v>5.3233946656567666E-2</v>
      </c>
      <c r="G20" s="750">
        <f t="shared" si="4"/>
        <v>3.4055070491208185E-2</v>
      </c>
      <c r="H20" s="604">
        <f t="shared" si="6"/>
        <v>1.1597478261611584E-3</v>
      </c>
      <c r="I20" s="750">
        <f t="shared" si="7"/>
        <v>1.8128858059146282E-3</v>
      </c>
    </row>
    <row r="21" spans="1:9">
      <c r="A21" s="563">
        <v>44592</v>
      </c>
      <c r="B21">
        <v>59.448001861572273</v>
      </c>
      <c r="C21" s="604">
        <v>14239.8798828125</v>
      </c>
      <c r="D21" s="748">
        <f t="shared" si="5"/>
        <v>1.6619548705824272E-2</v>
      </c>
      <c r="E21" s="748">
        <f t="shared" si="5"/>
        <v>7.4523182822339162E-3</v>
      </c>
      <c r="F21" s="750">
        <f t="shared" si="3"/>
        <v>1.640859357908564E-2</v>
      </c>
      <c r="G21" s="750">
        <f t="shared" si="4"/>
        <v>7.4267690414842403E-3</v>
      </c>
      <c r="H21" s="604">
        <f t="shared" si="6"/>
        <v>5.5156898395548742E-5</v>
      </c>
      <c r="I21" s="750">
        <f t="shared" si="7"/>
        <v>1.2186283480745032E-4</v>
      </c>
    </row>
    <row r="22" spans="1:9">
      <c r="A22" s="563">
        <v>44593</v>
      </c>
      <c r="B22">
        <v>60.436000823974609</v>
      </c>
      <c r="C22" s="604">
        <v>14346</v>
      </c>
      <c r="D22" s="748">
        <f t="shared" si="5"/>
        <v>2.5481515893361895E-2</v>
      </c>
      <c r="E22" s="748">
        <f t="shared" si="5"/>
        <v>4.9874393341349244E-3</v>
      </c>
      <c r="F22" s="750">
        <f t="shared" si="3"/>
        <v>2.5270560766623262E-2</v>
      </c>
      <c r="G22" s="750">
        <f t="shared" si="4"/>
        <v>4.9618900933852484E-3</v>
      </c>
      <c r="H22" s="604">
        <f t="shared" si="6"/>
        <v>2.4620353298834668E-5</v>
      </c>
      <c r="I22" s="750">
        <f t="shared" si="7"/>
        <v>1.2538974512219789E-4</v>
      </c>
    </row>
    <row r="23" spans="1:9">
      <c r="A23" s="563">
        <v>44594</v>
      </c>
      <c r="B23">
        <v>61.976001739501953</v>
      </c>
      <c r="C23" s="604">
        <v>14417.5498046875</v>
      </c>
      <c r="D23" s="748">
        <f t="shared" si="5"/>
        <v>-4.156447885183856E-2</v>
      </c>
      <c r="E23" s="748">
        <f t="shared" si="5"/>
        <v>-3.7366230703940073E-2</v>
      </c>
      <c r="F23" s="750">
        <f t="shared" si="3"/>
        <v>-4.1775433978577192E-2</v>
      </c>
      <c r="G23" s="750">
        <f t="shared" si="4"/>
        <v>-3.739177994468975E-2</v>
      </c>
      <c r="H23" s="604">
        <f t="shared" si="6"/>
        <v>1.3981452074321027E-3</v>
      </c>
      <c r="I23" s="750">
        <f t="shared" si="7"/>
        <v>1.5620578344208735E-3</v>
      </c>
    </row>
    <row r="24" spans="1:9">
      <c r="A24" s="563">
        <v>44595</v>
      </c>
      <c r="B24">
        <v>59.400001525878913</v>
      </c>
      <c r="C24" s="604">
        <v>13878.8203125</v>
      </c>
      <c r="D24" s="748">
        <f t="shared" si="5"/>
        <v>5.8350160172326637E-2</v>
      </c>
      <c r="E24" s="748">
        <f t="shared" si="5"/>
        <v>1.5793089627912149E-2</v>
      </c>
      <c r="F24" s="750">
        <f t="shared" si="3"/>
        <v>5.8139205045588005E-2</v>
      </c>
      <c r="G24" s="750">
        <f t="shared" si="4"/>
        <v>1.5767540387162472E-2</v>
      </c>
      <c r="H24" s="604">
        <f t="shared" si="6"/>
        <v>2.4861532986079969E-4</v>
      </c>
      <c r="I24" s="750">
        <f t="shared" si="7"/>
        <v>9.1671226363382904E-4</v>
      </c>
    </row>
    <row r="25" spans="1:9">
      <c r="A25" s="563">
        <v>44596</v>
      </c>
      <c r="B25">
        <v>62.866001129150391</v>
      </c>
      <c r="C25" s="604">
        <v>14098.009765625</v>
      </c>
      <c r="D25" s="748">
        <f t="shared" si="5"/>
        <v>-2.2619553645355173E-2</v>
      </c>
      <c r="E25" s="748">
        <f t="shared" si="5"/>
        <v>-5.8405296292791675E-3</v>
      </c>
      <c r="F25" s="750">
        <f t="shared" si="3"/>
        <v>-2.2830508772093805E-2</v>
      </c>
      <c r="G25" s="750">
        <f t="shared" si="4"/>
        <v>-5.8660788700288435E-3</v>
      </c>
      <c r="H25" s="604">
        <f t="shared" si="6"/>
        <v>3.4410881309398876E-5</v>
      </c>
      <c r="I25" s="750">
        <f t="shared" si="7"/>
        <v>1.3392556509998763E-4</v>
      </c>
    </row>
    <row r="26" spans="1:9">
      <c r="A26" s="563">
        <v>44599</v>
      </c>
      <c r="B26">
        <v>61.444000244140618</v>
      </c>
      <c r="C26" s="604">
        <v>14015.669921875</v>
      </c>
      <c r="D26" s="748">
        <f t="shared" si="5"/>
        <v>2.4868170559507297E-2</v>
      </c>
      <c r="E26" s="748">
        <f t="shared" si="5"/>
        <v>1.2755742282319904E-2</v>
      </c>
      <c r="F26" s="750">
        <f t="shared" si="3"/>
        <v>2.4657215432768664E-2</v>
      </c>
      <c r="G26" s="750">
        <f t="shared" si="4"/>
        <v>1.2730193041570229E-2</v>
      </c>
      <c r="H26" s="604">
        <f t="shared" si="6"/>
        <v>1.6205781487564307E-4</v>
      </c>
      <c r="I26" s="750">
        <f t="shared" si="7"/>
        <v>3.1389111232672968E-4</v>
      </c>
    </row>
    <row r="27" spans="1:9">
      <c r="A27" s="563">
        <v>44600</v>
      </c>
      <c r="B27">
        <v>62.972000122070313</v>
      </c>
      <c r="C27" s="604">
        <v>14194.4501953125</v>
      </c>
      <c r="D27" s="748">
        <f t="shared" si="5"/>
        <v>4.7576735556404737E-2</v>
      </c>
      <c r="E27" s="748">
        <f t="shared" si="5"/>
        <v>2.0847579004696026E-2</v>
      </c>
      <c r="F27" s="750">
        <f t="shared" si="3"/>
        <v>4.7365780429666104E-2</v>
      </c>
      <c r="G27" s="750">
        <f t="shared" si="4"/>
        <v>2.0822029763946349E-2</v>
      </c>
      <c r="H27" s="604">
        <f t="shared" si="6"/>
        <v>4.3355692349066765E-4</v>
      </c>
      <c r="I27" s="750">
        <f t="shared" si="7"/>
        <v>9.8625168989905504E-4</v>
      </c>
    </row>
    <row r="28" spans="1:9">
      <c r="A28" s="563">
        <v>44601</v>
      </c>
      <c r="B28">
        <v>65.968002319335938</v>
      </c>
      <c r="C28" s="604">
        <v>14490.3701171875</v>
      </c>
      <c r="D28" s="748">
        <f t="shared" si="5"/>
        <v>-1.3582398915267802E-2</v>
      </c>
      <c r="E28" s="748">
        <f t="shared" si="5"/>
        <v>-2.1029860954935087E-2</v>
      </c>
      <c r="F28" s="750">
        <f t="shared" si="3"/>
        <v>-1.3793354042006436E-2</v>
      </c>
      <c r="G28" s="750">
        <f t="shared" si="4"/>
        <v>-2.1055410195684764E-2</v>
      </c>
      <c r="H28" s="604">
        <f t="shared" si="6"/>
        <v>4.4333029850854587E-4</v>
      </c>
      <c r="I28" s="750">
        <f t="shared" si="7"/>
        <v>2.9042472732875192E-4</v>
      </c>
    </row>
    <row r="29" spans="1:9">
      <c r="A29" s="563">
        <v>44602</v>
      </c>
      <c r="B29">
        <v>65.071998596191406</v>
      </c>
      <c r="C29" s="604">
        <v>14185.6396484375</v>
      </c>
      <c r="D29" s="748">
        <f t="shared" si="5"/>
        <v>-4.6379361427449028E-2</v>
      </c>
      <c r="E29" s="748">
        <f t="shared" si="5"/>
        <v>-2.7809056735481952E-2</v>
      </c>
      <c r="F29" s="750">
        <f t="shared" si="3"/>
        <v>-4.6590316554187661E-2</v>
      </c>
      <c r="G29" s="750">
        <f t="shared" si="4"/>
        <v>-2.7834605976231629E-2</v>
      </c>
      <c r="H29" s="604">
        <f t="shared" si="6"/>
        <v>7.747652898520695E-4</v>
      </c>
      <c r="I29" s="750">
        <f t="shared" si="7"/>
        <v>1.2968231035937153E-3</v>
      </c>
    </row>
    <row r="30" spans="1:9">
      <c r="A30" s="563">
        <v>44603</v>
      </c>
      <c r="B30">
        <v>62.054000854492188</v>
      </c>
      <c r="C30" s="604">
        <v>13791.150390625</v>
      </c>
      <c r="D30" s="748">
        <f t="shared" si="5"/>
        <v>2.5782125425788394E-4</v>
      </c>
      <c r="E30" s="748">
        <f t="shared" si="5"/>
        <v>-1.6711350646736456E-5</v>
      </c>
      <c r="F30" s="750">
        <f t="shared" si="3"/>
        <v>4.6866127519250566E-5</v>
      </c>
      <c r="G30" s="750">
        <f t="shared" si="4"/>
        <v>-4.2260591396412248E-5</v>
      </c>
      <c r="H30" s="604">
        <f t="shared" si="6"/>
        <v>1.785957585174513E-9</v>
      </c>
      <c r="I30" s="750">
        <f t="shared" si="7"/>
        <v>-1.9805902654231996E-9</v>
      </c>
    </row>
    <row r="31" spans="1:9">
      <c r="A31" s="563">
        <v>44606</v>
      </c>
      <c r="B31">
        <v>62.069999694824219</v>
      </c>
      <c r="C31" s="604">
        <v>13790.919921875</v>
      </c>
      <c r="D31" s="748">
        <f t="shared" si="5"/>
        <v>3.8891597820404744E-2</v>
      </c>
      <c r="E31" s="748">
        <f t="shared" si="5"/>
        <v>2.5294892996708285E-2</v>
      </c>
      <c r="F31" s="750">
        <f t="shared" si="3"/>
        <v>3.8680642693666112E-2</v>
      </c>
      <c r="G31" s="750">
        <f t="shared" si="4"/>
        <v>2.5269343755958608E-2</v>
      </c>
      <c r="H31" s="604">
        <f t="shared" si="6"/>
        <v>6.3853973385680424E-4</v>
      </c>
      <c r="I31" s="750">
        <f t="shared" si="7"/>
        <v>9.7743445692765772E-4</v>
      </c>
    </row>
    <row r="32" spans="1:9">
      <c r="A32" s="563">
        <v>44607</v>
      </c>
      <c r="B32">
        <v>64.484001159667969</v>
      </c>
      <c r="C32" s="604">
        <v>14139.759765625</v>
      </c>
      <c r="D32" s="748">
        <f t="shared" si="5"/>
        <v>-6.3892214513241452E-3</v>
      </c>
      <c r="E32" s="748">
        <f t="shared" si="5"/>
        <v>-1.1082169806798658E-3</v>
      </c>
      <c r="F32" s="750">
        <f t="shared" si="3"/>
        <v>-6.6001765780627783E-3</v>
      </c>
      <c r="G32" s="750">
        <f t="shared" si="4"/>
        <v>-1.1337662214295416E-3</v>
      </c>
      <c r="H32" s="604">
        <f t="shared" si="6"/>
        <v>1.2854258448546204E-6</v>
      </c>
      <c r="I32" s="750">
        <f t="shared" si="7"/>
        <v>7.4830572596779978E-6</v>
      </c>
    </row>
    <row r="33" spans="1:9">
      <c r="A33" s="563">
        <v>44608</v>
      </c>
      <c r="B33">
        <v>64.071998596191406</v>
      </c>
      <c r="C33" s="604">
        <v>14124.08984375</v>
      </c>
      <c r="D33" s="748">
        <f t="shared" si="5"/>
        <v>-3.0652967446590185E-2</v>
      </c>
      <c r="E33" s="748">
        <f t="shared" si="5"/>
        <v>-2.8842220751503111E-2</v>
      </c>
      <c r="F33" s="750">
        <f t="shared" si="3"/>
        <v>-3.0863922573328817E-2</v>
      </c>
      <c r="G33" s="750">
        <f t="shared" si="4"/>
        <v>-2.8867769992252788E-2</v>
      </c>
      <c r="H33" s="604">
        <f t="shared" si="6"/>
        <v>8.3334814432561052E-4</v>
      </c>
      <c r="I33" s="750">
        <f t="shared" si="7"/>
        <v>8.9097261790555503E-4</v>
      </c>
    </row>
    <row r="34" spans="1:9">
      <c r="A34" s="563">
        <v>44609</v>
      </c>
      <c r="B34">
        <v>62.108001708984382</v>
      </c>
      <c r="C34" s="604">
        <v>13716.7197265625</v>
      </c>
      <c r="D34" s="748">
        <f t="shared" si="5"/>
        <v>-1.8322928720417075E-2</v>
      </c>
      <c r="E34" s="748">
        <f t="shared" si="5"/>
        <v>-1.2295170961021396E-2</v>
      </c>
      <c r="F34" s="750">
        <f t="shared" si="3"/>
        <v>-1.8533883847155708E-2</v>
      </c>
      <c r="G34" s="750">
        <f t="shared" si="4"/>
        <v>-1.2320720201771071E-2</v>
      </c>
      <c r="H34" s="604">
        <f t="shared" si="6"/>
        <v>1.5180014629032976E-4</v>
      </c>
      <c r="I34" s="750">
        <f t="shared" si="7"/>
        <v>2.2835079713292986E-4</v>
      </c>
    </row>
    <row r="35" spans="1:9">
      <c r="A35" s="563">
        <v>44610</v>
      </c>
      <c r="B35">
        <v>60.970001220703118</v>
      </c>
      <c r="C35" s="604">
        <v>13548.0703125</v>
      </c>
      <c r="D35" s="748">
        <f t="shared" si="5"/>
        <v>-2.4438275358945605E-2</v>
      </c>
      <c r="E35" s="748">
        <f t="shared" si="5"/>
        <v>-1.2293321292873194E-2</v>
      </c>
      <c r="F35" s="750">
        <f t="shared" si="3"/>
        <v>-2.4649230485684237E-2</v>
      </c>
      <c r="G35" s="750">
        <f t="shared" si="4"/>
        <v>-1.2318870533622869E-2</v>
      </c>
      <c r="H35" s="604">
        <f t="shared" si="6"/>
        <v>1.5175457122416179E-4</v>
      </c>
      <c r="I35" s="750">
        <f t="shared" si="7"/>
        <v>3.0365067910657407E-4</v>
      </c>
    </row>
    <row r="36" spans="1:9">
      <c r="A36" s="563">
        <v>44614</v>
      </c>
      <c r="B36">
        <v>59.479999542236328</v>
      </c>
      <c r="C36" s="604">
        <v>13381.51953125</v>
      </c>
      <c r="D36" s="748">
        <f t="shared" si="5"/>
        <v>-4.3342285387201862E-2</v>
      </c>
      <c r="E36" s="748">
        <f t="shared" si="5"/>
        <v>-2.5709284814148692E-2</v>
      </c>
      <c r="F36" s="750">
        <f t="shared" si="3"/>
        <v>-4.3553240513940494E-2</v>
      </c>
      <c r="G36" s="750">
        <f t="shared" si="4"/>
        <v>-2.5734834054898369E-2</v>
      </c>
      <c r="H36" s="604">
        <f t="shared" si="6"/>
        <v>6.6228168383315679E-4</v>
      </c>
      <c r="I36" s="750">
        <f t="shared" si="7"/>
        <v>1.1208354171793351E-3</v>
      </c>
    </row>
    <row r="37" spans="1:9">
      <c r="A37" s="563">
        <v>44615</v>
      </c>
      <c r="B37">
        <v>56.902000427246087</v>
      </c>
      <c r="C37" s="604">
        <v>13037.490234375</v>
      </c>
      <c r="D37" s="748">
        <f t="shared" si="5"/>
        <v>0.1122631970812491</v>
      </c>
      <c r="E37" s="748">
        <f t="shared" si="5"/>
        <v>3.344965952305512E-2</v>
      </c>
      <c r="F37" s="750">
        <f t="shared" si="3"/>
        <v>0.11205224195451047</v>
      </c>
      <c r="G37" s="750">
        <f t="shared" si="4"/>
        <v>3.3424110282305443E-2</v>
      </c>
      <c r="H37" s="604">
        <f t="shared" si="6"/>
        <v>1.1171711481637165E-3</v>
      </c>
      <c r="I37" s="750">
        <f t="shared" si="7"/>
        <v>3.7452464924671307E-3</v>
      </c>
    </row>
    <row r="38" spans="1:9">
      <c r="A38" s="563">
        <v>44616</v>
      </c>
      <c r="B38">
        <v>63.290000915527337</v>
      </c>
      <c r="C38" s="604">
        <v>13473.58984375</v>
      </c>
      <c r="D38" s="748">
        <f t="shared" si="5"/>
        <v>2.6923721847396109E-2</v>
      </c>
      <c r="E38" s="748">
        <f t="shared" si="5"/>
        <v>1.6404705501706252E-2</v>
      </c>
      <c r="F38" s="750">
        <f t="shared" si="3"/>
        <v>2.6712766720657477E-2</v>
      </c>
      <c r="G38" s="750">
        <f t="shared" si="4"/>
        <v>1.6379156260956575E-2</v>
      </c>
      <c r="H38" s="604">
        <f t="shared" si="6"/>
        <v>2.6827675982083295E-4</v>
      </c>
      <c r="I38" s="750">
        <f t="shared" si="7"/>
        <v>4.3753258028012937E-4</v>
      </c>
    </row>
    <row r="39" spans="1:9">
      <c r="A39" s="563">
        <v>44617</v>
      </c>
      <c r="B39">
        <v>64.994003295898438</v>
      </c>
      <c r="C39" s="604">
        <v>13694.6201171875</v>
      </c>
      <c r="D39" s="748">
        <f t="shared" si="5"/>
        <v>6.0159335237649492E-2</v>
      </c>
      <c r="E39" s="748">
        <f t="shared" si="5"/>
        <v>4.1461736763503954E-3</v>
      </c>
      <c r="F39" s="750">
        <f t="shared" si="3"/>
        <v>5.9948380110910859E-2</v>
      </c>
      <c r="G39" s="750">
        <f t="shared" si="4"/>
        <v>4.1206244356007194E-3</v>
      </c>
      <c r="H39" s="604">
        <f t="shared" si="6"/>
        <v>1.6979545739269748E-5</v>
      </c>
      <c r="I39" s="750">
        <f t="shared" si="7"/>
        <v>2.4702475995969943E-4</v>
      </c>
    </row>
    <row r="40" spans="1:9">
      <c r="A40" s="563">
        <v>44620</v>
      </c>
      <c r="B40">
        <v>68.903999328613281</v>
      </c>
      <c r="C40" s="604">
        <v>13751.400390625</v>
      </c>
      <c r="D40" s="748">
        <f t="shared" si="5"/>
        <v>-1.9418284128071117E-2</v>
      </c>
      <c r="E40" s="748">
        <f t="shared" si="5"/>
        <v>-1.5921318808865603E-2</v>
      </c>
      <c r="F40" s="750">
        <f t="shared" si="3"/>
        <v>-1.9629239254809749E-2</v>
      </c>
      <c r="G40" s="750">
        <f t="shared" si="4"/>
        <v>-1.594686804961528E-2</v>
      </c>
      <c r="H40" s="604">
        <f t="shared" si="6"/>
        <v>2.5430260059184067E-4</v>
      </c>
      <c r="I40" s="750">
        <f t="shared" si="7"/>
        <v>3.1302488831077966E-4</v>
      </c>
    </row>
    <row r="41" spans="1:9">
      <c r="A41" s="563">
        <v>44621</v>
      </c>
      <c r="B41">
        <v>67.566001892089844</v>
      </c>
      <c r="C41" s="604">
        <v>13532.4599609375</v>
      </c>
      <c r="D41" s="748">
        <f t="shared" si="5"/>
        <v>2.066122094925138E-2</v>
      </c>
      <c r="E41" s="748">
        <f t="shared" si="5"/>
        <v>1.6224660626839249E-2</v>
      </c>
      <c r="F41" s="750">
        <f t="shared" si="3"/>
        <v>2.0450265822512748E-2</v>
      </c>
      <c r="G41" s="750">
        <f t="shared" si="4"/>
        <v>1.6199111386089572E-2</v>
      </c>
      <c r="H41" s="604">
        <f t="shared" si="6"/>
        <v>2.6241120969893681E-4</v>
      </c>
      <c r="I41" s="750">
        <f t="shared" si="7"/>
        <v>3.3127613393402466E-4</v>
      </c>
    </row>
    <row r="42" spans="1:9">
      <c r="A42" s="563">
        <v>44622</v>
      </c>
      <c r="B42">
        <v>68.961997985839844</v>
      </c>
      <c r="C42" s="604">
        <v>13752.01953125</v>
      </c>
      <c r="D42" s="748">
        <f t="shared" si="5"/>
        <v>-2.4535271485621069E-2</v>
      </c>
      <c r="E42" s="748">
        <f t="shared" si="5"/>
        <v>-1.5567102786323672E-2</v>
      </c>
      <c r="F42" s="750">
        <f t="shared" si="3"/>
        <v>-2.4746226612359701E-2</v>
      </c>
      <c r="G42" s="750">
        <f t="shared" si="4"/>
        <v>-1.5592652027073347E-2</v>
      </c>
      <c r="H42" s="604">
        <f t="shared" si="6"/>
        <v>2.4313079723739457E-4</v>
      </c>
      <c r="I42" s="750">
        <f t="shared" si="7"/>
        <v>3.8585930054962691E-4</v>
      </c>
    </row>
    <row r="43" spans="1:9">
      <c r="A43" s="563">
        <v>44623</v>
      </c>
      <c r="B43">
        <v>67.269996643066406</v>
      </c>
      <c r="C43" s="604">
        <v>13537.9404296875</v>
      </c>
      <c r="D43" s="748">
        <f t="shared" si="5"/>
        <v>-2.6459608041679017E-3</v>
      </c>
      <c r="E43" s="748">
        <f t="shared" si="5"/>
        <v>-1.6583024660655976E-2</v>
      </c>
      <c r="F43" s="750">
        <f t="shared" si="3"/>
        <v>-2.8569159309065353E-3</v>
      </c>
      <c r="G43" s="750">
        <f t="shared" si="4"/>
        <v>-1.6608573901405653E-2</v>
      </c>
      <c r="H43" s="604">
        <f t="shared" si="6"/>
        <v>2.7584472703845301E-4</v>
      </c>
      <c r="I43" s="750">
        <f t="shared" si="7"/>
        <v>4.7449299368564314E-5</v>
      </c>
    </row>
    <row r="44" spans="1:9">
      <c r="A44" s="563">
        <v>44624</v>
      </c>
      <c r="B44">
        <v>67.092002868652344</v>
      </c>
      <c r="C44" s="604">
        <v>13313.4404296875</v>
      </c>
      <c r="D44" s="748">
        <f t="shared" si="5"/>
        <v>-0.13143153030350752</v>
      </c>
      <c r="E44" s="748">
        <f t="shared" si="5"/>
        <v>-3.6240104223858038E-2</v>
      </c>
      <c r="F44" s="750">
        <f t="shared" si="3"/>
        <v>-0.13164248543024615</v>
      </c>
      <c r="G44" s="750">
        <f t="shared" si="4"/>
        <v>-3.6265653464607715E-2</v>
      </c>
      <c r="H44" s="604">
        <f t="shared" si="6"/>
        <v>1.3151976212150136E-3</v>
      </c>
      <c r="I44" s="750">
        <f t="shared" si="7"/>
        <v>4.7741007578329768E-3</v>
      </c>
    </row>
    <row r="45" spans="1:9">
      <c r="A45" s="563">
        <v>44627</v>
      </c>
      <c r="B45">
        <v>58.273998260498047</v>
      </c>
      <c r="C45" s="604">
        <v>12830.9599609375</v>
      </c>
      <c r="D45" s="748">
        <f t="shared" si="5"/>
        <v>-4.9902138486332182E-2</v>
      </c>
      <c r="E45" s="748">
        <f t="shared" si="5"/>
        <v>-2.7597433362587243E-3</v>
      </c>
      <c r="F45" s="750">
        <f t="shared" si="3"/>
        <v>-5.0113093613070814E-2</v>
      </c>
      <c r="G45" s="750">
        <f t="shared" si="4"/>
        <v>-2.7852925770084002E-3</v>
      </c>
      <c r="H45" s="604">
        <f t="shared" si="6"/>
        <v>7.7578547395380947E-6</v>
      </c>
      <c r="I45" s="750">
        <f t="shared" si="7"/>
        <v>1.3957962765141321E-4</v>
      </c>
    </row>
    <row r="46" spans="1:9">
      <c r="A46" s="563">
        <v>44628</v>
      </c>
      <c r="B46">
        <v>55.366001129150391</v>
      </c>
      <c r="C46" s="604">
        <v>12795.5498046875</v>
      </c>
      <c r="D46" s="748">
        <f t="shared" si="5"/>
        <v>3.8290627617109774E-2</v>
      </c>
      <c r="E46" s="748">
        <f t="shared" si="5"/>
        <v>3.5949998790320459E-2</v>
      </c>
      <c r="F46" s="750">
        <f t="shared" si="3"/>
        <v>3.8079672490371141E-2</v>
      </c>
      <c r="G46" s="750">
        <f t="shared" si="4"/>
        <v>3.5924449549570782E-2</v>
      </c>
      <c r="H46" s="604">
        <f t="shared" si="6"/>
        <v>1.2905660754396564E-3</v>
      </c>
      <c r="I46" s="750">
        <f t="shared" si="7"/>
        <v>1.3679912732445165E-3</v>
      </c>
    </row>
    <row r="47" spans="1:9">
      <c r="A47" s="563">
        <v>44629</v>
      </c>
      <c r="B47">
        <v>57.486000061035163</v>
      </c>
      <c r="C47" s="604">
        <v>13255.5498046875</v>
      </c>
      <c r="D47" s="748">
        <f t="shared" si="5"/>
        <v>-2.3309826863470162E-3</v>
      </c>
      <c r="E47" s="748">
        <f t="shared" si="5"/>
        <v>-9.474510344760545E-3</v>
      </c>
      <c r="F47" s="750">
        <f t="shared" si="3"/>
        <v>-2.5419378130856498E-3</v>
      </c>
      <c r="G47" s="750">
        <f t="shared" si="4"/>
        <v>-9.5000595855102201E-3</v>
      </c>
      <c r="H47" s="604">
        <f t="shared" si="6"/>
        <v>9.0251132128244612E-5</v>
      </c>
      <c r="I47" s="750">
        <f t="shared" si="7"/>
        <v>2.4148560686975215E-5</v>
      </c>
    </row>
    <row r="48" spans="1:9">
      <c r="A48" s="563">
        <v>44630</v>
      </c>
      <c r="B48">
        <v>57.352001190185547</v>
      </c>
      <c r="C48" s="604">
        <v>13129.9599609375</v>
      </c>
      <c r="D48" s="748">
        <f t="shared" si="5"/>
        <v>-2.6607632600336162E-2</v>
      </c>
      <c r="E48" s="748">
        <f t="shared" si="5"/>
        <v>-2.1793698646173865E-2</v>
      </c>
      <c r="F48" s="750">
        <f t="shared" si="3"/>
        <v>-2.6818587727074794E-2</v>
      </c>
      <c r="G48" s="750">
        <f t="shared" si="4"/>
        <v>-2.1819247886923542E-2</v>
      </c>
      <c r="H48" s="604">
        <f t="shared" si="6"/>
        <v>4.7607957835101743E-4</v>
      </c>
      <c r="I48" s="750">
        <f t="shared" si="7"/>
        <v>5.8516141359425038E-4</v>
      </c>
    </row>
    <row r="49" spans="1:9">
      <c r="A49" s="563">
        <v>44631</v>
      </c>
      <c r="B49">
        <v>55.826000213623047</v>
      </c>
      <c r="C49" s="604">
        <v>12843.8095703125</v>
      </c>
      <c r="D49" s="748">
        <f t="shared" si="5"/>
        <v>-1.3219628122708493E-2</v>
      </c>
      <c r="E49" s="748">
        <f t="shared" si="5"/>
        <v>-2.0444856513363141E-2</v>
      </c>
      <c r="F49" s="750">
        <f t="shared" si="3"/>
        <v>-1.3430583249447127E-2</v>
      </c>
      <c r="G49" s="750">
        <f t="shared" si="4"/>
        <v>-2.0470405754112818E-2</v>
      </c>
      <c r="H49" s="604">
        <f t="shared" si="6"/>
        <v>4.1903751173801517E-4</v>
      </c>
      <c r="I49" s="750">
        <f t="shared" si="7"/>
        <v>2.749294886305737E-4</v>
      </c>
    </row>
    <row r="50" spans="1:9">
      <c r="A50" s="563">
        <v>44634</v>
      </c>
      <c r="B50">
        <v>55.088001251220703</v>
      </c>
      <c r="C50" s="604">
        <v>12581.2197265625</v>
      </c>
      <c r="D50" s="748">
        <f t="shared" si="5"/>
        <v>2.8608774648329227E-2</v>
      </c>
      <c r="E50" s="748">
        <f t="shared" si="5"/>
        <v>2.9202287108086589E-2</v>
      </c>
      <c r="F50" s="750">
        <f t="shared" si="3"/>
        <v>2.8397819521590595E-2</v>
      </c>
      <c r="G50" s="750">
        <f t="shared" si="4"/>
        <v>2.9176737867336912E-2</v>
      </c>
      <c r="H50" s="604">
        <f t="shared" si="6"/>
        <v>8.5128203257929167E-4</v>
      </c>
      <c r="I50" s="750">
        <f t="shared" si="7"/>
        <v>8.2855573618539164E-4</v>
      </c>
    </row>
    <row r="51" spans="1:9">
      <c r="A51" s="563">
        <v>44635</v>
      </c>
      <c r="B51">
        <v>56.66400146484375</v>
      </c>
      <c r="C51" s="604">
        <v>12948.6201171875</v>
      </c>
      <c r="D51" s="748">
        <f t="shared" si="5"/>
        <v>5.0190559822831826E-2</v>
      </c>
      <c r="E51" s="748">
        <f t="shared" si="5"/>
        <v>3.7681983337540359E-2</v>
      </c>
      <c r="F51" s="750">
        <f t="shared" si="3"/>
        <v>4.9979604696093194E-2</v>
      </c>
      <c r="G51" s="750">
        <f t="shared" si="4"/>
        <v>3.7656434096790682E-2</v>
      </c>
      <c r="H51" s="604">
        <f t="shared" si="6"/>
        <v>1.4180070288859399E-3</v>
      </c>
      <c r="I51" s="750">
        <f t="shared" si="7"/>
        <v>1.8820536904220835E-3</v>
      </c>
    </row>
    <row r="52" spans="1:9">
      <c r="A52" s="563">
        <v>44636</v>
      </c>
      <c r="B52">
        <v>59.507999420166023</v>
      </c>
      <c r="C52" s="604">
        <v>13436.5498046875</v>
      </c>
      <c r="D52" s="748">
        <f t="shared" si="5"/>
        <v>1.9963697938385039E-2</v>
      </c>
      <c r="E52" s="748">
        <f t="shared" si="5"/>
        <v>1.3264600759922862E-2</v>
      </c>
      <c r="F52" s="750">
        <f t="shared" si="3"/>
        <v>1.9752742811646407E-2</v>
      </c>
      <c r="G52" s="750">
        <f t="shared" si="4"/>
        <v>1.3239051519173187E-2</v>
      </c>
      <c r="H52" s="604">
        <f t="shared" si="6"/>
        <v>1.7527248512732188E-4</v>
      </c>
      <c r="I52" s="750">
        <f t="shared" si="7"/>
        <v>2.6150757972836461E-4</v>
      </c>
    </row>
    <row r="53" spans="1:9">
      <c r="A53" s="563">
        <v>44637</v>
      </c>
      <c r="B53">
        <v>60.695999145507813</v>
      </c>
      <c r="C53" s="604">
        <v>13614.7802734375</v>
      </c>
      <c r="D53" s="748">
        <f t="shared" si="5"/>
        <v>5.4336371130278227E-2</v>
      </c>
      <c r="E53" s="748">
        <f t="shared" si="5"/>
        <v>2.0496810430128409E-2</v>
      </c>
      <c r="F53" s="750">
        <f t="shared" si="3"/>
        <v>5.4125416003539595E-2</v>
      </c>
      <c r="G53" s="750">
        <f t="shared" si="4"/>
        <v>2.0471261189378732E-2</v>
      </c>
      <c r="H53" s="604">
        <f t="shared" si="6"/>
        <v>4.1907253468376394E-4</v>
      </c>
      <c r="I53" s="750">
        <f t="shared" si="7"/>
        <v>1.1080155279922386E-3</v>
      </c>
    </row>
    <row r="54" spans="1:9">
      <c r="A54" s="563">
        <v>44638</v>
      </c>
      <c r="B54">
        <v>63.993999481201172</v>
      </c>
      <c r="C54" s="604">
        <v>13893.83984375</v>
      </c>
      <c r="D54" s="748">
        <f t="shared" si="5"/>
        <v>-1.7001613589416542E-2</v>
      </c>
      <c r="E54" s="748">
        <f t="shared" si="5"/>
        <v>-3.9859307027647617E-3</v>
      </c>
      <c r="F54" s="750">
        <f t="shared" si="3"/>
        <v>-1.7212568716155174E-2</v>
      </c>
      <c r="G54" s="750">
        <f t="shared" si="4"/>
        <v>-4.0114799435144377E-3</v>
      </c>
      <c r="H54" s="604">
        <f t="shared" si="6"/>
        <v>1.6091971337218597E-5</v>
      </c>
      <c r="I54" s="750">
        <f t="shared" si="7"/>
        <v>6.904787418122054E-5</v>
      </c>
    </row>
    <row r="55" spans="1:9">
      <c r="A55" s="563">
        <v>44641</v>
      </c>
      <c r="B55">
        <v>62.905998229980469</v>
      </c>
      <c r="C55" s="604">
        <v>13838.4599609375</v>
      </c>
      <c r="D55" s="748">
        <f t="shared" si="5"/>
        <v>3.5481548995387024E-2</v>
      </c>
      <c r="E55" s="748">
        <f t="shared" si="5"/>
        <v>1.9536881439528697E-2</v>
      </c>
      <c r="F55" s="750">
        <f t="shared" si="3"/>
        <v>3.5270593868648392E-2</v>
      </c>
      <c r="G55" s="750">
        <f t="shared" si="4"/>
        <v>1.951133219877902E-2</v>
      </c>
      <c r="H55" s="604">
        <f t="shared" si="6"/>
        <v>3.8069208417111097E-4</v>
      </c>
      <c r="I55" s="750">
        <f t="shared" si="7"/>
        <v>6.8817627381941731E-4</v>
      </c>
    </row>
    <row r="56" spans="1:9">
      <c r="A56" s="563">
        <v>44642</v>
      </c>
      <c r="B56">
        <v>65.13800048828125</v>
      </c>
      <c r="C56" s="604">
        <v>14108.8203125</v>
      </c>
      <c r="D56" s="748">
        <f t="shared" si="5"/>
        <v>-1.307988223620038E-2</v>
      </c>
      <c r="E56" s="748">
        <f t="shared" si="5"/>
        <v>-1.3198885448984954E-2</v>
      </c>
      <c r="F56" s="750">
        <f t="shared" si="3"/>
        <v>-1.3290837362939014E-2</v>
      </c>
      <c r="G56" s="750">
        <f t="shared" si="4"/>
        <v>-1.3224434689734629E-2</v>
      </c>
      <c r="H56" s="604">
        <f t="shared" si="6"/>
        <v>1.7488567286305664E-4</v>
      </c>
      <c r="I56" s="750">
        <f t="shared" si="7"/>
        <v>1.7576381067807182E-4</v>
      </c>
    </row>
    <row r="57" spans="1:9">
      <c r="A57" s="563">
        <v>44643</v>
      </c>
      <c r="B57">
        <v>64.286003112792969</v>
      </c>
      <c r="C57" s="604">
        <v>13922.599609375</v>
      </c>
      <c r="D57" s="748">
        <f t="shared" si="5"/>
        <v>4.4426392059429665E-2</v>
      </c>
      <c r="E57" s="748">
        <f t="shared" si="5"/>
        <v>1.9338359353069601E-2</v>
      </c>
      <c r="F57" s="750">
        <f t="shared" si="3"/>
        <v>4.4215436932691032E-2</v>
      </c>
      <c r="G57" s="750">
        <f t="shared" si="4"/>
        <v>1.9312810112319924E-2</v>
      </c>
      <c r="H57" s="604">
        <f t="shared" si="6"/>
        <v>3.729846344345267E-4</v>
      </c>
      <c r="I57" s="750">
        <f t="shared" si="7"/>
        <v>8.5392433751431916E-4</v>
      </c>
    </row>
    <row r="58" spans="1:9">
      <c r="A58" s="563">
        <v>44644</v>
      </c>
      <c r="B58">
        <v>67.141998291015625</v>
      </c>
      <c r="C58" s="604">
        <v>14191.83984375</v>
      </c>
      <c r="D58" s="748">
        <f t="shared" si="5"/>
        <v>-8.8767192898170366E-3</v>
      </c>
      <c r="E58" s="748">
        <f t="shared" si="5"/>
        <v>-1.5882393904287362E-3</v>
      </c>
      <c r="F58" s="750">
        <f t="shared" si="3"/>
        <v>-9.0876744165556706E-3</v>
      </c>
      <c r="G58" s="750">
        <f t="shared" si="4"/>
        <v>-1.613788631178412E-3</v>
      </c>
      <c r="H58" s="604">
        <f t="shared" si="6"/>
        <v>2.6043137461206923E-6</v>
      </c>
      <c r="I58" s="750">
        <f t="shared" si="7"/>
        <v>1.4665585657288449E-5</v>
      </c>
    </row>
    <row r="59" spans="1:9">
      <c r="A59" s="563">
        <v>44645</v>
      </c>
      <c r="B59">
        <v>66.545997619628906</v>
      </c>
      <c r="C59" s="604">
        <v>14169.2998046875</v>
      </c>
      <c r="D59" s="748">
        <f t="shared" si="5"/>
        <v>1.7431606762285723E-2</v>
      </c>
      <c r="E59" s="748">
        <f t="shared" si="5"/>
        <v>1.3098783178834283E-2</v>
      </c>
      <c r="F59" s="750">
        <f t="shared" si="3"/>
        <v>1.7220651635547091E-2</v>
      </c>
      <c r="G59" s="750">
        <f t="shared" si="4"/>
        <v>1.3073233938084608E-2</v>
      </c>
      <c r="H59" s="604">
        <f t="shared" si="6"/>
        <v>1.7090944559988719E-4</v>
      </c>
      <c r="I59" s="750">
        <f t="shared" si="7"/>
        <v>2.2512960739776643E-4</v>
      </c>
    </row>
    <row r="60" spans="1:9">
      <c r="A60" s="563">
        <v>44648</v>
      </c>
      <c r="B60">
        <v>67.706001281738281</v>
      </c>
      <c r="C60" s="604">
        <v>14354.900390625</v>
      </c>
      <c r="D60" s="748">
        <f t="shared" si="5"/>
        <v>2.6437847186969288E-2</v>
      </c>
      <c r="E60" s="748">
        <f t="shared" si="5"/>
        <v>1.8442430849983316E-2</v>
      </c>
      <c r="F60" s="750">
        <f t="shared" si="3"/>
        <v>2.6226892060230655E-2</v>
      </c>
      <c r="G60" s="750">
        <f t="shared" si="4"/>
        <v>1.8416881609233639E-2</v>
      </c>
      <c r="H60" s="604">
        <f t="shared" si="6"/>
        <v>3.3918152820852822E-4</v>
      </c>
      <c r="I60" s="750">
        <f t="shared" si="7"/>
        <v>4.8301756605141768E-4</v>
      </c>
    </row>
    <row r="61" spans="1:9">
      <c r="A61" s="563">
        <v>44649</v>
      </c>
      <c r="B61">
        <v>69.496002197265625</v>
      </c>
      <c r="C61" s="604">
        <v>14619.6396484375</v>
      </c>
      <c r="D61" s="748">
        <f t="shared" si="5"/>
        <v>-1.5972150559118603E-2</v>
      </c>
      <c r="E61" s="748">
        <f t="shared" si="5"/>
        <v>-1.2132317995023678E-2</v>
      </c>
      <c r="F61" s="750">
        <f t="shared" si="3"/>
        <v>-1.6183105685857235E-2</v>
      </c>
      <c r="G61" s="750">
        <f t="shared" si="4"/>
        <v>-1.2157867235773353E-2</v>
      </c>
      <c r="H61" s="604">
        <f t="shared" si="6"/>
        <v>1.4781373572269119E-4</v>
      </c>
      <c r="I61" s="750">
        <f t="shared" si="7"/>
        <v>1.9675205039114115E-4</v>
      </c>
    </row>
    <row r="62" spans="1:9">
      <c r="A62" s="563">
        <v>44650</v>
      </c>
      <c r="B62">
        <v>68.386001586914063</v>
      </c>
      <c r="C62" s="604">
        <v>14442.26953125</v>
      </c>
      <c r="D62" s="748">
        <f t="shared" si="5"/>
        <v>-5.5569872895488981E-4</v>
      </c>
      <c r="E62" s="748">
        <f t="shared" si="5"/>
        <v>-1.5354234978109282E-2</v>
      </c>
      <c r="F62" s="750">
        <f t="shared" si="3"/>
        <v>-7.6665385569352315E-4</v>
      </c>
      <c r="G62" s="750">
        <f t="shared" si="4"/>
        <v>-1.5379784218858958E-2</v>
      </c>
      <c r="H62" s="604">
        <f t="shared" si="6"/>
        <v>2.3653776261866303E-4</v>
      </c>
      <c r="I62" s="750">
        <f t="shared" si="7"/>
        <v>1.1790970871122619E-5</v>
      </c>
    </row>
    <row r="63" spans="1:9">
      <c r="A63" s="563">
        <v>44651</v>
      </c>
      <c r="B63">
        <v>68.347999572753906</v>
      </c>
      <c r="C63" s="604">
        <v>14220.51953125</v>
      </c>
      <c r="D63" s="748">
        <f t="shared" si="5"/>
        <v>-7.9884945139866437E-3</v>
      </c>
      <c r="E63" s="748">
        <f t="shared" si="5"/>
        <v>2.8817842175135056E-3</v>
      </c>
      <c r="F63" s="750">
        <f t="shared" si="3"/>
        <v>-8.1994496407252777E-3</v>
      </c>
      <c r="G63" s="750">
        <f t="shared" si="4"/>
        <v>2.8562349767638296E-3</v>
      </c>
      <c r="H63" s="604">
        <f t="shared" si="6"/>
        <v>8.1580782424890738E-6</v>
      </c>
      <c r="I63" s="750">
        <f t="shared" si="7"/>
        <v>-2.3419554854053156E-5</v>
      </c>
    </row>
    <row r="64" spans="1:9">
      <c r="A64" s="563">
        <v>44652</v>
      </c>
      <c r="B64">
        <v>67.802001953125</v>
      </c>
      <c r="C64" s="604">
        <v>14261.5</v>
      </c>
      <c r="D64" s="748">
        <f t="shared" si="5"/>
        <v>2.2654131724021198E-2</v>
      </c>
      <c r="E64" s="748">
        <f t="shared" si="5"/>
        <v>1.9005700991305163E-2</v>
      </c>
      <c r="F64" s="750">
        <f t="shared" si="3"/>
        <v>2.2443176597282566E-2</v>
      </c>
      <c r="G64" s="750">
        <f t="shared" si="4"/>
        <v>1.8980151750555486E-2</v>
      </c>
      <c r="H64" s="604">
        <f t="shared" si="6"/>
        <v>3.6024616047411451E-4</v>
      </c>
      <c r="I64" s="750">
        <f t="shared" si="7"/>
        <v>4.2597489758093864E-4</v>
      </c>
    </row>
    <row r="65" spans="1:9">
      <c r="A65" s="563">
        <v>44655</v>
      </c>
      <c r="B65">
        <v>69.337997436523438</v>
      </c>
      <c r="C65" s="604">
        <v>14532.5498046875</v>
      </c>
      <c r="D65" s="748">
        <f t="shared" si="5"/>
        <v>-1.384520926424937E-2</v>
      </c>
      <c r="E65" s="748">
        <f t="shared" si="5"/>
        <v>-2.2596164281272979E-2</v>
      </c>
      <c r="F65" s="750">
        <f t="shared" si="3"/>
        <v>-1.4056164390988004E-2</v>
      </c>
      <c r="G65" s="750">
        <f t="shared" si="4"/>
        <v>-2.2621713522022656E-2</v>
      </c>
      <c r="H65" s="604">
        <f t="shared" si="6"/>
        <v>5.1174192267246265E-4</v>
      </c>
      <c r="I65" s="750">
        <f t="shared" si="7"/>
        <v>3.1797452407138666E-4</v>
      </c>
    </row>
    <row r="66" spans="1:9">
      <c r="A66" s="563">
        <v>44656</v>
      </c>
      <c r="B66">
        <v>68.377998352050781</v>
      </c>
      <c r="C66" s="604">
        <v>14204.169921875</v>
      </c>
      <c r="D66" s="748">
        <f t="shared" si="5"/>
        <v>-2.8722643752968624E-2</v>
      </c>
      <c r="E66" s="748">
        <f t="shared" si="5"/>
        <v>-2.2201199444210284E-2</v>
      </c>
      <c r="F66" s="750">
        <f t="shared" si="3"/>
        <v>-2.8933598879707256E-2</v>
      </c>
      <c r="G66" s="750">
        <f t="shared" si="4"/>
        <v>-2.2226748684959961E-2</v>
      </c>
      <c r="H66" s="604">
        <f t="shared" si="6"/>
        <v>4.9402835710436938E-4</v>
      </c>
      <c r="I66" s="750">
        <f t="shared" si="7"/>
        <v>6.4309983085069223E-4</v>
      </c>
    </row>
    <row r="67" spans="1:9">
      <c r="A67" s="563">
        <v>44657</v>
      </c>
      <c r="B67">
        <v>66.41400146484375</v>
      </c>
      <c r="C67" s="604">
        <v>13888.8203125</v>
      </c>
      <c r="D67" s="748">
        <f t="shared" si="5"/>
        <v>1.8219036013259471E-2</v>
      </c>
      <c r="E67" s="748">
        <f t="shared" si="5"/>
        <v>6.1052645197445798E-4</v>
      </c>
      <c r="F67" s="750">
        <f t="shared" ref="F67:F130" si="8">D67-$F$504</f>
        <v>1.8008080886520839E-2</v>
      </c>
      <c r="G67" s="750">
        <f t="shared" ref="G67:G130" si="9">E67-$G$504</f>
        <v>5.8497721122478222E-4</v>
      </c>
      <c r="H67" s="604">
        <f t="shared" si="6"/>
        <v>3.4219833765232346E-7</v>
      </c>
      <c r="I67" s="750">
        <f t="shared" si="7"/>
        <v>1.0534316936507264E-5</v>
      </c>
    </row>
    <row r="68" spans="1:9">
      <c r="A68" s="563">
        <v>44658</v>
      </c>
      <c r="B68">
        <v>67.624000549316406</v>
      </c>
      <c r="C68" s="604">
        <v>13897.2998046875</v>
      </c>
      <c r="D68" s="748">
        <f t="shared" si="5"/>
        <v>-6.7727460573921983E-3</v>
      </c>
      <c r="E68" s="748">
        <f t="shared" si="5"/>
        <v>-1.3405467774730062E-2</v>
      </c>
      <c r="F68" s="750">
        <f t="shared" si="8"/>
        <v>-6.9837011841308314E-3</v>
      </c>
      <c r="G68" s="750">
        <f t="shared" si="9"/>
        <v>-1.3431017015479737E-2</v>
      </c>
      <c r="H68" s="604">
        <f t="shared" si="6"/>
        <v>1.8039221807010622E-4</v>
      </c>
      <c r="I68" s="750">
        <f t="shared" si="7"/>
        <v>9.3798209435087192E-5</v>
      </c>
    </row>
    <row r="69" spans="1:9">
      <c r="A69" s="563">
        <v>44659</v>
      </c>
      <c r="B69">
        <v>67.166000366210938</v>
      </c>
      <c r="C69" s="604">
        <v>13711</v>
      </c>
      <c r="D69" s="748">
        <f t="shared" si="5"/>
        <v>-2.3106958054119331E-2</v>
      </c>
      <c r="E69" s="748">
        <f t="shared" si="5"/>
        <v>-2.1810228215483951E-2</v>
      </c>
      <c r="F69" s="750">
        <f t="shared" si="8"/>
        <v>-2.3317913180857963E-2</v>
      </c>
      <c r="G69" s="750">
        <f t="shared" si="9"/>
        <v>-2.1835777456233628E-2</v>
      </c>
      <c r="H69" s="604">
        <f t="shared" si="6"/>
        <v>4.7680117711816075E-4</v>
      </c>
      <c r="I69" s="750">
        <f t="shared" si="7"/>
        <v>5.0916476296099125E-4</v>
      </c>
    </row>
    <row r="70" spans="1:9">
      <c r="A70" s="563">
        <v>44662</v>
      </c>
      <c r="B70">
        <v>65.613998413085938</v>
      </c>
      <c r="C70" s="604">
        <v>13411.9599609375</v>
      </c>
      <c r="D70" s="748">
        <f t="shared" si="5"/>
        <v>6.187677017096771E-3</v>
      </c>
      <c r="E70" s="748">
        <f t="shared" si="5"/>
        <v>-3.0114650323393999E-3</v>
      </c>
      <c r="F70" s="750">
        <f t="shared" si="8"/>
        <v>5.9767218903581379E-3</v>
      </c>
      <c r="G70" s="750">
        <f t="shared" si="9"/>
        <v>-3.0370142730890759E-3</v>
      </c>
      <c r="H70" s="604">
        <f t="shared" si="6"/>
        <v>9.223455694946768E-6</v>
      </c>
      <c r="I70" s="750">
        <f t="shared" si="7"/>
        <v>-1.8151389687301589E-5</v>
      </c>
    </row>
    <row r="71" spans="1:9">
      <c r="A71" s="563">
        <v>44663</v>
      </c>
      <c r="B71">
        <v>66.019996643066406</v>
      </c>
      <c r="C71" s="604">
        <v>13371.5703125</v>
      </c>
      <c r="D71" s="748">
        <f t="shared" si="5"/>
        <v>3.2596191103746452E-2</v>
      </c>
      <c r="E71" s="748">
        <f t="shared" si="5"/>
        <v>2.0343125369180592E-2</v>
      </c>
      <c r="F71" s="750">
        <f t="shared" si="8"/>
        <v>3.238523597700782E-2</v>
      </c>
      <c r="G71" s="750">
        <f t="shared" si="9"/>
        <v>2.0317576128430916E-2</v>
      </c>
      <c r="H71" s="604">
        <f t="shared" si="6"/>
        <v>4.1280389973458577E-4</v>
      </c>
      <c r="I71" s="750">
        <f t="shared" si="7"/>
        <v>6.5798949740005614E-4</v>
      </c>
    </row>
    <row r="72" spans="1:9">
      <c r="A72" s="563">
        <v>44664</v>
      </c>
      <c r="B72">
        <v>68.1719970703125</v>
      </c>
      <c r="C72" s="604">
        <v>13643.58984375</v>
      </c>
      <c r="D72" s="748">
        <f t="shared" si="5"/>
        <v>-2.669717439767938E-2</v>
      </c>
      <c r="E72" s="748">
        <f t="shared" si="5"/>
        <v>-2.1439354962652701E-2</v>
      </c>
      <c r="F72" s="750">
        <f t="shared" si="8"/>
        <v>-2.6908129524418012E-2</v>
      </c>
      <c r="G72" s="750">
        <f t="shared" si="9"/>
        <v>-2.1464904203402378E-2</v>
      </c>
      <c r="H72" s="604">
        <f t="shared" si="6"/>
        <v>4.607421124612411E-4</v>
      </c>
      <c r="I72" s="750">
        <f t="shared" si="7"/>
        <v>5.7758042253437582E-4</v>
      </c>
    </row>
    <row r="73" spans="1:9">
      <c r="A73" s="563">
        <v>44665</v>
      </c>
      <c r="B73">
        <v>66.351997375488281</v>
      </c>
      <c r="C73" s="604">
        <v>13351.080078125</v>
      </c>
      <c r="D73" s="748">
        <f t="shared" si="5"/>
        <v>-4.0390305084956335E-3</v>
      </c>
      <c r="E73" s="748">
        <f t="shared" si="5"/>
        <v>-1.4021132712079831E-3</v>
      </c>
      <c r="F73" s="750">
        <f t="shared" si="8"/>
        <v>-4.2499856352342666E-3</v>
      </c>
      <c r="G73" s="750">
        <f t="shared" si="9"/>
        <v>-1.4276625119576589E-3</v>
      </c>
      <c r="H73" s="604">
        <f t="shared" si="6"/>
        <v>2.0382202480492524E-6</v>
      </c>
      <c r="I73" s="750">
        <f t="shared" si="7"/>
        <v>6.0675451677825195E-6</v>
      </c>
    </row>
    <row r="74" spans="1:9">
      <c r="A74" s="563">
        <v>44669</v>
      </c>
      <c r="B74">
        <v>66.083999633789063</v>
      </c>
      <c r="C74" s="604">
        <v>13332.3603515625</v>
      </c>
      <c r="D74" s="748">
        <f t="shared" si="5"/>
        <v>1.443620824492764E-2</v>
      </c>
      <c r="E74" s="748">
        <f t="shared" si="5"/>
        <v>2.1549057864598486E-2</v>
      </c>
      <c r="F74" s="750">
        <f t="shared" si="8"/>
        <v>1.4225253118189006E-2</v>
      </c>
      <c r="G74" s="750">
        <f t="shared" si="9"/>
        <v>2.152350862384881E-2</v>
      </c>
      <c r="H74" s="604">
        <f t="shared" si="6"/>
        <v>4.6326142348089409E-4</v>
      </c>
      <c r="I74" s="750">
        <f t="shared" si="7"/>
        <v>3.0617735816577322E-4</v>
      </c>
    </row>
    <row r="75" spans="1:9">
      <c r="A75" s="563">
        <v>44670</v>
      </c>
      <c r="B75">
        <v>67.038002014160156</v>
      </c>
      <c r="C75" s="604">
        <v>13619.66015625</v>
      </c>
      <c r="D75" s="748">
        <f t="shared" si="5"/>
        <v>1.6080361405539367E-2</v>
      </c>
      <c r="E75" s="748">
        <f t="shared" si="5"/>
        <v>-1.2231571260869711E-2</v>
      </c>
      <c r="F75" s="750">
        <f t="shared" si="8"/>
        <v>1.5869406278800735E-2</v>
      </c>
      <c r="G75" s="750">
        <f t="shared" si="9"/>
        <v>-1.2257120501619386E-2</v>
      </c>
      <c r="H75" s="604">
        <f t="shared" si="6"/>
        <v>1.5023700299121828E-4</v>
      </c>
      <c r="I75" s="750">
        <f t="shared" si="7"/>
        <v>-1.9451322504841591E-4</v>
      </c>
    </row>
    <row r="76" spans="1:9">
      <c r="A76" s="563">
        <v>44671</v>
      </c>
      <c r="B76">
        <v>68.115997314453125</v>
      </c>
      <c r="C76" s="604">
        <v>13453.0703125</v>
      </c>
      <c r="D76" s="748">
        <f t="shared" si="5"/>
        <v>-5.6726739171828244E-2</v>
      </c>
      <c r="E76" s="748">
        <f t="shared" si="5"/>
        <v>-2.0695641619913663E-2</v>
      </c>
      <c r="F76" s="750">
        <f t="shared" si="8"/>
        <v>-5.6937694298566877E-2</v>
      </c>
      <c r="G76" s="750">
        <f t="shared" si="9"/>
        <v>-2.072119086066334E-2</v>
      </c>
      <c r="H76" s="604">
        <f t="shared" si="6"/>
        <v>4.2936775068403793E-4</v>
      </c>
      <c r="I76" s="750">
        <f t="shared" si="7"/>
        <v>1.179816830726707E-3</v>
      </c>
    </row>
    <row r="77" spans="1:9">
      <c r="A77" s="563">
        <v>44672</v>
      </c>
      <c r="B77">
        <v>64.251998901367188</v>
      </c>
      <c r="C77" s="604">
        <v>13174.650390625</v>
      </c>
      <c r="D77" s="748">
        <f t="shared" si="5"/>
        <v>-5.2823215626223718E-2</v>
      </c>
      <c r="E77" s="748">
        <f t="shared" si="5"/>
        <v>-2.5454971602217213E-2</v>
      </c>
      <c r="F77" s="750">
        <f t="shared" si="8"/>
        <v>-5.3034170752962351E-2</v>
      </c>
      <c r="G77" s="750">
        <f t="shared" si="9"/>
        <v>-2.548052084296689E-2</v>
      </c>
      <c r="H77" s="604">
        <f t="shared" si="6"/>
        <v>6.4925694242887015E-4</v>
      </c>
      <c r="I77" s="750">
        <f t="shared" si="7"/>
        <v>1.3513382932603222E-3</v>
      </c>
    </row>
    <row r="78" spans="1:9">
      <c r="A78" s="563">
        <v>44673</v>
      </c>
      <c r="B78">
        <v>60.858001708984382</v>
      </c>
      <c r="C78" s="604">
        <v>12839.2900390625</v>
      </c>
      <c r="D78" s="748">
        <f t="shared" si="5"/>
        <v>6.3097640902719965E-2</v>
      </c>
      <c r="E78" s="748">
        <f t="shared" si="5"/>
        <v>1.2894760520932191E-2</v>
      </c>
      <c r="F78" s="750">
        <f t="shared" si="8"/>
        <v>6.2886685775981332E-2</v>
      </c>
      <c r="G78" s="750">
        <f t="shared" si="9"/>
        <v>1.2869211280182516E-2</v>
      </c>
      <c r="H78" s="604">
        <f t="shared" si="6"/>
        <v>1.6561659897397691E-4</v>
      </c>
      <c r="I78" s="750">
        <f t="shared" si="7"/>
        <v>8.0930204596155241E-4</v>
      </c>
    </row>
    <row r="79" spans="1:9">
      <c r="A79" s="563">
        <v>44676</v>
      </c>
      <c r="B79">
        <v>64.697998046875</v>
      </c>
      <c r="C79" s="604">
        <v>13004.849609375</v>
      </c>
      <c r="D79" s="748">
        <f t="shared" si="5"/>
        <v>-5.2520926649886945E-2</v>
      </c>
      <c r="E79" s="748">
        <f t="shared" si="5"/>
        <v>-3.9532127663313155E-2</v>
      </c>
      <c r="F79" s="750">
        <f t="shared" si="8"/>
        <v>-5.2731881776625578E-2</v>
      </c>
      <c r="G79" s="750">
        <f t="shared" si="9"/>
        <v>-3.9557676904062831E-2</v>
      </c>
      <c r="H79" s="604">
        <f t="shared" si="6"/>
        <v>1.564809802046226E-3</v>
      </c>
      <c r="I79" s="750">
        <f t="shared" si="7"/>
        <v>2.0859507418629934E-3</v>
      </c>
    </row>
    <row r="80" spans="1:9">
      <c r="A80" s="563">
        <v>44677</v>
      </c>
      <c r="B80">
        <v>61.299999237060547</v>
      </c>
      <c r="C80" s="604">
        <v>12490.740234375</v>
      </c>
      <c r="D80" s="748">
        <f t="shared" si="5"/>
        <v>-2.0163133383660825E-2</v>
      </c>
      <c r="E80" s="748">
        <f t="shared" si="5"/>
        <v>-1.4495112707713087E-4</v>
      </c>
      <c r="F80" s="750">
        <f t="shared" si="8"/>
        <v>-2.0374088510399457E-2</v>
      </c>
      <c r="G80" s="750">
        <f t="shared" si="9"/>
        <v>-1.7050036782680666E-4</v>
      </c>
      <c r="H80" s="604">
        <f t="shared" si="6"/>
        <v>2.9070375429076367E-8</v>
      </c>
      <c r="I80" s="750">
        <f t="shared" si="7"/>
        <v>3.4737895851590227E-6</v>
      </c>
    </row>
    <row r="81" spans="1:9">
      <c r="A81" s="563">
        <v>44678</v>
      </c>
      <c r="B81">
        <v>60.063999176025391</v>
      </c>
      <c r="C81" s="604">
        <v>12488.9296875</v>
      </c>
      <c r="D81" s="748">
        <f t="shared" si="5"/>
        <v>2.7737086925039733E-2</v>
      </c>
      <c r="E81" s="748">
        <f t="shared" si="5"/>
        <v>3.063517815465322E-2</v>
      </c>
      <c r="F81" s="750">
        <f t="shared" si="8"/>
        <v>2.7526131798301101E-2</v>
      </c>
      <c r="G81" s="750">
        <f t="shared" si="9"/>
        <v>3.0609628913903543E-2</v>
      </c>
      <c r="H81" s="604">
        <f t="shared" si="6"/>
        <v>9.3694938224687984E-4</v>
      </c>
      <c r="I81" s="750">
        <f t="shared" si="7"/>
        <v>8.4256467978119712E-4</v>
      </c>
    </row>
    <row r="82" spans="1:9">
      <c r="A82" s="563">
        <v>44679</v>
      </c>
      <c r="B82">
        <v>61.729999542236328</v>
      </c>
      <c r="C82" s="604">
        <v>12871.5302734375</v>
      </c>
      <c r="D82" s="748">
        <f t="shared" si="5"/>
        <v>-6.363196878239108E-2</v>
      </c>
      <c r="E82" s="748">
        <f t="shared" si="5"/>
        <v>-4.1711483684885642E-2</v>
      </c>
      <c r="F82" s="750">
        <f t="shared" si="8"/>
        <v>-6.3842923909129712E-2</v>
      </c>
      <c r="G82" s="750">
        <f t="shared" si="9"/>
        <v>-4.1737032925635319E-2</v>
      </c>
      <c r="H82" s="604">
        <f t="shared" si="6"/>
        <v>1.7419799174355666E-3</v>
      </c>
      <c r="I82" s="750">
        <f t="shared" si="7"/>
        <v>2.6646142172641772E-3</v>
      </c>
    </row>
    <row r="83" spans="1:9">
      <c r="A83" s="563">
        <v>44680</v>
      </c>
      <c r="B83">
        <v>57.801998138427727</v>
      </c>
      <c r="C83" s="604">
        <v>12334.6396484375</v>
      </c>
      <c r="D83" s="748">
        <f t="shared" ref="D83:E146" si="10">B84/B83-1</f>
        <v>1.0414885463714274E-2</v>
      </c>
      <c r="E83" s="748">
        <f t="shared" si="10"/>
        <v>1.6326369359157544E-2</v>
      </c>
      <c r="F83" s="750">
        <f t="shared" si="8"/>
        <v>1.020393033697564E-2</v>
      </c>
      <c r="G83" s="750">
        <f t="shared" si="9"/>
        <v>1.6300820118407867E-2</v>
      </c>
      <c r="H83" s="604">
        <f t="shared" ref="H83:H146" si="11">G83^2</f>
        <v>2.6571673653269067E-4</v>
      </c>
      <c r="I83" s="750">
        <f t="shared" ref="I83:I146" si="12">F83*G83</f>
        <v>1.6633243292380487E-4</v>
      </c>
    </row>
    <row r="84" spans="1:9">
      <c r="A84" s="563">
        <v>44683</v>
      </c>
      <c r="B84">
        <v>58.403999328613281</v>
      </c>
      <c r="C84" s="604">
        <v>12536.01953125</v>
      </c>
      <c r="D84" s="748">
        <f t="shared" si="10"/>
        <v>-1.8800075086912171E-2</v>
      </c>
      <c r="E84" s="748">
        <f t="shared" si="10"/>
        <v>2.212842306591023E-3</v>
      </c>
      <c r="F84" s="750">
        <f t="shared" si="8"/>
        <v>-1.9011030213650804E-2</v>
      </c>
      <c r="G84" s="750">
        <f t="shared" si="9"/>
        <v>2.187293065841347E-3</v>
      </c>
      <c r="H84" s="604">
        <f t="shared" si="11"/>
        <v>4.7842509558776389E-6</v>
      </c>
      <c r="I84" s="750">
        <f t="shared" si="12"/>
        <v>-4.1582694560818747E-5</v>
      </c>
    </row>
    <row r="85" spans="1:9">
      <c r="A85" s="563">
        <v>44684</v>
      </c>
      <c r="B85">
        <v>57.305999755859382</v>
      </c>
      <c r="C85" s="604">
        <v>12563.759765625</v>
      </c>
      <c r="D85" s="748">
        <f t="shared" si="10"/>
        <v>2.9316174273870121E-3</v>
      </c>
      <c r="E85" s="748">
        <f t="shared" si="10"/>
        <v>3.1925203396114599E-2</v>
      </c>
      <c r="F85" s="750">
        <f t="shared" si="8"/>
        <v>2.7206623006483786E-3</v>
      </c>
      <c r="G85" s="750">
        <f t="shared" si="9"/>
        <v>3.1899654155364922E-2</v>
      </c>
      <c r="H85" s="604">
        <f t="shared" si="11"/>
        <v>1.0175879352318905E-3</v>
      </c>
      <c r="I85" s="750">
        <f t="shared" si="12"/>
        <v>8.6788186464222734E-5</v>
      </c>
    </row>
    <row r="86" spans="1:9">
      <c r="A86" s="563">
        <v>44685</v>
      </c>
      <c r="B86">
        <v>57.4739990234375</v>
      </c>
      <c r="C86" s="604">
        <v>12964.8603515625</v>
      </c>
      <c r="D86" s="748">
        <f t="shared" si="10"/>
        <v>-9.9175227843772973E-3</v>
      </c>
      <c r="E86" s="748">
        <f t="shared" si="10"/>
        <v>-4.9917230446450911E-2</v>
      </c>
      <c r="F86" s="750">
        <f t="shared" si="8"/>
        <v>-1.0128477911115931E-2</v>
      </c>
      <c r="G86" s="750">
        <f t="shared" si="9"/>
        <v>-4.9942779687200588E-2</v>
      </c>
      <c r="H86" s="604">
        <f t="shared" si="11"/>
        <v>2.4942812428842558E-3</v>
      </c>
      <c r="I86" s="750">
        <f t="shared" si="12"/>
        <v>5.0584434088154053E-4</v>
      </c>
    </row>
    <row r="87" spans="1:9">
      <c r="A87" s="563">
        <v>44686</v>
      </c>
      <c r="B87">
        <v>56.903999328613281</v>
      </c>
      <c r="C87" s="604">
        <v>12317.6904296875</v>
      </c>
      <c r="D87" s="748">
        <f t="shared" si="10"/>
        <v>-6.3791668616338226E-2</v>
      </c>
      <c r="E87" s="748">
        <f t="shared" si="10"/>
        <v>-1.4047298430269972E-2</v>
      </c>
      <c r="F87" s="750">
        <f t="shared" si="8"/>
        <v>-6.4002623743076859E-2</v>
      </c>
      <c r="G87" s="750">
        <f t="shared" si="9"/>
        <v>-1.4072847671019647E-2</v>
      </c>
      <c r="H87" s="604">
        <f t="shared" si="11"/>
        <v>1.9804504157172311E-4</v>
      </c>
      <c r="I87" s="750">
        <f t="shared" si="12"/>
        <v>9.0069917448190595E-4</v>
      </c>
    </row>
    <row r="88" spans="1:9">
      <c r="A88" s="563">
        <v>44687</v>
      </c>
      <c r="B88">
        <v>53.273998260498047</v>
      </c>
      <c r="C88" s="604">
        <v>12144.66015625</v>
      </c>
      <c r="D88" s="748">
        <f t="shared" si="10"/>
        <v>-7.9400827427154375E-2</v>
      </c>
      <c r="E88" s="748">
        <f t="shared" si="10"/>
        <v>-4.2933285043934899E-2</v>
      </c>
      <c r="F88" s="750">
        <f t="shared" si="8"/>
        <v>-7.9611782553893007E-2</v>
      </c>
      <c r="G88" s="750">
        <f t="shared" si="9"/>
        <v>-4.2958834284684576E-2</v>
      </c>
      <c r="H88" s="604">
        <f t="shared" si="11"/>
        <v>1.8454614430989909E-3</v>
      </c>
      <c r="I88" s="750">
        <f t="shared" si="12"/>
        <v>3.4200293738410321E-3</v>
      </c>
    </row>
    <row r="89" spans="1:9">
      <c r="A89" s="563">
        <v>44690</v>
      </c>
      <c r="B89">
        <v>49.043998718261719</v>
      </c>
      <c r="C89" s="604">
        <v>11623.25</v>
      </c>
      <c r="D89" s="748">
        <f t="shared" si="10"/>
        <v>6.7572038931007494E-2</v>
      </c>
      <c r="E89" s="748">
        <f t="shared" si="10"/>
        <v>9.8440558256081001E-3</v>
      </c>
      <c r="F89" s="750">
        <f t="shared" si="8"/>
        <v>6.7361083804268862E-2</v>
      </c>
      <c r="G89" s="750">
        <f t="shared" si="9"/>
        <v>9.818506584858425E-3</v>
      </c>
      <c r="H89" s="604">
        <f t="shared" si="11"/>
        <v>9.6403071556908258E-5</v>
      </c>
      <c r="I89" s="750">
        <f t="shared" si="12"/>
        <v>6.6138524489541407E-4</v>
      </c>
    </row>
    <row r="90" spans="1:9">
      <c r="A90" s="563">
        <v>44691</v>
      </c>
      <c r="B90">
        <v>52.358001708984382</v>
      </c>
      <c r="C90" s="604">
        <v>11737.669921875</v>
      </c>
      <c r="D90" s="748">
        <f t="shared" si="10"/>
        <v>-3.1704870467289537E-3</v>
      </c>
      <c r="E90" s="748">
        <f t="shared" si="10"/>
        <v>-3.1814635271354419E-2</v>
      </c>
      <c r="F90" s="750">
        <f t="shared" si="8"/>
        <v>-3.3814421734675872E-3</v>
      </c>
      <c r="G90" s="750">
        <f t="shared" si="9"/>
        <v>-3.1840184512104096E-2</v>
      </c>
      <c r="H90" s="604">
        <f t="shared" si="11"/>
        <v>1.0137973497648335E-3</v>
      </c>
      <c r="I90" s="750">
        <f t="shared" si="12"/>
        <v>1.0766574272021829E-4</v>
      </c>
    </row>
    <row r="91" spans="1:9">
      <c r="A91" s="563">
        <v>44692</v>
      </c>
      <c r="B91">
        <v>52.192001342773438</v>
      </c>
      <c r="C91" s="604">
        <v>11364.240234375</v>
      </c>
      <c r="D91" s="748">
        <f t="shared" si="10"/>
        <v>2.1842415702004736E-2</v>
      </c>
      <c r="E91" s="748">
        <f t="shared" si="10"/>
        <v>5.9130451520839067E-4</v>
      </c>
      <c r="F91" s="750">
        <f t="shared" si="8"/>
        <v>2.1631460575266104E-2</v>
      </c>
      <c r="G91" s="750">
        <f t="shared" si="9"/>
        <v>5.657552744587149E-4</v>
      </c>
      <c r="H91" s="604">
        <f t="shared" si="11"/>
        <v>3.2007903057785585E-7</v>
      </c>
      <c r="I91" s="750">
        <f t="shared" si="12"/>
        <v>1.2238112914702545E-5</v>
      </c>
    </row>
    <row r="92" spans="1:9">
      <c r="A92" s="563">
        <v>44693</v>
      </c>
      <c r="B92">
        <v>53.332000732421882</v>
      </c>
      <c r="C92" s="604">
        <v>11370.9599609375</v>
      </c>
      <c r="D92" s="748">
        <f t="shared" si="10"/>
        <v>5.5838907222146128E-2</v>
      </c>
      <c r="E92" s="748">
        <f t="shared" si="10"/>
        <v>3.8170923172146543E-2</v>
      </c>
      <c r="F92" s="750">
        <f t="shared" si="8"/>
        <v>5.5627952095407496E-2</v>
      </c>
      <c r="G92" s="750">
        <f t="shared" si="9"/>
        <v>3.8145373931396866E-2</v>
      </c>
      <c r="H92" s="604">
        <f t="shared" si="11"/>
        <v>1.4550695523660915E-3</v>
      </c>
      <c r="I92" s="750">
        <f t="shared" si="12"/>
        <v>2.1219490337171507E-3</v>
      </c>
    </row>
    <row r="93" spans="1:9">
      <c r="A93" s="563">
        <v>44694</v>
      </c>
      <c r="B93">
        <v>56.310001373291023</v>
      </c>
      <c r="C93" s="604">
        <v>11805</v>
      </c>
      <c r="D93" s="748">
        <f t="shared" si="10"/>
        <v>-2.1239618736226373E-2</v>
      </c>
      <c r="E93" s="748">
        <f t="shared" si="10"/>
        <v>-1.2046587118805574E-2</v>
      </c>
      <c r="F93" s="750">
        <f t="shared" si="8"/>
        <v>-2.1450573862965006E-2</v>
      </c>
      <c r="G93" s="750">
        <f t="shared" si="9"/>
        <v>-1.2072136359555249E-2</v>
      </c>
      <c r="H93" s="604">
        <f t="shared" si="11"/>
        <v>1.4573647628369587E-4</v>
      </c>
      <c r="I93" s="750">
        <f t="shared" si="12"/>
        <v>2.5895425266442534E-4</v>
      </c>
    </row>
    <row r="94" spans="1:9">
      <c r="A94" s="563">
        <v>44697</v>
      </c>
      <c r="B94">
        <v>55.113998413085938</v>
      </c>
      <c r="C94" s="604">
        <v>11662.7900390625</v>
      </c>
      <c r="D94" s="748">
        <f t="shared" si="10"/>
        <v>2.6272850877545162E-2</v>
      </c>
      <c r="E94" s="748">
        <f t="shared" si="10"/>
        <v>2.7585979950759842E-2</v>
      </c>
      <c r="F94" s="750">
        <f t="shared" si="8"/>
        <v>2.606189575080653E-2</v>
      </c>
      <c r="G94" s="750">
        <f t="shared" si="9"/>
        <v>2.7560430710010166E-2</v>
      </c>
      <c r="H94" s="604">
        <f t="shared" si="11"/>
        <v>7.5957734092127146E-4</v>
      </c>
      <c r="I94" s="750">
        <f t="shared" si="12"/>
        <v>7.1827707201161176E-4</v>
      </c>
    </row>
    <row r="95" spans="1:9">
      <c r="A95" s="563">
        <v>44698</v>
      </c>
      <c r="B95">
        <v>56.562000274658203</v>
      </c>
      <c r="C95" s="604">
        <v>11984.51953125</v>
      </c>
      <c r="D95" s="748">
        <f t="shared" si="10"/>
        <v>-4.3244565850400263E-2</v>
      </c>
      <c r="E95" s="748">
        <f t="shared" si="10"/>
        <v>-4.7258393559138967E-2</v>
      </c>
      <c r="F95" s="750">
        <f t="shared" si="8"/>
        <v>-4.3455520977138895E-2</v>
      </c>
      <c r="G95" s="750">
        <f t="shared" si="9"/>
        <v>-4.7283942799888644E-2</v>
      </c>
      <c r="H95" s="604">
        <f t="shared" si="11"/>
        <v>2.2357712467031411E-3</v>
      </c>
      <c r="I95" s="750">
        <f t="shared" si="12"/>
        <v>2.0547483682223965E-3</v>
      </c>
    </row>
    <row r="96" spans="1:9">
      <c r="A96" s="563">
        <v>44699</v>
      </c>
      <c r="B96">
        <v>54.116001129150391</v>
      </c>
      <c r="C96" s="604">
        <v>11418.150390625</v>
      </c>
      <c r="D96" s="748">
        <f t="shared" si="10"/>
        <v>1.6926608527944698E-2</v>
      </c>
      <c r="E96" s="748">
        <f t="shared" si="10"/>
        <v>-2.5967770269819113E-3</v>
      </c>
      <c r="F96" s="750">
        <f t="shared" si="8"/>
        <v>1.6715653401206065E-2</v>
      </c>
      <c r="G96" s="750">
        <f t="shared" si="9"/>
        <v>-2.6223262677315872E-3</v>
      </c>
      <c r="H96" s="604">
        <f t="shared" si="11"/>
        <v>6.8765950544350764E-6</v>
      </c>
      <c r="I96" s="750">
        <f t="shared" si="12"/>
        <v>-4.3833896996279512E-5</v>
      </c>
    </row>
    <row r="97" spans="1:9">
      <c r="A97" s="563">
        <v>44700</v>
      </c>
      <c r="B97">
        <v>55.032001495361328</v>
      </c>
      <c r="C97" s="604">
        <v>11388.5</v>
      </c>
      <c r="D97" s="748">
        <f t="shared" si="10"/>
        <v>3.6778568932635647E-2</v>
      </c>
      <c r="E97" s="748">
        <f t="shared" si="10"/>
        <v>-2.9749205613118779E-3</v>
      </c>
      <c r="F97" s="750">
        <f t="shared" si="8"/>
        <v>3.6567613805897015E-2</v>
      </c>
      <c r="G97" s="750">
        <f t="shared" si="9"/>
        <v>-3.0004698020615539E-3</v>
      </c>
      <c r="H97" s="604">
        <f t="shared" si="11"/>
        <v>9.0028190330833009E-6</v>
      </c>
      <c r="I97" s="750">
        <f t="shared" si="12"/>
        <v>-1.0972002095804316E-4</v>
      </c>
    </row>
    <row r="98" spans="1:9">
      <c r="A98" s="563">
        <v>44701</v>
      </c>
      <c r="B98">
        <v>57.055999755859382</v>
      </c>
      <c r="C98" s="604">
        <v>11354.6201171875</v>
      </c>
      <c r="D98" s="748">
        <f t="shared" si="10"/>
        <v>3.8207814352824165E-3</v>
      </c>
      <c r="E98" s="748">
        <f t="shared" si="10"/>
        <v>1.5909771722706134E-2</v>
      </c>
      <c r="F98" s="750">
        <f t="shared" si="8"/>
        <v>3.609826308543783E-3</v>
      </c>
      <c r="G98" s="750">
        <f t="shared" si="9"/>
        <v>1.5884222481956457E-2</v>
      </c>
      <c r="H98" s="604">
        <f t="shared" si="11"/>
        <v>2.5230852385629094E-4</v>
      </c>
      <c r="I98" s="750">
        <f t="shared" si="12"/>
        <v>5.7339284206129043E-5</v>
      </c>
    </row>
    <row r="99" spans="1:9">
      <c r="A99" s="563">
        <v>44704</v>
      </c>
      <c r="B99">
        <v>57.273998260498047</v>
      </c>
      <c r="C99" s="604">
        <v>11535.26953125</v>
      </c>
      <c r="D99" s="748">
        <f t="shared" si="10"/>
        <v>-1.8507349956226049E-3</v>
      </c>
      <c r="E99" s="748">
        <f t="shared" si="10"/>
        <v>-2.3477503945948386E-2</v>
      </c>
      <c r="F99" s="750">
        <f t="shared" si="8"/>
        <v>-2.0616901223612385E-3</v>
      </c>
      <c r="G99" s="750">
        <f t="shared" si="9"/>
        <v>-2.3503053186698063E-2</v>
      </c>
      <c r="H99" s="604">
        <f t="shared" si="11"/>
        <v>5.52393509096758E-4</v>
      </c>
      <c r="I99" s="750">
        <f t="shared" si="12"/>
        <v>4.8456012600346227E-5</v>
      </c>
    </row>
    <row r="100" spans="1:9">
      <c r="A100" s="563">
        <v>44705</v>
      </c>
      <c r="B100">
        <v>57.167999267578118</v>
      </c>
      <c r="C100" s="604">
        <v>11264.4501953125</v>
      </c>
      <c r="D100" s="748">
        <f t="shared" si="10"/>
        <v>5.1777469584115554E-3</v>
      </c>
      <c r="E100" s="748">
        <f t="shared" si="10"/>
        <v>1.5117474542464926E-2</v>
      </c>
      <c r="F100" s="750">
        <f t="shared" si="8"/>
        <v>4.9667918316729223E-3</v>
      </c>
      <c r="G100" s="750">
        <f t="shared" si="9"/>
        <v>1.5091925301715251E-2</v>
      </c>
      <c r="H100" s="604">
        <f t="shared" si="11"/>
        <v>2.2776620931255295E-4</v>
      </c>
      <c r="I100" s="750">
        <f t="shared" si="12"/>
        <v>7.4958451312777212E-5</v>
      </c>
    </row>
    <row r="101" spans="1:9">
      <c r="A101" s="563">
        <v>44706</v>
      </c>
      <c r="B101">
        <v>57.464000701904297</v>
      </c>
      <c r="C101" s="604">
        <v>11434.740234375</v>
      </c>
      <c r="D101" s="748">
        <f t="shared" si="10"/>
        <v>2.4293468804740037E-2</v>
      </c>
      <c r="E101" s="748">
        <f t="shared" si="10"/>
        <v>2.6752698354298943E-2</v>
      </c>
      <c r="F101" s="750">
        <f t="shared" si="8"/>
        <v>2.4082513678001405E-2</v>
      </c>
      <c r="G101" s="750">
        <f t="shared" si="9"/>
        <v>2.6727149113549266E-2</v>
      </c>
      <c r="H101" s="604">
        <f t="shared" si="11"/>
        <v>7.1434049973789727E-4</v>
      </c>
      <c r="I101" s="750">
        <f t="shared" si="12"/>
        <v>6.4365693410103333E-4</v>
      </c>
    </row>
    <row r="102" spans="1:9">
      <c r="A102" s="563">
        <v>44707</v>
      </c>
      <c r="B102">
        <v>58.860000610351563</v>
      </c>
      <c r="C102" s="604">
        <v>11740.650390625</v>
      </c>
      <c r="D102" s="748">
        <f t="shared" si="10"/>
        <v>1.2130490902148017E-2</v>
      </c>
      <c r="E102" s="748">
        <f t="shared" si="10"/>
        <v>3.3258761584392449E-2</v>
      </c>
      <c r="F102" s="750">
        <f t="shared" si="8"/>
        <v>1.1919535775409383E-2</v>
      </c>
      <c r="G102" s="750">
        <f t="shared" si="9"/>
        <v>3.3233212343642772E-2</v>
      </c>
      <c r="H102" s="604">
        <f t="shared" si="11"/>
        <v>1.1044464026776504E-3</v>
      </c>
      <c r="I102" s="750">
        <f t="shared" si="12"/>
        <v>3.9612446346182673E-4</v>
      </c>
    </row>
    <row r="103" spans="1:9">
      <c r="A103" s="563">
        <v>44708</v>
      </c>
      <c r="B103">
        <v>59.574001312255859</v>
      </c>
      <c r="C103" s="604">
        <v>12131.1298828125</v>
      </c>
      <c r="D103" s="748">
        <f t="shared" si="10"/>
        <v>-1.2522277853311836E-2</v>
      </c>
      <c r="E103" s="748">
        <f t="shared" si="10"/>
        <v>-4.1002144775873495E-3</v>
      </c>
      <c r="F103" s="750">
        <f t="shared" si="8"/>
        <v>-1.273323298005047E-2</v>
      </c>
      <c r="G103" s="750">
        <f t="shared" si="9"/>
        <v>-4.1257637183370255E-3</v>
      </c>
      <c r="H103" s="604">
        <f t="shared" si="11"/>
        <v>1.7021926259546157E-5</v>
      </c>
      <c r="I103" s="750">
        <f t="shared" si="12"/>
        <v>5.2534310646224668E-5</v>
      </c>
    </row>
    <row r="104" spans="1:9">
      <c r="A104" s="563">
        <v>44712</v>
      </c>
      <c r="B104">
        <v>58.827999114990227</v>
      </c>
      <c r="C104" s="604">
        <v>12081.3896484375</v>
      </c>
      <c r="D104" s="748">
        <f t="shared" si="10"/>
        <v>-1.7270667974718434E-2</v>
      </c>
      <c r="E104" s="748">
        <f t="shared" si="10"/>
        <v>-7.1953384527452258E-3</v>
      </c>
      <c r="F104" s="750">
        <f t="shared" si="8"/>
        <v>-1.7481623101457067E-2</v>
      </c>
      <c r="G104" s="750">
        <f t="shared" si="9"/>
        <v>-7.2208876934949017E-3</v>
      </c>
      <c r="H104" s="604">
        <f t="shared" si="11"/>
        <v>5.2141219082066122E-5</v>
      </c>
      <c r="I104" s="750">
        <f t="shared" si="12"/>
        <v>1.2623283711562752E-4</v>
      </c>
    </row>
    <row r="105" spans="1:9">
      <c r="A105" s="563">
        <v>44713</v>
      </c>
      <c r="B105">
        <v>57.812000274658203</v>
      </c>
      <c r="C105" s="604">
        <v>11994.4599609375</v>
      </c>
      <c r="D105" s="748">
        <f t="shared" si="10"/>
        <v>4.8986382048145094E-2</v>
      </c>
      <c r="E105" s="748">
        <f t="shared" si="10"/>
        <v>2.6882446624324485E-2</v>
      </c>
      <c r="F105" s="750">
        <f t="shared" si="8"/>
        <v>4.8775426921406462E-2</v>
      </c>
      <c r="G105" s="750">
        <f t="shared" si="9"/>
        <v>2.6856897383574808E-2</v>
      </c>
      <c r="H105" s="604">
        <f t="shared" si="11"/>
        <v>7.2129293707186737E-4</v>
      </c>
      <c r="I105" s="750">
        <f t="shared" si="12"/>
        <v>1.3099566356682656E-3</v>
      </c>
    </row>
    <row r="106" spans="1:9">
      <c r="A106" s="563">
        <v>44714</v>
      </c>
      <c r="B106">
        <v>60.644001007080078</v>
      </c>
      <c r="C106" s="604">
        <v>12316.900390625</v>
      </c>
      <c r="D106" s="748">
        <f t="shared" si="10"/>
        <v>-2.1700446379456562E-2</v>
      </c>
      <c r="E106" s="748">
        <f t="shared" si="10"/>
        <v>-2.4695330174669516E-2</v>
      </c>
      <c r="F106" s="750">
        <f t="shared" si="8"/>
        <v>-2.1911401506195194E-2</v>
      </c>
      <c r="G106" s="750">
        <f t="shared" si="9"/>
        <v>-2.4720879415419193E-2</v>
      </c>
      <c r="H106" s="604">
        <f t="shared" si="11"/>
        <v>6.1112187907169636E-4</v>
      </c>
      <c r="I106" s="750">
        <f t="shared" si="12"/>
        <v>5.4166911445748585E-4</v>
      </c>
    </row>
    <row r="107" spans="1:9">
      <c r="A107" s="563">
        <v>44715</v>
      </c>
      <c r="B107">
        <v>59.327999114990227</v>
      </c>
      <c r="C107" s="604">
        <v>12012.73046875</v>
      </c>
      <c r="D107" s="748">
        <f t="shared" si="10"/>
        <v>1.1124914555422638E-3</v>
      </c>
      <c r="E107" s="748">
        <f t="shared" si="10"/>
        <v>4.0490085550517474E-3</v>
      </c>
      <c r="F107" s="750">
        <f t="shared" si="8"/>
        <v>9.0153632880363046E-4</v>
      </c>
      <c r="G107" s="750">
        <f t="shared" si="9"/>
        <v>4.0234593143020714E-3</v>
      </c>
      <c r="H107" s="604">
        <f t="shared" si="11"/>
        <v>1.6188224853844096E-5</v>
      </c>
      <c r="I107" s="750">
        <f t="shared" si="12"/>
        <v>3.627294739306662E-6</v>
      </c>
    </row>
    <row r="108" spans="1:9">
      <c r="A108" s="563">
        <v>44718</v>
      </c>
      <c r="B108">
        <v>59.394001007080078</v>
      </c>
      <c r="C108" s="604">
        <v>12061.3701171875</v>
      </c>
      <c r="D108" s="748">
        <f t="shared" si="10"/>
        <v>2.8319345018404496E-2</v>
      </c>
      <c r="E108" s="748">
        <f t="shared" si="10"/>
        <v>9.4400843731881068E-3</v>
      </c>
      <c r="F108" s="750">
        <f t="shared" si="8"/>
        <v>2.8108389891665864E-2</v>
      </c>
      <c r="G108" s="750">
        <f t="shared" si="9"/>
        <v>9.4145351324384317E-3</v>
      </c>
      <c r="H108" s="604">
        <f t="shared" si="11"/>
        <v>8.8633471759917525E-5</v>
      </c>
      <c r="I108" s="750">
        <f t="shared" si="12"/>
        <v>2.6462742415136553E-4</v>
      </c>
    </row>
    <row r="109" spans="1:9">
      <c r="A109" s="563">
        <v>44719</v>
      </c>
      <c r="B109">
        <v>61.076000213623047</v>
      </c>
      <c r="C109" s="604">
        <v>12175.23046875</v>
      </c>
      <c r="D109" s="748">
        <f t="shared" si="10"/>
        <v>-1.588187204974767E-2</v>
      </c>
      <c r="E109" s="748">
        <f t="shared" si="10"/>
        <v>-7.3067148690396655E-3</v>
      </c>
      <c r="F109" s="750">
        <f t="shared" si="8"/>
        <v>-1.6092827176486302E-2</v>
      </c>
      <c r="G109" s="750">
        <f t="shared" si="9"/>
        <v>-7.3322641097893415E-3</v>
      </c>
      <c r="H109" s="604">
        <f t="shared" si="11"/>
        <v>5.3762096975704883E-5</v>
      </c>
      <c r="I109" s="750">
        <f t="shared" si="12"/>
        <v>1.1799685913119305E-4</v>
      </c>
    </row>
    <row r="110" spans="1:9">
      <c r="A110" s="563">
        <v>44720</v>
      </c>
      <c r="B110">
        <v>60.105998992919922</v>
      </c>
      <c r="C110" s="604">
        <v>12086.26953125</v>
      </c>
      <c r="D110" s="748">
        <f t="shared" si="10"/>
        <v>9.8825704583913598E-3</v>
      </c>
      <c r="E110" s="748">
        <f t="shared" si="10"/>
        <v>-2.7472419148148797E-2</v>
      </c>
      <c r="F110" s="750">
        <f t="shared" si="8"/>
        <v>9.6716153316527258E-3</v>
      </c>
      <c r="G110" s="750">
        <f t="shared" si="9"/>
        <v>-2.7497968388898474E-2</v>
      </c>
      <c r="H110" s="604">
        <f t="shared" si="11"/>
        <v>7.5613826551685975E-4</v>
      </c>
      <c r="I110" s="750">
        <f t="shared" si="12"/>
        <v>-2.6594977265937249E-4</v>
      </c>
    </row>
    <row r="111" spans="1:9">
      <c r="A111" s="563">
        <v>44721</v>
      </c>
      <c r="B111">
        <v>60.700000762939453</v>
      </c>
      <c r="C111" s="604">
        <v>11754.23046875</v>
      </c>
      <c r="D111" s="748">
        <f t="shared" si="10"/>
        <v>-5.0049455946877264E-2</v>
      </c>
      <c r="E111" s="748">
        <f t="shared" si="10"/>
        <v>-3.5239307124462882E-2</v>
      </c>
      <c r="F111" s="750">
        <f t="shared" si="8"/>
        <v>-5.0260411073615896E-2</v>
      </c>
      <c r="G111" s="750">
        <f t="shared" si="9"/>
        <v>-3.5264856365212559E-2</v>
      </c>
      <c r="H111" s="604">
        <f t="shared" si="11"/>
        <v>1.2436100944590728E-3</v>
      </c>
      <c r="I111" s="750">
        <f t="shared" si="12"/>
        <v>1.7724261773676034E-3</v>
      </c>
    </row>
    <row r="112" spans="1:9">
      <c r="A112" s="563">
        <v>44722</v>
      </c>
      <c r="B112">
        <v>57.661998748779297</v>
      </c>
      <c r="C112" s="604">
        <v>11340.01953125</v>
      </c>
      <c r="D112" s="748">
        <f t="shared" si="10"/>
        <v>-7.5682399288635849E-2</v>
      </c>
      <c r="E112" s="748">
        <f t="shared" si="10"/>
        <v>-4.6806715018196443E-2</v>
      </c>
      <c r="F112" s="750">
        <f t="shared" si="8"/>
        <v>-7.5893354415374481E-2</v>
      </c>
      <c r="G112" s="750">
        <f t="shared" si="9"/>
        <v>-4.683226425894612E-2</v>
      </c>
      <c r="H112" s="604">
        <f t="shared" si="11"/>
        <v>2.1932609756197623E-3</v>
      </c>
      <c r="I112" s="750">
        <f t="shared" si="12"/>
        <v>3.5542576294786731E-3</v>
      </c>
    </row>
    <row r="113" spans="1:9">
      <c r="A113" s="563">
        <v>44725</v>
      </c>
      <c r="B113">
        <v>53.298000335693359</v>
      </c>
      <c r="C113" s="604">
        <v>10809.23046875</v>
      </c>
      <c r="D113" s="748">
        <f t="shared" si="10"/>
        <v>1.0281817933915471E-2</v>
      </c>
      <c r="E113" s="748">
        <f t="shared" si="10"/>
        <v>1.7687790708389439E-3</v>
      </c>
      <c r="F113" s="750">
        <f t="shared" si="8"/>
        <v>1.0070862807176837E-2</v>
      </c>
      <c r="G113" s="750">
        <f t="shared" si="9"/>
        <v>1.7432298300892682E-3</v>
      </c>
      <c r="H113" s="604">
        <f t="shared" si="11"/>
        <v>3.0388502405130586E-6</v>
      </c>
      <c r="I113" s="750">
        <f t="shared" si="12"/>
        <v>1.7555828460207209E-5</v>
      </c>
    </row>
    <row r="114" spans="1:9">
      <c r="A114" s="563">
        <v>44726</v>
      </c>
      <c r="B114">
        <v>53.846000671386719</v>
      </c>
      <c r="C114" s="604">
        <v>10828.349609375</v>
      </c>
      <c r="D114" s="748">
        <f t="shared" si="10"/>
        <v>3.0791533732717369E-2</v>
      </c>
      <c r="E114" s="748">
        <f t="shared" si="10"/>
        <v>2.5008500004058298E-2</v>
      </c>
      <c r="F114" s="750">
        <f t="shared" si="8"/>
        <v>3.0580578605978737E-2</v>
      </c>
      <c r="G114" s="750">
        <f t="shared" si="9"/>
        <v>2.4982950763308621E-2</v>
      </c>
      <c r="H114" s="604">
        <f t="shared" si="11"/>
        <v>6.241478288419028E-4</v>
      </c>
      <c r="I114" s="750">
        <f t="shared" si="12"/>
        <v>7.6399308962665574E-4</v>
      </c>
    </row>
    <row r="115" spans="1:9">
      <c r="A115" s="563">
        <v>44727</v>
      </c>
      <c r="B115">
        <v>55.504001617431641</v>
      </c>
      <c r="C115" s="604">
        <v>11099.150390625</v>
      </c>
      <c r="D115" s="748">
        <f t="shared" si="10"/>
        <v>-4.969016925794234E-2</v>
      </c>
      <c r="E115" s="748">
        <f t="shared" si="10"/>
        <v>-4.0818510003493014E-2</v>
      </c>
      <c r="F115" s="750">
        <f t="shared" si="8"/>
        <v>-4.9901124384680973E-2</v>
      </c>
      <c r="G115" s="750">
        <f t="shared" si="9"/>
        <v>-4.0844059244242691E-2</v>
      </c>
      <c r="H115" s="604">
        <f t="shared" si="11"/>
        <v>1.6682371755472067E-3</v>
      </c>
      <c r="I115" s="750">
        <f t="shared" si="12"/>
        <v>2.0381644807222331E-3</v>
      </c>
    </row>
    <row r="116" spans="1:9">
      <c r="A116" s="563">
        <v>44728</v>
      </c>
      <c r="B116">
        <v>52.745998382568359</v>
      </c>
      <c r="C116" s="604">
        <v>10646.099609375</v>
      </c>
      <c r="D116" s="748">
        <f t="shared" si="10"/>
        <v>1.9944677992343562E-2</v>
      </c>
      <c r="E116" s="748">
        <f t="shared" si="10"/>
        <v>1.4301012162795113E-2</v>
      </c>
      <c r="F116" s="750">
        <f t="shared" si="8"/>
        <v>1.973372286560493E-2</v>
      </c>
      <c r="G116" s="750">
        <f t="shared" si="9"/>
        <v>1.4275462922045437E-2</v>
      </c>
      <c r="H116" s="604">
        <f t="shared" si="11"/>
        <v>2.0378884163869406E-4</v>
      </c>
      <c r="I116" s="750">
        <f t="shared" si="12"/>
        <v>2.8170802908186342E-4</v>
      </c>
    </row>
    <row r="117" spans="1:9">
      <c r="A117" s="563">
        <v>44729</v>
      </c>
      <c r="B117">
        <v>53.798000335693359</v>
      </c>
      <c r="C117" s="604">
        <v>10798.349609375</v>
      </c>
      <c r="D117" s="748">
        <f t="shared" si="10"/>
        <v>4.4685663288832389E-2</v>
      </c>
      <c r="E117" s="748">
        <f t="shared" si="10"/>
        <v>2.5091815426800501E-2</v>
      </c>
      <c r="F117" s="750">
        <f t="shared" si="8"/>
        <v>4.4474708162093757E-2</v>
      </c>
      <c r="G117" s="750">
        <f t="shared" si="9"/>
        <v>2.5066266186050824E-2</v>
      </c>
      <c r="H117" s="604">
        <f t="shared" si="11"/>
        <v>6.2831770050995493E-4</v>
      </c>
      <c r="I117" s="750">
        <f t="shared" si="12"/>
        <v>1.1148148733379694E-3</v>
      </c>
    </row>
    <row r="118" spans="1:9">
      <c r="A118" s="563">
        <v>44733</v>
      </c>
      <c r="B118">
        <v>56.201999664306641</v>
      </c>
      <c r="C118" s="604">
        <v>11069.2998046875</v>
      </c>
      <c r="D118" s="748">
        <f t="shared" si="10"/>
        <v>-9.145580976387957E-3</v>
      </c>
      <c r="E118" s="748">
        <f t="shared" si="10"/>
        <v>-1.4652893000179912E-3</v>
      </c>
      <c r="F118" s="750">
        <f t="shared" si="8"/>
        <v>-9.356536103126591E-3</v>
      </c>
      <c r="G118" s="750">
        <f t="shared" si="9"/>
        <v>-1.4908385407676669E-3</v>
      </c>
      <c r="H118" s="604">
        <f t="shared" si="11"/>
        <v>2.2225995546382664E-6</v>
      </c>
      <c r="I118" s="750">
        <f t="shared" si="12"/>
        <v>1.3949084630625239E-5</v>
      </c>
    </row>
    <row r="119" spans="1:9">
      <c r="A119" s="563">
        <v>44734</v>
      </c>
      <c r="B119">
        <v>55.687999725341797</v>
      </c>
      <c r="C119" s="604">
        <v>11053.080078125</v>
      </c>
      <c r="D119" s="748">
        <f t="shared" si="10"/>
        <v>1.9968386675822902E-2</v>
      </c>
      <c r="E119" s="748">
        <f t="shared" si="10"/>
        <v>1.620456472734455E-2</v>
      </c>
      <c r="F119" s="750">
        <f t="shared" si="8"/>
        <v>1.975743154908427E-2</v>
      </c>
      <c r="G119" s="750">
        <f t="shared" si="9"/>
        <v>1.6179015486594873E-2</v>
      </c>
      <c r="H119" s="604">
        <f t="shared" si="11"/>
        <v>2.6176054211547674E-4</v>
      </c>
      <c r="I119" s="750">
        <f t="shared" si="12"/>
        <v>3.1965579100797257E-4</v>
      </c>
    </row>
    <row r="120" spans="1:9">
      <c r="A120" s="563">
        <v>44735</v>
      </c>
      <c r="B120">
        <v>56.799999237060547</v>
      </c>
      <c r="C120" s="604">
        <v>11232.1904296875</v>
      </c>
      <c r="D120" s="748">
        <f t="shared" si="10"/>
        <v>4.1021159548439101E-2</v>
      </c>
      <c r="E120" s="748">
        <f t="shared" si="10"/>
        <v>3.3424441105246228E-2</v>
      </c>
      <c r="F120" s="750">
        <f t="shared" si="8"/>
        <v>4.0810204421700469E-2</v>
      </c>
      <c r="G120" s="750">
        <f t="shared" si="9"/>
        <v>3.3398891864496551E-2</v>
      </c>
      <c r="H120" s="604">
        <f t="shared" si="11"/>
        <v>1.1154859777763339E-3</v>
      </c>
      <c r="I120" s="750">
        <f t="shared" si="12"/>
        <v>1.3630156044483731E-3</v>
      </c>
    </row>
    <row r="121" spans="1:9">
      <c r="A121" s="563">
        <v>44736</v>
      </c>
      <c r="B121">
        <v>59.130001068115227</v>
      </c>
      <c r="C121" s="604">
        <v>11607.6201171875</v>
      </c>
      <c r="D121" s="748">
        <f t="shared" si="10"/>
        <v>-4.7353727200442064E-3</v>
      </c>
      <c r="E121" s="748">
        <f t="shared" si="10"/>
        <v>-7.156532662280779E-3</v>
      </c>
      <c r="F121" s="750">
        <f t="shared" si="8"/>
        <v>-4.9463278467828395E-3</v>
      </c>
      <c r="G121" s="750">
        <f t="shared" si="9"/>
        <v>-7.182081903030455E-3</v>
      </c>
      <c r="H121" s="604">
        <f t="shared" si="11"/>
        <v>5.1582300461837561E-5</v>
      </c>
      <c r="I121" s="750">
        <f t="shared" si="12"/>
        <v>3.5524931714834632E-5</v>
      </c>
    </row>
    <row r="122" spans="1:9">
      <c r="A122" s="563">
        <v>44739</v>
      </c>
      <c r="B122">
        <v>58.849998474121087</v>
      </c>
      <c r="C122" s="604">
        <v>11524.5498046875</v>
      </c>
      <c r="D122" s="748">
        <f t="shared" si="10"/>
        <v>-2.6508030569953989E-2</v>
      </c>
      <c r="E122" s="748">
        <f t="shared" si="10"/>
        <v>-2.9763398261811846E-2</v>
      </c>
      <c r="F122" s="750">
        <f t="shared" si="8"/>
        <v>-2.6718985696692621E-2</v>
      </c>
      <c r="G122" s="750">
        <f t="shared" si="9"/>
        <v>-2.9788947502561523E-2</v>
      </c>
      <c r="H122" s="604">
        <f t="shared" si="11"/>
        <v>8.8738139331036639E-4</v>
      </c>
      <c r="I122" s="750">
        <f t="shared" si="12"/>
        <v>7.959304622404687E-4</v>
      </c>
    </row>
    <row r="123" spans="1:9">
      <c r="A123" s="563">
        <v>44740</v>
      </c>
      <c r="B123">
        <v>57.290000915527337</v>
      </c>
      <c r="C123" s="604">
        <v>11181.5400390625</v>
      </c>
      <c r="D123" s="748">
        <f t="shared" si="10"/>
        <v>-2.0946542968111048E-3</v>
      </c>
      <c r="E123" s="748">
        <f t="shared" si="10"/>
        <v>-3.2646581886286441E-4</v>
      </c>
      <c r="F123" s="750">
        <f t="shared" si="8"/>
        <v>-2.3056094235497384E-3</v>
      </c>
      <c r="G123" s="750">
        <f t="shared" si="9"/>
        <v>-3.5201505961254023E-4</v>
      </c>
      <c r="H123" s="604">
        <f t="shared" si="11"/>
        <v>1.2391460219402025E-7</v>
      </c>
      <c r="I123" s="750">
        <f t="shared" si="12"/>
        <v>8.1160923867409565E-7</v>
      </c>
    </row>
    <row r="124" spans="1:9">
      <c r="A124" s="563">
        <v>44741</v>
      </c>
      <c r="B124">
        <v>57.169998168945313</v>
      </c>
      <c r="C124" s="604">
        <v>11177.8896484375</v>
      </c>
      <c r="D124" s="748">
        <f t="shared" si="10"/>
        <v>-1.0320034227517483E-2</v>
      </c>
      <c r="E124" s="748">
        <f t="shared" si="10"/>
        <v>-1.3343253400551203E-2</v>
      </c>
      <c r="F124" s="750">
        <f t="shared" si="8"/>
        <v>-1.0530989354256117E-2</v>
      </c>
      <c r="G124" s="750">
        <f t="shared" si="9"/>
        <v>-1.3368802641300878E-2</v>
      </c>
      <c r="H124" s="604">
        <f t="shared" si="11"/>
        <v>1.7872488406205333E-4</v>
      </c>
      <c r="I124" s="750">
        <f t="shared" si="12"/>
        <v>1.407867182946906E-4</v>
      </c>
    </row>
    <row r="125" spans="1:9">
      <c r="A125" s="563">
        <v>44742</v>
      </c>
      <c r="B125">
        <v>56.580001831054688</v>
      </c>
      <c r="C125" s="604">
        <v>11028.740234375</v>
      </c>
      <c r="D125" s="748">
        <f t="shared" si="10"/>
        <v>1.3962479237610959E-2</v>
      </c>
      <c r="E125" s="748">
        <f t="shared" si="10"/>
        <v>8.9864638112602258E-3</v>
      </c>
      <c r="F125" s="750">
        <f t="shared" si="8"/>
        <v>1.3751524110872325E-2</v>
      </c>
      <c r="G125" s="750">
        <f t="shared" si="9"/>
        <v>8.9609145705105506E-3</v>
      </c>
      <c r="H125" s="604">
        <f t="shared" si="11"/>
        <v>8.029798993998828E-5</v>
      </c>
      <c r="I125" s="750">
        <f t="shared" si="12"/>
        <v>1.2322623277184297E-4</v>
      </c>
    </row>
    <row r="126" spans="1:9">
      <c r="A126" s="563">
        <v>44743</v>
      </c>
      <c r="B126">
        <v>57.369998931884773</v>
      </c>
      <c r="C126" s="604">
        <v>11127.849609375</v>
      </c>
      <c r="D126" s="748">
        <f t="shared" si="10"/>
        <v>2.8412081200324346E-2</v>
      </c>
      <c r="E126" s="748">
        <f t="shared" si="10"/>
        <v>1.746884005659366E-2</v>
      </c>
      <c r="F126" s="750">
        <f t="shared" si="8"/>
        <v>2.8201126073585714E-2</v>
      </c>
      <c r="G126" s="750">
        <f t="shared" si="9"/>
        <v>1.7443290815843983E-2</v>
      </c>
      <c r="H126" s="604">
        <f t="shared" si="11"/>
        <v>3.0426839448610704E-4</v>
      </c>
      <c r="I126" s="750">
        <f t="shared" si="12"/>
        <v>4.9192044343583598E-4</v>
      </c>
    </row>
    <row r="127" spans="1:9">
      <c r="A127" s="563">
        <v>44747</v>
      </c>
      <c r="B127">
        <v>59</v>
      </c>
      <c r="C127" s="604">
        <v>11322.240234375</v>
      </c>
      <c r="D127" s="748">
        <f t="shared" si="10"/>
        <v>1.4745744608216427E-2</v>
      </c>
      <c r="E127" s="748">
        <f t="shared" si="10"/>
        <v>3.4983690665513212E-3</v>
      </c>
      <c r="F127" s="750">
        <f t="shared" si="8"/>
        <v>1.4534789481477793E-2</v>
      </c>
      <c r="G127" s="750">
        <f t="shared" si="9"/>
        <v>3.4728198258016452E-3</v>
      </c>
      <c r="H127" s="604">
        <f t="shared" si="11"/>
        <v>1.206047754248097E-5</v>
      </c>
      <c r="I127" s="750">
        <f t="shared" si="12"/>
        <v>5.0476705075129293E-5</v>
      </c>
    </row>
    <row r="128" spans="1:9">
      <c r="A128" s="563">
        <v>44748</v>
      </c>
      <c r="B128">
        <v>59.869998931884773</v>
      </c>
      <c r="C128" s="604">
        <v>11361.849609375</v>
      </c>
      <c r="D128" s="748">
        <f t="shared" si="10"/>
        <v>2.9229998851194372E-2</v>
      </c>
      <c r="E128" s="748">
        <f t="shared" si="10"/>
        <v>2.2839591168842599E-2</v>
      </c>
      <c r="F128" s="750">
        <f t="shared" si="8"/>
        <v>2.901904372445574E-2</v>
      </c>
      <c r="G128" s="750">
        <f t="shared" si="9"/>
        <v>2.2814041928092922E-2</v>
      </c>
      <c r="H128" s="604">
        <f t="shared" si="11"/>
        <v>5.204805090967818E-4</v>
      </c>
      <c r="I128" s="750">
        <f t="shared" si="12"/>
        <v>6.6204168024289504E-4</v>
      </c>
    </row>
    <row r="129" spans="1:9">
      <c r="A129" s="563">
        <v>44749</v>
      </c>
      <c r="B129">
        <v>61.619998931884773</v>
      </c>
      <c r="C129" s="604">
        <v>11621.349609375</v>
      </c>
      <c r="D129" s="748">
        <f t="shared" si="10"/>
        <v>1.7526807039521808E-2</v>
      </c>
      <c r="E129" s="748">
        <f t="shared" si="10"/>
        <v>1.2012340568636759E-3</v>
      </c>
      <c r="F129" s="750">
        <f t="shared" si="8"/>
        <v>1.7315851912783176E-2</v>
      </c>
      <c r="G129" s="750">
        <f t="shared" si="9"/>
        <v>1.1756848161140001E-3</v>
      </c>
      <c r="H129" s="604">
        <f t="shared" si="11"/>
        <v>1.3822347868410104E-6</v>
      </c>
      <c r="I129" s="750">
        <f t="shared" si="12"/>
        <v>2.0357984171937744E-5</v>
      </c>
    </row>
    <row r="130" spans="1:9">
      <c r="A130" s="563">
        <v>44750</v>
      </c>
      <c r="B130">
        <v>62.700000762939453</v>
      </c>
      <c r="C130" s="604">
        <v>11635.3095703125</v>
      </c>
      <c r="D130" s="748">
        <f t="shared" si="10"/>
        <v>-6.6985961488349455E-3</v>
      </c>
      <c r="E130" s="748">
        <f t="shared" si="10"/>
        <v>-2.2578682530957739E-2</v>
      </c>
      <c r="F130" s="750">
        <f t="shared" si="8"/>
        <v>-6.9095512755735786E-3</v>
      </c>
      <c r="G130" s="750">
        <f t="shared" si="9"/>
        <v>-2.2604231771707416E-2</v>
      </c>
      <c r="H130" s="604">
        <f t="shared" si="11"/>
        <v>5.1095129398906697E-4</v>
      </c>
      <c r="I130" s="750">
        <f t="shared" si="12"/>
        <v>1.5618509847156178E-4</v>
      </c>
    </row>
    <row r="131" spans="1:9">
      <c r="A131" s="563">
        <v>44753</v>
      </c>
      <c r="B131">
        <v>62.279998779296882</v>
      </c>
      <c r="C131" s="604">
        <v>11372.599609375</v>
      </c>
      <c r="D131" s="748">
        <f t="shared" si="10"/>
        <v>-4.271033878530428E-2</v>
      </c>
      <c r="E131" s="748">
        <f t="shared" si="10"/>
        <v>-9.4850029307351758E-3</v>
      </c>
      <c r="F131" s="750">
        <f t="shared" ref="F131:F194" si="13">D131-$F$504</f>
        <v>-4.2921293912042913E-2</v>
      </c>
      <c r="G131" s="750">
        <f t="shared" ref="G131:G194" si="14">E131-$G$504</f>
        <v>-9.5105521714848509E-3</v>
      </c>
      <c r="H131" s="604">
        <f t="shared" si="11"/>
        <v>9.0450602606535218E-5</v>
      </c>
      <c r="I131" s="750">
        <f t="shared" si="12"/>
        <v>4.0820520501811921E-4</v>
      </c>
    </row>
    <row r="132" spans="1:9">
      <c r="A132" s="563">
        <v>44754</v>
      </c>
      <c r="B132">
        <v>59.619998931884773</v>
      </c>
      <c r="C132" s="604">
        <v>11264.73046875</v>
      </c>
      <c r="D132" s="748">
        <f t="shared" si="10"/>
        <v>-1.1908740308496646E-2</v>
      </c>
      <c r="E132" s="748">
        <f t="shared" si="10"/>
        <v>-1.5224856620029703E-3</v>
      </c>
      <c r="F132" s="750">
        <f t="shared" si="13"/>
        <v>-1.211969543523528E-2</v>
      </c>
      <c r="G132" s="750">
        <f t="shared" si="14"/>
        <v>-1.5480349027526461E-3</v>
      </c>
      <c r="H132" s="604">
        <f t="shared" si="11"/>
        <v>2.3964120601403942E-6</v>
      </c>
      <c r="I132" s="750">
        <f t="shared" si="12"/>
        <v>1.8761711544476137E-5</v>
      </c>
    </row>
    <row r="133" spans="1:9">
      <c r="A133" s="563">
        <v>44755</v>
      </c>
      <c r="B133">
        <v>58.909999847412109</v>
      </c>
      <c r="C133" s="604">
        <v>11247.580078125</v>
      </c>
      <c r="D133" s="748">
        <f t="shared" si="10"/>
        <v>-2.1558317111750269E-2</v>
      </c>
      <c r="E133" s="748">
        <f t="shared" si="10"/>
        <v>3.2098918500000906E-4</v>
      </c>
      <c r="F133" s="750">
        <f t="shared" si="13"/>
        <v>-2.1769272238488901E-2</v>
      </c>
      <c r="G133" s="750">
        <f t="shared" si="14"/>
        <v>2.9543994425033324E-4</v>
      </c>
      <c r="H133" s="604">
        <f t="shared" si="11"/>
        <v>8.7284760658640015E-8</v>
      </c>
      <c r="I133" s="750">
        <f t="shared" si="12"/>
        <v>-6.4315125765094878E-6</v>
      </c>
    </row>
    <row r="134" spans="1:9">
      <c r="A134" s="563">
        <v>44756</v>
      </c>
      <c r="B134">
        <v>57.639999389648438</v>
      </c>
      <c r="C134" s="604">
        <v>11251.1904296875</v>
      </c>
      <c r="D134" s="748">
        <f t="shared" si="10"/>
        <v>4.4760615169576523E-2</v>
      </c>
      <c r="E134" s="748">
        <f t="shared" si="10"/>
        <v>1.7885173435206791E-2</v>
      </c>
      <c r="F134" s="750">
        <f t="shared" si="13"/>
        <v>4.4549660042837891E-2</v>
      </c>
      <c r="G134" s="750">
        <f t="shared" si="14"/>
        <v>1.7859624194457115E-2</v>
      </c>
      <c r="H134" s="604">
        <f t="shared" si="11"/>
        <v>3.1896617636723793E-4</v>
      </c>
      <c r="I134" s="750">
        <f t="shared" si="12"/>
        <v>7.9564018635590696E-4</v>
      </c>
    </row>
    <row r="135" spans="1:9">
      <c r="A135" s="563">
        <v>44757</v>
      </c>
      <c r="B135">
        <v>60.220001220703118</v>
      </c>
      <c r="C135" s="604">
        <v>11452.419921875</v>
      </c>
      <c r="D135" s="748">
        <f t="shared" si="10"/>
        <v>-3.6864848483927015E-2</v>
      </c>
      <c r="E135" s="748">
        <f t="shared" si="10"/>
        <v>-8.0655545131614881E-3</v>
      </c>
      <c r="F135" s="750">
        <f t="shared" si="13"/>
        <v>-3.7075803610665647E-2</v>
      </c>
      <c r="G135" s="750">
        <f t="shared" si="14"/>
        <v>-8.0911037539111632E-3</v>
      </c>
      <c r="H135" s="604">
        <f t="shared" si="11"/>
        <v>6.5465959956555311E-5</v>
      </c>
      <c r="I135" s="750">
        <f t="shared" si="12"/>
        <v>2.999841737735299E-4</v>
      </c>
    </row>
    <row r="136" spans="1:9">
      <c r="A136" s="563">
        <v>44760</v>
      </c>
      <c r="B136">
        <v>58</v>
      </c>
      <c r="C136" s="604">
        <v>11360.0498046875</v>
      </c>
      <c r="D136" s="748">
        <f t="shared" si="10"/>
        <v>2.0689668326542288E-2</v>
      </c>
      <c r="E136" s="748">
        <f t="shared" si="10"/>
        <v>3.1082661784792576E-2</v>
      </c>
      <c r="F136" s="750">
        <f t="shared" si="13"/>
        <v>2.0478713199803655E-2</v>
      </c>
      <c r="G136" s="750">
        <f t="shared" si="14"/>
        <v>3.1057112544042899E-2</v>
      </c>
      <c r="H136" s="604">
        <f t="shared" si="11"/>
        <v>9.6454423957334674E-4</v>
      </c>
      <c r="I136" s="750">
        <f t="shared" si="12"/>
        <v>6.3600970060347897E-4</v>
      </c>
    </row>
    <row r="137" spans="1:9">
      <c r="A137" s="563">
        <v>44761</v>
      </c>
      <c r="B137">
        <v>59.200000762939453</v>
      </c>
      <c r="C137" s="604">
        <v>11713.150390625</v>
      </c>
      <c r="D137" s="748">
        <f t="shared" si="10"/>
        <v>7.4324091391639868E-3</v>
      </c>
      <c r="E137" s="748">
        <f t="shared" si="10"/>
        <v>1.5751526604462551E-2</v>
      </c>
      <c r="F137" s="750">
        <f t="shared" si="13"/>
        <v>7.2214540124253537E-3</v>
      </c>
      <c r="G137" s="750">
        <f t="shared" si="14"/>
        <v>1.5725977363712874E-2</v>
      </c>
      <c r="H137" s="604">
        <f t="shared" si="11"/>
        <v>2.4730636404400971E-4</v>
      </c>
      <c r="I137" s="750">
        <f t="shared" si="12"/>
        <v>1.1356442233249462E-4</v>
      </c>
    </row>
    <row r="138" spans="1:9">
      <c r="A138" s="563">
        <v>44762</v>
      </c>
      <c r="B138">
        <v>59.639999389648438</v>
      </c>
      <c r="C138" s="604">
        <v>11897.650390625</v>
      </c>
      <c r="D138" s="748">
        <f t="shared" si="10"/>
        <v>3.722336088904199E-2</v>
      </c>
      <c r="E138" s="748">
        <f t="shared" si="10"/>
        <v>1.3612768540006925E-2</v>
      </c>
      <c r="F138" s="750">
        <f t="shared" si="13"/>
        <v>3.7012405762303358E-2</v>
      </c>
      <c r="G138" s="750">
        <f t="shared" si="14"/>
        <v>1.358721929925725E-2</v>
      </c>
      <c r="H138" s="604">
        <f t="shared" si="11"/>
        <v>1.8461252828610869E-4</v>
      </c>
      <c r="I138" s="750">
        <f t="shared" si="12"/>
        <v>5.0289567388550843E-4</v>
      </c>
    </row>
    <row r="139" spans="1:9">
      <c r="A139" s="563">
        <v>44763</v>
      </c>
      <c r="B139">
        <v>61.860000610351563</v>
      </c>
      <c r="C139" s="604">
        <v>12059.6103515625</v>
      </c>
      <c r="D139" s="748">
        <f t="shared" si="10"/>
        <v>-1.0184304266072197E-2</v>
      </c>
      <c r="E139" s="748">
        <f t="shared" si="10"/>
        <v>-1.8698779929550824E-2</v>
      </c>
      <c r="F139" s="750">
        <f t="shared" si="13"/>
        <v>-1.0395259392810831E-2</v>
      </c>
      <c r="G139" s="750">
        <f t="shared" si="14"/>
        <v>-1.8724329170300501E-2</v>
      </c>
      <c r="H139" s="604">
        <f t="shared" si="11"/>
        <v>3.5060050287776624E-4</v>
      </c>
      <c r="I139" s="750">
        <f t="shared" si="12"/>
        <v>1.9464425868164813E-4</v>
      </c>
    </row>
    <row r="140" spans="1:9">
      <c r="A140" s="563">
        <v>44764</v>
      </c>
      <c r="B140">
        <v>61.229999542236328</v>
      </c>
      <c r="C140" s="604">
        <v>11834.1103515625</v>
      </c>
      <c r="D140" s="748">
        <f t="shared" si="10"/>
        <v>-3.7563211490418968E-3</v>
      </c>
      <c r="E140" s="748">
        <f t="shared" si="10"/>
        <v>-4.3467931394359782E-3</v>
      </c>
      <c r="F140" s="750">
        <f t="shared" si="13"/>
        <v>-3.96727627578053E-3</v>
      </c>
      <c r="G140" s="750">
        <f t="shared" si="14"/>
        <v>-4.3723423801856542E-3</v>
      </c>
      <c r="H140" s="604">
        <f t="shared" si="11"/>
        <v>1.9117377889567552E-5</v>
      </c>
      <c r="I140" s="750">
        <f t="shared" si="12"/>
        <v>1.734629019450032E-5</v>
      </c>
    </row>
    <row r="141" spans="1:9">
      <c r="A141" s="563">
        <v>44767</v>
      </c>
      <c r="B141">
        <v>61</v>
      </c>
      <c r="C141" s="604">
        <v>11782.669921875</v>
      </c>
      <c r="D141" s="748">
        <f t="shared" si="10"/>
        <v>-7.7704945548636051E-2</v>
      </c>
      <c r="E141" s="748">
        <f t="shared" si="10"/>
        <v>-1.8679943581070391E-2</v>
      </c>
      <c r="F141" s="750">
        <f t="shared" si="13"/>
        <v>-7.7915900675374683E-2</v>
      </c>
      <c r="G141" s="750">
        <f t="shared" si="14"/>
        <v>-1.8705492821820068E-2</v>
      </c>
      <c r="H141" s="604">
        <f t="shared" si="11"/>
        <v>3.4989546170716206E-4</v>
      </c>
      <c r="I141" s="750">
        <f t="shared" si="12"/>
        <v>1.4574553207888665E-3</v>
      </c>
    </row>
    <row r="142" spans="1:9">
      <c r="A142" s="563">
        <v>44768</v>
      </c>
      <c r="B142">
        <v>56.259998321533203</v>
      </c>
      <c r="C142" s="604">
        <v>11562.5703125</v>
      </c>
      <c r="D142" s="748">
        <f t="shared" si="10"/>
        <v>2.96836479464202E-2</v>
      </c>
      <c r="E142" s="748">
        <f t="shared" si="10"/>
        <v>4.0635394784761525E-2</v>
      </c>
      <c r="F142" s="750">
        <f t="shared" si="13"/>
        <v>2.9472692819681567E-2</v>
      </c>
      <c r="G142" s="750">
        <f t="shared" si="14"/>
        <v>4.0609845544011848E-2</v>
      </c>
      <c r="H142" s="604">
        <f t="shared" si="11"/>
        <v>1.649159555108499E-3</v>
      </c>
      <c r="I142" s="750">
        <f t="shared" si="12"/>
        <v>1.1968815031733755E-3</v>
      </c>
    </row>
    <row r="143" spans="1:9">
      <c r="A143" s="563">
        <v>44769</v>
      </c>
      <c r="B143">
        <v>57.930000305175781</v>
      </c>
      <c r="C143" s="604">
        <v>12032.419921875</v>
      </c>
      <c r="D143" s="748">
        <f t="shared" si="10"/>
        <v>2.537547407145091E-2</v>
      </c>
      <c r="E143" s="748">
        <f t="shared" si="10"/>
        <v>1.0818266210801841E-2</v>
      </c>
      <c r="F143" s="750">
        <f t="shared" si="13"/>
        <v>2.5164518944712277E-2</v>
      </c>
      <c r="G143" s="750">
        <f t="shared" si="14"/>
        <v>1.0792716970052166E-2</v>
      </c>
      <c r="H143" s="604">
        <f t="shared" si="11"/>
        <v>1.1648273959565202E-4</v>
      </c>
      <c r="I143" s="750">
        <f t="shared" si="12"/>
        <v>2.7159353065779542E-4</v>
      </c>
    </row>
    <row r="144" spans="1:9">
      <c r="A144" s="563">
        <v>44770</v>
      </c>
      <c r="B144">
        <v>59.400001525878913</v>
      </c>
      <c r="C144" s="604">
        <v>12162.58984375</v>
      </c>
      <c r="D144" s="748">
        <f t="shared" si="10"/>
        <v>4.2087541006388118E-3</v>
      </c>
      <c r="E144" s="748">
        <f t="shared" si="10"/>
        <v>1.8754277573103773E-2</v>
      </c>
      <c r="F144" s="750">
        <f t="shared" si="13"/>
        <v>3.9977989739001787E-3</v>
      </c>
      <c r="G144" s="750">
        <f t="shared" si="14"/>
        <v>1.8728728332354096E-2</v>
      </c>
      <c r="H144" s="604">
        <f t="shared" si="11"/>
        <v>3.50765264947123E-4</v>
      </c>
      <c r="I144" s="750">
        <f t="shared" si="12"/>
        <v>7.4873690909540408E-5</v>
      </c>
    </row>
    <row r="145" spans="1:9">
      <c r="A145" s="563">
        <v>44771</v>
      </c>
      <c r="B145">
        <v>59.650001525878913</v>
      </c>
      <c r="C145" s="604">
        <v>12390.6904296875</v>
      </c>
      <c r="D145" s="748">
        <f t="shared" si="10"/>
        <v>6.8734255980569259E-3</v>
      </c>
      <c r="E145" s="748">
        <f t="shared" si="10"/>
        <v>-1.7521187427524954E-3</v>
      </c>
      <c r="F145" s="750">
        <f t="shared" si="13"/>
        <v>6.6624704713182928E-3</v>
      </c>
      <c r="G145" s="750">
        <f t="shared" si="14"/>
        <v>-1.7776679835021711E-3</v>
      </c>
      <c r="H145" s="604">
        <f t="shared" si="11"/>
        <v>3.1601034595686755E-6</v>
      </c>
      <c r="I145" s="750">
        <f t="shared" si="12"/>
        <v>-1.184366044789115E-5</v>
      </c>
    </row>
    <row r="146" spans="1:9">
      <c r="A146" s="563">
        <v>44774</v>
      </c>
      <c r="B146">
        <v>60.060001373291023</v>
      </c>
      <c r="C146" s="604">
        <v>12368.98046875</v>
      </c>
      <c r="D146" s="748">
        <f t="shared" si="10"/>
        <v>5.1614643940318672E-3</v>
      </c>
      <c r="E146" s="748">
        <f t="shared" si="10"/>
        <v>-1.6347914184267065E-3</v>
      </c>
      <c r="F146" s="750">
        <f t="shared" si="13"/>
        <v>4.9505092672932341E-3</v>
      </c>
      <c r="G146" s="750">
        <f t="shared" si="14"/>
        <v>-1.6603406591763823E-3</v>
      </c>
      <c r="H146" s="604">
        <f t="shared" si="11"/>
        <v>2.7567311045142637E-6</v>
      </c>
      <c r="I146" s="750">
        <f t="shared" si="12"/>
        <v>-8.219531820116437E-6</v>
      </c>
    </row>
    <row r="147" spans="1:9">
      <c r="A147" s="563">
        <v>44775</v>
      </c>
      <c r="B147">
        <v>60.369998931884773</v>
      </c>
      <c r="C147" s="604">
        <v>12348.759765625</v>
      </c>
      <c r="D147" s="748">
        <f t="shared" ref="D147:E210" si="15">B148/B147-1</f>
        <v>4.1576978311072654E-2</v>
      </c>
      <c r="E147" s="748">
        <f t="shared" si="15"/>
        <v>2.5864977267928468E-2</v>
      </c>
      <c r="F147" s="750">
        <f t="shared" si="13"/>
        <v>4.1366023184334022E-2</v>
      </c>
      <c r="G147" s="750">
        <f t="shared" si="14"/>
        <v>2.5839428027178792E-2</v>
      </c>
      <c r="H147" s="604">
        <f t="shared" ref="H147:H210" si="16">G147^2</f>
        <v>6.676760407717528E-4</v>
      </c>
      <c r="I147" s="750">
        <f t="shared" ref="I147:I210" si="17">F147*G147</f>
        <v>1.0688743788422083E-3</v>
      </c>
    </row>
    <row r="148" spans="1:9">
      <c r="A148" s="563">
        <v>44776</v>
      </c>
      <c r="B148">
        <v>62.880001068115227</v>
      </c>
      <c r="C148" s="604">
        <v>12668.16015625</v>
      </c>
      <c r="D148" s="748">
        <f t="shared" si="15"/>
        <v>-0.16332697651577022</v>
      </c>
      <c r="E148" s="748">
        <f t="shared" si="15"/>
        <v>4.1379269940109431E-3</v>
      </c>
      <c r="F148" s="750">
        <f t="shared" si="13"/>
        <v>-0.16353793164250885</v>
      </c>
      <c r="G148" s="750">
        <f t="shared" si="14"/>
        <v>4.1123777532612671E-3</v>
      </c>
      <c r="H148" s="604">
        <f t="shared" si="16"/>
        <v>1.6911650785518188E-5</v>
      </c>
      <c r="I148" s="750">
        <f t="shared" si="17"/>
        <v>-6.7252975190101524E-4</v>
      </c>
    </row>
    <row r="149" spans="1:9">
      <c r="A149" s="563">
        <v>44777</v>
      </c>
      <c r="B149">
        <v>52.610000610351563</v>
      </c>
      <c r="C149" s="604">
        <v>12720.580078125</v>
      </c>
      <c r="D149" s="748">
        <f t="shared" si="15"/>
        <v>1.4826055317387787E-2</v>
      </c>
      <c r="E149" s="748">
        <f t="shared" si="15"/>
        <v>-4.9549842106564324E-3</v>
      </c>
      <c r="F149" s="750">
        <f t="shared" si="13"/>
        <v>1.4615100190649153E-2</v>
      </c>
      <c r="G149" s="750">
        <f t="shared" si="14"/>
        <v>-4.9805334514061083E-3</v>
      </c>
      <c r="H149" s="604">
        <f t="shared" si="16"/>
        <v>2.480571346057524E-5</v>
      </c>
      <c r="I149" s="750">
        <f t="shared" si="17"/>
        <v>-7.2790995395179896E-5</v>
      </c>
    </row>
    <row r="150" spans="1:9">
      <c r="A150" s="563">
        <v>44778</v>
      </c>
      <c r="B150">
        <v>53.389999389648438</v>
      </c>
      <c r="C150" s="604">
        <v>12657.5498046875</v>
      </c>
      <c r="D150" s="748">
        <f t="shared" si="15"/>
        <v>-1.3111012478825845E-3</v>
      </c>
      <c r="E150" s="748">
        <f t="shared" si="15"/>
        <v>-1.0341530511025487E-3</v>
      </c>
      <c r="F150" s="750">
        <f t="shared" si="13"/>
        <v>-1.5220563746212179E-3</v>
      </c>
      <c r="G150" s="750">
        <f t="shared" si="14"/>
        <v>-1.0597022918522245E-3</v>
      </c>
      <c r="H150" s="604">
        <f t="shared" si="16"/>
        <v>1.1229689473568571E-6</v>
      </c>
      <c r="I150" s="750">
        <f t="shared" si="17"/>
        <v>1.6129266285143926E-6</v>
      </c>
    </row>
    <row r="151" spans="1:9">
      <c r="A151" s="563">
        <v>44781</v>
      </c>
      <c r="B151">
        <v>53.319999694824219</v>
      </c>
      <c r="C151" s="604">
        <v>12644.4599609375</v>
      </c>
      <c r="D151" s="748">
        <f t="shared" si="15"/>
        <v>-2.1192818353015341E-2</v>
      </c>
      <c r="E151" s="748">
        <f t="shared" si="15"/>
        <v>-1.1904840056636057E-2</v>
      </c>
      <c r="F151" s="750">
        <f t="shared" si="13"/>
        <v>-2.1403773479753974E-2</v>
      </c>
      <c r="G151" s="750">
        <f t="shared" si="14"/>
        <v>-1.1930389297385732E-2</v>
      </c>
      <c r="H151" s="604">
        <f t="shared" si="16"/>
        <v>1.4233418878717601E-4</v>
      </c>
      <c r="I151" s="750">
        <f t="shared" si="17"/>
        <v>2.5535535004652537E-4</v>
      </c>
    </row>
    <row r="152" spans="1:9">
      <c r="A152" s="563">
        <v>44782</v>
      </c>
      <c r="B152">
        <v>52.189998626708977</v>
      </c>
      <c r="C152" s="604">
        <v>12493.9296875</v>
      </c>
      <c r="D152" s="748">
        <f t="shared" si="15"/>
        <v>3.2573305377890271E-2</v>
      </c>
      <c r="E152" s="748">
        <f t="shared" si="15"/>
        <v>2.8883635990728074E-2</v>
      </c>
      <c r="F152" s="750">
        <f t="shared" si="13"/>
        <v>3.2362350251151639E-2</v>
      </c>
      <c r="G152" s="750">
        <f t="shared" si="14"/>
        <v>2.8858086749978397E-2</v>
      </c>
      <c r="H152" s="604">
        <f t="shared" si="16"/>
        <v>8.327891708692787E-4</v>
      </c>
      <c r="I152" s="750">
        <f t="shared" si="17"/>
        <v>9.3391551098091915E-4</v>
      </c>
    </row>
    <row r="153" spans="1:9">
      <c r="A153" s="563">
        <v>44783</v>
      </c>
      <c r="B153">
        <v>53.889999389648438</v>
      </c>
      <c r="C153" s="604">
        <v>12854.7998046875</v>
      </c>
      <c r="D153" s="748">
        <f t="shared" si="15"/>
        <v>-2.5422136711842791E-2</v>
      </c>
      <c r="E153" s="748">
        <f t="shared" si="15"/>
        <v>-5.8258121149573627E-3</v>
      </c>
      <c r="F153" s="750">
        <f t="shared" si="13"/>
        <v>-2.5633091838581423E-2</v>
      </c>
      <c r="G153" s="750">
        <f t="shared" si="14"/>
        <v>-5.8513613557070387E-3</v>
      </c>
      <c r="H153" s="604">
        <f t="shared" si="16"/>
        <v>3.4238429715061711E-5</v>
      </c>
      <c r="I153" s="750">
        <f t="shared" si="17"/>
        <v>1.4998848301156481E-4</v>
      </c>
    </row>
    <row r="154" spans="1:9">
      <c r="A154" s="563">
        <v>44784</v>
      </c>
      <c r="B154">
        <v>52.520000457763672</v>
      </c>
      <c r="C154" s="604">
        <v>12779.91015625</v>
      </c>
      <c r="D154" s="748">
        <f t="shared" si="15"/>
        <v>3.3701455490029675E-2</v>
      </c>
      <c r="E154" s="748">
        <f t="shared" si="15"/>
        <v>2.09140964349257E-2</v>
      </c>
      <c r="F154" s="750">
        <f t="shared" si="13"/>
        <v>3.3490500363291043E-2</v>
      </c>
      <c r="G154" s="750">
        <f t="shared" si="14"/>
        <v>2.0888547194176023E-2</v>
      </c>
      <c r="H154" s="604">
        <f t="shared" si="16"/>
        <v>4.3633140388331902E-4</v>
      </c>
      <c r="I154" s="750">
        <f t="shared" si="17"/>
        <v>6.9956789739517413E-4</v>
      </c>
    </row>
    <row r="155" spans="1:9">
      <c r="A155" s="563">
        <v>44785</v>
      </c>
      <c r="B155">
        <v>54.290000915527337</v>
      </c>
      <c r="C155" s="604">
        <v>13047.1904296875</v>
      </c>
      <c r="D155" s="748">
        <f t="shared" si="15"/>
        <v>-3.8680987462018646E-3</v>
      </c>
      <c r="E155" s="748">
        <f t="shared" si="15"/>
        <v>6.1974549567402892E-3</v>
      </c>
      <c r="F155" s="750">
        <f t="shared" si="13"/>
        <v>-4.0790538729404977E-3</v>
      </c>
      <c r="G155" s="750">
        <f t="shared" si="14"/>
        <v>6.1719057159906133E-3</v>
      </c>
      <c r="H155" s="604">
        <f t="shared" si="16"/>
        <v>3.8092420167077604E-5</v>
      </c>
      <c r="I155" s="750">
        <f t="shared" si="17"/>
        <v>-2.5175535914235107E-5</v>
      </c>
    </row>
    <row r="156" spans="1:9">
      <c r="A156" s="563">
        <v>44788</v>
      </c>
      <c r="B156">
        <v>54.080001831054688</v>
      </c>
      <c r="C156" s="604">
        <v>13128.0498046875</v>
      </c>
      <c r="D156" s="748">
        <f t="shared" si="15"/>
        <v>-2.1079940195029345E-2</v>
      </c>
      <c r="E156" s="748">
        <f t="shared" si="15"/>
        <v>-1.9424057936537897E-3</v>
      </c>
      <c r="F156" s="750">
        <f t="shared" si="13"/>
        <v>-2.1290895321767977E-2</v>
      </c>
      <c r="G156" s="750">
        <f t="shared" si="14"/>
        <v>-1.9679550344034657E-3</v>
      </c>
      <c r="H156" s="604">
        <f t="shared" si="16"/>
        <v>3.8728470174339462E-6</v>
      </c>
      <c r="I156" s="750">
        <f t="shared" si="17"/>
        <v>4.189952463543049E-5</v>
      </c>
    </row>
    <row r="157" spans="1:9">
      <c r="A157" s="563">
        <v>44789</v>
      </c>
      <c r="B157">
        <v>52.939998626708977</v>
      </c>
      <c r="C157" s="604">
        <v>13102.5498046875</v>
      </c>
      <c r="D157" s="748">
        <f t="shared" si="15"/>
        <v>-1.9078170527636495E-2</v>
      </c>
      <c r="E157" s="748">
        <f t="shared" si="15"/>
        <v>-1.2549441898795477E-2</v>
      </c>
      <c r="F157" s="750">
        <f t="shared" si="13"/>
        <v>-1.9289125654375128E-2</v>
      </c>
      <c r="G157" s="750">
        <f t="shared" si="14"/>
        <v>-1.2574991139545152E-2</v>
      </c>
      <c r="H157" s="604">
        <f t="shared" si="16"/>
        <v>1.5813040215963909E-4</v>
      </c>
      <c r="I157" s="750">
        <f t="shared" si="17"/>
        <v>2.425605841933403E-4</v>
      </c>
    </row>
    <row r="158" spans="1:9">
      <c r="A158" s="563">
        <v>44790</v>
      </c>
      <c r="B158">
        <v>51.930000305175781</v>
      </c>
      <c r="C158" s="604">
        <v>12938.1201171875</v>
      </c>
      <c r="D158" s="748">
        <f t="shared" si="15"/>
        <v>6.5472780779860518E-3</v>
      </c>
      <c r="E158" s="748">
        <f t="shared" si="15"/>
        <v>2.1038393766603658E-3</v>
      </c>
      <c r="F158" s="750">
        <f t="shared" si="13"/>
        <v>6.3363229512474186E-3</v>
      </c>
      <c r="G158" s="750">
        <f t="shared" si="14"/>
        <v>2.0782901359106898E-3</v>
      </c>
      <c r="H158" s="604">
        <f t="shared" si="16"/>
        <v>4.3192898890236732E-6</v>
      </c>
      <c r="I158" s="750">
        <f t="shared" si="17"/>
        <v>1.3168717487522022E-5</v>
      </c>
    </row>
    <row r="159" spans="1:9">
      <c r="A159" s="563">
        <v>44791</v>
      </c>
      <c r="B159">
        <v>52.270000457763672</v>
      </c>
      <c r="C159" s="604">
        <v>12965.33984375</v>
      </c>
      <c r="D159" s="748">
        <f t="shared" si="15"/>
        <v>-1.8748795363570214E-2</v>
      </c>
      <c r="E159" s="748">
        <f t="shared" si="15"/>
        <v>-2.0062730350480673E-2</v>
      </c>
      <c r="F159" s="750">
        <f t="shared" si="13"/>
        <v>-1.8959750490308847E-2</v>
      </c>
      <c r="G159" s="750">
        <f t="shared" si="14"/>
        <v>-2.008827959123035E-2</v>
      </c>
      <c r="H159" s="604">
        <f t="shared" si="16"/>
        <v>4.0353897693544178E-4</v>
      </c>
      <c r="I159" s="750">
        <f t="shared" si="17"/>
        <v>3.8086876882929084E-4</v>
      </c>
    </row>
    <row r="160" spans="1:9">
      <c r="A160" s="563">
        <v>44792</v>
      </c>
      <c r="B160">
        <v>51.290000915527337</v>
      </c>
      <c r="C160" s="604">
        <v>12705.2197265625</v>
      </c>
      <c r="D160" s="748">
        <f t="shared" si="15"/>
        <v>-1.8912092091803112E-2</v>
      </c>
      <c r="E160" s="748">
        <f t="shared" si="15"/>
        <v>-2.547373607288772E-2</v>
      </c>
      <c r="F160" s="750">
        <f t="shared" si="13"/>
        <v>-1.9123047218541744E-2</v>
      </c>
      <c r="G160" s="750">
        <f t="shared" si="14"/>
        <v>-2.5499285313637397E-2</v>
      </c>
      <c r="H160" s="604">
        <f t="shared" si="16"/>
        <v>6.5021355150628385E-4</v>
      </c>
      <c r="I160" s="750">
        <f t="shared" si="17"/>
        <v>4.8762403709175597E-4</v>
      </c>
    </row>
    <row r="161" spans="1:9">
      <c r="A161" s="563">
        <v>44795</v>
      </c>
      <c r="B161">
        <v>50.319999694824219</v>
      </c>
      <c r="C161" s="604">
        <v>12381.5703125</v>
      </c>
      <c r="D161" s="748">
        <f t="shared" si="15"/>
        <v>5.3656689070180619E-3</v>
      </c>
      <c r="E161" s="748">
        <f t="shared" si="15"/>
        <v>-2.1847617521220108E-5</v>
      </c>
      <c r="F161" s="750">
        <f t="shared" si="13"/>
        <v>5.1547137802794287E-3</v>
      </c>
      <c r="G161" s="750">
        <f t="shared" si="14"/>
        <v>-4.7396858270895901E-5</v>
      </c>
      <c r="H161" s="604">
        <f t="shared" si="16"/>
        <v>2.246462173951393E-9</v>
      </c>
      <c r="I161" s="750">
        <f t="shared" si="17"/>
        <v>-2.4431723847093814E-7</v>
      </c>
    </row>
    <row r="162" spans="1:9">
      <c r="A162" s="563">
        <v>44796</v>
      </c>
      <c r="B162">
        <v>50.590000152587891</v>
      </c>
      <c r="C162" s="604">
        <v>12381.2998046875</v>
      </c>
      <c r="D162" s="748">
        <f t="shared" si="15"/>
        <v>-8.4997095054126781E-3</v>
      </c>
      <c r="E162" s="748">
        <f t="shared" si="15"/>
        <v>4.056962479091597E-3</v>
      </c>
      <c r="F162" s="750">
        <f t="shared" si="13"/>
        <v>-8.7106646321513121E-3</v>
      </c>
      <c r="G162" s="750">
        <f t="shared" si="14"/>
        <v>4.031413238341921E-3</v>
      </c>
      <c r="H162" s="604">
        <f t="shared" si="16"/>
        <v>1.6252292698278493E-5</v>
      </c>
      <c r="I162" s="750">
        <f t="shared" si="17"/>
        <v>-3.5116288712811559E-5</v>
      </c>
    </row>
    <row r="163" spans="1:9">
      <c r="A163" s="563">
        <v>44797</v>
      </c>
      <c r="B163">
        <v>50.159999847412109</v>
      </c>
      <c r="C163" s="604">
        <v>12431.5302734375</v>
      </c>
      <c r="D163" s="748">
        <f t="shared" si="15"/>
        <v>1.4154686735097677E-2</v>
      </c>
      <c r="E163" s="748">
        <f t="shared" si="15"/>
        <v>1.6710674650921797E-2</v>
      </c>
      <c r="F163" s="750">
        <f t="shared" si="13"/>
        <v>1.3943731608359043E-2</v>
      </c>
      <c r="G163" s="750">
        <f t="shared" si="14"/>
        <v>1.6685125410172121E-2</v>
      </c>
      <c r="H163" s="604">
        <f t="shared" si="16"/>
        <v>2.7839340995317139E-4</v>
      </c>
      <c r="I163" s="750">
        <f t="shared" si="17"/>
        <v>2.3265291057125164E-4</v>
      </c>
    </row>
    <row r="164" spans="1:9">
      <c r="A164" s="563">
        <v>44798</v>
      </c>
      <c r="B164">
        <v>50.869998931884773</v>
      </c>
      <c r="C164" s="604">
        <v>12639.26953125</v>
      </c>
      <c r="D164" s="748">
        <f t="shared" si="15"/>
        <v>-2.5555322672627945E-2</v>
      </c>
      <c r="E164" s="748">
        <f t="shared" si="15"/>
        <v>-3.9366165036856526E-2</v>
      </c>
      <c r="F164" s="750">
        <f t="shared" si="13"/>
        <v>-2.5766277799366577E-2</v>
      </c>
      <c r="G164" s="750">
        <f t="shared" si="14"/>
        <v>-3.9391714277606203E-2</v>
      </c>
      <c r="H164" s="604">
        <f t="shared" si="16"/>
        <v>1.5517071537285644E-3</v>
      </c>
      <c r="I164" s="750">
        <f t="shared" si="17"/>
        <v>1.0149778530700762E-3</v>
      </c>
    </row>
    <row r="165" spans="1:9">
      <c r="A165" s="563">
        <v>44799</v>
      </c>
      <c r="B165">
        <v>49.569999694824219</v>
      </c>
      <c r="C165" s="604">
        <v>12141.7099609375</v>
      </c>
      <c r="D165" s="748">
        <f t="shared" si="15"/>
        <v>-1.7752694644602274E-2</v>
      </c>
      <c r="E165" s="748">
        <f t="shared" si="15"/>
        <v>-1.0216027187403109E-2</v>
      </c>
      <c r="F165" s="750">
        <f t="shared" si="13"/>
        <v>-1.7963649771340906E-2</v>
      </c>
      <c r="G165" s="750">
        <f t="shared" si="14"/>
        <v>-1.0241576428152785E-2</v>
      </c>
      <c r="H165" s="604">
        <f t="shared" si="16"/>
        <v>1.0488988773369475E-4</v>
      </c>
      <c r="I165" s="750">
        <f t="shared" si="17"/>
        <v>1.8397609206175717E-4</v>
      </c>
    </row>
    <row r="166" spans="1:9">
      <c r="A166" s="563">
        <v>44802</v>
      </c>
      <c r="B166">
        <v>48.689998626708977</v>
      </c>
      <c r="C166" s="604">
        <v>12017.669921875</v>
      </c>
      <c r="D166" s="748">
        <f t="shared" si="15"/>
        <v>7.1883815709612442E-3</v>
      </c>
      <c r="E166" s="748">
        <f t="shared" si="15"/>
        <v>-1.119437247919608E-2</v>
      </c>
      <c r="F166" s="750">
        <f t="shared" si="13"/>
        <v>6.9774264442226111E-3</v>
      </c>
      <c r="G166" s="750">
        <f t="shared" si="14"/>
        <v>-1.1219921719945755E-2</v>
      </c>
      <c r="H166" s="604">
        <f t="shared" si="16"/>
        <v>1.2588664340171051E-4</v>
      </c>
      <c r="I166" s="750">
        <f t="shared" si="17"/>
        <v>-7.8286178510857154E-5</v>
      </c>
    </row>
    <row r="167" spans="1:9">
      <c r="A167" s="563">
        <v>44803</v>
      </c>
      <c r="B167">
        <v>49.040000915527337</v>
      </c>
      <c r="C167" s="604">
        <v>11883.1396484375</v>
      </c>
      <c r="D167" s="748">
        <f t="shared" si="15"/>
        <v>-7.1370775343427839E-3</v>
      </c>
      <c r="E167" s="748">
        <f t="shared" si="15"/>
        <v>-5.6331453728056813E-3</v>
      </c>
      <c r="F167" s="750">
        <f t="shared" si="13"/>
        <v>-7.348032661081417E-3</v>
      </c>
      <c r="G167" s="750">
        <f t="shared" si="14"/>
        <v>-5.6586946135553573E-3</v>
      </c>
      <c r="H167" s="604">
        <f t="shared" si="16"/>
        <v>3.2020824729480416E-5</v>
      </c>
      <c r="I167" s="750">
        <f t="shared" si="17"/>
        <v>4.158027283949025E-5</v>
      </c>
    </row>
    <row r="168" spans="1:9">
      <c r="A168" s="563">
        <v>44804</v>
      </c>
      <c r="B168">
        <v>48.689998626708977</v>
      </c>
      <c r="C168" s="604">
        <v>11816.2001953125</v>
      </c>
      <c r="D168" s="748">
        <f t="shared" si="15"/>
        <v>-2.8753212897326685E-3</v>
      </c>
      <c r="E168" s="748">
        <f t="shared" si="15"/>
        <v>-2.6294673402982305E-3</v>
      </c>
      <c r="F168" s="750">
        <f t="shared" si="13"/>
        <v>-3.0862764164713021E-3</v>
      </c>
      <c r="G168" s="750">
        <f t="shared" si="14"/>
        <v>-2.6550165810479065E-3</v>
      </c>
      <c r="H168" s="604">
        <f t="shared" si="16"/>
        <v>7.0491130456393148E-6</v>
      </c>
      <c r="I168" s="750">
        <f t="shared" si="17"/>
        <v>8.1941150594284205E-6</v>
      </c>
    </row>
    <row r="169" spans="1:9">
      <c r="A169" s="563">
        <v>44805</v>
      </c>
      <c r="B169">
        <v>48.549999237060547</v>
      </c>
      <c r="C169" s="604">
        <v>11785.1298828125</v>
      </c>
      <c r="D169" s="748">
        <f t="shared" si="15"/>
        <v>1.0298504190784374E-3</v>
      </c>
      <c r="E169" s="748">
        <f t="shared" si="15"/>
        <v>-1.3090185070848248E-2</v>
      </c>
      <c r="F169" s="750">
        <f t="shared" si="13"/>
        <v>8.188952923398041E-4</v>
      </c>
      <c r="G169" s="750">
        <f t="shared" si="14"/>
        <v>-1.3115734311597923E-2</v>
      </c>
      <c r="H169" s="604">
        <f t="shared" si="16"/>
        <v>1.7202248653242706E-4</v>
      </c>
      <c r="I169" s="750">
        <f t="shared" si="17"/>
        <v>-1.074041308334718E-5</v>
      </c>
    </row>
    <row r="170" spans="1:9">
      <c r="A170" s="563">
        <v>44806</v>
      </c>
      <c r="B170">
        <v>48.599998474121087</v>
      </c>
      <c r="C170" s="604">
        <v>11630.8603515625</v>
      </c>
      <c r="D170" s="748">
        <f t="shared" si="15"/>
        <v>2.1605001743301377E-2</v>
      </c>
      <c r="E170" s="748">
        <f t="shared" si="15"/>
        <v>-7.3898398497195261E-3</v>
      </c>
      <c r="F170" s="750">
        <f t="shared" si="13"/>
        <v>2.1394046616562745E-2</v>
      </c>
      <c r="G170" s="750">
        <f t="shared" si="14"/>
        <v>-7.4153890904692021E-3</v>
      </c>
      <c r="H170" s="604">
        <f t="shared" si="16"/>
        <v>5.498799536304966E-5</v>
      </c>
      <c r="I170" s="750">
        <f t="shared" si="17"/>
        <v>-1.5864517988144894E-4</v>
      </c>
    </row>
    <row r="171" spans="1:9">
      <c r="A171" s="563">
        <v>44810</v>
      </c>
      <c r="B171">
        <v>49.650001525878913</v>
      </c>
      <c r="C171" s="604">
        <v>11544.91015625</v>
      </c>
      <c r="D171" s="748">
        <f t="shared" si="15"/>
        <v>1.6112773665144076E-2</v>
      </c>
      <c r="E171" s="748">
        <f t="shared" si="15"/>
        <v>2.139386370549512E-2</v>
      </c>
      <c r="F171" s="750">
        <f t="shared" si="13"/>
        <v>1.5901818538405443E-2</v>
      </c>
      <c r="G171" s="750">
        <f t="shared" si="14"/>
        <v>2.1368314464745443E-2</v>
      </c>
      <c r="H171" s="604">
        <f t="shared" si="16"/>
        <v>4.5660486306424935E-4</v>
      </c>
      <c r="I171" s="750">
        <f t="shared" si="17"/>
        <v>3.3979505908996626E-4</v>
      </c>
    </row>
    <row r="172" spans="1:9">
      <c r="A172" s="563">
        <v>44811</v>
      </c>
      <c r="B172">
        <v>50.450000762939453</v>
      </c>
      <c r="C172" s="604">
        <v>11791.900390625</v>
      </c>
      <c r="D172" s="748">
        <f t="shared" si="15"/>
        <v>2.4975189345463944E-2</v>
      </c>
      <c r="E172" s="748">
        <f t="shared" si="15"/>
        <v>5.9557399453047388E-3</v>
      </c>
      <c r="F172" s="750">
        <f t="shared" si="13"/>
        <v>2.4764234218725312E-2</v>
      </c>
      <c r="G172" s="750">
        <f t="shared" si="14"/>
        <v>5.9301907045550628E-3</v>
      </c>
      <c r="H172" s="604">
        <f t="shared" si="16"/>
        <v>3.516716179239127E-5</v>
      </c>
      <c r="I172" s="750">
        <f t="shared" si="17"/>
        <v>1.4685663156930925E-4</v>
      </c>
    </row>
    <row r="173" spans="1:9">
      <c r="A173" s="563">
        <v>44812</v>
      </c>
      <c r="B173">
        <v>51.709999084472663</v>
      </c>
      <c r="C173" s="604">
        <v>11862.1298828125</v>
      </c>
      <c r="D173" s="748">
        <f t="shared" si="15"/>
        <v>3.6356625438033419E-2</v>
      </c>
      <c r="E173" s="748">
        <f t="shared" si="15"/>
        <v>2.1090621159231659E-2</v>
      </c>
      <c r="F173" s="750">
        <f t="shared" si="13"/>
        <v>3.6145670311294786E-2</v>
      </c>
      <c r="G173" s="750">
        <f t="shared" si="14"/>
        <v>2.1065071918481983E-2</v>
      </c>
      <c r="H173" s="604">
        <f t="shared" si="16"/>
        <v>4.4373725493081819E-4</v>
      </c>
      <c r="I173" s="750">
        <f t="shared" si="17"/>
        <v>7.6141114464916366E-4</v>
      </c>
    </row>
    <row r="174" spans="1:9">
      <c r="A174" s="563">
        <v>44813</v>
      </c>
      <c r="B174">
        <v>53.590000152587891</v>
      </c>
      <c r="C174" s="604">
        <v>12112.3095703125</v>
      </c>
      <c r="D174" s="748">
        <f t="shared" si="15"/>
        <v>4.19854449261714E-2</v>
      </c>
      <c r="E174" s="748">
        <f t="shared" si="15"/>
        <v>1.2722642617655877E-2</v>
      </c>
      <c r="F174" s="750">
        <f t="shared" si="13"/>
        <v>4.1774489799432768E-2</v>
      </c>
      <c r="G174" s="750">
        <f t="shared" si="14"/>
        <v>1.2697093376906202E-2</v>
      </c>
      <c r="H174" s="604">
        <f t="shared" si="16"/>
        <v>1.6121618022187534E-4</v>
      </c>
      <c r="I174" s="750">
        <f t="shared" si="17"/>
        <v>5.3041459775601352E-4</v>
      </c>
    </row>
    <row r="175" spans="1:9">
      <c r="A175" s="563">
        <v>44816</v>
      </c>
      <c r="B175">
        <v>55.840000152587891</v>
      </c>
      <c r="C175" s="604">
        <v>12266.41015625</v>
      </c>
      <c r="D175" s="748">
        <f t="shared" si="15"/>
        <v>-7.1096010205134785E-2</v>
      </c>
      <c r="E175" s="748">
        <f t="shared" si="15"/>
        <v>-5.1591283487904094E-2</v>
      </c>
      <c r="F175" s="750">
        <f t="shared" si="13"/>
        <v>-7.1306965331873418E-2</v>
      </c>
      <c r="G175" s="750">
        <f t="shared" si="14"/>
        <v>-5.1616832728653771E-2</v>
      </c>
      <c r="H175" s="604">
        <f t="shared" si="16"/>
        <v>2.6642974209378232E-3</v>
      </c>
      <c r="I175" s="750">
        <f t="shared" si="17"/>
        <v>3.6806397019232234E-3</v>
      </c>
    </row>
    <row r="176" spans="1:9">
      <c r="A176" s="563">
        <v>44817</v>
      </c>
      <c r="B176">
        <v>51.869998931884773</v>
      </c>
      <c r="C176" s="604">
        <v>11633.5703125</v>
      </c>
      <c r="D176" s="748">
        <f t="shared" si="15"/>
        <v>1.3495218096326589E-3</v>
      </c>
      <c r="E176" s="748">
        <f t="shared" si="15"/>
        <v>7.4018012258436627E-3</v>
      </c>
      <c r="F176" s="750">
        <f t="shared" si="13"/>
        <v>1.1385666828940255E-3</v>
      </c>
      <c r="G176" s="750">
        <f t="shared" si="14"/>
        <v>7.3762519850939868E-3</v>
      </c>
      <c r="H176" s="604">
        <f t="shared" si="16"/>
        <v>5.4409093347602984E-5</v>
      </c>
      <c r="I176" s="750">
        <f t="shared" si="17"/>
        <v>8.398354754858932E-6</v>
      </c>
    </row>
    <row r="177" spans="1:9">
      <c r="A177" s="563">
        <v>44818</v>
      </c>
      <c r="B177">
        <v>51.939998626708977</v>
      </c>
      <c r="C177" s="604">
        <v>11719.6796875</v>
      </c>
      <c r="D177" s="748">
        <f t="shared" si="15"/>
        <v>-2.1563322323786549E-2</v>
      </c>
      <c r="E177" s="748">
        <f t="shared" si="15"/>
        <v>-1.4276784041799329E-2</v>
      </c>
      <c r="F177" s="750">
        <f t="shared" si="13"/>
        <v>-2.1774277450525181E-2</v>
      </c>
      <c r="G177" s="750">
        <f t="shared" si="14"/>
        <v>-1.4302333282549004E-2</v>
      </c>
      <c r="H177" s="604">
        <f t="shared" si="16"/>
        <v>2.0455673732510895E-4</v>
      </c>
      <c r="I177" s="750">
        <f t="shared" si="17"/>
        <v>3.1142297308410255E-4</v>
      </c>
    </row>
    <row r="178" spans="1:9">
      <c r="A178" s="563">
        <v>44819</v>
      </c>
      <c r="B178">
        <v>50.819999694824219</v>
      </c>
      <c r="C178" s="604">
        <v>11552.3603515625</v>
      </c>
      <c r="D178" s="748">
        <f t="shared" si="15"/>
        <v>-7.8709470342567256E-3</v>
      </c>
      <c r="E178" s="748">
        <f t="shared" si="15"/>
        <v>-8.999023383428173E-3</v>
      </c>
      <c r="F178" s="750">
        <f t="shared" si="13"/>
        <v>-8.0819021609953596E-3</v>
      </c>
      <c r="G178" s="750">
        <f t="shared" si="14"/>
        <v>-9.0245726241778481E-3</v>
      </c>
      <c r="H178" s="604">
        <f t="shared" si="16"/>
        <v>8.1442911049060246E-5</v>
      </c>
      <c r="I178" s="750">
        <f t="shared" si="17"/>
        <v>7.293571299340251E-5</v>
      </c>
    </row>
    <row r="179" spans="1:9">
      <c r="A179" s="563">
        <v>44820</v>
      </c>
      <c r="B179">
        <v>50.419998168945313</v>
      </c>
      <c r="C179" s="604">
        <v>11448.400390625</v>
      </c>
      <c r="D179" s="748">
        <f t="shared" si="15"/>
        <v>6.3467576585232166E-3</v>
      </c>
      <c r="E179" s="748">
        <f t="shared" si="15"/>
        <v>7.5660474537500022E-3</v>
      </c>
      <c r="F179" s="750">
        <f t="shared" si="13"/>
        <v>6.1358025317845835E-3</v>
      </c>
      <c r="G179" s="750">
        <f t="shared" si="14"/>
        <v>7.5404982130003262E-3</v>
      </c>
      <c r="H179" s="604">
        <f t="shared" si="16"/>
        <v>5.6859113300261113E-5</v>
      </c>
      <c r="I179" s="750">
        <f t="shared" si="17"/>
        <v>4.6267008026244528E-5</v>
      </c>
    </row>
    <row r="180" spans="1:9">
      <c r="A180" s="563">
        <v>44823</v>
      </c>
      <c r="B180">
        <v>50.740001678466797</v>
      </c>
      <c r="C180" s="604">
        <v>11535.01953125</v>
      </c>
      <c r="D180" s="748">
        <f t="shared" si="15"/>
        <v>5.9122542973044645E-4</v>
      </c>
      <c r="E180" s="748">
        <f t="shared" si="15"/>
        <v>-9.5335535639602398E-3</v>
      </c>
      <c r="F180" s="750">
        <f t="shared" si="13"/>
        <v>3.8027030299181311E-4</v>
      </c>
      <c r="G180" s="750">
        <f t="shared" si="14"/>
        <v>-9.5591028047099149E-3</v>
      </c>
      <c r="H180" s="604">
        <f t="shared" si="16"/>
        <v>9.1376446431012967E-5</v>
      </c>
      <c r="I180" s="750">
        <f t="shared" si="17"/>
        <v>-3.6350429198769297E-6</v>
      </c>
    </row>
    <row r="181" spans="1:9">
      <c r="A181" s="563">
        <v>44824</v>
      </c>
      <c r="B181">
        <v>50.770000457763672</v>
      </c>
      <c r="C181" s="604">
        <v>11425.0498046875</v>
      </c>
      <c r="D181" s="748">
        <f t="shared" si="15"/>
        <v>-1.9105794996202241E-2</v>
      </c>
      <c r="E181" s="748">
        <f t="shared" si="15"/>
        <v>-1.7930720522194132E-2</v>
      </c>
      <c r="F181" s="750">
        <f t="shared" si="13"/>
        <v>-1.9316750122940873E-2</v>
      </c>
      <c r="G181" s="750">
        <f t="shared" si="14"/>
        <v>-1.7956269762943809E-2</v>
      </c>
      <c r="H181" s="604">
        <f t="shared" si="16"/>
        <v>3.2242762379961013E-4</v>
      </c>
      <c r="I181" s="750">
        <f t="shared" si="17"/>
        <v>3.4685677615090433E-4</v>
      </c>
    </row>
    <row r="182" spans="1:9">
      <c r="A182" s="563">
        <v>44825</v>
      </c>
      <c r="B182">
        <v>49.799999237060547</v>
      </c>
      <c r="C182" s="604">
        <v>11220.1904296875</v>
      </c>
      <c r="D182" s="748">
        <f t="shared" si="15"/>
        <v>-2.1285091864116201E-2</v>
      </c>
      <c r="E182" s="748">
        <f t="shared" si="15"/>
        <v>-1.367007630896977E-2</v>
      </c>
      <c r="F182" s="750">
        <f t="shared" si="13"/>
        <v>-2.1496046990854834E-2</v>
      </c>
      <c r="G182" s="750">
        <f t="shared" si="14"/>
        <v>-1.3695625549719445E-2</v>
      </c>
      <c r="H182" s="604">
        <f t="shared" si="16"/>
        <v>1.8757015919812804E-4</v>
      </c>
      <c r="I182" s="750">
        <f t="shared" si="17"/>
        <v>2.9440181038592125E-4</v>
      </c>
    </row>
    <row r="183" spans="1:9">
      <c r="A183" s="563">
        <v>44826</v>
      </c>
      <c r="B183">
        <v>48.740001678466797</v>
      </c>
      <c r="C183" s="604">
        <v>11066.8095703125</v>
      </c>
      <c r="D183" s="748">
        <f t="shared" si="15"/>
        <v>-3.0775855706458577E-3</v>
      </c>
      <c r="E183" s="748">
        <f t="shared" si="15"/>
        <v>-1.7970841690997275E-2</v>
      </c>
      <c r="F183" s="750">
        <f t="shared" si="13"/>
        <v>-3.2885406973844913E-3</v>
      </c>
      <c r="G183" s="750">
        <f t="shared" si="14"/>
        <v>-1.7996390931746951E-2</v>
      </c>
      <c r="H183" s="604">
        <f t="shared" si="16"/>
        <v>3.2387008656826392E-4</v>
      </c>
      <c r="I183" s="750">
        <f t="shared" si="17"/>
        <v>5.9181863985091053E-5</v>
      </c>
    </row>
    <row r="184" spans="1:9">
      <c r="A184" s="563">
        <v>44827</v>
      </c>
      <c r="B184">
        <v>48.590000152587891</v>
      </c>
      <c r="C184" s="604">
        <v>10867.9296875</v>
      </c>
      <c r="D184" s="748">
        <f t="shared" si="15"/>
        <v>-6.174094178194367E-3</v>
      </c>
      <c r="E184" s="748">
        <f t="shared" si="15"/>
        <v>-5.9817985112446959E-3</v>
      </c>
      <c r="F184" s="750">
        <f t="shared" si="13"/>
        <v>-6.3850493049330001E-3</v>
      </c>
      <c r="G184" s="750">
        <f t="shared" si="14"/>
        <v>-6.0073477519943718E-3</v>
      </c>
      <c r="H184" s="604">
        <f t="shared" si="16"/>
        <v>3.6088227013391833E-5</v>
      </c>
      <c r="I184" s="750">
        <f t="shared" si="17"/>
        <v>3.8357211588362485E-5</v>
      </c>
    </row>
    <row r="185" spans="1:9">
      <c r="A185" s="563">
        <v>44830</v>
      </c>
      <c r="B185">
        <v>48.290000915527337</v>
      </c>
      <c r="C185" s="604">
        <v>10802.919921875</v>
      </c>
      <c r="D185" s="748">
        <f t="shared" si="15"/>
        <v>4.3487074030088557E-3</v>
      </c>
      <c r="E185" s="748">
        <f t="shared" si="15"/>
        <v>2.4604531290819409E-3</v>
      </c>
      <c r="F185" s="750">
        <f t="shared" si="13"/>
        <v>4.1377522762702226E-3</v>
      </c>
      <c r="G185" s="750">
        <f t="shared" si="14"/>
        <v>2.4349038883322649E-3</v>
      </c>
      <c r="H185" s="604">
        <f t="shared" si="16"/>
        <v>5.928756945415583E-6</v>
      </c>
      <c r="I185" s="750">
        <f t="shared" si="17"/>
        <v>1.0075029106446045E-5</v>
      </c>
    </row>
    <row r="186" spans="1:9">
      <c r="A186" s="563">
        <v>44831</v>
      </c>
      <c r="B186">
        <v>48.5</v>
      </c>
      <c r="C186" s="604">
        <v>10829.5</v>
      </c>
      <c r="D186" s="748">
        <f t="shared" si="15"/>
        <v>3.0309303519651998E-2</v>
      </c>
      <c r="E186" s="748">
        <f t="shared" si="15"/>
        <v>2.05124565711714E-2</v>
      </c>
      <c r="F186" s="750">
        <f t="shared" si="13"/>
        <v>3.0098348392913366E-2</v>
      </c>
      <c r="G186" s="750">
        <f t="shared" si="14"/>
        <v>2.0486907330421723E-2</v>
      </c>
      <c r="H186" s="604">
        <f t="shared" si="16"/>
        <v>4.1971337196528735E-4</v>
      </c>
      <c r="I186" s="750">
        <f t="shared" si="17"/>
        <v>6.1662207432436377E-4</v>
      </c>
    </row>
    <row r="187" spans="1:9">
      <c r="A187" s="563">
        <v>44832</v>
      </c>
      <c r="B187">
        <v>49.970001220703118</v>
      </c>
      <c r="C187" s="604">
        <v>11051.6396484375</v>
      </c>
      <c r="D187" s="748">
        <f t="shared" si="15"/>
        <v>-6.804085336844512E-3</v>
      </c>
      <c r="E187" s="748">
        <f t="shared" si="15"/>
        <v>-2.842382603896354E-2</v>
      </c>
      <c r="F187" s="750">
        <f t="shared" si="13"/>
        <v>-7.0150404635831451E-3</v>
      </c>
      <c r="G187" s="750">
        <f t="shared" si="14"/>
        <v>-2.8449375279713217E-2</v>
      </c>
      <c r="H187" s="604">
        <f t="shared" si="16"/>
        <v>8.0936695380595745E-4</v>
      </c>
      <c r="I187" s="750">
        <f t="shared" si="17"/>
        <v>1.9957351875085028E-4</v>
      </c>
    </row>
    <row r="188" spans="1:9">
      <c r="A188" s="563">
        <v>44833</v>
      </c>
      <c r="B188">
        <v>49.630001068115227</v>
      </c>
      <c r="C188" s="604">
        <v>10737.509765625</v>
      </c>
      <c r="D188" s="748">
        <f t="shared" si="15"/>
        <v>-1.0074551465630077E-2</v>
      </c>
      <c r="E188" s="748">
        <f t="shared" si="15"/>
        <v>-1.5077019902302924E-2</v>
      </c>
      <c r="F188" s="750">
        <f t="shared" si="13"/>
        <v>-1.0285506592368711E-2</v>
      </c>
      <c r="G188" s="750">
        <f t="shared" si="14"/>
        <v>-1.5102569143052599E-2</v>
      </c>
      <c r="H188" s="604">
        <f t="shared" si="16"/>
        <v>2.2808759472068451E-4</v>
      </c>
      <c r="I188" s="750">
        <f t="shared" si="17"/>
        <v>1.5533757448257178E-4</v>
      </c>
    </row>
    <row r="189" spans="1:9">
      <c r="A189" s="563">
        <v>44834</v>
      </c>
      <c r="B189">
        <v>49.130001068115227</v>
      </c>
      <c r="C189" s="604">
        <v>10575.6201171875</v>
      </c>
      <c r="D189" s="748">
        <f t="shared" si="15"/>
        <v>3.7248076054797519E-2</v>
      </c>
      <c r="E189" s="748">
        <f t="shared" si="15"/>
        <v>2.2675698224330354E-2</v>
      </c>
      <c r="F189" s="750">
        <f t="shared" si="13"/>
        <v>3.7037120928058886E-2</v>
      </c>
      <c r="G189" s="750">
        <f t="shared" si="14"/>
        <v>2.2650148983580677E-2</v>
      </c>
      <c r="H189" s="604">
        <f t="shared" si="16"/>
        <v>5.1302924897840075E-4</v>
      </c>
      <c r="I189" s="750">
        <f t="shared" si="17"/>
        <v>8.388963069434276E-4</v>
      </c>
    </row>
    <row r="190" spans="1:9">
      <c r="A190" s="563">
        <v>44837</v>
      </c>
      <c r="B190">
        <v>50.959999084472663</v>
      </c>
      <c r="C190" s="604">
        <v>10815.4296875</v>
      </c>
      <c r="D190" s="748">
        <f t="shared" si="15"/>
        <v>3.375198688390868E-2</v>
      </c>
      <c r="E190" s="748">
        <f t="shared" si="15"/>
        <v>3.3376433408577988E-2</v>
      </c>
      <c r="F190" s="750">
        <f t="shared" si="13"/>
        <v>3.3541031757170048E-2</v>
      </c>
      <c r="G190" s="750">
        <f t="shared" si="14"/>
        <v>3.3350884167828311E-2</v>
      </c>
      <c r="H190" s="604">
        <f t="shared" si="16"/>
        <v>1.112281474775901E-3</v>
      </c>
      <c r="I190" s="750">
        <f t="shared" si="17"/>
        <v>1.1186230650028291E-3</v>
      </c>
    </row>
    <row r="191" spans="1:9">
      <c r="A191" s="563">
        <v>44838</v>
      </c>
      <c r="B191">
        <v>52.680000305175781</v>
      </c>
      <c r="C191" s="604">
        <v>11176.41015625</v>
      </c>
      <c r="D191" s="748">
        <f t="shared" si="15"/>
        <v>1.7274104824230641E-2</v>
      </c>
      <c r="E191" s="748">
        <f t="shared" si="15"/>
        <v>-2.4847430815672089E-3</v>
      </c>
      <c r="F191" s="750">
        <f t="shared" si="13"/>
        <v>1.7063149697492008E-2</v>
      </c>
      <c r="G191" s="750">
        <f t="shared" si="14"/>
        <v>-2.5102923223168849E-3</v>
      </c>
      <c r="H191" s="604">
        <f t="shared" si="16"/>
        <v>6.3015675434830989E-6</v>
      </c>
      <c r="I191" s="750">
        <f t="shared" si="17"/>
        <v>-4.2833493680157865E-5</v>
      </c>
    </row>
    <row r="192" spans="1:9">
      <c r="A192" s="563">
        <v>44839</v>
      </c>
      <c r="B192">
        <v>53.590000152587891</v>
      </c>
      <c r="C192" s="604">
        <v>11148.6396484375</v>
      </c>
      <c r="D192" s="748">
        <f t="shared" si="15"/>
        <v>2.7990581349468524E-3</v>
      </c>
      <c r="E192" s="748">
        <f t="shared" si="15"/>
        <v>-6.7568851896255833E-3</v>
      </c>
      <c r="F192" s="750">
        <f t="shared" si="13"/>
        <v>2.5881030082082188E-3</v>
      </c>
      <c r="G192" s="750">
        <f t="shared" si="14"/>
        <v>-6.7824344303752592E-3</v>
      </c>
      <c r="H192" s="604">
        <f t="shared" si="16"/>
        <v>4.6001416802339769E-5</v>
      </c>
      <c r="I192" s="750">
        <f t="shared" si="17"/>
        <v>-1.7553638952229206E-5</v>
      </c>
    </row>
    <row r="193" spans="1:9">
      <c r="A193" s="563">
        <v>44840</v>
      </c>
      <c r="B193">
        <v>53.740001678466797</v>
      </c>
      <c r="C193" s="604">
        <v>11073.3095703125</v>
      </c>
      <c r="D193" s="748">
        <f t="shared" si="15"/>
        <v>-4.2240424020553169E-2</v>
      </c>
      <c r="E193" s="748">
        <f t="shared" si="15"/>
        <v>-3.8011145359464704E-2</v>
      </c>
      <c r="F193" s="750">
        <f t="shared" si="13"/>
        <v>-4.2451379147291801E-2</v>
      </c>
      <c r="G193" s="750">
        <f t="shared" si="14"/>
        <v>-3.8036694600214381E-2</v>
      </c>
      <c r="H193" s="604">
        <f t="shared" si="16"/>
        <v>1.4467901361099778E-3</v>
      </c>
      <c r="I193" s="750">
        <f t="shared" si="17"/>
        <v>1.6147101439834474E-3</v>
      </c>
    </row>
    <row r="194" spans="1:9">
      <c r="A194" s="563">
        <v>44841</v>
      </c>
      <c r="B194">
        <v>51.470001220703118</v>
      </c>
      <c r="C194" s="604">
        <v>10652.400390625</v>
      </c>
      <c r="D194" s="748">
        <f t="shared" si="15"/>
        <v>-4.6629429332566419E-3</v>
      </c>
      <c r="E194" s="748">
        <f t="shared" si="15"/>
        <v>-1.0354547069698405E-2</v>
      </c>
      <c r="F194" s="750">
        <f t="shared" si="13"/>
        <v>-4.873898059995275E-3</v>
      </c>
      <c r="G194" s="750">
        <f t="shared" si="14"/>
        <v>-1.0380096310448081E-2</v>
      </c>
      <c r="H194" s="604">
        <f t="shared" si="16"/>
        <v>1.0774639941417786E-4</v>
      </c>
      <c r="I194" s="750">
        <f t="shared" si="17"/>
        <v>5.0591531270057011E-5</v>
      </c>
    </row>
    <row r="195" spans="1:9">
      <c r="A195" s="563">
        <v>44844</v>
      </c>
      <c r="B195">
        <v>51.229999542236328</v>
      </c>
      <c r="C195" s="604">
        <v>10542.099609375</v>
      </c>
      <c r="D195" s="748">
        <f t="shared" si="15"/>
        <v>-5.1727459200870407E-2</v>
      </c>
      <c r="E195" s="748">
        <f t="shared" si="15"/>
        <v>-1.099488564729767E-2</v>
      </c>
      <c r="F195" s="750">
        <f t="shared" ref="F195:F258" si="18">D195-$F$504</f>
        <v>-5.1938414327609039E-2</v>
      </c>
      <c r="G195" s="750">
        <f t="shared" ref="G195:G258" si="19">E195-$G$504</f>
        <v>-1.1020434888047345E-2</v>
      </c>
      <c r="H195" s="604">
        <f t="shared" si="16"/>
        <v>1.214499851216911E-4</v>
      </c>
      <c r="I195" s="750">
        <f t="shared" si="17"/>
        <v>5.7238391328584071E-4</v>
      </c>
    </row>
    <row r="196" spans="1:9">
      <c r="A196" s="563">
        <v>44845</v>
      </c>
      <c r="B196">
        <v>48.580001831054688</v>
      </c>
      <c r="C196" s="604">
        <v>10426.1904296875</v>
      </c>
      <c r="D196" s="748">
        <f t="shared" si="15"/>
        <v>-7.6163592555795745E-3</v>
      </c>
      <c r="E196" s="748">
        <f t="shared" si="15"/>
        <v>-8.7192156845850022E-4</v>
      </c>
      <c r="F196" s="750">
        <f t="shared" si="18"/>
        <v>-7.8273143823182085E-3</v>
      </c>
      <c r="G196" s="750">
        <f t="shared" si="19"/>
        <v>-8.9747080920817598E-4</v>
      </c>
      <c r="H196" s="604">
        <f t="shared" si="16"/>
        <v>8.0545385338077821E-7</v>
      </c>
      <c r="I196" s="750">
        <f t="shared" si="17"/>
        <v>7.024786172625917E-6</v>
      </c>
    </row>
    <row r="197" spans="1:9">
      <c r="A197" s="563">
        <v>44846</v>
      </c>
      <c r="B197">
        <v>48.209999084472663</v>
      </c>
      <c r="C197" s="604">
        <v>10417.099609375</v>
      </c>
      <c r="D197" s="748">
        <f t="shared" si="15"/>
        <v>2.0535193886482395E-2</v>
      </c>
      <c r="E197" s="748">
        <f t="shared" si="15"/>
        <v>2.2275949155863284E-2</v>
      </c>
      <c r="F197" s="750">
        <f t="shared" si="18"/>
        <v>2.0324238759743762E-2</v>
      </c>
      <c r="G197" s="750">
        <f t="shared" si="19"/>
        <v>2.2250399915113607E-2</v>
      </c>
      <c r="H197" s="604">
        <f t="shared" si="16"/>
        <v>4.9508029638248763E-4</v>
      </c>
      <c r="I197" s="750">
        <f t="shared" si="17"/>
        <v>4.5222244037455129E-4</v>
      </c>
    </row>
    <row r="198" spans="1:9">
      <c r="A198" s="563">
        <v>44847</v>
      </c>
      <c r="B198">
        <v>49.200000762939453</v>
      </c>
      <c r="C198" s="604">
        <v>10649.150390625</v>
      </c>
      <c r="D198" s="748">
        <f t="shared" si="15"/>
        <v>-2.1747960939671684E-2</v>
      </c>
      <c r="E198" s="748">
        <f t="shared" si="15"/>
        <v>-3.0778111883558834E-2</v>
      </c>
      <c r="F198" s="750">
        <f t="shared" si="18"/>
        <v>-2.1958916066410317E-2</v>
      </c>
      <c r="G198" s="750">
        <f t="shared" si="19"/>
        <v>-3.0803661124308511E-2</v>
      </c>
      <c r="H198" s="604">
        <f t="shared" si="16"/>
        <v>9.4886553866123542E-4</v>
      </c>
      <c r="I198" s="750">
        <f t="shared" si="17"/>
        <v>6.7641500916683708E-4</v>
      </c>
    </row>
    <row r="199" spans="1:9">
      <c r="A199" s="563">
        <v>44848</v>
      </c>
      <c r="B199">
        <v>48.130001068115227</v>
      </c>
      <c r="C199" s="604">
        <v>10321.3896484375</v>
      </c>
      <c r="D199" s="748">
        <f t="shared" si="15"/>
        <v>4.8410512458953558E-2</v>
      </c>
      <c r="E199" s="748">
        <f t="shared" si="15"/>
        <v>3.4337445665918898E-2</v>
      </c>
      <c r="F199" s="750">
        <f t="shared" si="18"/>
        <v>4.8199557332214926E-2</v>
      </c>
      <c r="G199" s="750">
        <f t="shared" si="19"/>
        <v>3.4311896425169221E-2</v>
      </c>
      <c r="H199" s="604">
        <f t="shared" si="16"/>
        <v>1.1773062362915403E-3</v>
      </c>
      <c r="I199" s="750">
        <f t="shared" si="17"/>
        <v>1.6538182189219641E-3</v>
      </c>
    </row>
    <row r="200" spans="1:9">
      <c r="A200" s="563">
        <v>44851</v>
      </c>
      <c r="B200">
        <v>50.459999084472663</v>
      </c>
      <c r="C200" s="604">
        <v>10675.7998046875</v>
      </c>
      <c r="D200" s="748">
        <f t="shared" si="15"/>
        <v>2.1799490859619297E-2</v>
      </c>
      <c r="E200" s="748">
        <f t="shared" si="15"/>
        <v>9.048557270162183E-3</v>
      </c>
      <c r="F200" s="750">
        <f t="shared" si="18"/>
        <v>2.1588535732880665E-2</v>
      </c>
      <c r="G200" s="750">
        <f t="shared" si="19"/>
        <v>9.0230080294125079E-3</v>
      </c>
      <c r="H200" s="604">
        <f t="shared" si="16"/>
        <v>8.1414673898842589E-5</v>
      </c>
      <c r="I200" s="750">
        <f t="shared" si="17"/>
        <v>1.9479353126104109E-4</v>
      </c>
    </row>
    <row r="201" spans="1:9">
      <c r="A201" s="563">
        <v>44852</v>
      </c>
      <c r="B201">
        <v>51.560001373291023</v>
      </c>
      <c r="C201" s="604">
        <v>10772.400390625</v>
      </c>
      <c r="D201" s="748">
        <f t="shared" si="15"/>
        <v>4.4608133458168275E-3</v>
      </c>
      <c r="E201" s="748">
        <f t="shared" si="15"/>
        <v>-8.5301902703106558E-3</v>
      </c>
      <c r="F201" s="750">
        <f t="shared" si="18"/>
        <v>4.2498582190781944E-3</v>
      </c>
      <c r="G201" s="750">
        <f t="shared" si="19"/>
        <v>-8.5557395110603309E-3</v>
      </c>
      <c r="H201" s="604">
        <f t="shared" si="16"/>
        <v>7.3200678581118871E-5</v>
      </c>
      <c r="I201" s="750">
        <f t="shared" si="17"/>
        <v>-3.63606798813718E-5</v>
      </c>
    </row>
    <row r="202" spans="1:9">
      <c r="A202" s="563">
        <v>44853</v>
      </c>
      <c r="B202">
        <v>51.790000915527337</v>
      </c>
      <c r="C202" s="604">
        <v>10680.509765625</v>
      </c>
      <c r="D202" s="748">
        <f t="shared" si="15"/>
        <v>-3.8617640356033434E-3</v>
      </c>
      <c r="E202" s="748">
        <f t="shared" si="15"/>
        <v>-6.1485756125945201E-3</v>
      </c>
      <c r="F202" s="750">
        <f t="shared" si="18"/>
        <v>-4.0727191623419765E-3</v>
      </c>
      <c r="G202" s="750">
        <f t="shared" si="19"/>
        <v>-6.1741248533441961E-3</v>
      </c>
      <c r="H202" s="604">
        <f t="shared" si="16"/>
        <v>3.8119817704682488E-5</v>
      </c>
      <c r="I202" s="750">
        <f t="shared" si="17"/>
        <v>2.5145476600906751E-5</v>
      </c>
    </row>
    <row r="203" spans="1:9">
      <c r="A203" s="563">
        <v>44854</v>
      </c>
      <c r="B203">
        <v>51.590000152587891</v>
      </c>
      <c r="C203" s="604">
        <v>10614.83984375</v>
      </c>
      <c r="D203" s="748">
        <f t="shared" si="15"/>
        <v>4.1868576100474453E-2</v>
      </c>
      <c r="E203" s="748">
        <f t="shared" si="15"/>
        <v>2.306957866695325E-2</v>
      </c>
      <c r="F203" s="750">
        <f t="shared" si="18"/>
        <v>4.1657620973735821E-2</v>
      </c>
      <c r="G203" s="750">
        <f t="shared" si="19"/>
        <v>2.3044029426203573E-2</v>
      </c>
      <c r="H203" s="604">
        <f t="shared" si="16"/>
        <v>5.3102729219573614E-4</v>
      </c>
      <c r="I203" s="750">
        <f t="shared" si="17"/>
        <v>9.5995944354440338E-4</v>
      </c>
    </row>
    <row r="204" spans="1:9">
      <c r="A204" s="563">
        <v>44855</v>
      </c>
      <c r="B204">
        <v>53.75</v>
      </c>
      <c r="C204" s="604">
        <v>10859.7197265625</v>
      </c>
      <c r="D204" s="748">
        <f t="shared" si="15"/>
        <v>2.13953772256541E-2</v>
      </c>
      <c r="E204" s="748">
        <f t="shared" si="15"/>
        <v>8.5536853011769498E-3</v>
      </c>
      <c r="F204" s="750">
        <f t="shared" si="18"/>
        <v>2.1184422098915467E-2</v>
      </c>
      <c r="G204" s="750">
        <f t="shared" si="19"/>
        <v>8.5281360604272747E-3</v>
      </c>
      <c r="H204" s="604">
        <f t="shared" si="16"/>
        <v>7.2729104665160031E-5</v>
      </c>
      <c r="I204" s="750">
        <f t="shared" si="17"/>
        <v>1.8066363402107345E-4</v>
      </c>
    </row>
    <row r="205" spans="1:9">
      <c r="A205" s="563">
        <v>44858</v>
      </c>
      <c r="B205">
        <v>54.900001525878913</v>
      </c>
      <c r="C205" s="604">
        <v>10952.6103515625</v>
      </c>
      <c r="D205" s="748">
        <f t="shared" si="15"/>
        <v>1.8579173309960506E-2</v>
      </c>
      <c r="E205" s="748">
        <f t="shared" si="15"/>
        <v>2.2506941972041616E-2</v>
      </c>
      <c r="F205" s="750">
        <f t="shared" si="18"/>
        <v>1.8368218183221874E-2</v>
      </c>
      <c r="G205" s="750">
        <f t="shared" si="19"/>
        <v>2.248139273129194E-2</v>
      </c>
      <c r="H205" s="604">
        <f t="shared" si="16"/>
        <v>5.0541301913858603E-4</v>
      </c>
      <c r="I205" s="750">
        <f t="shared" si="17"/>
        <v>4.1294312675106866E-4</v>
      </c>
    </row>
    <row r="206" spans="1:9">
      <c r="A206" s="563">
        <v>44859</v>
      </c>
      <c r="B206">
        <v>55.919998168945313</v>
      </c>
      <c r="C206" s="604">
        <v>11199.1201171875</v>
      </c>
      <c r="D206" s="748">
        <f t="shared" si="15"/>
        <v>-7.689494001401953E-3</v>
      </c>
      <c r="E206" s="748">
        <f t="shared" si="15"/>
        <v>-2.0370339850394603E-2</v>
      </c>
      <c r="F206" s="750">
        <f t="shared" si="18"/>
        <v>-7.900449128140587E-3</v>
      </c>
      <c r="G206" s="750">
        <f t="shared" si="19"/>
        <v>-2.039588909114428E-2</v>
      </c>
      <c r="H206" s="604">
        <f t="shared" si="16"/>
        <v>4.1599229181825826E-4</v>
      </c>
      <c r="I206" s="750">
        <f t="shared" si="17"/>
        <v>1.6113668418778294E-4</v>
      </c>
    </row>
    <row r="207" spans="1:9">
      <c r="A207" s="563">
        <v>44860</v>
      </c>
      <c r="B207">
        <v>55.490001678466797</v>
      </c>
      <c r="C207" s="604">
        <v>10970.990234375</v>
      </c>
      <c r="D207" s="748">
        <f t="shared" si="15"/>
        <v>9.3709970686159938E-3</v>
      </c>
      <c r="E207" s="748">
        <f t="shared" si="15"/>
        <v>-1.625380286469269E-2</v>
      </c>
      <c r="F207" s="750">
        <f t="shared" si="18"/>
        <v>9.1600419418773598E-3</v>
      </c>
      <c r="G207" s="750">
        <f t="shared" si="19"/>
        <v>-1.6279352105442367E-2</v>
      </c>
      <c r="H207" s="604">
        <f t="shared" si="16"/>
        <v>2.6501730497297085E-4</v>
      </c>
      <c r="I207" s="750">
        <f t="shared" si="17"/>
        <v>-1.4911954807244159E-4</v>
      </c>
    </row>
    <row r="208" spans="1:9">
      <c r="A208" s="563">
        <v>44861</v>
      </c>
      <c r="B208">
        <v>56.009998321533203</v>
      </c>
      <c r="C208" s="604">
        <v>10792.669921875</v>
      </c>
      <c r="D208" s="748">
        <f t="shared" si="15"/>
        <v>1.9460813877025807E-2</v>
      </c>
      <c r="E208" s="748">
        <f t="shared" si="15"/>
        <v>2.8702839582782413E-2</v>
      </c>
      <c r="F208" s="750">
        <f t="shared" si="18"/>
        <v>1.9249858750287174E-2</v>
      </c>
      <c r="G208" s="750">
        <f t="shared" si="19"/>
        <v>2.8677290342032737E-2</v>
      </c>
      <c r="H208" s="604">
        <f t="shared" si="16"/>
        <v>8.2238698136124404E-4</v>
      </c>
      <c r="I208" s="750">
        <f t="shared" si="17"/>
        <v>5.5203378842510478E-4</v>
      </c>
    </row>
    <row r="209" spans="1:9">
      <c r="A209" s="563">
        <v>44862</v>
      </c>
      <c r="B209">
        <v>57.099998474121087</v>
      </c>
      <c r="C209" s="604">
        <v>11102.4501953125</v>
      </c>
      <c r="D209" s="748">
        <f t="shared" si="15"/>
        <v>1.0508121697798689E-3</v>
      </c>
      <c r="E209" s="748">
        <f t="shared" si="15"/>
        <v>-1.0295007199019768E-2</v>
      </c>
      <c r="F209" s="750">
        <f t="shared" si="18"/>
        <v>8.3985704304123557E-4</v>
      </c>
      <c r="G209" s="750">
        <f t="shared" si="19"/>
        <v>-1.0320556439769443E-2</v>
      </c>
      <c r="H209" s="604">
        <f t="shared" si="16"/>
        <v>1.0651388522646651E-4</v>
      </c>
      <c r="I209" s="750">
        <f t="shared" si="17"/>
        <v>-8.6677920140449464E-6</v>
      </c>
    </row>
    <row r="210" spans="1:9">
      <c r="A210" s="563">
        <v>44865</v>
      </c>
      <c r="B210">
        <v>57.159999847412109</v>
      </c>
      <c r="C210" s="604">
        <v>10988.150390625</v>
      </c>
      <c r="D210" s="748">
        <f t="shared" si="15"/>
        <v>-1.29461455640697E-2</v>
      </c>
      <c r="E210" s="748">
        <f t="shared" si="15"/>
        <v>-8.8550645732894395E-3</v>
      </c>
      <c r="F210" s="750">
        <f t="shared" si="18"/>
        <v>-1.3157100690808334E-2</v>
      </c>
      <c r="G210" s="750">
        <f t="shared" si="19"/>
        <v>-8.8806138140391146E-3</v>
      </c>
      <c r="H210" s="604">
        <f t="shared" si="16"/>
        <v>7.8865301714102349E-5</v>
      </c>
      <c r="I210" s="750">
        <f t="shared" si="17"/>
        <v>1.1684313014749607E-4</v>
      </c>
    </row>
    <row r="211" spans="1:9">
      <c r="A211" s="563">
        <v>44866</v>
      </c>
      <c r="B211">
        <v>56.419998168945313</v>
      </c>
      <c r="C211" s="604">
        <v>10890.849609375</v>
      </c>
      <c r="D211" s="748">
        <f t="shared" ref="D211:E274" si="20">B212/B211-1</f>
        <v>-5.6540211454044753E-2</v>
      </c>
      <c r="E211" s="748">
        <f t="shared" si="20"/>
        <v>-3.361076663591045E-2</v>
      </c>
      <c r="F211" s="750">
        <f t="shared" si="18"/>
        <v>-5.6751166580783385E-2</v>
      </c>
      <c r="G211" s="750">
        <f t="shared" si="19"/>
        <v>-3.3636315876660126E-2</v>
      </c>
      <c r="H211" s="604">
        <f t="shared" ref="H211:H274" si="21">G211^2</f>
        <v>1.1314017457544582E-3</v>
      </c>
      <c r="I211" s="750">
        <f t="shared" ref="I211:I274" si="22">F211*G211</f>
        <v>1.9089001654801878E-3</v>
      </c>
    </row>
    <row r="212" spans="1:9">
      <c r="A212" s="563">
        <v>44867</v>
      </c>
      <c r="B212">
        <v>53.229999542236328</v>
      </c>
      <c r="C212" s="604">
        <v>10524.7998046875</v>
      </c>
      <c r="D212" s="748">
        <f t="shared" si="20"/>
        <v>-0.1371406969723572</v>
      </c>
      <c r="E212" s="748">
        <f t="shared" si="20"/>
        <v>-1.7279129140205018E-2</v>
      </c>
      <c r="F212" s="750">
        <f t="shared" si="18"/>
        <v>-0.13735165209909583</v>
      </c>
      <c r="G212" s="750">
        <f t="shared" si="19"/>
        <v>-1.7304678380954695E-2</v>
      </c>
      <c r="H212" s="604">
        <f t="shared" si="21"/>
        <v>2.9945189386828083E-4</v>
      </c>
      <c r="I212" s="750">
        <f t="shared" si="22"/>
        <v>2.3768261646676344E-3</v>
      </c>
    </row>
    <row r="213" spans="1:9">
      <c r="A213" s="563">
        <v>44868</v>
      </c>
      <c r="B213">
        <v>45.930000305175781</v>
      </c>
      <c r="C213" s="604">
        <v>10342.9404296875</v>
      </c>
      <c r="D213" s="748">
        <f t="shared" si="20"/>
        <v>2.5473506666044088E-2</v>
      </c>
      <c r="E213" s="748">
        <f t="shared" si="20"/>
        <v>1.2792258759678266E-2</v>
      </c>
      <c r="F213" s="750">
        <f t="shared" si="18"/>
        <v>2.5262551539305456E-2</v>
      </c>
      <c r="G213" s="750">
        <f t="shared" si="19"/>
        <v>1.276670951892859E-2</v>
      </c>
      <c r="H213" s="604">
        <f t="shared" si="21"/>
        <v>1.6298887194070188E-4</v>
      </c>
      <c r="I213" s="750">
        <f t="shared" si="22"/>
        <v>3.2251965720927507E-4</v>
      </c>
    </row>
    <row r="214" spans="1:9">
      <c r="A214" s="563">
        <v>44869</v>
      </c>
      <c r="B214">
        <v>47.099998474121087</v>
      </c>
      <c r="C214" s="604">
        <v>10475.25</v>
      </c>
      <c r="D214" s="748">
        <f t="shared" si="20"/>
        <v>1.613592698199473E-2</v>
      </c>
      <c r="E214" s="748">
        <f t="shared" si="20"/>
        <v>8.5219475668838474E-3</v>
      </c>
      <c r="F214" s="750">
        <f t="shared" si="18"/>
        <v>1.5924971855256098E-2</v>
      </c>
      <c r="G214" s="750">
        <f t="shared" si="19"/>
        <v>8.4963983261341722E-3</v>
      </c>
      <c r="H214" s="604">
        <f t="shared" si="21"/>
        <v>7.2188784516335569E-5</v>
      </c>
      <c r="I214" s="750">
        <f t="shared" si="22"/>
        <v>1.3530490421473173E-4</v>
      </c>
    </row>
    <row r="215" spans="1:9">
      <c r="A215" s="563">
        <v>44872</v>
      </c>
      <c r="B215">
        <v>47.860000610351563</v>
      </c>
      <c r="C215" s="604">
        <v>10564.51953125</v>
      </c>
      <c r="D215" s="748">
        <f t="shared" si="20"/>
        <v>5.7250268049033215E-2</v>
      </c>
      <c r="E215" s="748">
        <f t="shared" si="20"/>
        <v>4.8919086106686827E-3</v>
      </c>
      <c r="F215" s="750">
        <f t="shared" si="18"/>
        <v>5.7039312922294583E-2</v>
      </c>
      <c r="G215" s="750">
        <f t="shared" si="19"/>
        <v>4.8663593699190067E-3</v>
      </c>
      <c r="H215" s="604">
        <f t="shared" si="21"/>
        <v>2.3681453517198512E-5</v>
      </c>
      <c r="I215" s="750">
        <f t="shared" si="22"/>
        <v>2.7757379489315052E-4</v>
      </c>
    </row>
    <row r="216" spans="1:9">
      <c r="A216" s="563">
        <v>44873</v>
      </c>
      <c r="B216">
        <v>50.599998474121087</v>
      </c>
      <c r="C216" s="604">
        <v>10616.2001953125</v>
      </c>
      <c r="D216" s="748">
        <f t="shared" si="20"/>
        <v>-1.4229198176242908E-2</v>
      </c>
      <c r="E216" s="748">
        <f t="shared" si="20"/>
        <v>-2.4776310600627016E-2</v>
      </c>
      <c r="F216" s="750">
        <f t="shared" si="18"/>
        <v>-1.4440153302981542E-2</v>
      </c>
      <c r="G216" s="750">
        <f t="shared" si="19"/>
        <v>-2.4801859841376693E-2</v>
      </c>
      <c r="H216" s="604">
        <f t="shared" si="21"/>
        <v>6.1513225159129392E-4</v>
      </c>
      <c r="I216" s="750">
        <f t="shared" si="22"/>
        <v>3.5814265830854091E-4</v>
      </c>
    </row>
    <row r="217" spans="1:9">
      <c r="A217" s="563">
        <v>44874</v>
      </c>
      <c r="B217">
        <v>49.880001068115227</v>
      </c>
      <c r="C217" s="604">
        <v>10353.169921875</v>
      </c>
      <c r="D217" s="748">
        <f t="shared" si="20"/>
        <v>9.0416965215667E-2</v>
      </c>
      <c r="E217" s="748">
        <f t="shared" si="20"/>
        <v>7.3502171266612848E-2</v>
      </c>
      <c r="F217" s="750">
        <f t="shared" si="18"/>
        <v>9.0206010088928368E-2</v>
      </c>
      <c r="G217" s="750">
        <f t="shared" si="19"/>
        <v>7.3476622025863178E-2</v>
      </c>
      <c r="H217" s="604">
        <f t="shared" si="21"/>
        <v>5.3988139843315621E-3</v>
      </c>
      <c r="I217" s="750">
        <f t="shared" si="22"/>
        <v>6.6280329077653905E-3</v>
      </c>
    </row>
    <row r="218" spans="1:9">
      <c r="A218" s="563">
        <v>44875</v>
      </c>
      <c r="B218">
        <v>54.389999389648438</v>
      </c>
      <c r="C218" s="604">
        <v>11114.150390625</v>
      </c>
      <c r="D218" s="748">
        <f t="shared" si="20"/>
        <v>3.1991206067156996E-2</v>
      </c>
      <c r="E218" s="748">
        <f t="shared" si="20"/>
        <v>1.8821023663351477E-2</v>
      </c>
      <c r="F218" s="750">
        <f t="shared" si="18"/>
        <v>3.1780250940418364E-2</v>
      </c>
      <c r="G218" s="750">
        <f t="shared" si="19"/>
        <v>1.87954744226018E-2</v>
      </c>
      <c r="H218" s="604">
        <f t="shared" si="21"/>
        <v>3.5326985877067845E-4</v>
      </c>
      <c r="I218" s="750">
        <f t="shared" si="22"/>
        <v>5.9732489369450023E-4</v>
      </c>
    </row>
    <row r="219" spans="1:9">
      <c r="A219" s="563">
        <v>44876</v>
      </c>
      <c r="B219">
        <v>56.130001068115227</v>
      </c>
      <c r="C219" s="604">
        <v>11323.330078125</v>
      </c>
      <c r="D219" s="748">
        <f t="shared" si="20"/>
        <v>-1.0867639386133332E-2</v>
      </c>
      <c r="E219" s="748">
        <f t="shared" si="20"/>
        <v>-1.1225527356838128E-2</v>
      </c>
      <c r="F219" s="750">
        <f t="shared" si="18"/>
        <v>-1.1078594512871966E-2</v>
      </c>
      <c r="G219" s="750">
        <f t="shared" si="19"/>
        <v>-1.1251076597587803E-2</v>
      </c>
      <c r="H219" s="604">
        <f t="shared" si="21"/>
        <v>1.2658672460478791E-4</v>
      </c>
      <c r="I219" s="750">
        <f t="shared" si="22"/>
        <v>1.2464611545793842E-4</v>
      </c>
    </row>
    <row r="220" spans="1:9">
      <c r="A220" s="563">
        <v>44879</v>
      </c>
      <c r="B220">
        <v>55.520000457763672</v>
      </c>
      <c r="C220" s="604">
        <v>11196.2197265625</v>
      </c>
      <c r="D220" s="748">
        <f t="shared" si="20"/>
        <v>1.2247844012412967E-2</v>
      </c>
      <c r="E220" s="748">
        <f t="shared" si="20"/>
        <v>1.4486177803630484E-2</v>
      </c>
      <c r="F220" s="750">
        <f t="shared" si="18"/>
        <v>1.2036888885674333E-2</v>
      </c>
      <c r="G220" s="750">
        <f t="shared" si="19"/>
        <v>1.4460628562880809E-2</v>
      </c>
      <c r="H220" s="604">
        <f t="shared" si="21"/>
        <v>2.091097784336043E-4</v>
      </c>
      <c r="I220" s="750">
        <f t="shared" si="22"/>
        <v>1.7406097922840482E-4</v>
      </c>
    </row>
    <row r="221" spans="1:9">
      <c r="A221" s="563">
        <v>44880</v>
      </c>
      <c r="B221">
        <v>56.200000762939453</v>
      </c>
      <c r="C221" s="604">
        <v>11358.41015625</v>
      </c>
      <c r="D221" s="748">
        <f t="shared" si="20"/>
        <v>-2.6868365048603904E-2</v>
      </c>
      <c r="E221" s="748">
        <f t="shared" si="20"/>
        <v>-1.538507569246772E-2</v>
      </c>
      <c r="F221" s="750">
        <f t="shared" si="18"/>
        <v>-2.7079320175342536E-2</v>
      </c>
      <c r="G221" s="750">
        <f t="shared" si="19"/>
        <v>-1.5410624933217395E-2</v>
      </c>
      <c r="H221" s="604">
        <f t="shared" si="21"/>
        <v>2.3748736083230166E-4</v>
      </c>
      <c r="I221" s="750">
        <f t="shared" si="22"/>
        <v>4.1730924666871051E-4</v>
      </c>
    </row>
    <row r="222" spans="1:9">
      <c r="A222" s="563">
        <v>44881</v>
      </c>
      <c r="B222">
        <v>54.689998626708977</v>
      </c>
      <c r="C222" s="604">
        <v>11183.66015625</v>
      </c>
      <c r="D222" s="748">
        <f t="shared" si="20"/>
        <v>-1.0056669425329567E-2</v>
      </c>
      <c r="E222" s="748">
        <f t="shared" si="20"/>
        <v>-3.4604230432442318E-3</v>
      </c>
      <c r="F222" s="750">
        <f t="shared" si="18"/>
        <v>-1.0267624552068201E-2</v>
      </c>
      <c r="G222" s="750">
        <f t="shared" si="19"/>
        <v>-3.4859722839939078E-3</v>
      </c>
      <c r="H222" s="604">
        <f t="shared" si="21"/>
        <v>1.2152002764773702E-5</v>
      </c>
      <c r="I222" s="750">
        <f t="shared" si="22"/>
        <v>3.579265461096511E-5</v>
      </c>
    </row>
    <row r="223" spans="1:9">
      <c r="A223" s="563">
        <v>44882</v>
      </c>
      <c r="B223">
        <v>54.139999389648438</v>
      </c>
      <c r="C223" s="604">
        <v>11144.9599609375</v>
      </c>
      <c r="D223" s="748">
        <f t="shared" si="20"/>
        <v>-3.6756518031103136E-2</v>
      </c>
      <c r="E223" s="748">
        <f t="shared" si="20"/>
        <v>9.8664273254778223E-5</v>
      </c>
      <c r="F223" s="750">
        <f t="shared" si="18"/>
        <v>-3.6967473157841768E-2</v>
      </c>
      <c r="G223" s="750">
        <f t="shared" si="19"/>
        <v>7.3115032505102431E-5</v>
      </c>
      <c r="H223" s="604">
        <f t="shared" si="21"/>
        <v>5.3458079782221852E-9</v>
      </c>
      <c r="I223" s="750">
        <f t="shared" si="22"/>
        <v>-2.7028780015671027E-6</v>
      </c>
    </row>
    <row r="224" spans="1:9">
      <c r="A224" s="563">
        <v>44883</v>
      </c>
      <c r="B224">
        <v>52.150001525878913</v>
      </c>
      <c r="C224" s="604">
        <v>11146.0595703125</v>
      </c>
      <c r="D224" s="748">
        <f t="shared" si="20"/>
        <v>3.259792214213908E-3</v>
      </c>
      <c r="E224" s="748">
        <f t="shared" si="20"/>
        <v>-1.0905181685126442E-2</v>
      </c>
      <c r="F224" s="750">
        <f t="shared" si="18"/>
        <v>3.0488370874752744E-3</v>
      </c>
      <c r="G224" s="750">
        <f t="shared" si="19"/>
        <v>-1.0930730925876117E-2</v>
      </c>
      <c r="H224" s="604">
        <f t="shared" si="21"/>
        <v>1.1948087857390455E-4</v>
      </c>
      <c r="I224" s="750">
        <f t="shared" si="22"/>
        <v>-3.3326017840024047E-5</v>
      </c>
    </row>
    <row r="225" spans="1:9">
      <c r="A225" s="563">
        <v>44886</v>
      </c>
      <c r="B225">
        <v>52.319999694824219</v>
      </c>
      <c r="C225" s="604">
        <v>11024.509765625</v>
      </c>
      <c r="D225" s="748">
        <f t="shared" si="20"/>
        <v>-7.6454349695442847E-4</v>
      </c>
      <c r="E225" s="748">
        <f t="shared" si="20"/>
        <v>1.3597011913617951E-2</v>
      </c>
      <c r="F225" s="750">
        <f t="shared" si="18"/>
        <v>-9.7549862369306181E-4</v>
      </c>
      <c r="G225" s="750">
        <f t="shared" si="19"/>
        <v>1.3571462672868276E-2</v>
      </c>
      <c r="H225" s="604">
        <f t="shared" si="21"/>
        <v>1.8418459908105692E-4</v>
      </c>
      <c r="I225" s="750">
        <f t="shared" si="22"/>
        <v>-1.3238943158884765E-5</v>
      </c>
    </row>
    <row r="226" spans="1:9">
      <c r="A226" s="563">
        <v>44887</v>
      </c>
      <c r="B226">
        <v>52.279998779296882</v>
      </c>
      <c r="C226" s="604">
        <v>11174.41015625</v>
      </c>
      <c r="D226" s="748">
        <f t="shared" si="20"/>
        <v>2.0466712314613389E-2</v>
      </c>
      <c r="E226" s="748">
        <f t="shared" si="20"/>
        <v>9.9253700821038127E-3</v>
      </c>
      <c r="F226" s="750">
        <f t="shared" si="18"/>
        <v>2.0255757187874757E-2</v>
      </c>
      <c r="G226" s="750">
        <f t="shared" si="19"/>
        <v>9.8998208413541375E-3</v>
      </c>
      <c r="H226" s="604">
        <f t="shared" si="21"/>
        <v>9.8006452690909738E-5</v>
      </c>
      <c r="I226" s="750">
        <f t="shared" si="22"/>
        <v>2.005283671659314E-4</v>
      </c>
    </row>
    <row r="227" spans="1:9">
      <c r="A227" s="563">
        <v>44888</v>
      </c>
      <c r="B227">
        <v>53.349998474121087</v>
      </c>
      <c r="C227" s="604">
        <v>11285.3203125</v>
      </c>
      <c r="D227" s="748">
        <f t="shared" si="20"/>
        <v>-8.2473971751360065E-3</v>
      </c>
      <c r="E227" s="748">
        <f t="shared" si="20"/>
        <v>-5.224482717800627E-3</v>
      </c>
      <c r="F227" s="750">
        <f t="shared" si="18"/>
        <v>-8.4583523018746404E-3</v>
      </c>
      <c r="G227" s="750">
        <f t="shared" si="19"/>
        <v>-5.250031958550303E-3</v>
      </c>
      <c r="H227" s="604">
        <f t="shared" si="21"/>
        <v>2.7562835565799529E-5</v>
      </c>
      <c r="I227" s="750">
        <f t="shared" si="22"/>
        <v>4.440661990151938E-5</v>
      </c>
    </row>
    <row r="228" spans="1:9">
      <c r="A228" s="563">
        <v>44890</v>
      </c>
      <c r="B228">
        <v>52.909999847412109</v>
      </c>
      <c r="C228" s="604">
        <v>11226.3603515625</v>
      </c>
      <c r="D228" s="748">
        <f t="shared" si="20"/>
        <v>-1.5686978241373328E-2</v>
      </c>
      <c r="E228" s="748">
        <f t="shared" si="20"/>
        <v>-1.5754024102556441E-2</v>
      </c>
      <c r="F228" s="750">
        <f t="shared" si="18"/>
        <v>-1.5897933368111961E-2</v>
      </c>
      <c r="G228" s="750">
        <f t="shared" si="19"/>
        <v>-1.5779573343306118E-2</v>
      </c>
      <c r="H228" s="604">
        <f t="shared" si="21"/>
        <v>2.4899493489677701E-4</v>
      </c>
      <c r="I228" s="750">
        <f t="shared" si="22"/>
        <v>2.5086260558911631E-4</v>
      </c>
    </row>
    <row r="229" spans="1:9">
      <c r="A229" s="563">
        <v>44893</v>
      </c>
      <c r="B229">
        <v>52.080001831054688</v>
      </c>
      <c r="C229" s="604">
        <v>11049.5</v>
      </c>
      <c r="D229" s="748">
        <f t="shared" si="20"/>
        <v>-9.4086340483693354E-3</v>
      </c>
      <c r="E229" s="748">
        <f t="shared" si="20"/>
        <v>-5.9477556959590672E-3</v>
      </c>
      <c r="F229" s="750">
        <f t="shared" si="18"/>
        <v>-9.6195891751079694E-3</v>
      </c>
      <c r="G229" s="750">
        <f t="shared" si="19"/>
        <v>-5.9733049367087431E-3</v>
      </c>
      <c r="H229" s="604">
        <f t="shared" si="21"/>
        <v>3.5680371866909042E-5</v>
      </c>
      <c r="I229" s="750">
        <f t="shared" si="22"/>
        <v>5.7460739508782419E-5</v>
      </c>
    </row>
    <row r="230" spans="1:9">
      <c r="A230" s="563">
        <v>44894</v>
      </c>
      <c r="B230">
        <v>51.590000152587891</v>
      </c>
      <c r="C230" s="604">
        <v>10983.7802734375</v>
      </c>
      <c r="D230" s="748">
        <f t="shared" si="20"/>
        <v>3.0432248307435961E-2</v>
      </c>
      <c r="E230" s="748">
        <f t="shared" si="20"/>
        <v>4.4084979352100317E-2</v>
      </c>
      <c r="F230" s="750">
        <f t="shared" si="18"/>
        <v>3.0221293180697328E-2</v>
      </c>
      <c r="G230" s="750">
        <f t="shared" si="19"/>
        <v>4.4059430111350641E-2</v>
      </c>
      <c r="H230" s="604">
        <f t="shared" si="21"/>
        <v>1.9412333817369915E-3</v>
      </c>
      <c r="I230" s="750">
        <f t="shared" si="22"/>
        <v>1.3315329547695716E-3</v>
      </c>
    </row>
    <row r="231" spans="1:9">
      <c r="A231" s="563">
        <v>44895</v>
      </c>
      <c r="B231">
        <v>53.159999847412109</v>
      </c>
      <c r="C231" s="604">
        <v>11468</v>
      </c>
      <c r="D231" s="748">
        <f t="shared" si="20"/>
        <v>4.1760745430310386E-2</v>
      </c>
      <c r="E231" s="748">
        <f t="shared" si="20"/>
        <v>1.2600449348185716E-3</v>
      </c>
      <c r="F231" s="750">
        <f t="shared" si="18"/>
        <v>4.1549790303571754E-2</v>
      </c>
      <c r="G231" s="750">
        <f t="shared" si="19"/>
        <v>1.2344956940688958E-3</v>
      </c>
      <c r="H231" s="604">
        <f t="shared" si="21"/>
        <v>1.5239796186746449E-6</v>
      </c>
      <c r="I231" s="750">
        <f t="shared" si="22"/>
        <v>5.1293037219224893E-5</v>
      </c>
    </row>
    <row r="232" spans="1:9">
      <c r="A232" s="563">
        <v>44896</v>
      </c>
      <c r="B232">
        <v>55.380001068115227</v>
      </c>
      <c r="C232" s="604">
        <v>11482.4501953125</v>
      </c>
      <c r="D232" s="748">
        <f t="shared" si="20"/>
        <v>-3.1961004399162718E-2</v>
      </c>
      <c r="E232" s="748">
        <f t="shared" si="20"/>
        <v>-1.8245404905873341E-3</v>
      </c>
      <c r="F232" s="750">
        <f t="shared" si="18"/>
        <v>-3.217195952590135E-2</v>
      </c>
      <c r="G232" s="750">
        <f t="shared" si="19"/>
        <v>-1.8500897313370099E-3</v>
      </c>
      <c r="H232" s="604">
        <f t="shared" si="21"/>
        <v>3.4228320139986494E-6</v>
      </c>
      <c r="I232" s="750">
        <f t="shared" si="22"/>
        <v>5.9521011955859982E-5</v>
      </c>
    </row>
    <row r="233" spans="1:9">
      <c r="A233" s="563">
        <v>44897</v>
      </c>
      <c r="B233">
        <v>53.610000610351563</v>
      </c>
      <c r="C233" s="604">
        <v>11461.5</v>
      </c>
      <c r="D233" s="748">
        <f t="shared" si="20"/>
        <v>-3.618732362095245E-2</v>
      </c>
      <c r="E233" s="748">
        <f t="shared" si="20"/>
        <v>-1.9330765633861158E-2</v>
      </c>
      <c r="F233" s="750">
        <f t="shared" si="18"/>
        <v>-3.6398278747691082E-2</v>
      </c>
      <c r="G233" s="750">
        <f t="shared" si="19"/>
        <v>-1.9356314874610835E-2</v>
      </c>
      <c r="H233" s="604">
        <f t="shared" si="21"/>
        <v>3.7466692552508063E-4</v>
      </c>
      <c r="I233" s="750">
        <f t="shared" si="22"/>
        <v>7.045365443341643E-4</v>
      </c>
    </row>
    <row r="234" spans="1:9">
      <c r="A234" s="563">
        <v>44900</v>
      </c>
      <c r="B234">
        <v>51.669998168945313</v>
      </c>
      <c r="C234" s="604">
        <v>11239.9404296875</v>
      </c>
      <c r="D234" s="748">
        <f t="shared" si="20"/>
        <v>-1.5869938530732597E-2</v>
      </c>
      <c r="E234" s="748">
        <f t="shared" si="20"/>
        <v>-2.0022417614917631E-2</v>
      </c>
      <c r="F234" s="750">
        <f t="shared" si="18"/>
        <v>-1.6080893657471229E-2</v>
      </c>
      <c r="G234" s="750">
        <f t="shared" si="19"/>
        <v>-2.0047966855667308E-2</v>
      </c>
      <c r="H234" s="604">
        <f t="shared" si="21"/>
        <v>4.0192097504593494E-4</v>
      </c>
      <c r="I234" s="750">
        <f t="shared" si="22"/>
        <v>3.2238922305449384E-4</v>
      </c>
    </row>
    <row r="235" spans="1:9">
      <c r="A235" s="563">
        <v>44901</v>
      </c>
      <c r="B235">
        <v>50.849998474121087</v>
      </c>
      <c r="C235" s="604">
        <v>11014.8896484375</v>
      </c>
      <c r="D235" s="748">
        <f t="shared" si="20"/>
        <v>1.4749262979460998E-2</v>
      </c>
      <c r="E235" s="748">
        <f t="shared" si="20"/>
        <v>-5.1148804525692482E-3</v>
      </c>
      <c r="F235" s="750">
        <f t="shared" si="18"/>
        <v>1.4538307852722364E-2</v>
      </c>
      <c r="G235" s="750">
        <f t="shared" si="19"/>
        <v>-5.1404296933189242E-3</v>
      </c>
      <c r="H235" s="604">
        <f t="shared" si="21"/>
        <v>2.642401743195489E-5</v>
      </c>
      <c r="I235" s="750">
        <f t="shared" si="22"/>
        <v>-7.4733149376745732E-5</v>
      </c>
    </row>
    <row r="236" spans="1:9">
      <c r="A236" s="563">
        <v>44902</v>
      </c>
      <c r="B236">
        <v>51.599998474121087</v>
      </c>
      <c r="C236" s="604">
        <v>10958.5498046875</v>
      </c>
      <c r="D236" s="748">
        <f t="shared" si="20"/>
        <v>2.5387624264136877E-2</v>
      </c>
      <c r="E236" s="748">
        <f t="shared" si="20"/>
        <v>1.1265194529635147E-2</v>
      </c>
      <c r="F236" s="750">
        <f t="shared" si="18"/>
        <v>2.5176669137398244E-2</v>
      </c>
      <c r="G236" s="750">
        <f t="shared" si="19"/>
        <v>1.1239645288885472E-2</v>
      </c>
      <c r="H236" s="604">
        <f t="shared" si="21"/>
        <v>1.263296262199654E-4</v>
      </c>
      <c r="I236" s="750">
        <f t="shared" si="22"/>
        <v>2.8297683065998643E-4</v>
      </c>
    </row>
    <row r="237" spans="1:9">
      <c r="A237" s="563">
        <v>44903</v>
      </c>
      <c r="B237">
        <v>52.909999847412109</v>
      </c>
      <c r="C237" s="604">
        <v>11082</v>
      </c>
      <c r="D237" s="748">
        <f t="shared" si="20"/>
        <v>-1.4741991713217328E-2</v>
      </c>
      <c r="E237" s="748">
        <f t="shared" si="20"/>
        <v>-6.9824835600523771E-3</v>
      </c>
      <c r="F237" s="750">
        <f t="shared" si="18"/>
        <v>-1.4952946839955962E-2</v>
      </c>
      <c r="G237" s="750">
        <f t="shared" si="19"/>
        <v>-7.0080328008020531E-3</v>
      </c>
      <c r="H237" s="604">
        <f t="shared" si="21"/>
        <v>4.911252373711747E-5</v>
      </c>
      <c r="I237" s="750">
        <f t="shared" si="22"/>
        <v>1.0479074192306079E-4</v>
      </c>
    </row>
    <row r="238" spans="1:9">
      <c r="A238" s="563">
        <v>44904</v>
      </c>
      <c r="B238">
        <v>52.130001068115227</v>
      </c>
      <c r="C238" s="604">
        <v>11004.6201171875</v>
      </c>
      <c r="D238" s="748">
        <f t="shared" si="20"/>
        <v>2.8966013631194443E-2</v>
      </c>
      <c r="E238" s="748">
        <f t="shared" si="20"/>
        <v>1.2641973617082636E-2</v>
      </c>
      <c r="F238" s="750">
        <f t="shared" si="18"/>
        <v>2.875505850445581E-2</v>
      </c>
      <c r="G238" s="750">
        <f t="shared" si="19"/>
        <v>1.2616424376332961E-2</v>
      </c>
      <c r="H238" s="604">
        <f t="shared" si="21"/>
        <v>1.5917416404372854E-4</v>
      </c>
      <c r="I238" s="750">
        <f t="shared" si="22"/>
        <v>3.6278602105849672E-4</v>
      </c>
    </row>
    <row r="239" spans="1:9">
      <c r="A239" s="563">
        <v>44907</v>
      </c>
      <c r="B239">
        <v>53.639999389648438</v>
      </c>
      <c r="C239" s="604">
        <v>11143.740234375</v>
      </c>
      <c r="D239" s="748">
        <f t="shared" si="20"/>
        <v>1.9947794686789644E-2</v>
      </c>
      <c r="E239" s="748">
        <f t="shared" si="20"/>
        <v>1.0146443972977481E-2</v>
      </c>
      <c r="F239" s="750">
        <f t="shared" si="18"/>
        <v>1.9736839560051012E-2</v>
      </c>
      <c r="G239" s="750">
        <f t="shared" si="19"/>
        <v>1.0120894732227806E-2</v>
      </c>
      <c r="H239" s="604">
        <f t="shared" si="21"/>
        <v>1.0243251018083655E-4</v>
      </c>
      <c r="I239" s="750">
        <f t="shared" si="22"/>
        <v>1.9975447553414566E-4</v>
      </c>
    </row>
    <row r="240" spans="1:9">
      <c r="A240" s="563">
        <v>44908</v>
      </c>
      <c r="B240">
        <v>54.709999084472663</v>
      </c>
      <c r="C240" s="604">
        <v>11256.8095703125</v>
      </c>
      <c r="D240" s="748">
        <f t="shared" si="20"/>
        <v>-8.0423804436484669E-3</v>
      </c>
      <c r="E240" s="748">
        <f t="shared" si="20"/>
        <v>-7.6327063488393909E-3</v>
      </c>
      <c r="F240" s="750">
        <f t="shared" si="18"/>
        <v>-8.2533355703871009E-3</v>
      </c>
      <c r="G240" s="750">
        <f t="shared" si="19"/>
        <v>-7.6582555895890669E-3</v>
      </c>
      <c r="H240" s="604">
        <f t="shared" si="21"/>
        <v>5.8648878675472184E-5</v>
      </c>
      <c r="I240" s="750">
        <f t="shared" si="22"/>
        <v>6.320615326467129E-5</v>
      </c>
    </row>
    <row r="241" spans="1:9">
      <c r="A241" s="563">
        <v>44909</v>
      </c>
      <c r="B241">
        <v>54.270000457763672</v>
      </c>
      <c r="C241" s="604">
        <v>11170.8896484375</v>
      </c>
      <c r="D241" s="748">
        <f t="shared" si="20"/>
        <v>-3.8695453677998648E-2</v>
      </c>
      <c r="E241" s="748">
        <f t="shared" si="20"/>
        <v>-3.2258789258598042E-2</v>
      </c>
      <c r="F241" s="750">
        <f t="shared" si="18"/>
        <v>-3.890640880473728E-2</v>
      </c>
      <c r="G241" s="750">
        <f t="shared" si="19"/>
        <v>-3.2284338499347719E-2</v>
      </c>
      <c r="H241" s="604">
        <f t="shared" si="21"/>
        <v>1.0422785123404654E-3</v>
      </c>
      <c r="I241" s="750">
        <f t="shared" si="22"/>
        <v>1.2560676716461409E-3</v>
      </c>
    </row>
    <row r="242" spans="1:9">
      <c r="A242" s="563">
        <v>44910</v>
      </c>
      <c r="B242">
        <v>52.169998168945313</v>
      </c>
      <c r="C242" s="604">
        <v>10810.5302734375</v>
      </c>
      <c r="D242" s="748">
        <f t="shared" si="20"/>
        <v>-4.7920262368116306E-3</v>
      </c>
      <c r="E242" s="748">
        <f t="shared" si="20"/>
        <v>-9.7238631712442958E-3</v>
      </c>
      <c r="F242" s="750">
        <f t="shared" si="18"/>
        <v>-5.0029813635502638E-3</v>
      </c>
      <c r="G242" s="750">
        <f t="shared" si="19"/>
        <v>-9.7494124119939709E-3</v>
      </c>
      <c r="H242" s="604">
        <f t="shared" si="21"/>
        <v>9.5051042379142101E-5</v>
      </c>
      <c r="I242" s="750">
        <f t="shared" si="22"/>
        <v>4.877612860277146E-5</v>
      </c>
    </row>
    <row r="243" spans="1:9">
      <c r="A243" s="563">
        <v>44911</v>
      </c>
      <c r="B243">
        <v>51.919998168945313</v>
      </c>
      <c r="C243" s="604">
        <v>10705.41015625</v>
      </c>
      <c r="D243" s="748">
        <f t="shared" si="20"/>
        <v>-3.7365152063301599E-2</v>
      </c>
      <c r="E243" s="748">
        <f t="shared" si="20"/>
        <v>-1.4887788556092962E-2</v>
      </c>
      <c r="F243" s="750">
        <f t="shared" si="18"/>
        <v>-3.7576107190040231E-2</v>
      </c>
      <c r="G243" s="750">
        <f t="shared" si="19"/>
        <v>-1.4913337796842637E-2</v>
      </c>
      <c r="H243" s="604">
        <f t="shared" si="21"/>
        <v>2.2240764424273521E-4</v>
      </c>
      <c r="I243" s="750">
        <f t="shared" si="22"/>
        <v>5.6038517961543737E-4</v>
      </c>
    </row>
    <row r="244" spans="1:9">
      <c r="A244" s="563">
        <v>44914</v>
      </c>
      <c r="B244">
        <v>49.979999542236328</v>
      </c>
      <c r="C244" s="604">
        <v>10546.0302734375</v>
      </c>
      <c r="D244" s="748">
        <f t="shared" si="20"/>
        <v>9.8039552411901543E-3</v>
      </c>
      <c r="E244" s="748">
        <f t="shared" si="20"/>
        <v>1.0241561013923928E-4</v>
      </c>
      <c r="F244" s="750">
        <f t="shared" si="18"/>
        <v>9.5930001144515203E-3</v>
      </c>
      <c r="G244" s="750">
        <f t="shared" si="19"/>
        <v>7.6866369389563485E-5</v>
      </c>
      <c r="H244" s="604">
        <f t="shared" si="21"/>
        <v>5.9084387431328226E-9</v>
      </c>
      <c r="I244" s="750">
        <f t="shared" si="22"/>
        <v>7.373790903515554E-7</v>
      </c>
    </row>
    <row r="245" spans="1:9">
      <c r="A245" s="563">
        <v>44915</v>
      </c>
      <c r="B245">
        <v>50.470001220703118</v>
      </c>
      <c r="C245" s="604">
        <v>10547.1103515625</v>
      </c>
      <c r="D245" s="748">
        <f t="shared" si="20"/>
        <v>-9.1143825647703736E-3</v>
      </c>
      <c r="E245" s="748">
        <f t="shared" si="20"/>
        <v>1.538428633212896E-2</v>
      </c>
      <c r="F245" s="750">
        <f t="shared" si="18"/>
        <v>-9.3253376915090076E-3</v>
      </c>
      <c r="G245" s="750">
        <f t="shared" si="19"/>
        <v>1.5358737091379285E-2</v>
      </c>
      <c r="H245" s="604">
        <f t="shared" si="21"/>
        <v>2.3589080504210982E-4</v>
      </c>
      <c r="I245" s="750">
        <f t="shared" si="22"/>
        <v>-1.4322540989221668E-4</v>
      </c>
    </row>
    <row r="246" spans="1:9">
      <c r="A246" s="563">
        <v>44916</v>
      </c>
      <c r="B246">
        <v>50.009998321533203</v>
      </c>
      <c r="C246" s="604">
        <v>10709.3701171875</v>
      </c>
      <c r="D246" s="748">
        <f t="shared" si="20"/>
        <v>-1.7196497190922644E-2</v>
      </c>
      <c r="E246" s="748">
        <f t="shared" si="20"/>
        <v>-2.1779992422304661E-2</v>
      </c>
      <c r="F246" s="750">
        <f t="shared" si="18"/>
        <v>-1.7407452317661276E-2</v>
      </c>
      <c r="G246" s="750">
        <f t="shared" si="19"/>
        <v>-2.1805541663054338E-2</v>
      </c>
      <c r="H246" s="604">
        <f t="shared" si="21"/>
        <v>4.7548164721919857E-4</v>
      </c>
      <c r="I246" s="750">
        <f t="shared" si="22"/>
        <v>3.7957892676039476E-4</v>
      </c>
    </row>
    <row r="247" spans="1:9">
      <c r="A247" s="563">
        <v>44917</v>
      </c>
      <c r="B247">
        <v>49.150001525878913</v>
      </c>
      <c r="C247" s="604">
        <v>10476.1201171875</v>
      </c>
      <c r="D247" s="748">
        <f t="shared" si="20"/>
        <v>-8.5453096765712999E-3</v>
      </c>
      <c r="E247" s="748">
        <f t="shared" si="20"/>
        <v>2.0752181276857407E-3</v>
      </c>
      <c r="F247" s="750">
        <f t="shared" si="18"/>
        <v>-8.7562648033099339E-3</v>
      </c>
      <c r="G247" s="750">
        <f t="shared" si="19"/>
        <v>2.0496688869360647E-3</v>
      </c>
      <c r="H247" s="604">
        <f t="shared" si="21"/>
        <v>4.201142546073726E-6</v>
      </c>
      <c r="I247" s="750">
        <f t="shared" si="22"/>
        <v>-1.794744353311771E-5</v>
      </c>
    </row>
    <row r="248" spans="1:9">
      <c r="A248" s="563">
        <v>44918</v>
      </c>
      <c r="B248">
        <v>48.729999542236328</v>
      </c>
      <c r="C248" s="604">
        <v>10497.8603515625</v>
      </c>
      <c r="D248" s="748">
        <f t="shared" si="20"/>
        <v>-3.6938294042003772E-3</v>
      </c>
      <c r="E248" s="748">
        <f t="shared" si="20"/>
        <v>-1.3777081992805584E-2</v>
      </c>
      <c r="F248" s="750">
        <f t="shared" si="18"/>
        <v>-3.9047845309390108E-3</v>
      </c>
      <c r="G248" s="750">
        <f t="shared" si="19"/>
        <v>-1.3802631233555259E-2</v>
      </c>
      <c r="H248" s="604">
        <f t="shared" si="21"/>
        <v>1.9051262896951519E-4</v>
      </c>
      <c r="I248" s="750">
        <f t="shared" si="22"/>
        <v>5.389630092704221E-5</v>
      </c>
    </row>
    <row r="249" spans="1:9">
      <c r="A249" s="563">
        <v>44922</v>
      </c>
      <c r="B249">
        <v>48.549999237060547</v>
      </c>
      <c r="C249" s="604">
        <v>10353.23046875</v>
      </c>
      <c r="D249" s="748">
        <f t="shared" si="20"/>
        <v>-1.4212124357404265E-2</v>
      </c>
      <c r="E249" s="748">
        <f t="shared" si="20"/>
        <v>-1.3516595627798833E-2</v>
      </c>
      <c r="F249" s="750">
        <f t="shared" si="18"/>
        <v>-1.4423079484142899E-2</v>
      </c>
      <c r="G249" s="750">
        <f t="shared" si="19"/>
        <v>-1.3542144868548508E-2</v>
      </c>
      <c r="H249" s="604">
        <f t="shared" si="21"/>
        <v>1.833896876407547E-4</v>
      </c>
      <c r="I249" s="750">
        <f t="shared" si="22"/>
        <v>1.9531943182485303E-4</v>
      </c>
    </row>
    <row r="250" spans="1:9">
      <c r="A250" s="563">
        <v>44923</v>
      </c>
      <c r="B250">
        <v>47.860000610351563</v>
      </c>
      <c r="C250" s="604">
        <v>10213.2900390625</v>
      </c>
      <c r="D250" s="748">
        <f t="shared" si="20"/>
        <v>2.8207238965832993E-2</v>
      </c>
      <c r="E250" s="748">
        <f t="shared" si="20"/>
        <v>2.5926983731464404E-2</v>
      </c>
      <c r="F250" s="750">
        <f t="shared" si="18"/>
        <v>2.799628383909436E-2</v>
      </c>
      <c r="G250" s="750">
        <f t="shared" si="19"/>
        <v>2.5901434490714727E-2</v>
      </c>
      <c r="H250" s="604">
        <f t="shared" si="21"/>
        <v>6.7088430867678645E-4</v>
      </c>
      <c r="I250" s="750">
        <f t="shared" si="22"/>
        <v>7.2514391184175795E-4</v>
      </c>
    </row>
    <row r="251" spans="1:9">
      <c r="A251" s="563">
        <v>44924</v>
      </c>
      <c r="B251">
        <v>49.209999084472663</v>
      </c>
      <c r="C251" s="604">
        <v>10478.08984375</v>
      </c>
      <c r="D251" s="748">
        <f t="shared" si="20"/>
        <v>-6.5027372643295944E-3</v>
      </c>
      <c r="E251" s="748">
        <f t="shared" si="20"/>
        <v>-1.1079667356473921E-3</v>
      </c>
      <c r="F251" s="750">
        <f t="shared" si="18"/>
        <v>-6.7136923910682276E-3</v>
      </c>
      <c r="G251" s="750">
        <f t="shared" si="19"/>
        <v>-1.1335159763970679E-3</v>
      </c>
      <c r="H251" s="604">
        <f t="shared" si="21"/>
        <v>1.2848584687473982E-6</v>
      </c>
      <c r="I251" s="750">
        <f t="shared" si="22"/>
        <v>7.6100775858912672E-6</v>
      </c>
    </row>
    <row r="252" spans="1:9">
      <c r="A252" s="563">
        <v>44925</v>
      </c>
      <c r="B252">
        <v>48.889999389648438</v>
      </c>
      <c r="C252" s="604">
        <v>10466.48046875</v>
      </c>
      <c r="D252" s="748">
        <f t="shared" si="20"/>
        <v>-7.5679880651237097E-3</v>
      </c>
      <c r="E252" s="748">
        <f t="shared" si="20"/>
        <v>-7.5956765253959446E-3</v>
      </c>
      <c r="F252" s="750">
        <f t="shared" si="18"/>
        <v>-7.7789431918623428E-3</v>
      </c>
      <c r="G252" s="750">
        <f t="shared" si="19"/>
        <v>-7.6212257661456206E-3</v>
      </c>
      <c r="H252" s="604">
        <f t="shared" si="21"/>
        <v>5.8083082178561901E-5</v>
      </c>
      <c r="I252" s="750">
        <f t="shared" si="22"/>
        <v>5.9285082287204346E-5</v>
      </c>
    </row>
    <row r="253" spans="1:9">
      <c r="A253" s="563">
        <v>44929</v>
      </c>
      <c r="B253">
        <v>48.520000457763672</v>
      </c>
      <c r="C253" s="604">
        <v>10386.98046875</v>
      </c>
      <c r="D253" s="748">
        <f t="shared" si="20"/>
        <v>-4.5342378117789739E-3</v>
      </c>
      <c r="E253" s="748">
        <f t="shared" si="20"/>
        <v>6.9105065799395238E-3</v>
      </c>
      <c r="F253" s="750">
        <f t="shared" si="18"/>
        <v>-4.745192938517607E-3</v>
      </c>
      <c r="G253" s="750">
        <f t="shared" si="19"/>
        <v>6.8849573391898478E-3</v>
      </c>
      <c r="H253" s="604">
        <f t="shared" si="21"/>
        <v>4.7402637562464152E-5</v>
      </c>
      <c r="I253" s="750">
        <f t="shared" si="22"/>
        <v>-3.2670450947918639E-5</v>
      </c>
    </row>
    <row r="254" spans="1:9">
      <c r="A254" s="563">
        <v>44930</v>
      </c>
      <c r="B254">
        <v>48.299999237060547</v>
      </c>
      <c r="C254" s="604">
        <v>10458.759765625</v>
      </c>
      <c r="D254" s="748">
        <f t="shared" si="20"/>
        <v>-1.7598312371584712E-2</v>
      </c>
      <c r="E254" s="748">
        <f t="shared" si="20"/>
        <v>-1.4678559857027706E-2</v>
      </c>
      <c r="F254" s="750">
        <f t="shared" si="18"/>
        <v>-1.7809267498323345E-2</v>
      </c>
      <c r="G254" s="750">
        <f t="shared" si="19"/>
        <v>-1.4704109097777382E-2</v>
      </c>
      <c r="H254" s="604">
        <f t="shared" si="21"/>
        <v>2.1621082435933957E-4</v>
      </c>
      <c r="I254" s="750">
        <f t="shared" si="22"/>
        <v>2.618694122468473E-4</v>
      </c>
    </row>
    <row r="255" spans="1:9">
      <c r="A255" s="563">
        <v>44931</v>
      </c>
      <c r="B255">
        <v>47.450000762939453</v>
      </c>
      <c r="C255" s="604">
        <v>10305.240234375</v>
      </c>
      <c r="D255" s="748">
        <f t="shared" si="20"/>
        <v>2.6132725897404452E-2</v>
      </c>
      <c r="E255" s="748">
        <f t="shared" si="20"/>
        <v>2.5622867461809751E-2</v>
      </c>
      <c r="F255" s="750">
        <f t="shared" si="18"/>
        <v>2.592177077066582E-2</v>
      </c>
      <c r="G255" s="750">
        <f t="shared" si="19"/>
        <v>2.5597318221060074E-2</v>
      </c>
      <c r="H255" s="604">
        <f t="shared" si="21"/>
        <v>6.5522270011021406E-4</v>
      </c>
      <c r="I255" s="750">
        <f t="shared" si="22"/>
        <v>6.6352781527010665E-4</v>
      </c>
    </row>
    <row r="256" spans="1:9">
      <c r="A256" s="563">
        <v>44932</v>
      </c>
      <c r="B256">
        <v>48.689998626708977</v>
      </c>
      <c r="C256" s="604">
        <v>10569.2900390625</v>
      </c>
      <c r="D256" s="748">
        <f t="shared" si="20"/>
        <v>1.4787456171916569E-2</v>
      </c>
      <c r="E256" s="748">
        <f t="shared" si="20"/>
        <v>6.2786006739565803E-3</v>
      </c>
      <c r="F256" s="750">
        <f t="shared" si="18"/>
        <v>1.4576501045177935E-2</v>
      </c>
      <c r="G256" s="750">
        <f t="shared" si="19"/>
        <v>6.2530514332069043E-3</v>
      </c>
      <c r="H256" s="604">
        <f t="shared" si="21"/>
        <v>3.9100652226330922E-5</v>
      </c>
      <c r="I256" s="750">
        <f t="shared" si="22"/>
        <v>9.1147610751691829E-5</v>
      </c>
    </row>
    <row r="257" spans="1:9">
      <c r="A257" s="563">
        <v>44935</v>
      </c>
      <c r="B257">
        <v>49.409999847412109</v>
      </c>
      <c r="C257" s="604">
        <v>10635.650390625</v>
      </c>
      <c r="D257" s="748">
        <f t="shared" si="20"/>
        <v>-2.0036463904556157E-2</v>
      </c>
      <c r="E257" s="748">
        <f t="shared" si="20"/>
        <v>1.0058575475722531E-2</v>
      </c>
      <c r="F257" s="750">
        <f t="shared" si="18"/>
        <v>-2.0247419031294789E-2</v>
      </c>
      <c r="G257" s="750">
        <f t="shared" si="19"/>
        <v>1.0033026234972856E-2</v>
      </c>
      <c r="H257" s="604">
        <f t="shared" si="21"/>
        <v>1.006616154316536E-4</v>
      </c>
      <c r="I257" s="750">
        <f t="shared" si="22"/>
        <v>-2.0314288633146931E-4</v>
      </c>
    </row>
    <row r="258" spans="1:9">
      <c r="A258" s="563">
        <v>44936</v>
      </c>
      <c r="B258">
        <v>48.419998168945313</v>
      </c>
      <c r="C258" s="604">
        <v>10742.6298828125</v>
      </c>
      <c r="D258" s="748">
        <f t="shared" si="20"/>
        <v>7.8480190517427051E-3</v>
      </c>
      <c r="E258" s="748">
        <f t="shared" si="20"/>
        <v>1.7597184406860311E-2</v>
      </c>
      <c r="F258" s="750">
        <f t="shared" si="18"/>
        <v>7.637063925004072E-3</v>
      </c>
      <c r="G258" s="750">
        <f t="shared" si="19"/>
        <v>1.7571635166110634E-2</v>
      </c>
      <c r="H258" s="604">
        <f t="shared" si="21"/>
        <v>3.0876236241089591E-4</v>
      </c>
      <c r="I258" s="750">
        <f t="shared" si="22"/>
        <v>1.3419570103043646E-4</v>
      </c>
    </row>
    <row r="259" spans="1:9">
      <c r="A259" s="563">
        <v>44937</v>
      </c>
      <c r="B259">
        <v>48.799999237060547</v>
      </c>
      <c r="C259" s="604">
        <v>10931.669921875</v>
      </c>
      <c r="D259" s="748">
        <f t="shared" si="20"/>
        <v>-8.1966745376065298E-3</v>
      </c>
      <c r="E259" s="748">
        <f t="shared" si="20"/>
        <v>6.3512425819833851E-3</v>
      </c>
      <c r="F259" s="750">
        <f t="shared" ref="F259:F322" si="23">D259-$F$504</f>
        <v>-8.4076296643451637E-3</v>
      </c>
      <c r="G259" s="750">
        <f t="shared" ref="G259:G322" si="24">E259-$G$504</f>
        <v>6.3256933412337091E-3</v>
      </c>
      <c r="H259" s="604">
        <f t="shared" si="21"/>
        <v>4.0014396247328488E-5</v>
      </c>
      <c r="I259" s="750">
        <f t="shared" si="22"/>
        <v>-5.3184086983307206E-5</v>
      </c>
    </row>
    <row r="260" spans="1:9">
      <c r="A260" s="563">
        <v>44938</v>
      </c>
      <c r="B260">
        <v>48.400001525878913</v>
      </c>
      <c r="C260" s="604">
        <v>11001.099609375</v>
      </c>
      <c r="D260" s="748">
        <f t="shared" si="20"/>
        <v>9.7106899005892089E-3</v>
      </c>
      <c r="E260" s="748">
        <f t="shared" si="20"/>
        <v>7.0957040338475164E-3</v>
      </c>
      <c r="F260" s="750">
        <f t="shared" si="23"/>
        <v>9.4997347738505749E-3</v>
      </c>
      <c r="G260" s="750">
        <f t="shared" si="24"/>
        <v>7.0701547930978404E-3</v>
      </c>
      <c r="H260" s="604">
        <f t="shared" si="21"/>
        <v>4.9987088798364367E-5</v>
      </c>
      <c r="I260" s="750">
        <f t="shared" si="22"/>
        <v>6.7164595344497871E-5</v>
      </c>
    </row>
    <row r="261" spans="1:9">
      <c r="A261" s="563">
        <v>44939</v>
      </c>
      <c r="B261">
        <v>48.869998931884773</v>
      </c>
      <c r="C261" s="604">
        <v>11079.16015625</v>
      </c>
      <c r="D261" s="748">
        <f t="shared" si="20"/>
        <v>2.5168806407192434E-2</v>
      </c>
      <c r="E261" s="748">
        <f t="shared" si="20"/>
        <v>1.4396574368051862E-3</v>
      </c>
      <c r="F261" s="750">
        <f t="shared" si="23"/>
        <v>2.4957851280453802E-2</v>
      </c>
      <c r="G261" s="750">
        <f t="shared" si="24"/>
        <v>1.4141081960555104E-3</v>
      </c>
      <c r="H261" s="604">
        <f t="shared" si="21"/>
        <v>1.9997019901513698E-6</v>
      </c>
      <c r="I261" s="750">
        <f t="shared" si="22"/>
        <v>3.529310205162424E-5</v>
      </c>
    </row>
    <row r="262" spans="1:9">
      <c r="A262" s="563">
        <v>44943</v>
      </c>
      <c r="B262">
        <v>50.099998474121087</v>
      </c>
      <c r="C262" s="604">
        <v>11095.1103515625</v>
      </c>
      <c r="D262" s="748">
        <f t="shared" si="20"/>
        <v>-3.433128659463569E-2</v>
      </c>
      <c r="E262" s="748">
        <f t="shared" si="20"/>
        <v>-1.2446977232457357E-2</v>
      </c>
      <c r="F262" s="750">
        <f t="shared" si="23"/>
        <v>-3.4542241721374323E-2</v>
      </c>
      <c r="G262" s="750">
        <f t="shared" si="24"/>
        <v>-1.2472526473207032E-2</v>
      </c>
      <c r="H262" s="604">
        <f t="shared" si="21"/>
        <v>1.5556391662485024E-4</v>
      </c>
      <c r="I262" s="750">
        <f t="shared" si="22"/>
        <v>4.3082902431375769E-4</v>
      </c>
    </row>
    <row r="263" spans="1:9">
      <c r="A263" s="563">
        <v>44944</v>
      </c>
      <c r="B263">
        <v>48.380001068115227</v>
      </c>
      <c r="C263" s="604">
        <v>10957.009765625</v>
      </c>
      <c r="D263" s="748">
        <f t="shared" si="20"/>
        <v>8.2672798567684502E-4</v>
      </c>
      <c r="E263" s="748">
        <f t="shared" si="20"/>
        <v>-9.5591987791776578E-3</v>
      </c>
      <c r="F263" s="750">
        <f t="shared" si="23"/>
        <v>6.1577285893821168E-4</v>
      </c>
      <c r="G263" s="750">
        <f t="shared" si="24"/>
        <v>-9.5847480199273329E-3</v>
      </c>
      <c r="H263" s="604">
        <f t="shared" si="21"/>
        <v>9.1867394605500924E-5</v>
      </c>
      <c r="I263" s="750">
        <f t="shared" si="22"/>
        <v>-5.9020276904330175E-6</v>
      </c>
    </row>
    <row r="264" spans="1:9">
      <c r="A264" s="563">
        <v>44945</v>
      </c>
      <c r="B264">
        <v>48.419998168945313</v>
      </c>
      <c r="C264" s="604">
        <v>10852.26953125</v>
      </c>
      <c r="D264" s="748">
        <f t="shared" si="20"/>
        <v>1.7554777384595655E-2</v>
      </c>
      <c r="E264" s="748">
        <f t="shared" si="20"/>
        <v>2.6552985568614851E-2</v>
      </c>
      <c r="F264" s="750">
        <f t="shared" si="23"/>
        <v>1.7343822257857022E-2</v>
      </c>
      <c r="G264" s="750">
        <f t="shared" si="24"/>
        <v>2.6527436327865174E-2</v>
      </c>
      <c r="H264" s="604">
        <f t="shared" si="21"/>
        <v>7.0370487812894096E-4</v>
      </c>
      <c r="I264" s="750">
        <f t="shared" si="22"/>
        <v>4.6008714062711296E-4</v>
      </c>
    </row>
    <row r="265" spans="1:9">
      <c r="A265" s="563">
        <v>44946</v>
      </c>
      <c r="B265">
        <v>49.270000457763672</v>
      </c>
      <c r="C265" s="604">
        <v>11140.4296875</v>
      </c>
      <c r="D265" s="748">
        <f t="shared" si="20"/>
        <v>2.5167401101051645E-2</v>
      </c>
      <c r="E265" s="748">
        <f t="shared" si="20"/>
        <v>2.0105191184978777E-2</v>
      </c>
      <c r="F265" s="750">
        <f t="shared" si="23"/>
        <v>2.4956445974313013E-2</v>
      </c>
      <c r="G265" s="750">
        <f t="shared" si="24"/>
        <v>2.00796419442291E-2</v>
      </c>
      <c r="H265" s="604">
        <f t="shared" si="21"/>
        <v>4.0319202060844461E-4</v>
      </c>
      <c r="I265" s="750">
        <f t="shared" si="22"/>
        <v>5.0111649936470304E-4</v>
      </c>
    </row>
    <row r="266" spans="1:9">
      <c r="A266" s="563">
        <v>44949</v>
      </c>
      <c r="B266">
        <v>50.509998321533203</v>
      </c>
      <c r="C266" s="604">
        <v>11364.41015625</v>
      </c>
      <c r="D266" s="748">
        <f t="shared" si="20"/>
        <v>1.1482911311193389E-2</v>
      </c>
      <c r="E266" s="748">
        <f t="shared" si="20"/>
        <v>-2.6521944021373756E-3</v>
      </c>
      <c r="F266" s="750">
        <f t="shared" si="23"/>
        <v>1.1271956184454755E-2</v>
      </c>
      <c r="G266" s="750">
        <f t="shared" si="24"/>
        <v>-2.6777436428870515E-3</v>
      </c>
      <c r="H266" s="604">
        <f t="shared" si="21"/>
        <v>7.1703110170220172E-6</v>
      </c>
      <c r="I266" s="750">
        <f t="shared" si="22"/>
        <v>-3.0183409015825104E-5</v>
      </c>
    </row>
    <row r="267" spans="1:9">
      <c r="A267" s="563">
        <v>44950</v>
      </c>
      <c r="B267">
        <v>51.090000152587891</v>
      </c>
      <c r="C267" s="604">
        <v>11334.26953125</v>
      </c>
      <c r="D267" s="748">
        <f t="shared" si="20"/>
        <v>1.3114076471800074E-2</v>
      </c>
      <c r="E267" s="748">
        <f t="shared" si="20"/>
        <v>-1.8447752305387199E-3</v>
      </c>
      <c r="F267" s="750">
        <f t="shared" si="23"/>
        <v>1.290312134506144E-2</v>
      </c>
      <c r="G267" s="750">
        <f t="shared" si="24"/>
        <v>-1.8703244712883957E-3</v>
      </c>
      <c r="H267" s="604">
        <f t="shared" si="21"/>
        <v>3.4981136279002169E-6</v>
      </c>
      <c r="I267" s="750">
        <f t="shared" si="22"/>
        <v>-2.4133023607672052E-5</v>
      </c>
    </row>
    <row r="268" spans="1:9">
      <c r="A268" s="563">
        <v>44951</v>
      </c>
      <c r="B268">
        <v>51.759998321533203</v>
      </c>
      <c r="C268" s="604">
        <v>11313.3603515625</v>
      </c>
      <c r="D268" s="748">
        <f t="shared" si="20"/>
        <v>2.80139260038621E-2</v>
      </c>
      <c r="E268" s="748">
        <f t="shared" si="20"/>
        <v>1.7594224748618492E-2</v>
      </c>
      <c r="F268" s="750">
        <f t="shared" si="23"/>
        <v>2.7802970877123467E-2</v>
      </c>
      <c r="G268" s="750">
        <f t="shared" si="24"/>
        <v>1.7568675507868815E-2</v>
      </c>
      <c r="H268" s="604">
        <f t="shared" si="21"/>
        <v>3.0865835910078959E-4</v>
      </c>
      <c r="I268" s="750">
        <f t="shared" si="22"/>
        <v>4.8846137349490898E-4</v>
      </c>
    </row>
    <row r="269" spans="1:9">
      <c r="A269" s="563">
        <v>44952</v>
      </c>
      <c r="B269">
        <v>53.209999084472663</v>
      </c>
      <c r="C269" s="604">
        <v>11512.41015625</v>
      </c>
      <c r="D269" s="748">
        <f t="shared" si="20"/>
        <v>-9.5846331574553911E-3</v>
      </c>
      <c r="E269" s="748">
        <f t="shared" si="20"/>
        <v>9.4940853569365213E-3</v>
      </c>
      <c r="F269" s="750">
        <f t="shared" si="23"/>
        <v>-9.7955882841940251E-3</v>
      </c>
      <c r="G269" s="750">
        <f t="shared" si="24"/>
        <v>9.4685361161868462E-3</v>
      </c>
      <c r="H269" s="604">
        <f t="shared" si="21"/>
        <v>8.9653176183534684E-5</v>
      </c>
      <c r="I269" s="750">
        <f t="shared" si="22"/>
        <v>-9.2749881448187866E-5</v>
      </c>
    </row>
    <row r="270" spans="1:9">
      <c r="A270" s="563">
        <v>44953</v>
      </c>
      <c r="B270">
        <v>52.700000762939453</v>
      </c>
      <c r="C270" s="604">
        <v>11621.7099609375</v>
      </c>
      <c r="D270" s="748">
        <f t="shared" si="20"/>
        <v>-3.1309326413506366E-2</v>
      </c>
      <c r="E270" s="748">
        <f t="shared" si="20"/>
        <v>-1.9609884551499812E-2</v>
      </c>
      <c r="F270" s="750">
        <f t="shared" si="23"/>
        <v>-3.1520281540244999E-2</v>
      </c>
      <c r="G270" s="750">
        <f t="shared" si="24"/>
        <v>-1.9635433792249489E-2</v>
      </c>
      <c r="H270" s="604">
        <f t="shared" si="21"/>
        <v>3.8555026020981314E-4</v>
      </c>
      <c r="I270" s="750">
        <f t="shared" si="22"/>
        <v>6.1891440129654442E-4</v>
      </c>
    </row>
    <row r="271" spans="1:9">
      <c r="A271" s="563">
        <v>44956</v>
      </c>
      <c r="B271">
        <v>51.049999237060547</v>
      </c>
      <c r="C271" s="604">
        <v>11393.8095703125</v>
      </c>
      <c r="D271" s="748">
        <f t="shared" si="20"/>
        <v>2.5269362092190661E-2</v>
      </c>
      <c r="E271" s="748">
        <f t="shared" si="20"/>
        <v>1.6740690038561823E-2</v>
      </c>
      <c r="F271" s="750">
        <f t="shared" si="23"/>
        <v>2.5058406965452029E-2</v>
      </c>
      <c r="G271" s="750">
        <f t="shared" si="24"/>
        <v>1.6715140797812146E-2</v>
      </c>
      <c r="H271" s="604">
        <f t="shared" si="21"/>
        <v>2.7939593189068408E-4</v>
      </c>
      <c r="I271" s="750">
        <f t="shared" si="22"/>
        <v>4.1885480059640728E-4</v>
      </c>
    </row>
    <row r="272" spans="1:9">
      <c r="A272" s="563">
        <v>44957</v>
      </c>
      <c r="B272">
        <v>52.340000152587891</v>
      </c>
      <c r="C272" s="604">
        <v>11584.5498046875</v>
      </c>
      <c r="D272" s="748">
        <f t="shared" si="20"/>
        <v>1.4329384749971474E-2</v>
      </c>
      <c r="E272" s="748">
        <f t="shared" si="20"/>
        <v>2.0006863600233959E-2</v>
      </c>
      <c r="F272" s="750">
        <f t="shared" si="23"/>
        <v>1.411842962323284E-2</v>
      </c>
      <c r="G272" s="750">
        <f t="shared" si="24"/>
        <v>1.9981314359484283E-2</v>
      </c>
      <c r="H272" s="604">
        <f t="shared" si="21"/>
        <v>3.9925292353253279E-4</v>
      </c>
      <c r="I272" s="750">
        <f t="shared" si="22"/>
        <v>2.8210478056407061E-4</v>
      </c>
    </row>
    <row r="273" spans="1:9">
      <c r="A273" s="563">
        <v>44958</v>
      </c>
      <c r="B273">
        <v>53.090000152587891</v>
      </c>
      <c r="C273" s="604">
        <v>11816.3203125</v>
      </c>
      <c r="D273" s="748">
        <f t="shared" si="20"/>
        <v>1.4315281961741588E-2</v>
      </c>
      <c r="E273" s="748">
        <f t="shared" si="20"/>
        <v>3.2539740784891746E-2</v>
      </c>
      <c r="F273" s="750">
        <f t="shared" si="23"/>
        <v>1.4104326835002954E-2</v>
      </c>
      <c r="G273" s="750">
        <f t="shared" si="24"/>
        <v>3.251419154414207E-2</v>
      </c>
      <c r="H273" s="604">
        <f t="shared" si="21"/>
        <v>1.0571726517691596E-3</v>
      </c>
      <c r="I273" s="750">
        <f t="shared" si="22"/>
        <v>4.5859078431446915E-4</v>
      </c>
    </row>
    <row r="274" spans="1:9">
      <c r="A274" s="563">
        <v>44959</v>
      </c>
      <c r="B274">
        <v>53.849998474121087</v>
      </c>
      <c r="C274" s="604">
        <v>12200.8203125</v>
      </c>
      <c r="D274" s="748">
        <f t="shared" si="20"/>
        <v>-1.5784558926767223E-2</v>
      </c>
      <c r="E274" s="748">
        <f t="shared" si="20"/>
        <v>-1.5889924793735077E-2</v>
      </c>
      <c r="F274" s="750">
        <f t="shared" si="23"/>
        <v>-1.5995514053505855E-2</v>
      </c>
      <c r="G274" s="750">
        <f t="shared" si="24"/>
        <v>-1.5915474034484754E-2</v>
      </c>
      <c r="H274" s="604">
        <f t="shared" si="21"/>
        <v>2.5330231374235844E-4</v>
      </c>
      <c r="I274" s="750">
        <f t="shared" si="22"/>
        <v>2.545761885868084E-4</v>
      </c>
    </row>
    <row r="275" spans="1:9">
      <c r="A275" s="563">
        <v>44960</v>
      </c>
      <c r="B275">
        <v>53</v>
      </c>
      <c r="C275" s="604">
        <v>12006.9501953125</v>
      </c>
      <c r="D275" s="748">
        <f t="shared" ref="D275:E338" si="25">B276/B275-1</f>
        <v>-1.9056572104400038E-2</v>
      </c>
      <c r="E275" s="748">
        <f t="shared" si="25"/>
        <v>-9.9525689751468471E-3</v>
      </c>
      <c r="F275" s="750">
        <f t="shared" si="23"/>
        <v>-1.926752723113867E-2</v>
      </c>
      <c r="G275" s="750">
        <f t="shared" si="24"/>
        <v>-9.9781182158965222E-3</v>
      </c>
      <c r="H275" s="604">
        <f t="shared" ref="H275:H338" si="26">G275^2</f>
        <v>9.9562843130405993E-5</v>
      </c>
      <c r="I275" s="750">
        <f t="shared" ref="I275:I338" si="27">F275*G275</f>
        <v>1.9225366444030706E-4</v>
      </c>
    </row>
    <row r="276" spans="1:9">
      <c r="A276" s="563">
        <v>44963</v>
      </c>
      <c r="B276">
        <v>51.990001678466797</v>
      </c>
      <c r="C276" s="604">
        <v>11887.4501953125</v>
      </c>
      <c r="D276" s="748">
        <f t="shared" si="25"/>
        <v>3.4429641143317369E-2</v>
      </c>
      <c r="E276" s="748">
        <f t="shared" si="25"/>
        <v>1.9040234872172324E-2</v>
      </c>
      <c r="F276" s="750">
        <f t="shared" si="23"/>
        <v>3.4218686016578737E-2</v>
      </c>
      <c r="G276" s="750">
        <f t="shared" si="24"/>
        <v>1.9014685631422647E-2</v>
      </c>
      <c r="H276" s="604">
        <f t="shared" si="26"/>
        <v>3.6155826966183084E-4</v>
      </c>
      <c r="I276" s="750">
        <f t="shared" si="27"/>
        <v>6.5065755732560278E-4</v>
      </c>
    </row>
    <row r="277" spans="1:9">
      <c r="A277" s="563">
        <v>44964</v>
      </c>
      <c r="B277">
        <v>53.779998779296882</v>
      </c>
      <c r="C277" s="604">
        <v>12113.7900390625</v>
      </c>
      <c r="D277" s="748">
        <f t="shared" si="25"/>
        <v>0.1089624533908955</v>
      </c>
      <c r="E277" s="748">
        <f t="shared" si="25"/>
        <v>-1.6780091710111189E-2</v>
      </c>
      <c r="F277" s="750">
        <f t="shared" si="23"/>
        <v>0.10875149826415687</v>
      </c>
      <c r="G277" s="750">
        <f t="shared" si="24"/>
        <v>-1.6805640950860866E-2</v>
      </c>
      <c r="H277" s="604">
        <f t="shared" si="26"/>
        <v>2.824295677692517E-4</v>
      </c>
      <c r="I277" s="750">
        <f t="shared" si="27"/>
        <v>-1.827638632695589E-3</v>
      </c>
    </row>
    <row r="278" spans="1:9">
      <c r="A278" s="563">
        <v>44965</v>
      </c>
      <c r="B278">
        <v>59.639999389648438</v>
      </c>
      <c r="C278" s="604">
        <v>11910.51953125</v>
      </c>
      <c r="D278" s="748">
        <f t="shared" si="25"/>
        <v>-3.0516427120220735E-2</v>
      </c>
      <c r="E278" s="748">
        <f t="shared" si="25"/>
        <v>-1.0154003174058679E-2</v>
      </c>
      <c r="F278" s="750">
        <f t="shared" si="23"/>
        <v>-3.0727382246959367E-2</v>
      </c>
      <c r="G278" s="750">
        <f t="shared" si="24"/>
        <v>-1.0179552414808354E-2</v>
      </c>
      <c r="H278" s="604">
        <f t="shared" si="26"/>
        <v>1.0362328736583059E-4</v>
      </c>
      <c r="I278" s="750">
        <f t="shared" si="27"/>
        <v>3.1279099815277459E-4</v>
      </c>
    </row>
    <row r="279" spans="1:9">
      <c r="A279" s="563">
        <v>44966</v>
      </c>
      <c r="B279">
        <v>57.819999694824219</v>
      </c>
      <c r="C279" s="604">
        <v>11789.580078125</v>
      </c>
      <c r="D279" s="748">
        <f t="shared" si="25"/>
        <v>3.0958161967745257E-2</v>
      </c>
      <c r="E279" s="748">
        <f t="shared" si="25"/>
        <v>-6.0612812724424314E-3</v>
      </c>
      <c r="F279" s="750">
        <f t="shared" si="23"/>
        <v>3.0747206841006625E-2</v>
      </c>
      <c r="G279" s="750">
        <f t="shared" si="24"/>
        <v>-6.0868305131921074E-3</v>
      </c>
      <c r="H279" s="604">
        <f t="shared" si="26"/>
        <v>3.7049505696326492E-5</v>
      </c>
      <c r="I279" s="750">
        <f t="shared" si="27"/>
        <v>-1.8715303679526824E-4</v>
      </c>
    </row>
    <row r="280" spans="1:9">
      <c r="A280" s="563">
        <v>44967</v>
      </c>
      <c r="B280">
        <v>59.610000610351563</v>
      </c>
      <c r="C280" s="604">
        <v>11718.1201171875</v>
      </c>
      <c r="D280" s="748">
        <f t="shared" si="25"/>
        <v>9.0588980036609978E-3</v>
      </c>
      <c r="E280" s="748">
        <f t="shared" si="25"/>
        <v>1.4820629942192687E-2</v>
      </c>
      <c r="F280" s="750">
        <f t="shared" si="23"/>
        <v>8.8479428769223639E-3</v>
      </c>
      <c r="G280" s="750">
        <f t="shared" si="24"/>
        <v>1.4795080701443012E-2</v>
      </c>
      <c r="H280" s="604">
        <f t="shared" si="26"/>
        <v>2.1889441296221143E-4</v>
      </c>
      <c r="I280" s="750">
        <f t="shared" si="27"/>
        <v>1.3090602890582424E-4</v>
      </c>
    </row>
    <row r="281" spans="1:9">
      <c r="A281" s="563">
        <v>44970</v>
      </c>
      <c r="B281">
        <v>60.150001525878913</v>
      </c>
      <c r="C281" s="604">
        <v>11891.7900390625</v>
      </c>
      <c r="D281" s="748">
        <f t="shared" si="25"/>
        <v>1.729005942556161E-2</v>
      </c>
      <c r="E281" s="748">
        <f t="shared" si="25"/>
        <v>5.7485333442608422E-3</v>
      </c>
      <c r="F281" s="750">
        <f t="shared" si="23"/>
        <v>1.7079104298822978E-2</v>
      </c>
      <c r="G281" s="750">
        <f t="shared" si="24"/>
        <v>5.7229841035111662E-3</v>
      </c>
      <c r="H281" s="604">
        <f t="shared" si="26"/>
        <v>3.2752547049041504E-5</v>
      </c>
      <c r="I281" s="750">
        <f t="shared" si="27"/>
        <v>9.7743442404373121E-5</v>
      </c>
    </row>
    <row r="282" spans="1:9">
      <c r="A282" s="563">
        <v>44971</v>
      </c>
      <c r="B282">
        <v>61.189998626708977</v>
      </c>
      <c r="C282" s="604">
        <v>11960.150390625</v>
      </c>
      <c r="D282" s="748">
        <f t="shared" si="25"/>
        <v>2.6474959681971999E-2</v>
      </c>
      <c r="E282" s="748">
        <f t="shared" si="25"/>
        <v>9.2339518750172989E-3</v>
      </c>
      <c r="F282" s="750">
        <f t="shared" si="23"/>
        <v>2.6264004555233367E-2</v>
      </c>
      <c r="G282" s="750">
        <f t="shared" si="24"/>
        <v>9.2084026342676237E-3</v>
      </c>
      <c r="H282" s="604">
        <f t="shared" si="26"/>
        <v>8.479467907478691E-5</v>
      </c>
      <c r="I282" s="750">
        <f t="shared" si="27"/>
        <v>2.4184952873282779E-4</v>
      </c>
    </row>
    <row r="283" spans="1:9">
      <c r="A283" s="563">
        <v>44972</v>
      </c>
      <c r="B283">
        <v>62.810001373291023</v>
      </c>
      <c r="C283" s="604">
        <v>12070.58984375</v>
      </c>
      <c r="D283" s="748">
        <f t="shared" si="25"/>
        <v>-2.2607896076983991E-2</v>
      </c>
      <c r="E283" s="748">
        <f t="shared" si="25"/>
        <v>-1.7791986009382921E-2</v>
      </c>
      <c r="F283" s="750">
        <f t="shared" si="23"/>
        <v>-2.2818851203722623E-2</v>
      </c>
      <c r="G283" s="750">
        <f t="shared" si="24"/>
        <v>-1.7817535250132598E-2</v>
      </c>
      <c r="H283" s="604">
        <f t="shared" si="26"/>
        <v>3.1746456238971769E-4</v>
      </c>
      <c r="I283" s="750">
        <f t="shared" si="27"/>
        <v>4.0657568568985852E-4</v>
      </c>
    </row>
    <row r="284" spans="1:9">
      <c r="A284" s="563">
        <v>44973</v>
      </c>
      <c r="B284">
        <v>61.389999389648438</v>
      </c>
      <c r="C284" s="604">
        <v>11855.830078125</v>
      </c>
      <c r="D284" s="748">
        <f t="shared" si="25"/>
        <v>-1.2216973569907918E-2</v>
      </c>
      <c r="E284" s="748">
        <f t="shared" si="25"/>
        <v>-5.7828550530173439E-3</v>
      </c>
      <c r="F284" s="750">
        <f t="shared" si="23"/>
        <v>-1.2427928696646552E-2</v>
      </c>
      <c r="G284" s="750">
        <f t="shared" si="24"/>
        <v>-5.8084042937670199E-3</v>
      </c>
      <c r="H284" s="604">
        <f t="shared" si="26"/>
        <v>3.3737560439851156E-5</v>
      </c>
      <c r="I284" s="750">
        <f t="shared" si="27"/>
        <v>7.2186434404232193E-5</v>
      </c>
    </row>
    <row r="285" spans="1:9">
      <c r="A285" s="563">
        <v>44974</v>
      </c>
      <c r="B285">
        <v>60.639999389648438</v>
      </c>
      <c r="C285" s="604">
        <v>11787.26953125</v>
      </c>
      <c r="D285" s="748">
        <f t="shared" si="25"/>
        <v>-1.5336416796444263E-2</v>
      </c>
      <c r="E285" s="748">
        <f t="shared" si="25"/>
        <v>-2.5024432145246744E-2</v>
      </c>
      <c r="F285" s="750">
        <f t="shared" si="23"/>
        <v>-1.5547371923182897E-2</v>
      </c>
      <c r="G285" s="750">
        <f t="shared" si="24"/>
        <v>-2.5049981385996421E-2</v>
      </c>
      <c r="H285" s="604">
        <f t="shared" si="26"/>
        <v>6.2750156743876723E-4</v>
      </c>
      <c r="I285" s="750">
        <f t="shared" si="27"/>
        <v>3.8946137727689496E-4</v>
      </c>
    </row>
    <row r="286" spans="1:9">
      <c r="A286" s="563">
        <v>44978</v>
      </c>
      <c r="B286">
        <v>59.709999084472663</v>
      </c>
      <c r="C286" s="604">
        <v>11492.2998046875</v>
      </c>
      <c r="D286" s="748">
        <f t="shared" si="25"/>
        <v>8.3738068609353622E-3</v>
      </c>
      <c r="E286" s="748">
        <f t="shared" si="25"/>
        <v>1.2852525659377001E-3</v>
      </c>
      <c r="F286" s="750">
        <f t="shared" si="23"/>
        <v>8.1628517341967282E-3</v>
      </c>
      <c r="G286" s="750">
        <f t="shared" si="24"/>
        <v>1.2597033251880243E-3</v>
      </c>
      <c r="H286" s="604">
        <f t="shared" si="26"/>
        <v>1.5868524674897653E-6</v>
      </c>
      <c r="I286" s="750">
        <f t="shared" si="27"/>
        <v>1.028277147258445E-5</v>
      </c>
    </row>
    <row r="287" spans="1:9">
      <c r="A287" s="563">
        <v>44979</v>
      </c>
      <c r="B287">
        <v>60.209999084472663</v>
      </c>
      <c r="C287" s="604">
        <v>11507.0703125</v>
      </c>
      <c r="D287" s="748">
        <f t="shared" si="25"/>
        <v>6.1452043216763119E-3</v>
      </c>
      <c r="E287" s="748">
        <f t="shared" si="25"/>
        <v>7.2416415179525906E-3</v>
      </c>
      <c r="F287" s="750">
        <f t="shared" si="23"/>
        <v>5.9342491949376788E-3</v>
      </c>
      <c r="G287" s="750">
        <f t="shared" si="24"/>
        <v>7.2160922772029146E-3</v>
      </c>
      <c r="H287" s="604">
        <f t="shared" si="26"/>
        <v>5.2071987753107547E-5</v>
      </c>
      <c r="I287" s="750">
        <f t="shared" si="27"/>
        <v>4.2822089786587397E-5</v>
      </c>
    </row>
    <row r="288" spans="1:9">
      <c r="A288" s="563">
        <v>44980</v>
      </c>
      <c r="B288">
        <v>60.580001831054688</v>
      </c>
      <c r="C288" s="604">
        <v>11590.400390625</v>
      </c>
      <c r="D288" s="748">
        <f t="shared" si="25"/>
        <v>-2.839222794181917E-2</v>
      </c>
      <c r="E288" s="748">
        <f t="shared" si="25"/>
        <v>-1.6863952439089114E-2</v>
      </c>
      <c r="F288" s="750">
        <f t="shared" si="23"/>
        <v>-2.8603183068557803E-2</v>
      </c>
      <c r="G288" s="750">
        <f t="shared" si="24"/>
        <v>-1.6889501679838791E-2</v>
      </c>
      <c r="H288" s="604">
        <f t="shared" si="26"/>
        <v>2.8525526699327731E-4</v>
      </c>
      <c r="I288" s="750">
        <f t="shared" si="27"/>
        <v>4.8309350848514345E-4</v>
      </c>
    </row>
    <row r="289" spans="1:9">
      <c r="A289" s="563">
        <v>44981</v>
      </c>
      <c r="B289">
        <v>58.860000610351563</v>
      </c>
      <c r="C289" s="604">
        <v>11394.9404296875</v>
      </c>
      <c r="D289" s="748">
        <f t="shared" si="25"/>
        <v>1.2911965913224188E-2</v>
      </c>
      <c r="E289" s="748">
        <f t="shared" si="25"/>
        <v>6.3221075623012268E-3</v>
      </c>
      <c r="F289" s="750">
        <f t="shared" si="23"/>
        <v>1.2701010786485554E-2</v>
      </c>
      <c r="G289" s="750">
        <f t="shared" si="24"/>
        <v>6.2965583215515509E-3</v>
      </c>
      <c r="H289" s="604">
        <f t="shared" si="26"/>
        <v>3.9646646696700083E-5</v>
      </c>
      <c r="I289" s="750">
        <f t="shared" si="27"/>
        <v>7.997265515976162E-5</v>
      </c>
    </row>
    <row r="290" spans="1:9">
      <c r="A290" s="563">
        <v>44984</v>
      </c>
      <c r="B290">
        <v>59.619998931884773</v>
      </c>
      <c r="C290" s="604">
        <v>11466.98046875</v>
      </c>
      <c r="D290" s="748">
        <f t="shared" si="25"/>
        <v>-3.0191262730723256E-3</v>
      </c>
      <c r="E290" s="748">
        <f t="shared" si="25"/>
        <v>-9.9768458825566508E-4</v>
      </c>
      <c r="F290" s="750">
        <f t="shared" si="23"/>
        <v>-3.2300813998109592E-3</v>
      </c>
      <c r="G290" s="750">
        <f t="shared" si="24"/>
        <v>-1.0232338290053408E-3</v>
      </c>
      <c r="H290" s="604">
        <f t="shared" si="26"/>
        <v>1.0470074688209311E-6</v>
      </c>
      <c r="I290" s="750">
        <f t="shared" si="27"/>
        <v>3.3051285587274992E-6</v>
      </c>
    </row>
    <row r="291" spans="1:9">
      <c r="A291" s="563">
        <v>44985</v>
      </c>
      <c r="B291">
        <v>59.439998626708977</v>
      </c>
      <c r="C291" s="604">
        <v>11455.5400390625</v>
      </c>
      <c r="D291" s="748">
        <f t="shared" si="25"/>
        <v>-1.6823688141046733E-2</v>
      </c>
      <c r="E291" s="748">
        <f t="shared" si="25"/>
        <v>-6.6395447140110697E-3</v>
      </c>
      <c r="F291" s="750">
        <f t="shared" si="23"/>
        <v>-1.7034643267785365E-2</v>
      </c>
      <c r="G291" s="750">
        <f t="shared" si="24"/>
        <v>-6.6650939547607457E-3</v>
      </c>
      <c r="H291" s="604">
        <f t="shared" si="26"/>
        <v>4.4423477425788239E-5</v>
      </c>
      <c r="I291" s="750">
        <f t="shared" si="27"/>
        <v>1.1353749786562207E-4</v>
      </c>
    </row>
    <row r="292" spans="1:9">
      <c r="A292" s="563">
        <v>44986</v>
      </c>
      <c r="B292">
        <v>58.439998626708977</v>
      </c>
      <c r="C292" s="604">
        <v>11379.48046875</v>
      </c>
      <c r="D292" s="748">
        <f t="shared" si="25"/>
        <v>2.0533894441109979E-2</v>
      </c>
      <c r="E292" s="748">
        <f t="shared" si="25"/>
        <v>7.3377690861462508E-3</v>
      </c>
      <c r="F292" s="750">
        <f t="shared" si="23"/>
        <v>2.0322939314371347E-2</v>
      </c>
      <c r="G292" s="750">
        <f t="shared" si="24"/>
        <v>7.3122198453965748E-3</v>
      </c>
      <c r="H292" s="604">
        <f t="shared" si="26"/>
        <v>5.346855906741151E-5</v>
      </c>
      <c r="I292" s="750">
        <f t="shared" si="27"/>
        <v>1.4860580017133642E-4</v>
      </c>
    </row>
    <row r="293" spans="1:9">
      <c r="A293" s="563">
        <v>44987</v>
      </c>
      <c r="B293">
        <v>59.639999389648438</v>
      </c>
      <c r="C293" s="604">
        <v>11462.98046875</v>
      </c>
      <c r="D293" s="748">
        <f t="shared" si="25"/>
        <v>2.0120737344402784E-2</v>
      </c>
      <c r="E293" s="748">
        <f t="shared" si="25"/>
        <v>1.9718196108873487E-2</v>
      </c>
      <c r="F293" s="750">
        <f t="shared" si="23"/>
        <v>1.9909782217664151E-2</v>
      </c>
      <c r="G293" s="750">
        <f t="shared" si="24"/>
        <v>1.969264686812381E-2</v>
      </c>
      <c r="H293" s="604">
        <f t="shared" si="26"/>
        <v>3.878003406726265E-4</v>
      </c>
      <c r="I293" s="750">
        <f t="shared" si="27"/>
        <v>3.9207631043371106E-4</v>
      </c>
    </row>
    <row r="294" spans="1:9">
      <c r="A294" s="563">
        <v>44988</v>
      </c>
      <c r="B294">
        <v>60.840000152587891</v>
      </c>
      <c r="C294" s="604">
        <v>11689.009765625</v>
      </c>
      <c r="D294" s="748">
        <f t="shared" si="25"/>
        <v>7.7252008468828848E-3</v>
      </c>
      <c r="E294" s="748">
        <f t="shared" si="25"/>
        <v>-1.1352143180701768E-3</v>
      </c>
      <c r="F294" s="750">
        <f t="shared" si="23"/>
        <v>7.5142457201442516E-3</v>
      </c>
      <c r="G294" s="750">
        <f t="shared" si="24"/>
        <v>-1.1607635588198526E-3</v>
      </c>
      <c r="H294" s="604">
        <f t="shared" si="26"/>
        <v>1.3473720394841294E-6</v>
      </c>
      <c r="I294" s="750">
        <f t="shared" si="27"/>
        <v>-8.7222626039614869E-6</v>
      </c>
    </row>
    <row r="295" spans="1:9">
      <c r="A295" s="563">
        <v>44991</v>
      </c>
      <c r="B295">
        <v>61.310001373291023</v>
      </c>
      <c r="C295" s="604">
        <v>11675.740234375</v>
      </c>
      <c r="D295" s="748">
        <f t="shared" si="25"/>
        <v>-1.5331959229342829E-2</v>
      </c>
      <c r="E295" s="748">
        <f t="shared" si="25"/>
        <v>-1.2454041742200883E-2</v>
      </c>
      <c r="F295" s="750">
        <f t="shared" si="23"/>
        <v>-1.5542914356081463E-2</v>
      </c>
      <c r="G295" s="750">
        <f t="shared" si="24"/>
        <v>-1.2479590982950558E-2</v>
      </c>
      <c r="H295" s="604">
        <f t="shared" si="26"/>
        <v>1.5574019110174087E-4</v>
      </c>
      <c r="I295" s="750">
        <f t="shared" si="27"/>
        <v>1.9396921384692701E-4</v>
      </c>
    </row>
    <row r="296" spans="1:9">
      <c r="A296" s="563">
        <v>44992</v>
      </c>
      <c r="B296">
        <v>60.369998931884773</v>
      </c>
      <c r="C296" s="604">
        <v>11530.330078125</v>
      </c>
      <c r="D296" s="748">
        <f t="shared" si="25"/>
        <v>2.3521649971283587E-2</v>
      </c>
      <c r="E296" s="748">
        <f t="shared" si="25"/>
        <v>3.960851212893246E-3</v>
      </c>
      <c r="F296" s="750">
        <f t="shared" si="23"/>
        <v>2.3310694844544955E-2</v>
      </c>
      <c r="G296" s="750">
        <f t="shared" si="24"/>
        <v>3.9353019721435701E-3</v>
      </c>
      <c r="H296" s="604">
        <f t="shared" si="26"/>
        <v>1.548660161195707E-5</v>
      </c>
      <c r="I296" s="750">
        <f t="shared" si="27"/>
        <v>9.1734623393774711E-5</v>
      </c>
    </row>
    <row r="297" spans="1:9">
      <c r="A297" s="563">
        <v>44993</v>
      </c>
      <c r="B297">
        <v>61.790000915527337</v>
      </c>
      <c r="C297" s="604">
        <v>11576</v>
      </c>
      <c r="D297" s="748">
        <f t="shared" si="25"/>
        <v>-2.9778283303528941E-2</v>
      </c>
      <c r="E297" s="748">
        <f t="shared" si="25"/>
        <v>-2.0529577628282669E-2</v>
      </c>
      <c r="F297" s="750">
        <f t="shared" si="23"/>
        <v>-2.9989238430267573E-2</v>
      </c>
      <c r="G297" s="750">
        <f t="shared" si="24"/>
        <v>-2.0555126869032346E-2</v>
      </c>
      <c r="H297" s="604">
        <f t="shared" si="26"/>
        <v>4.2251324060201548E-4</v>
      </c>
      <c r="I297" s="750">
        <f t="shared" si="27"/>
        <v>6.1643260063981044E-4</v>
      </c>
    </row>
    <row r="298" spans="1:9">
      <c r="A298" s="563">
        <v>44994</v>
      </c>
      <c r="B298">
        <v>59.950000762939453</v>
      </c>
      <c r="C298" s="604">
        <v>11338.349609375</v>
      </c>
      <c r="D298" s="748">
        <f t="shared" si="25"/>
        <v>-1.9849915367172066E-2</v>
      </c>
      <c r="E298" s="748">
        <f t="shared" si="25"/>
        <v>-1.7591622044585642E-2</v>
      </c>
      <c r="F298" s="750">
        <f t="shared" si="23"/>
        <v>-2.0060870493910699E-2</v>
      </c>
      <c r="G298" s="750">
        <f t="shared" si="24"/>
        <v>-1.7617171285335319E-2</v>
      </c>
      <c r="H298" s="604">
        <f t="shared" si="26"/>
        <v>3.1036472409684329E-4</v>
      </c>
      <c r="I298" s="750">
        <f t="shared" si="27"/>
        <v>3.5341579162415413E-4</v>
      </c>
    </row>
    <row r="299" spans="1:9">
      <c r="A299" s="563">
        <v>44995</v>
      </c>
      <c r="B299">
        <v>58.759998321533203</v>
      </c>
      <c r="C299" s="604">
        <v>11138.8896484375</v>
      </c>
      <c r="D299" s="748">
        <f t="shared" si="25"/>
        <v>8.6794103267284761E-3</v>
      </c>
      <c r="E299" s="748">
        <f t="shared" si="25"/>
        <v>4.4843065053172815E-3</v>
      </c>
      <c r="F299" s="750">
        <f t="shared" si="23"/>
        <v>8.4684551999898421E-3</v>
      </c>
      <c r="G299" s="750">
        <f t="shared" si="24"/>
        <v>4.4587572645676055E-3</v>
      </c>
      <c r="H299" s="604">
        <f t="shared" si="26"/>
        <v>1.9880516344334395E-5</v>
      </c>
      <c r="I299" s="750">
        <f t="shared" si="27"/>
        <v>3.7758786142620023E-5</v>
      </c>
    </row>
    <row r="300" spans="1:9">
      <c r="A300" s="563">
        <v>44998</v>
      </c>
      <c r="B300">
        <v>59.270000457763672</v>
      </c>
      <c r="C300" s="604">
        <v>11188.83984375</v>
      </c>
      <c r="D300" s="748">
        <f t="shared" si="25"/>
        <v>2.7332527743764601E-2</v>
      </c>
      <c r="E300" s="748">
        <f t="shared" si="25"/>
        <v>2.1388325350699899E-2</v>
      </c>
      <c r="F300" s="750">
        <f t="shared" si="23"/>
        <v>2.7121572617025969E-2</v>
      </c>
      <c r="G300" s="750">
        <f t="shared" si="24"/>
        <v>2.1362776109950223E-2</v>
      </c>
      <c r="H300" s="604">
        <f t="shared" si="26"/>
        <v>4.5636820312385998E-4</v>
      </c>
      <c r="I300" s="750">
        <f t="shared" si="27"/>
        <v>5.7939208356728251E-4</v>
      </c>
    </row>
    <row r="301" spans="1:9">
      <c r="A301" s="563">
        <v>44999</v>
      </c>
      <c r="B301">
        <v>60.889999389648438</v>
      </c>
      <c r="C301" s="604">
        <v>11428.150390625</v>
      </c>
      <c r="D301" s="748">
        <f t="shared" si="25"/>
        <v>-8.2115290690083498E-3</v>
      </c>
      <c r="E301" s="748">
        <f t="shared" si="25"/>
        <v>5.1621774835397538E-4</v>
      </c>
      <c r="F301" s="750">
        <f t="shared" si="23"/>
        <v>-8.4224841957469838E-3</v>
      </c>
      <c r="G301" s="750">
        <f t="shared" si="24"/>
        <v>4.9066850760429962E-4</v>
      </c>
      <c r="H301" s="604">
        <f t="shared" si="26"/>
        <v>2.4075558435463063E-7</v>
      </c>
      <c r="I301" s="750">
        <f t="shared" si="27"/>
        <v>-4.1326477506479724E-6</v>
      </c>
    </row>
    <row r="302" spans="1:9">
      <c r="A302" s="563">
        <v>45000</v>
      </c>
      <c r="B302">
        <v>60.389999389648438</v>
      </c>
      <c r="C302" s="604">
        <v>11434.0498046875</v>
      </c>
      <c r="D302" s="748">
        <f t="shared" si="25"/>
        <v>2.4672987142341229E-2</v>
      </c>
      <c r="E302" s="748">
        <f t="shared" si="25"/>
        <v>2.4770791940567527E-2</v>
      </c>
      <c r="F302" s="750">
        <f t="shared" si="23"/>
        <v>2.4462032015602597E-2</v>
      </c>
      <c r="G302" s="750">
        <f t="shared" si="24"/>
        <v>2.474524269981785E-2</v>
      </c>
      <c r="H302" s="604">
        <f t="shared" si="26"/>
        <v>6.1232703627288863E-4</v>
      </c>
      <c r="I302" s="750">
        <f t="shared" si="27"/>
        <v>6.0531891915680067E-4</v>
      </c>
    </row>
    <row r="303" spans="1:9">
      <c r="A303" s="563">
        <v>45001</v>
      </c>
      <c r="B303">
        <v>61.880001068115227</v>
      </c>
      <c r="C303" s="604">
        <v>11717.2802734375</v>
      </c>
      <c r="D303" s="748">
        <f t="shared" si="25"/>
        <v>-1.0665802133481006E-2</v>
      </c>
      <c r="E303" s="748">
        <f t="shared" si="25"/>
        <v>-7.4053454204048297E-3</v>
      </c>
      <c r="F303" s="750">
        <f t="shared" si="23"/>
        <v>-1.087675726021964E-2</v>
      </c>
      <c r="G303" s="750">
        <f t="shared" si="24"/>
        <v>-7.4308946611545057E-3</v>
      </c>
      <c r="H303" s="604">
        <f t="shared" si="26"/>
        <v>5.5218195465174535E-5</v>
      </c>
      <c r="I303" s="750">
        <f t="shared" si="27"/>
        <v>8.0824037455639634E-5</v>
      </c>
    </row>
    <row r="304" spans="1:9">
      <c r="A304" s="563">
        <v>45002</v>
      </c>
      <c r="B304">
        <v>61.220001220703118</v>
      </c>
      <c r="C304" s="604">
        <v>11630.509765625</v>
      </c>
      <c r="D304" s="748">
        <f t="shared" si="25"/>
        <v>5.2270448945368475E-3</v>
      </c>
      <c r="E304" s="748">
        <f t="shared" si="25"/>
        <v>3.8717368666496554E-3</v>
      </c>
      <c r="F304" s="750">
        <f t="shared" si="23"/>
        <v>5.0160897677982144E-3</v>
      </c>
      <c r="G304" s="750">
        <f t="shared" si="24"/>
        <v>3.8461876258999795E-3</v>
      </c>
      <c r="H304" s="604">
        <f t="shared" si="26"/>
        <v>1.479315925362612E-5</v>
      </c>
      <c r="I304" s="750">
        <f t="shared" si="27"/>
        <v>1.9292822395308992E-5</v>
      </c>
    </row>
    <row r="305" spans="1:9">
      <c r="A305" s="563">
        <v>45005</v>
      </c>
      <c r="B305">
        <v>61.540000915527337</v>
      </c>
      <c r="C305" s="604">
        <v>11675.5400390625</v>
      </c>
      <c r="D305" s="748">
        <f t="shared" si="25"/>
        <v>1.4949596283044597E-2</v>
      </c>
      <c r="E305" s="748">
        <f t="shared" si="25"/>
        <v>1.5808289114035645E-2</v>
      </c>
      <c r="F305" s="750">
        <f t="shared" si="23"/>
        <v>1.4738641156305963E-2</v>
      </c>
      <c r="G305" s="750">
        <f t="shared" si="24"/>
        <v>1.5782739873285968E-2</v>
      </c>
      <c r="H305" s="604">
        <f t="shared" si="26"/>
        <v>2.4909487790781079E-4</v>
      </c>
      <c r="I305" s="750">
        <f t="shared" si="27"/>
        <v>2.3261613945568373E-4</v>
      </c>
    </row>
    <row r="306" spans="1:9">
      <c r="A306" s="563">
        <v>45006</v>
      </c>
      <c r="B306">
        <v>62.459999084472663</v>
      </c>
      <c r="C306" s="604">
        <v>11860.1103515625</v>
      </c>
      <c r="D306" s="748">
        <f t="shared" si="25"/>
        <v>-2.0012808490590395E-2</v>
      </c>
      <c r="E306" s="748">
        <f t="shared" si="25"/>
        <v>-1.6032767401691905E-2</v>
      </c>
      <c r="F306" s="750">
        <f t="shared" si="23"/>
        <v>-2.0223763617329027E-2</v>
      </c>
      <c r="G306" s="750">
        <f t="shared" si="24"/>
        <v>-1.6058316642441582E-2</v>
      </c>
      <c r="H306" s="604">
        <f t="shared" si="26"/>
        <v>2.5786953338891629E-4</v>
      </c>
      <c r="I306" s="750">
        <f t="shared" si="27"/>
        <v>3.2475959986895929E-4</v>
      </c>
    </row>
    <row r="307" spans="1:9">
      <c r="A307" s="563">
        <v>45007</v>
      </c>
      <c r="B307">
        <v>61.209999084472663</v>
      </c>
      <c r="C307" s="604">
        <v>11669.9599609375</v>
      </c>
      <c r="D307" s="748">
        <f t="shared" si="25"/>
        <v>3.3327903055708985E-2</v>
      </c>
      <c r="E307" s="748">
        <f t="shared" si="25"/>
        <v>1.00634818011891E-2</v>
      </c>
      <c r="F307" s="750">
        <f t="shared" si="23"/>
        <v>3.3116947928970353E-2</v>
      </c>
      <c r="G307" s="750">
        <f t="shared" si="24"/>
        <v>1.0037932560439425E-2</v>
      </c>
      <c r="H307" s="604">
        <f t="shared" si="26"/>
        <v>1.0076009008793E-4</v>
      </c>
      <c r="I307" s="750">
        <f t="shared" si="27"/>
        <v>3.3242568991858848E-4</v>
      </c>
    </row>
    <row r="308" spans="1:9">
      <c r="A308" s="563">
        <v>45008</v>
      </c>
      <c r="B308">
        <v>63.25</v>
      </c>
      <c r="C308" s="604">
        <v>11787.400390625</v>
      </c>
      <c r="D308" s="748">
        <f t="shared" si="25"/>
        <v>-4.1106453997344916E-3</v>
      </c>
      <c r="E308" s="748">
        <f t="shared" si="25"/>
        <v>3.1015804249405754E-3</v>
      </c>
      <c r="F308" s="750">
        <f t="shared" si="23"/>
        <v>-4.3216005264731247E-3</v>
      </c>
      <c r="G308" s="750">
        <f t="shared" si="24"/>
        <v>3.0760311841908994E-3</v>
      </c>
      <c r="H308" s="604">
        <f t="shared" si="26"/>
        <v>9.4619678461148668E-6</v>
      </c>
      <c r="I308" s="750">
        <f t="shared" si="27"/>
        <v>-1.329337798504714E-5</v>
      </c>
    </row>
    <row r="309" spans="1:9">
      <c r="A309" s="563">
        <v>45009</v>
      </c>
      <c r="B309">
        <v>62.990001678466797</v>
      </c>
      <c r="C309" s="604">
        <v>11823.9599609375</v>
      </c>
      <c r="D309" s="748">
        <f t="shared" si="25"/>
        <v>1.5716746108739299E-2</v>
      </c>
      <c r="E309" s="748">
        <f t="shared" si="25"/>
        <v>-4.6617307035543565E-3</v>
      </c>
      <c r="F309" s="750">
        <f t="shared" si="23"/>
        <v>1.5505790982000665E-2</v>
      </c>
      <c r="G309" s="750">
        <f t="shared" si="24"/>
        <v>-4.6872799443040325E-3</v>
      </c>
      <c r="H309" s="604">
        <f t="shared" si="26"/>
        <v>2.1970593276274812E-5</v>
      </c>
      <c r="I309" s="750">
        <f t="shared" si="27"/>
        <v>-7.2679983090502044E-5</v>
      </c>
    </row>
    <row r="310" spans="1:9">
      <c r="A310" s="563">
        <v>45012</v>
      </c>
      <c r="B310">
        <v>63.979999542236328</v>
      </c>
      <c r="C310" s="604">
        <v>11768.83984375</v>
      </c>
      <c r="D310" s="748">
        <f t="shared" si="25"/>
        <v>4.5326211770075897E-3</v>
      </c>
      <c r="E310" s="748">
        <f t="shared" si="25"/>
        <v>-4.4830048097747044E-3</v>
      </c>
      <c r="F310" s="750">
        <f t="shared" si="23"/>
        <v>4.3216660502689566E-3</v>
      </c>
      <c r="G310" s="750">
        <f t="shared" si="24"/>
        <v>-4.5085540505243804E-3</v>
      </c>
      <c r="H310" s="604">
        <f t="shared" si="26"/>
        <v>2.0327059626499796E-5</v>
      </c>
      <c r="I310" s="750">
        <f t="shared" si="27"/>
        <v>-1.9484464975953806E-5</v>
      </c>
    </row>
    <row r="311" spans="1:9">
      <c r="A311" s="563">
        <v>45013</v>
      </c>
      <c r="B311">
        <v>64.269996643066406</v>
      </c>
      <c r="C311" s="604">
        <v>11716.080078125</v>
      </c>
      <c r="D311" s="748">
        <f t="shared" si="25"/>
        <v>8.4020685192551792E-3</v>
      </c>
      <c r="E311" s="748">
        <f t="shared" si="25"/>
        <v>1.7937753484835728E-2</v>
      </c>
      <c r="F311" s="750">
        <f t="shared" si="23"/>
        <v>8.1911133925165452E-3</v>
      </c>
      <c r="G311" s="750">
        <f t="shared" si="24"/>
        <v>1.7912204244086051E-2</v>
      </c>
      <c r="H311" s="604">
        <f t="shared" si="26"/>
        <v>3.2084706088185433E-4</v>
      </c>
      <c r="I311" s="750">
        <f t="shared" si="27"/>
        <v>1.4672089607322496E-4</v>
      </c>
    </row>
    <row r="312" spans="1:9">
      <c r="A312" s="563">
        <v>45014</v>
      </c>
      <c r="B312">
        <v>64.80999755859375</v>
      </c>
      <c r="C312" s="604">
        <v>11926.240234375</v>
      </c>
      <c r="D312" s="748">
        <f t="shared" si="25"/>
        <v>1.5429718217407906E-2</v>
      </c>
      <c r="E312" s="748">
        <f t="shared" si="25"/>
        <v>7.3140814266074994E-3</v>
      </c>
      <c r="F312" s="750">
        <f t="shared" si="23"/>
        <v>1.5218763090669272E-2</v>
      </c>
      <c r="G312" s="750">
        <f t="shared" si="24"/>
        <v>7.2885321858578234E-3</v>
      </c>
      <c r="H312" s="604">
        <f t="shared" si="26"/>
        <v>5.3122701424285418E-5</v>
      </c>
      <c r="I312" s="750">
        <f t="shared" si="27"/>
        <v>1.1092244461528807E-4</v>
      </c>
    </row>
    <row r="313" spans="1:9">
      <c r="A313" s="563">
        <v>45015</v>
      </c>
      <c r="B313">
        <v>65.80999755859375</v>
      </c>
      <c r="C313" s="604">
        <v>12013.4697265625</v>
      </c>
      <c r="D313" s="748">
        <f t="shared" si="25"/>
        <v>9.8769419539967984E-3</v>
      </c>
      <c r="E313" s="748">
        <f t="shared" si="25"/>
        <v>1.7350560198826193E-2</v>
      </c>
      <c r="F313" s="750">
        <f t="shared" si="23"/>
        <v>9.6659868272581644E-3</v>
      </c>
      <c r="G313" s="750">
        <f t="shared" si="24"/>
        <v>1.7325010958076516E-2</v>
      </c>
      <c r="H313" s="604">
        <f t="shared" si="26"/>
        <v>3.0015600469747135E-4</v>
      </c>
      <c r="I313" s="750">
        <f t="shared" si="27"/>
        <v>1.6746332770287096E-4</v>
      </c>
    </row>
    <row r="314" spans="1:9">
      <c r="A314" s="563">
        <v>45016</v>
      </c>
      <c r="B314">
        <v>66.459999084472656</v>
      </c>
      <c r="C314" s="604">
        <v>12221.91015625</v>
      </c>
      <c r="D314" s="748">
        <f t="shared" si="25"/>
        <v>-2.2570196801876552E-3</v>
      </c>
      <c r="E314" s="748">
        <f t="shared" si="25"/>
        <v>-2.6558827975756705E-3</v>
      </c>
      <c r="F314" s="750">
        <f t="shared" si="23"/>
        <v>-2.4679748069262888E-3</v>
      </c>
      <c r="G314" s="750">
        <f t="shared" si="24"/>
        <v>-2.6814320383253465E-3</v>
      </c>
      <c r="H314" s="604">
        <f t="shared" si="26"/>
        <v>7.1900777761576225E-6</v>
      </c>
      <c r="I314" s="750">
        <f t="shared" si="27"/>
        <v>6.6177067170719621E-6</v>
      </c>
    </row>
    <row r="315" spans="1:9">
      <c r="A315" s="563">
        <v>45019</v>
      </c>
      <c r="B315">
        <v>66.30999755859375</v>
      </c>
      <c r="C315" s="604">
        <v>12189.4501953125</v>
      </c>
      <c r="D315" s="748">
        <f t="shared" si="25"/>
        <v>-5.1273767215900268E-3</v>
      </c>
      <c r="E315" s="748">
        <f t="shared" si="25"/>
        <v>-5.17825793420712E-3</v>
      </c>
      <c r="F315" s="750">
        <f t="shared" si="23"/>
        <v>-5.3383318483286599E-3</v>
      </c>
      <c r="G315" s="750">
        <f t="shared" si="24"/>
        <v>-5.203807174956796E-3</v>
      </c>
      <c r="H315" s="604">
        <f t="shared" si="26"/>
        <v>2.707960911413183E-5</v>
      </c>
      <c r="I315" s="750">
        <f t="shared" si="27"/>
        <v>2.7779649574633055E-5</v>
      </c>
    </row>
    <row r="316" spans="1:9">
      <c r="A316" s="563">
        <v>45020</v>
      </c>
      <c r="B316">
        <v>65.970001220703125</v>
      </c>
      <c r="C316" s="604">
        <v>12126.330078125</v>
      </c>
      <c r="D316" s="748">
        <f t="shared" si="25"/>
        <v>-1.2429887519342375E-2</v>
      </c>
      <c r="E316" s="748">
        <f t="shared" si="25"/>
        <v>-1.0676744384193637E-2</v>
      </c>
      <c r="F316" s="750">
        <f t="shared" si="23"/>
        <v>-1.2640842646081009E-2</v>
      </c>
      <c r="G316" s="750">
        <f t="shared" si="24"/>
        <v>-1.0702293624943312E-2</v>
      </c>
      <c r="H316" s="604">
        <f t="shared" si="26"/>
        <v>1.1453908883450226E-4</v>
      </c>
      <c r="I316" s="750">
        <f t="shared" si="27"/>
        <v>1.3528600966506433E-4</v>
      </c>
    </row>
    <row r="317" spans="1:9">
      <c r="A317" s="563">
        <v>45021</v>
      </c>
      <c r="B317">
        <v>65.150001525878906</v>
      </c>
      <c r="C317" s="604">
        <v>11996.8603515625</v>
      </c>
      <c r="D317" s="748">
        <f t="shared" si="25"/>
        <v>5.6791267616551622E-3</v>
      </c>
      <c r="E317" s="748">
        <f t="shared" si="25"/>
        <v>7.5936208895801549E-3</v>
      </c>
      <c r="F317" s="750">
        <f t="shared" si="23"/>
        <v>5.468171634916529E-3</v>
      </c>
      <c r="G317" s="750">
        <f t="shared" si="24"/>
        <v>7.5680716488304789E-3</v>
      </c>
      <c r="H317" s="604">
        <f t="shared" si="26"/>
        <v>5.7275708481831683E-5</v>
      </c>
      <c r="I317" s="750">
        <f t="shared" si="27"/>
        <v>4.1383514721150793E-5</v>
      </c>
    </row>
    <row r="318" spans="1:9">
      <c r="A318" s="563">
        <v>45022</v>
      </c>
      <c r="B318">
        <v>65.519996643066406</v>
      </c>
      <c r="C318" s="604">
        <v>12087.9599609375</v>
      </c>
      <c r="D318" s="748">
        <f t="shared" si="25"/>
        <v>2.1215004430102713E-2</v>
      </c>
      <c r="E318" s="748">
        <f t="shared" si="25"/>
        <v>-2.9778468712937656E-4</v>
      </c>
      <c r="F318" s="750">
        <f t="shared" si="23"/>
        <v>2.1004049303364081E-2</v>
      </c>
      <c r="G318" s="750">
        <f t="shared" si="24"/>
        <v>-3.2333392787905238E-4</v>
      </c>
      <c r="H318" s="604">
        <f t="shared" si="26"/>
        <v>1.0454482891769625E-7</v>
      </c>
      <c r="I318" s="750">
        <f t="shared" si="27"/>
        <v>-6.7913217626219819E-6</v>
      </c>
    </row>
    <row r="319" spans="1:9">
      <c r="A319" s="563">
        <v>45026</v>
      </c>
      <c r="B319">
        <v>66.910003662109375</v>
      </c>
      <c r="C319" s="604">
        <v>12084.3603515625</v>
      </c>
      <c r="D319" s="748">
        <f t="shared" si="25"/>
        <v>1.3450356144815157E-3</v>
      </c>
      <c r="E319" s="748">
        <f t="shared" si="25"/>
        <v>-4.3428420887179353E-3</v>
      </c>
      <c r="F319" s="750">
        <f t="shared" si="23"/>
        <v>1.1340804877428823E-3</v>
      </c>
      <c r="G319" s="750">
        <f t="shared" si="24"/>
        <v>-4.3683913294676113E-3</v>
      </c>
      <c r="H319" s="604">
        <f t="shared" si="26"/>
        <v>1.9082842807367805E-5</v>
      </c>
      <c r="I319" s="750">
        <f t="shared" si="27"/>
        <v>-4.9541073695744066E-6</v>
      </c>
    </row>
    <row r="320" spans="1:9">
      <c r="A320" s="563">
        <v>45027</v>
      </c>
      <c r="B320">
        <v>67</v>
      </c>
      <c r="C320" s="604">
        <v>12031.8798828125</v>
      </c>
      <c r="D320" s="748">
        <f t="shared" si="25"/>
        <v>2.8358573344215987E-3</v>
      </c>
      <c r="E320" s="748">
        <f t="shared" si="25"/>
        <v>-8.5223622626899864E-3</v>
      </c>
      <c r="F320" s="750">
        <f t="shared" si="23"/>
        <v>2.6249022076829651E-3</v>
      </c>
      <c r="G320" s="750">
        <f t="shared" si="24"/>
        <v>-8.5479115034396615E-3</v>
      </c>
      <c r="H320" s="604">
        <f t="shared" si="26"/>
        <v>7.3066791070636089E-5</v>
      </c>
      <c r="I320" s="750">
        <f t="shared" si="27"/>
        <v>-2.2437431776457381E-5</v>
      </c>
    </row>
    <row r="321" spans="1:9">
      <c r="A321" s="563">
        <v>45028</v>
      </c>
      <c r="B321">
        <v>67.19000244140625</v>
      </c>
      <c r="C321" s="604">
        <v>11929.33984375</v>
      </c>
      <c r="D321" s="748">
        <f t="shared" si="25"/>
        <v>1.7859754496789337E-2</v>
      </c>
      <c r="E321" s="748">
        <f t="shared" si="25"/>
        <v>1.9861089599533255E-2</v>
      </c>
      <c r="F321" s="750">
        <f t="shared" si="23"/>
        <v>1.7648799370050705E-2</v>
      </c>
      <c r="G321" s="750">
        <f t="shared" si="24"/>
        <v>1.9835540358783578E-2</v>
      </c>
      <c r="H321" s="604">
        <f t="shared" si="26"/>
        <v>3.9344866132493217E-4</v>
      </c>
      <c r="I321" s="750">
        <f t="shared" si="27"/>
        <v>3.5007347218871495E-4</v>
      </c>
    </row>
    <row r="322" spans="1:9">
      <c r="A322" s="563">
        <v>45029</v>
      </c>
      <c r="B322">
        <v>68.389999389648438</v>
      </c>
      <c r="C322" s="604">
        <v>12166.26953125</v>
      </c>
      <c r="D322" s="748">
        <f t="shared" si="25"/>
        <v>-4.6790422237180662E-3</v>
      </c>
      <c r="E322" s="748">
        <f t="shared" si="25"/>
        <v>-3.517906995037845E-3</v>
      </c>
      <c r="F322" s="750">
        <f t="shared" si="23"/>
        <v>-4.8899973504566993E-3</v>
      </c>
      <c r="G322" s="750">
        <f t="shared" si="24"/>
        <v>-3.543456235787521E-3</v>
      </c>
      <c r="H322" s="604">
        <f t="shared" si="26"/>
        <v>1.2556082094941467E-5</v>
      </c>
      <c r="I322" s="750">
        <f t="shared" si="27"/>
        <v>1.7327491604460247E-5</v>
      </c>
    </row>
    <row r="323" spans="1:9">
      <c r="A323" s="563">
        <v>45030</v>
      </c>
      <c r="B323">
        <v>68.069999694824219</v>
      </c>
      <c r="C323" s="604">
        <v>12123.4697265625</v>
      </c>
      <c r="D323" s="748">
        <f t="shared" si="25"/>
        <v>-5.288682414654633E-3</v>
      </c>
      <c r="E323" s="748">
        <f t="shared" si="25"/>
        <v>2.8250988184479464E-3</v>
      </c>
      <c r="F323" s="750">
        <f t="shared" ref="F323:F386" si="28">D323-$F$504</f>
        <v>-5.4996375413932661E-3</v>
      </c>
      <c r="G323" s="750">
        <f t="shared" ref="G323:G386" si="29">E323-$G$504</f>
        <v>2.7995495776982704E-3</v>
      </c>
      <c r="H323" s="604">
        <f t="shared" si="26"/>
        <v>7.8374778379905651E-6</v>
      </c>
      <c r="I323" s="750">
        <f t="shared" si="27"/>
        <v>-1.5396507956501073E-5</v>
      </c>
    </row>
    <row r="324" spans="1:9">
      <c r="A324" s="563">
        <v>45033</v>
      </c>
      <c r="B324">
        <v>67.709999084472656</v>
      </c>
      <c r="C324" s="604">
        <v>12157.7197265625</v>
      </c>
      <c r="D324" s="748">
        <f t="shared" si="25"/>
        <v>1.6245844312348101E-3</v>
      </c>
      <c r="E324" s="748">
        <f t="shared" si="25"/>
        <v>-3.5447192478732514E-4</v>
      </c>
      <c r="F324" s="750">
        <f t="shared" si="28"/>
        <v>1.4136293044961768E-3</v>
      </c>
      <c r="G324" s="750">
        <f t="shared" si="29"/>
        <v>-3.8002116553700096E-4</v>
      </c>
      <c r="H324" s="604">
        <f t="shared" si="26"/>
        <v>1.4441608625610068E-7</v>
      </c>
      <c r="I324" s="750">
        <f t="shared" si="27"/>
        <v>-5.3720905593189712E-7</v>
      </c>
    </row>
    <row r="325" spans="1:9">
      <c r="A325" s="563">
        <v>45034</v>
      </c>
      <c r="B325">
        <v>67.819999694824219</v>
      </c>
      <c r="C325" s="604">
        <v>12153.41015625</v>
      </c>
      <c r="D325" s="748">
        <f t="shared" si="25"/>
        <v>-7.3724565356811933E-3</v>
      </c>
      <c r="E325" s="748">
        <f t="shared" si="25"/>
        <v>3.1434078590986125E-4</v>
      </c>
      <c r="F325" s="750">
        <f t="shared" si="28"/>
        <v>-7.5834116624198264E-3</v>
      </c>
      <c r="G325" s="750">
        <f t="shared" si="29"/>
        <v>2.8879154516018543E-4</v>
      </c>
      <c r="H325" s="604">
        <f t="shared" si="26"/>
        <v>8.3400556556007419E-8</v>
      </c>
      <c r="I325" s="750">
        <f t="shared" si="27"/>
        <v>-2.1900251715759923E-6</v>
      </c>
    </row>
    <row r="326" spans="1:9">
      <c r="A326" s="563">
        <v>45035</v>
      </c>
      <c r="B326">
        <v>67.319999694824219</v>
      </c>
      <c r="C326" s="604">
        <v>12157.23046875</v>
      </c>
      <c r="D326" s="748">
        <f t="shared" si="25"/>
        <v>-6.238832009050066E-3</v>
      </c>
      <c r="E326" s="748">
        <f t="shared" si="25"/>
        <v>-8.0339760514174241E-3</v>
      </c>
      <c r="F326" s="750">
        <f t="shared" si="28"/>
        <v>-6.4497871357886991E-3</v>
      </c>
      <c r="G326" s="750">
        <f t="shared" si="29"/>
        <v>-8.0595252921670992E-3</v>
      </c>
      <c r="H326" s="604">
        <f t="shared" si="26"/>
        <v>6.4955947935081169E-5</v>
      </c>
      <c r="I326" s="750">
        <f t="shared" si="27"/>
        <v>5.1982222549983011E-5</v>
      </c>
    </row>
    <row r="327" spans="1:9">
      <c r="A327" s="563">
        <v>45036</v>
      </c>
      <c r="B327">
        <v>66.900001525878906</v>
      </c>
      <c r="C327" s="604">
        <v>12059.5595703125</v>
      </c>
      <c r="D327" s="748">
        <f t="shared" si="25"/>
        <v>-1.7937629872192273E-3</v>
      </c>
      <c r="E327" s="748">
        <f t="shared" si="25"/>
        <v>1.0697231975831389E-3</v>
      </c>
      <c r="F327" s="750">
        <f t="shared" si="28"/>
        <v>-2.0047181139578609E-3</v>
      </c>
      <c r="G327" s="750">
        <f t="shared" si="29"/>
        <v>1.0441739568334632E-3</v>
      </c>
      <c r="H327" s="604">
        <f t="shared" si="26"/>
        <v>1.0902992521292511E-6</v>
      </c>
      <c r="I327" s="750">
        <f t="shared" si="27"/>
        <v>-2.0932744453870973E-6</v>
      </c>
    </row>
    <row r="328" spans="1:9">
      <c r="A328" s="563">
        <v>45037</v>
      </c>
      <c r="B328">
        <v>66.779998779296875</v>
      </c>
      <c r="C328" s="604">
        <v>12072.4599609375</v>
      </c>
      <c r="D328" s="748">
        <f t="shared" si="25"/>
        <v>-7.9364898021110353E-3</v>
      </c>
      <c r="E328" s="748">
        <f t="shared" si="25"/>
        <v>-2.9206777855622645E-3</v>
      </c>
      <c r="F328" s="750">
        <f t="shared" si="28"/>
        <v>-8.1474449288496693E-3</v>
      </c>
      <c r="G328" s="750">
        <f t="shared" si="29"/>
        <v>-2.9462270263119405E-3</v>
      </c>
      <c r="H328" s="604">
        <f t="shared" si="26"/>
        <v>8.6802536905709003E-6</v>
      </c>
      <c r="I328" s="750">
        <f t="shared" si="27"/>
        <v>2.4004222444765061E-5</v>
      </c>
    </row>
    <row r="329" spans="1:9">
      <c r="A329" s="563">
        <v>45040</v>
      </c>
      <c r="B329">
        <v>66.25</v>
      </c>
      <c r="C329" s="604">
        <v>12037.2001953125</v>
      </c>
      <c r="D329" s="748">
        <f t="shared" si="25"/>
        <v>-4.6490593676297154E-2</v>
      </c>
      <c r="E329" s="748">
        <f t="shared" si="25"/>
        <v>-1.9775365965517211E-2</v>
      </c>
      <c r="F329" s="750">
        <f t="shared" si="28"/>
        <v>-4.6701548803035786E-2</v>
      </c>
      <c r="G329" s="750">
        <f t="shared" si="29"/>
        <v>-1.9800915206266888E-2</v>
      </c>
      <c r="H329" s="604">
        <f t="shared" si="26"/>
        <v>3.9207624300577126E-4</v>
      </c>
      <c r="I329" s="750">
        <f t="shared" si="27"/>
        <v>9.2473340785024648E-4</v>
      </c>
    </row>
    <row r="330" spans="1:9">
      <c r="A330" s="563">
        <v>45041</v>
      </c>
      <c r="B330">
        <v>63.169998168945313</v>
      </c>
      <c r="C330" s="604">
        <v>11799.16015625</v>
      </c>
      <c r="D330" s="748">
        <f t="shared" si="25"/>
        <v>3.6410220611129418E-3</v>
      </c>
      <c r="E330" s="748">
        <f t="shared" si="25"/>
        <v>4.6774052046210102E-3</v>
      </c>
      <c r="F330" s="750">
        <f t="shared" si="28"/>
        <v>3.4300669343743082E-3</v>
      </c>
      <c r="G330" s="750">
        <f t="shared" si="29"/>
        <v>4.6518559638713342E-3</v>
      </c>
      <c r="H330" s="604">
        <f t="shared" si="26"/>
        <v>2.1639763908605298E-5</v>
      </c>
      <c r="I330" s="750">
        <f t="shared" si="27"/>
        <v>1.5956177325146989E-5</v>
      </c>
    </row>
    <row r="331" spans="1:9">
      <c r="A331" s="563">
        <v>45042</v>
      </c>
      <c r="B331">
        <v>63.400001525878913</v>
      </c>
      <c r="C331" s="604">
        <v>11854.349609375</v>
      </c>
      <c r="D331" s="748">
        <f t="shared" si="25"/>
        <v>-5.3627783029170928E-3</v>
      </c>
      <c r="E331" s="748">
        <f t="shared" si="25"/>
        <v>2.4285653324440659E-2</v>
      </c>
      <c r="F331" s="750">
        <f t="shared" si="28"/>
        <v>-5.5737334296557259E-3</v>
      </c>
      <c r="G331" s="750">
        <f t="shared" si="29"/>
        <v>2.4260104083690982E-2</v>
      </c>
      <c r="H331" s="604">
        <f t="shared" si="26"/>
        <v>5.8855265015151986E-4</v>
      </c>
      <c r="I331" s="750">
        <f t="shared" si="27"/>
        <v>-1.3521935313819583E-4</v>
      </c>
    </row>
    <row r="332" spans="1:9">
      <c r="A332" s="563">
        <v>45043</v>
      </c>
      <c r="B332">
        <v>63.060001373291023</v>
      </c>
      <c r="C332" s="604">
        <v>12142.240234375</v>
      </c>
      <c r="D332" s="748">
        <f t="shared" si="25"/>
        <v>-1.5861300368935627E-4</v>
      </c>
      <c r="E332" s="748">
        <f t="shared" si="25"/>
        <v>6.9459870766872545E-3</v>
      </c>
      <c r="F332" s="750">
        <f t="shared" si="28"/>
        <v>-3.6956813042798961E-4</v>
      </c>
      <c r="G332" s="750">
        <f t="shared" si="29"/>
        <v>6.9204378359375785E-3</v>
      </c>
      <c r="H332" s="604">
        <f t="shared" si="26"/>
        <v>4.7892459841076392E-5</v>
      </c>
      <c r="I332" s="750">
        <f t="shared" si="27"/>
        <v>-2.5575732727705733E-6</v>
      </c>
    </row>
    <row r="333" spans="1:9">
      <c r="A333" s="563">
        <v>45044</v>
      </c>
      <c r="B333">
        <v>63.049999237060547</v>
      </c>
      <c r="C333" s="604">
        <v>12226.580078125</v>
      </c>
      <c r="D333" s="748">
        <f t="shared" si="25"/>
        <v>-3.8064689401051677E-3</v>
      </c>
      <c r="E333" s="748">
        <f t="shared" si="25"/>
        <v>-1.1434488352971561E-3</v>
      </c>
      <c r="F333" s="750">
        <f t="shared" si="28"/>
        <v>-4.0174240668438008E-3</v>
      </c>
      <c r="G333" s="750">
        <f t="shared" si="29"/>
        <v>-1.1689980760468319E-3</v>
      </c>
      <c r="H333" s="604">
        <f t="shared" si="26"/>
        <v>1.3665565018011945E-6</v>
      </c>
      <c r="I333" s="750">
        <f t="shared" si="27"/>
        <v>4.6963610048046424E-6</v>
      </c>
    </row>
    <row r="334" spans="1:9">
      <c r="A334" s="563">
        <v>45047</v>
      </c>
      <c r="B334">
        <v>62.810001373291023</v>
      </c>
      <c r="C334" s="604">
        <v>12212.599609375</v>
      </c>
      <c r="D334" s="748">
        <f t="shared" si="25"/>
        <v>-2.1811856657029449E-2</v>
      </c>
      <c r="E334" s="748">
        <f t="shared" si="25"/>
        <v>-1.0815866234458515E-2</v>
      </c>
      <c r="F334" s="750">
        <f t="shared" si="28"/>
        <v>-2.2022811783768081E-2</v>
      </c>
      <c r="G334" s="750">
        <f t="shared" si="29"/>
        <v>-1.0841415475208191E-2</v>
      </c>
      <c r="H334" s="604">
        <f t="shared" si="26"/>
        <v>1.1753628950608364E-4</v>
      </c>
      <c r="I334" s="750">
        <f t="shared" si="27"/>
        <v>2.3875845248014056E-4</v>
      </c>
    </row>
    <row r="335" spans="1:9">
      <c r="A335" s="563">
        <v>45048</v>
      </c>
      <c r="B335">
        <v>61.439998626708977</v>
      </c>
      <c r="C335" s="604">
        <v>12080.509765625</v>
      </c>
      <c r="D335" s="748">
        <f t="shared" si="25"/>
        <v>-1.5462190258402786E-2</v>
      </c>
      <c r="E335" s="748">
        <f t="shared" si="25"/>
        <v>-4.5676621740758927E-3</v>
      </c>
      <c r="F335" s="750">
        <f t="shared" si="28"/>
        <v>-1.5673145385141418E-2</v>
      </c>
      <c r="G335" s="750">
        <f t="shared" si="29"/>
        <v>-4.5932114148255687E-3</v>
      </c>
      <c r="H335" s="604">
        <f t="shared" si="26"/>
        <v>2.1097591101283902E-5</v>
      </c>
      <c r="I335" s="750">
        <f t="shared" si="27"/>
        <v>7.199007028925225E-5</v>
      </c>
    </row>
    <row r="336" spans="1:9">
      <c r="A336" s="563">
        <v>45049</v>
      </c>
      <c r="B336">
        <v>60.490001678466797</v>
      </c>
      <c r="C336" s="604">
        <v>12025.330078125</v>
      </c>
      <c r="D336" s="748">
        <f t="shared" si="25"/>
        <v>1.1406821087171615E-2</v>
      </c>
      <c r="E336" s="748">
        <f t="shared" si="25"/>
        <v>-4.9004631986940828E-3</v>
      </c>
      <c r="F336" s="750">
        <f t="shared" si="28"/>
        <v>1.1195865960432981E-2</v>
      </c>
      <c r="G336" s="750">
        <f t="shared" si="29"/>
        <v>-4.9260124394437587E-3</v>
      </c>
      <c r="H336" s="604">
        <f t="shared" si="26"/>
        <v>2.426559855355465E-5</v>
      </c>
      <c r="I336" s="750">
        <f t="shared" si="27"/>
        <v>-5.5150974991437811E-5</v>
      </c>
    </row>
    <row r="337" spans="1:9">
      <c r="A337" s="563">
        <v>45050</v>
      </c>
      <c r="B337">
        <v>61.180000305175781</v>
      </c>
      <c r="C337" s="604">
        <v>11966.400390625</v>
      </c>
      <c r="D337" s="748">
        <f t="shared" si="25"/>
        <v>5.5737103885342032E-2</v>
      </c>
      <c r="E337" s="748">
        <f t="shared" si="25"/>
        <v>2.2480424926760278E-2</v>
      </c>
      <c r="F337" s="750">
        <f t="shared" si="28"/>
        <v>5.55261487586034E-2</v>
      </c>
      <c r="G337" s="750">
        <f t="shared" si="29"/>
        <v>2.2454875686010602E-2</v>
      </c>
      <c r="H337" s="604">
        <f t="shared" si="26"/>
        <v>5.0422144207419009E-4</v>
      </c>
      <c r="I337" s="750">
        <f t="shared" si="27"/>
        <v>1.2468327676973712E-3</v>
      </c>
    </row>
    <row r="338" spans="1:9">
      <c r="A338" s="563">
        <v>45051</v>
      </c>
      <c r="B338">
        <v>64.589996337890625</v>
      </c>
      <c r="C338" s="604">
        <v>12235.41015625</v>
      </c>
      <c r="D338" s="748">
        <f t="shared" si="25"/>
        <v>2.3068672823100655E-2</v>
      </c>
      <c r="E338" s="748">
        <f t="shared" si="25"/>
        <v>1.7579930178321934E-3</v>
      </c>
      <c r="F338" s="750">
        <f t="shared" si="28"/>
        <v>2.2857717696362023E-2</v>
      </c>
      <c r="G338" s="750">
        <f t="shared" si="29"/>
        <v>1.7324437770825177E-3</v>
      </c>
      <c r="H338" s="604">
        <f t="shared" si="26"/>
        <v>3.00136144075194E-6</v>
      </c>
      <c r="I338" s="750">
        <f t="shared" si="27"/>
        <v>3.9599710781371326E-5</v>
      </c>
    </row>
    <row r="339" spans="1:9">
      <c r="A339" s="563">
        <v>45054</v>
      </c>
      <c r="B339">
        <v>66.080001831054688</v>
      </c>
      <c r="C339" s="604">
        <v>12256.919921875</v>
      </c>
      <c r="D339" s="748">
        <f t="shared" ref="D339:E402" si="30">B340/B339-1</f>
        <v>4.842610259641944E-3</v>
      </c>
      <c r="E339" s="748">
        <f t="shared" si="30"/>
        <v>-6.3123621334441049E-3</v>
      </c>
      <c r="F339" s="750">
        <f t="shared" si="28"/>
        <v>4.6316551329033109E-3</v>
      </c>
      <c r="G339" s="750">
        <f t="shared" si="29"/>
        <v>-6.3379113741937809E-3</v>
      </c>
      <c r="H339" s="604">
        <f t="shared" ref="H339:H402" si="31">G339^2</f>
        <v>4.0169120587134897E-5</v>
      </c>
      <c r="I339" s="750">
        <f t="shared" ref="I339:I402" si="32">F339*G339</f>
        <v>-2.9355019748170902E-5</v>
      </c>
    </row>
    <row r="340" spans="1:9">
      <c r="A340" s="563">
        <v>45055</v>
      </c>
      <c r="B340">
        <v>66.400001525878906</v>
      </c>
      <c r="C340" s="604">
        <v>12179.5498046875</v>
      </c>
      <c r="D340" s="748">
        <f t="shared" si="30"/>
        <v>9.1867559688807443E-3</v>
      </c>
      <c r="E340" s="748">
        <f t="shared" si="30"/>
        <v>1.0418334588292E-2</v>
      </c>
      <c r="F340" s="750">
        <f t="shared" si="28"/>
        <v>8.9758008421421103E-3</v>
      </c>
      <c r="G340" s="750">
        <f t="shared" si="29"/>
        <v>1.0392785347542325E-2</v>
      </c>
      <c r="H340" s="604">
        <f t="shared" si="31"/>
        <v>1.0800998728009043E-4</v>
      </c>
      <c r="I340" s="750">
        <f t="shared" si="32"/>
        <v>9.3283571474672578E-5</v>
      </c>
    </row>
    <row r="341" spans="1:9">
      <c r="A341" s="563">
        <v>45056</v>
      </c>
      <c r="B341">
        <v>67.010002136230469</v>
      </c>
      <c r="C341" s="604">
        <v>12306.4404296875</v>
      </c>
      <c r="D341" s="748">
        <f t="shared" si="30"/>
        <v>7.3123093291860286E-3</v>
      </c>
      <c r="E341" s="748">
        <f t="shared" si="30"/>
        <v>1.7933159522116604E-3</v>
      </c>
      <c r="F341" s="750">
        <f t="shared" si="28"/>
        <v>7.1013542024473955E-3</v>
      </c>
      <c r="G341" s="750">
        <f t="shared" si="29"/>
        <v>1.7677667114619846E-3</v>
      </c>
      <c r="H341" s="604">
        <f t="shared" si="31"/>
        <v>3.1249991461531196E-6</v>
      </c>
      <c r="I341" s="750">
        <f t="shared" si="32"/>
        <v>1.2553537565387176E-5</v>
      </c>
    </row>
    <row r="342" spans="1:9">
      <c r="A342" s="563">
        <v>45057</v>
      </c>
      <c r="B342">
        <v>67.5</v>
      </c>
      <c r="C342" s="604">
        <v>12328.509765625</v>
      </c>
      <c r="D342" s="748">
        <f t="shared" si="30"/>
        <v>3.9999502676504317E-3</v>
      </c>
      <c r="E342" s="748">
        <f t="shared" si="30"/>
        <v>-3.5502694228333187E-3</v>
      </c>
      <c r="F342" s="750">
        <f t="shared" si="28"/>
        <v>3.7889951409117982E-3</v>
      </c>
      <c r="G342" s="750">
        <f t="shared" si="29"/>
        <v>-3.5758186635829947E-3</v>
      </c>
      <c r="H342" s="604">
        <f t="shared" si="31"/>
        <v>1.2786479114828473E-5</v>
      </c>
      <c r="I342" s="750">
        <f t="shared" si="32"/>
        <v>-1.3548759541097687E-5</v>
      </c>
    </row>
    <row r="343" spans="1:9">
      <c r="A343" s="563">
        <v>45058</v>
      </c>
      <c r="B343">
        <v>67.769996643066406</v>
      </c>
      <c r="C343" s="604">
        <v>12284.740234375</v>
      </c>
      <c r="D343" s="748">
        <f t="shared" si="30"/>
        <v>1.1657089488850803E-2</v>
      </c>
      <c r="E343" s="748">
        <f t="shared" si="30"/>
        <v>6.5503807998585906E-3</v>
      </c>
      <c r="F343" s="750">
        <f t="shared" si="28"/>
        <v>1.1446134362112169E-2</v>
      </c>
      <c r="G343" s="750">
        <f t="shared" si="29"/>
        <v>6.5248315591089146E-3</v>
      </c>
      <c r="H343" s="604">
        <f t="shared" si="31"/>
        <v>4.257342687474367E-5</v>
      </c>
      <c r="I343" s="750">
        <f t="shared" si="32"/>
        <v>7.4684098715710457E-5</v>
      </c>
    </row>
    <row r="344" spans="1:9">
      <c r="A344" s="563">
        <v>45061</v>
      </c>
      <c r="B344">
        <v>68.55999755859375</v>
      </c>
      <c r="C344" s="604">
        <v>12365.2099609375</v>
      </c>
      <c r="D344" s="748">
        <f t="shared" si="30"/>
        <v>-3.646441203361217E-3</v>
      </c>
      <c r="E344" s="748">
        <f t="shared" si="30"/>
        <v>-1.7921374825017322E-3</v>
      </c>
      <c r="F344" s="750">
        <f t="shared" si="28"/>
        <v>-3.8573963300998506E-3</v>
      </c>
      <c r="G344" s="750">
        <f t="shared" si="29"/>
        <v>-1.817686723251408E-3</v>
      </c>
      <c r="H344" s="604">
        <f t="shared" si="31"/>
        <v>3.3039850238844405E-6</v>
      </c>
      <c r="I344" s="750">
        <f t="shared" si="32"/>
        <v>7.0115380955412036E-6</v>
      </c>
    </row>
    <row r="345" spans="1:9">
      <c r="A345" s="563">
        <v>45062</v>
      </c>
      <c r="B345">
        <v>68.30999755859375</v>
      </c>
      <c r="C345" s="604">
        <v>12343.0498046875</v>
      </c>
      <c r="D345" s="748">
        <f t="shared" si="30"/>
        <v>1.7567376792702039E-3</v>
      </c>
      <c r="E345" s="748">
        <f t="shared" si="30"/>
        <v>1.276187897683756E-2</v>
      </c>
      <c r="F345" s="750">
        <f t="shared" si="28"/>
        <v>1.5457825525315705E-3</v>
      </c>
      <c r="G345" s="750">
        <f t="shared" si="29"/>
        <v>1.2736329736087884E-2</v>
      </c>
      <c r="H345" s="604">
        <f t="shared" si="31"/>
        <v>1.6221409514635647E-4</v>
      </c>
      <c r="I345" s="750">
        <f t="shared" si="32"/>
        <v>1.9687596289333675E-5</v>
      </c>
    </row>
    <row r="346" spans="1:9">
      <c r="A346" s="563">
        <v>45063</v>
      </c>
      <c r="B346">
        <v>68.430000305175781</v>
      </c>
      <c r="C346" s="604">
        <v>12500.5703125</v>
      </c>
      <c r="D346" s="748">
        <f t="shared" si="30"/>
        <v>-4.2379207107121619E-3</v>
      </c>
      <c r="E346" s="748">
        <f t="shared" si="30"/>
        <v>1.5060875347562286E-2</v>
      </c>
      <c r="F346" s="750">
        <f t="shared" si="28"/>
        <v>-4.448875837450795E-3</v>
      </c>
      <c r="G346" s="750">
        <f t="shared" si="29"/>
        <v>1.5035326106812611E-2</v>
      </c>
      <c r="H346" s="604">
        <f t="shared" si="31"/>
        <v>2.2606103113820085E-4</v>
      </c>
      <c r="I346" s="750">
        <f t="shared" si="32"/>
        <v>-6.6890299024791749E-5</v>
      </c>
    </row>
    <row r="347" spans="1:9">
      <c r="A347" s="563">
        <v>45064</v>
      </c>
      <c r="B347">
        <v>68.139999389648438</v>
      </c>
      <c r="C347" s="604">
        <v>12688.83984375</v>
      </c>
      <c r="D347" s="748">
        <f t="shared" si="30"/>
        <v>2.1866713782153102E-2</v>
      </c>
      <c r="E347" s="748">
        <f t="shared" si="30"/>
        <v>-2.4383200911972658E-3</v>
      </c>
      <c r="F347" s="750">
        <f t="shared" si="28"/>
        <v>2.165575865541447E-2</v>
      </c>
      <c r="G347" s="750">
        <f t="shared" si="29"/>
        <v>-2.4638693319469418E-3</v>
      </c>
      <c r="H347" s="604">
        <f t="shared" si="31"/>
        <v>6.0706520849086694E-6</v>
      </c>
      <c r="I347" s="750">
        <f t="shared" si="32"/>
        <v>-5.335695961112025E-5</v>
      </c>
    </row>
    <row r="348" spans="1:9">
      <c r="A348" s="563">
        <v>45065</v>
      </c>
      <c r="B348">
        <v>69.629997253417969</v>
      </c>
      <c r="C348" s="604">
        <v>12657.900390625</v>
      </c>
      <c r="D348" s="748">
        <f t="shared" si="30"/>
        <v>-1.5797876589197513E-3</v>
      </c>
      <c r="E348" s="748">
        <f t="shared" si="30"/>
        <v>4.9676392507458367E-3</v>
      </c>
      <c r="F348" s="750">
        <f t="shared" si="28"/>
        <v>-1.7907427856583846E-3</v>
      </c>
      <c r="G348" s="750">
        <f t="shared" si="29"/>
        <v>4.9420900099961607E-3</v>
      </c>
      <c r="H348" s="604">
        <f t="shared" si="31"/>
        <v>2.4424253666903853E-5</v>
      </c>
      <c r="I348" s="750">
        <f t="shared" si="32"/>
        <v>-8.8500120314749984E-6</v>
      </c>
    </row>
    <row r="349" spans="1:9">
      <c r="A349" s="563">
        <v>45068</v>
      </c>
      <c r="B349">
        <v>69.519996643066406</v>
      </c>
      <c r="C349" s="604">
        <v>12720.7802734375</v>
      </c>
      <c r="D349" s="748">
        <f t="shared" si="30"/>
        <v>-2.0569625636171596E-2</v>
      </c>
      <c r="E349" s="748">
        <f t="shared" si="30"/>
        <v>-1.2619530405120427E-2</v>
      </c>
      <c r="F349" s="750">
        <f t="shared" si="28"/>
        <v>-2.0780580762910228E-2</v>
      </c>
      <c r="G349" s="750">
        <f t="shared" si="29"/>
        <v>-1.2645079645870102E-2</v>
      </c>
      <c r="H349" s="604">
        <f t="shared" si="31"/>
        <v>1.5989803925039835E-4</v>
      </c>
      <c r="I349" s="750">
        <f t="shared" si="32"/>
        <v>2.627720988344359E-4</v>
      </c>
    </row>
    <row r="350" spans="1:9">
      <c r="A350" s="563">
        <v>45069</v>
      </c>
      <c r="B350">
        <v>68.089996337890625</v>
      </c>
      <c r="C350" s="604">
        <v>12560.25</v>
      </c>
      <c r="D350" s="748">
        <f t="shared" si="30"/>
        <v>-2.2029667802541564E-2</v>
      </c>
      <c r="E350" s="748">
        <f t="shared" si="30"/>
        <v>-6.0579879978504003E-3</v>
      </c>
      <c r="F350" s="750">
        <f t="shared" si="28"/>
        <v>-2.2240622929280196E-2</v>
      </c>
      <c r="G350" s="750">
        <f t="shared" si="29"/>
        <v>-6.0835372386000763E-3</v>
      </c>
      <c r="H350" s="604">
        <f t="shared" si="31"/>
        <v>3.7009425333433842E-5</v>
      </c>
      <c r="I350" s="750">
        <f t="shared" si="32"/>
        <v>1.3530165779993878E-4</v>
      </c>
    </row>
    <row r="351" spans="1:9">
      <c r="A351" s="563">
        <v>45070</v>
      </c>
      <c r="B351">
        <v>66.589996337890625</v>
      </c>
      <c r="C351" s="604">
        <v>12484.16015625</v>
      </c>
      <c r="D351" s="748">
        <f t="shared" si="30"/>
        <v>8.7100444954471001E-3</v>
      </c>
      <c r="E351" s="748">
        <f t="shared" si="30"/>
        <v>1.7136089638588814E-2</v>
      </c>
      <c r="F351" s="750">
        <f t="shared" si="28"/>
        <v>8.4990893687084661E-3</v>
      </c>
      <c r="G351" s="750">
        <f t="shared" si="29"/>
        <v>1.7110540397839137E-2</v>
      </c>
      <c r="H351" s="604">
        <f t="shared" si="31"/>
        <v>2.9277059270608509E-4</v>
      </c>
      <c r="I351" s="750">
        <f t="shared" si="32"/>
        <v>1.4542401198813134E-4</v>
      </c>
    </row>
    <row r="352" spans="1:9">
      <c r="A352" s="563">
        <v>45071</v>
      </c>
      <c r="B352">
        <v>67.169998168945313</v>
      </c>
      <c r="C352" s="604">
        <v>12698.08984375</v>
      </c>
      <c r="D352" s="748">
        <f t="shared" si="30"/>
        <v>8.9325367050328008E-3</v>
      </c>
      <c r="E352" s="748">
        <f t="shared" si="30"/>
        <v>2.1861601969538347E-2</v>
      </c>
      <c r="F352" s="750">
        <f t="shared" si="28"/>
        <v>8.7215815782941668E-3</v>
      </c>
      <c r="G352" s="750">
        <f t="shared" si="29"/>
        <v>2.183605272878867E-2</v>
      </c>
      <c r="H352" s="604">
        <f t="shared" si="31"/>
        <v>4.7681319877443911E-4</v>
      </c>
      <c r="I352" s="750">
        <f t="shared" si="32"/>
        <v>1.9044491522206335E-4</v>
      </c>
    </row>
    <row r="353" spans="1:9">
      <c r="A353" s="563">
        <v>45072</v>
      </c>
      <c r="B353">
        <v>67.769996643066406</v>
      </c>
      <c r="C353" s="604">
        <v>12975.6904296875</v>
      </c>
      <c r="D353" s="748">
        <f t="shared" si="30"/>
        <v>1.1362023175483182E-2</v>
      </c>
      <c r="E353" s="748">
        <f t="shared" si="30"/>
        <v>3.2167273131766816E-3</v>
      </c>
      <c r="F353" s="750">
        <f t="shared" si="28"/>
        <v>1.1151068048744548E-2</v>
      </c>
      <c r="G353" s="750">
        <f t="shared" si="29"/>
        <v>3.1911780724270056E-3</v>
      </c>
      <c r="H353" s="604">
        <f t="shared" si="31"/>
        <v>1.0183617489938939E-5</v>
      </c>
      <c r="I353" s="750">
        <f t="shared" si="32"/>
        <v>3.5585043841295E-5</v>
      </c>
    </row>
    <row r="354" spans="1:9">
      <c r="A354" s="563">
        <v>45076</v>
      </c>
      <c r="B354">
        <v>68.540000915527344</v>
      </c>
      <c r="C354" s="604">
        <v>13017.4296875</v>
      </c>
      <c r="D354" s="748">
        <f t="shared" si="30"/>
        <v>-3.06389089097725E-3</v>
      </c>
      <c r="E354" s="748">
        <f t="shared" si="30"/>
        <v>-6.3099744273152902E-3</v>
      </c>
      <c r="F354" s="750">
        <f t="shared" si="28"/>
        <v>-3.2748460177158835E-3</v>
      </c>
      <c r="G354" s="750">
        <f t="shared" si="29"/>
        <v>-6.3355236680649662E-3</v>
      </c>
      <c r="H354" s="604">
        <f t="shared" si="31"/>
        <v>4.0138860148611361E-5</v>
      </c>
      <c r="I354" s="750">
        <f t="shared" si="32"/>
        <v>2.0747864454507281E-5</v>
      </c>
    </row>
    <row r="355" spans="1:9">
      <c r="A355" s="563">
        <v>45077</v>
      </c>
      <c r="B355">
        <v>68.330001831054688</v>
      </c>
      <c r="C355" s="604">
        <v>12935.2900390625</v>
      </c>
      <c r="D355" s="748">
        <f t="shared" si="30"/>
        <v>4.5367708222840974E-3</v>
      </c>
      <c r="E355" s="748">
        <f t="shared" si="30"/>
        <v>1.2809177775460867E-2</v>
      </c>
      <c r="F355" s="750">
        <f t="shared" si="28"/>
        <v>4.3258156955454643E-3</v>
      </c>
      <c r="G355" s="750">
        <f t="shared" si="29"/>
        <v>1.2783628534711192E-2</v>
      </c>
      <c r="H355" s="604">
        <f t="shared" si="31"/>
        <v>1.6342115851348223E-4</v>
      </c>
      <c r="I355" s="750">
        <f t="shared" si="32"/>
        <v>5.5299620961476541E-5</v>
      </c>
    </row>
    <row r="356" spans="1:9">
      <c r="A356" s="563">
        <v>45078</v>
      </c>
      <c r="B356">
        <v>68.639999389648438</v>
      </c>
      <c r="C356" s="604">
        <v>13100.98046875</v>
      </c>
      <c r="D356" s="748">
        <f t="shared" si="30"/>
        <v>-7.4301011183776078E-3</v>
      </c>
      <c r="E356" s="748">
        <f t="shared" si="30"/>
        <v>1.0670122196841714E-2</v>
      </c>
      <c r="F356" s="750">
        <f t="shared" si="28"/>
        <v>-7.6410562451162409E-3</v>
      </c>
      <c r="G356" s="750">
        <f t="shared" si="29"/>
        <v>1.0644572956092039E-2</v>
      </c>
      <c r="H356" s="604">
        <f t="shared" si="31"/>
        <v>1.1330693341756601E-4</v>
      </c>
      <c r="I356" s="750">
        <f t="shared" si="32"/>
        <v>-8.1335780662742519E-5</v>
      </c>
    </row>
    <row r="357" spans="1:9">
      <c r="A357" s="563">
        <v>45079</v>
      </c>
      <c r="B357">
        <v>68.129997253417969</v>
      </c>
      <c r="C357" s="604">
        <v>13240.76953125</v>
      </c>
      <c r="D357" s="748">
        <f t="shared" si="30"/>
        <v>4.6088353386670722E-2</v>
      </c>
      <c r="E357" s="748">
        <f t="shared" si="30"/>
        <v>-8.5643388952860722E-4</v>
      </c>
      <c r="F357" s="750">
        <f t="shared" si="28"/>
        <v>4.587739825993209E-2</v>
      </c>
      <c r="G357" s="750">
        <f t="shared" si="29"/>
        <v>-8.8198313027828298E-4</v>
      </c>
      <c r="H357" s="604">
        <f t="shared" si="31"/>
        <v>7.7789424209547869E-7</v>
      </c>
      <c r="I357" s="750">
        <f t="shared" si="32"/>
        <v>-4.0463091326318356E-5</v>
      </c>
    </row>
    <row r="358" spans="1:9">
      <c r="A358" s="563">
        <v>45082</v>
      </c>
      <c r="B358">
        <v>71.269996643066406</v>
      </c>
      <c r="C358" s="604">
        <v>13229.4296875</v>
      </c>
      <c r="D358" s="748">
        <f t="shared" si="30"/>
        <v>-2.4273829227230204E-2</v>
      </c>
      <c r="E358" s="748">
        <f t="shared" si="30"/>
        <v>3.5519470971148159E-3</v>
      </c>
      <c r="F358" s="750">
        <f t="shared" si="28"/>
        <v>-2.4484784353968836E-2</v>
      </c>
      <c r="G358" s="750">
        <f t="shared" si="29"/>
        <v>3.52639785636514E-3</v>
      </c>
      <c r="H358" s="604">
        <f t="shared" si="31"/>
        <v>1.2435481841376654E-5</v>
      </c>
      <c r="I358" s="750">
        <f t="shared" si="32"/>
        <v>-8.6343091059398421E-5</v>
      </c>
    </row>
    <row r="359" spans="1:9">
      <c r="A359" s="563">
        <v>45083</v>
      </c>
      <c r="B359">
        <v>69.540000915527344</v>
      </c>
      <c r="C359" s="604">
        <v>13276.419921875</v>
      </c>
      <c r="D359" s="748">
        <f t="shared" si="30"/>
        <v>-3.5662975615231018E-2</v>
      </c>
      <c r="E359" s="748">
        <f t="shared" si="30"/>
        <v>-1.2919110141085155E-2</v>
      </c>
      <c r="F359" s="750">
        <f t="shared" si="28"/>
        <v>-3.5873930741969651E-2</v>
      </c>
      <c r="G359" s="750">
        <f t="shared" si="29"/>
        <v>-1.294465938183483E-2</v>
      </c>
      <c r="H359" s="604">
        <f t="shared" si="31"/>
        <v>1.6756420651172448E-4</v>
      </c>
      <c r="I359" s="750">
        <f t="shared" si="32"/>
        <v>4.6437581414233037E-4</v>
      </c>
    </row>
    <row r="360" spans="1:9">
      <c r="A360" s="563">
        <v>45084</v>
      </c>
      <c r="B360">
        <v>67.05999755859375</v>
      </c>
      <c r="C360" s="604">
        <v>13104.900390625</v>
      </c>
      <c r="D360" s="748">
        <f t="shared" si="30"/>
        <v>2.8929354489032999E-2</v>
      </c>
      <c r="E360" s="748">
        <f t="shared" si="30"/>
        <v>1.019612027883765E-2</v>
      </c>
      <c r="F360" s="750">
        <f t="shared" si="28"/>
        <v>2.8718399362294367E-2</v>
      </c>
      <c r="G360" s="750">
        <f t="shared" si="29"/>
        <v>1.0170571038087975E-2</v>
      </c>
      <c r="H360" s="604">
        <f t="shared" si="31"/>
        <v>1.0344051524079392E-4</v>
      </c>
      <c r="I360" s="750">
        <f t="shared" si="32"/>
        <v>2.9208252081439529E-4</v>
      </c>
    </row>
    <row r="361" spans="1:9">
      <c r="A361" s="563">
        <v>45085</v>
      </c>
      <c r="B361">
        <v>69</v>
      </c>
      <c r="C361" s="604">
        <v>13238.51953125</v>
      </c>
      <c r="D361" s="748">
        <f t="shared" si="30"/>
        <v>-1.4347795127094609E-2</v>
      </c>
      <c r="E361" s="748">
        <f t="shared" si="30"/>
        <v>1.5575848295441563E-3</v>
      </c>
      <c r="F361" s="750">
        <f t="shared" si="28"/>
        <v>-1.4558750253833243E-2</v>
      </c>
      <c r="G361" s="750">
        <f t="shared" si="29"/>
        <v>1.5320355887944806E-3</v>
      </c>
      <c r="H361" s="604">
        <f t="shared" si="31"/>
        <v>2.3471330453328508E-6</v>
      </c>
      <c r="I361" s="750">
        <f t="shared" si="32"/>
        <v>-2.2304523517243206E-5</v>
      </c>
    </row>
    <row r="362" spans="1:9">
      <c r="A362" s="563">
        <v>45086</v>
      </c>
      <c r="B362">
        <v>68.010002136230469</v>
      </c>
      <c r="C362" s="604">
        <v>13259.1396484375</v>
      </c>
      <c r="D362" s="748">
        <f t="shared" si="30"/>
        <v>2.6907721572990262E-2</v>
      </c>
      <c r="E362" s="748">
        <f t="shared" si="30"/>
        <v>1.5293622272195995E-2</v>
      </c>
      <c r="F362" s="750">
        <f t="shared" si="28"/>
        <v>2.669676644625163E-2</v>
      </c>
      <c r="G362" s="750">
        <f t="shared" si="29"/>
        <v>1.526807303144632E-2</v>
      </c>
      <c r="H362" s="604">
        <f t="shared" si="31"/>
        <v>2.3311405409357842E-4</v>
      </c>
      <c r="I362" s="750">
        <f t="shared" si="32"/>
        <v>4.0760817980483552E-4</v>
      </c>
    </row>
    <row r="363" spans="1:9">
      <c r="A363" s="563">
        <v>45089</v>
      </c>
      <c r="B363">
        <v>69.839996337890625</v>
      </c>
      <c r="C363" s="604">
        <v>13461.919921875</v>
      </c>
      <c r="D363" s="748">
        <f t="shared" si="30"/>
        <v>9.3070097359992943E-3</v>
      </c>
      <c r="E363" s="748">
        <f t="shared" si="30"/>
        <v>8.2752230938456517E-3</v>
      </c>
      <c r="F363" s="750">
        <f t="shared" si="28"/>
        <v>9.0960546092606603E-3</v>
      </c>
      <c r="G363" s="750">
        <f t="shared" si="29"/>
        <v>8.2496738530959766E-3</v>
      </c>
      <c r="H363" s="604">
        <f t="shared" si="31"/>
        <v>6.8057118682455413E-5</v>
      </c>
      <c r="I363" s="750">
        <f t="shared" si="32"/>
        <v>7.503948387635081E-5</v>
      </c>
    </row>
    <row r="364" spans="1:9">
      <c r="A364" s="563">
        <v>45090</v>
      </c>
      <c r="B364">
        <v>70.489997863769531</v>
      </c>
      <c r="C364" s="604">
        <v>13573.3203125</v>
      </c>
      <c r="D364" s="748">
        <f t="shared" si="30"/>
        <v>1.4044623679480894E-2</v>
      </c>
      <c r="E364" s="748">
        <f t="shared" si="30"/>
        <v>3.9165182155940226E-3</v>
      </c>
      <c r="F364" s="750">
        <f t="shared" si="28"/>
        <v>1.383366855274226E-2</v>
      </c>
      <c r="G364" s="750">
        <f t="shared" si="29"/>
        <v>3.8909689748443466E-3</v>
      </c>
      <c r="H364" s="604">
        <f t="shared" si="31"/>
        <v>1.5139639563201265E-5</v>
      </c>
      <c r="I364" s="750">
        <f t="shared" si="32"/>
        <v>5.3826375147000029E-5</v>
      </c>
    </row>
    <row r="365" spans="1:9">
      <c r="A365" s="563">
        <v>45091</v>
      </c>
      <c r="B365">
        <v>71.480003356933594</v>
      </c>
      <c r="C365" s="604">
        <v>13626.48046875</v>
      </c>
      <c r="D365" s="748">
        <f t="shared" si="30"/>
        <v>2.9518646920325908E-2</v>
      </c>
      <c r="E365" s="748">
        <f t="shared" si="30"/>
        <v>1.1473237282990212E-2</v>
      </c>
      <c r="F365" s="750">
        <f t="shared" si="28"/>
        <v>2.9307691793587276E-2</v>
      </c>
      <c r="G365" s="750">
        <f t="shared" si="29"/>
        <v>1.1447688042240537E-2</v>
      </c>
      <c r="H365" s="604">
        <f t="shared" si="31"/>
        <v>1.3104956151245697E-4</v>
      </c>
      <c r="I365" s="750">
        <f t="shared" si="32"/>
        <v>3.3550531289112018E-4</v>
      </c>
    </row>
    <row r="366" spans="1:9">
      <c r="A366" s="563">
        <v>45092</v>
      </c>
      <c r="B366">
        <v>73.589996337890625</v>
      </c>
      <c r="C366" s="604">
        <v>13782.8203125</v>
      </c>
      <c r="D366" s="748">
        <f t="shared" si="30"/>
        <v>-1.1006897661397064E-2</v>
      </c>
      <c r="E366" s="748">
        <f t="shared" si="30"/>
        <v>-6.7656689912317658E-3</v>
      </c>
      <c r="F366" s="750">
        <f t="shared" si="28"/>
        <v>-1.1217852788135698E-2</v>
      </c>
      <c r="G366" s="750">
        <f t="shared" si="29"/>
        <v>-6.7912182319814418E-3</v>
      </c>
      <c r="H366" s="604">
        <f t="shared" si="31"/>
        <v>4.6120645074397143E-5</v>
      </c>
      <c r="I366" s="750">
        <f t="shared" si="32"/>
        <v>7.6182886378470998E-5</v>
      </c>
    </row>
    <row r="367" spans="1:9">
      <c r="A367" s="563">
        <v>45093</v>
      </c>
      <c r="B367">
        <v>72.779998779296875</v>
      </c>
      <c r="C367" s="604">
        <v>13689.5703125</v>
      </c>
      <c r="D367" s="748">
        <f t="shared" si="30"/>
        <v>-1.5388776256837433E-2</v>
      </c>
      <c r="E367" s="748">
        <f t="shared" si="30"/>
        <v>-1.6275363600825044E-3</v>
      </c>
      <c r="F367" s="750">
        <f t="shared" si="28"/>
        <v>-1.5599731383576067E-2</v>
      </c>
      <c r="G367" s="750">
        <f t="shared" si="29"/>
        <v>-1.6530856008321801E-3</v>
      </c>
      <c r="H367" s="604">
        <f t="shared" si="31"/>
        <v>2.7326920036786898E-6</v>
      </c>
      <c r="I367" s="750">
        <f t="shared" si="32"/>
        <v>2.5787691327039461E-5</v>
      </c>
    </row>
    <row r="368" spans="1:9">
      <c r="A368" s="563">
        <v>45097</v>
      </c>
      <c r="B368">
        <v>71.660003662109375</v>
      </c>
      <c r="C368" s="604">
        <v>13667.2900390625</v>
      </c>
      <c r="D368" s="748">
        <f t="shared" si="30"/>
        <v>-7.6751747648685642E-3</v>
      </c>
      <c r="E368" s="748">
        <f t="shared" si="30"/>
        <v>-1.2079193701030499E-2</v>
      </c>
      <c r="F368" s="750">
        <f t="shared" si="28"/>
        <v>-7.8861298916071982E-3</v>
      </c>
      <c r="G368" s="750">
        <f t="shared" si="29"/>
        <v>-1.2104742941780175E-2</v>
      </c>
      <c r="H368" s="604">
        <f t="shared" si="31"/>
        <v>1.4652480168657697E-4</v>
      </c>
      <c r="I368" s="750">
        <f t="shared" si="32"/>
        <v>9.5459575143393884E-5</v>
      </c>
    </row>
    <row r="369" spans="1:9">
      <c r="A369" s="563">
        <v>45098</v>
      </c>
      <c r="B369">
        <v>71.110000610351563</v>
      </c>
      <c r="C369" s="604">
        <v>13502.2001953125</v>
      </c>
      <c r="D369" s="748">
        <f t="shared" si="30"/>
        <v>1.0547039706969352E-2</v>
      </c>
      <c r="E369" s="748">
        <f t="shared" si="30"/>
        <v>9.5103134594745065E-3</v>
      </c>
      <c r="F369" s="750">
        <f t="shared" si="28"/>
        <v>1.0336084580230718E-2</v>
      </c>
      <c r="G369" s="750">
        <f t="shared" si="29"/>
        <v>9.4847642187248313E-3</v>
      </c>
      <c r="H369" s="604">
        <f t="shared" si="31"/>
        <v>8.9960752284802865E-5</v>
      </c>
      <c r="I369" s="750">
        <f t="shared" si="32"/>
        <v>9.8035325188285783E-5</v>
      </c>
    </row>
    <row r="370" spans="1:9">
      <c r="A370" s="563">
        <v>45099</v>
      </c>
      <c r="B370">
        <v>71.860000610351563</v>
      </c>
      <c r="C370" s="604">
        <v>13630.6103515625</v>
      </c>
      <c r="D370" s="748">
        <f t="shared" si="30"/>
        <v>-3.7573652959591586E-3</v>
      </c>
      <c r="E370" s="748">
        <f t="shared" si="30"/>
        <v>-1.0130934474014253E-2</v>
      </c>
      <c r="F370" s="750">
        <f t="shared" si="28"/>
        <v>-3.9683204226977917E-3</v>
      </c>
      <c r="G370" s="750">
        <f t="shared" si="29"/>
        <v>-1.0156483714763928E-2</v>
      </c>
      <c r="H370" s="604">
        <f t="shared" si="31"/>
        <v>1.0315416144826487E-4</v>
      </c>
      <c r="I370" s="750">
        <f t="shared" si="32"/>
        <v>4.0304181748095231E-5</v>
      </c>
    </row>
    <row r="371" spans="1:9">
      <c r="A371" s="563">
        <v>45100</v>
      </c>
      <c r="B371">
        <v>71.589996337890625</v>
      </c>
      <c r="C371" s="604">
        <v>13492.51953125</v>
      </c>
      <c r="D371" s="748">
        <f t="shared" si="30"/>
        <v>-7.4032519403323116E-3</v>
      </c>
      <c r="E371" s="748">
        <f t="shared" si="30"/>
        <v>-1.1616752338173497E-2</v>
      </c>
      <c r="F371" s="750">
        <f t="shared" si="28"/>
        <v>-7.6142070670709447E-3</v>
      </c>
      <c r="G371" s="750">
        <f t="shared" si="29"/>
        <v>-1.1642301578923172E-2</v>
      </c>
      <c r="H371" s="604">
        <f t="shared" si="31"/>
        <v>1.3554318605459698E-4</v>
      </c>
      <c r="I371" s="750">
        <f t="shared" si="32"/>
        <v>8.8646894959208038E-5</v>
      </c>
    </row>
    <row r="372" spans="1:9">
      <c r="A372" s="563">
        <v>45103</v>
      </c>
      <c r="B372">
        <v>71.05999755859375</v>
      </c>
      <c r="C372" s="604">
        <v>13335.7802734375</v>
      </c>
      <c r="D372" s="748">
        <f t="shared" si="30"/>
        <v>3.6588885348212141E-2</v>
      </c>
      <c r="E372" s="748">
        <f t="shared" si="30"/>
        <v>1.6488697618652459E-2</v>
      </c>
      <c r="F372" s="750">
        <f t="shared" si="28"/>
        <v>3.6377930221473509E-2</v>
      </c>
      <c r="G372" s="750">
        <f t="shared" si="29"/>
        <v>1.6463148377902782E-2</v>
      </c>
      <c r="H372" s="604">
        <f t="shared" si="31"/>
        <v>2.7103525451284302E-4</v>
      </c>
      <c r="I372" s="750">
        <f t="shared" si="32"/>
        <v>5.9889526291711224E-4</v>
      </c>
    </row>
    <row r="373" spans="1:9">
      <c r="A373" s="563">
        <v>45104</v>
      </c>
      <c r="B373">
        <v>73.660003662109375</v>
      </c>
      <c r="C373" s="604">
        <v>13555.669921875</v>
      </c>
      <c r="D373" s="748">
        <f t="shared" si="30"/>
        <v>9.0958204674915777E-3</v>
      </c>
      <c r="E373" s="748">
        <f t="shared" si="30"/>
        <v>2.6616226518452191E-3</v>
      </c>
      <c r="F373" s="750">
        <f t="shared" si="28"/>
        <v>8.8848653407529437E-3</v>
      </c>
      <c r="G373" s="750">
        <f t="shared" si="29"/>
        <v>2.6360734110955431E-3</v>
      </c>
      <c r="H373" s="604">
        <f t="shared" si="31"/>
        <v>6.9488830286848917E-6</v>
      </c>
      <c r="I373" s="750">
        <f t="shared" si="32"/>
        <v>2.3421157285923176E-5</v>
      </c>
    </row>
    <row r="374" spans="1:9">
      <c r="A374" s="563">
        <v>45105</v>
      </c>
      <c r="B374">
        <v>74.330001831054688</v>
      </c>
      <c r="C374" s="604">
        <v>13591.75</v>
      </c>
      <c r="D374" s="748">
        <f t="shared" si="30"/>
        <v>1.0224599597929984E-2</v>
      </c>
      <c r="E374" s="748">
        <f t="shared" si="30"/>
        <v>-3.0895350120463405E-5</v>
      </c>
      <c r="F374" s="750">
        <f t="shared" si="28"/>
        <v>1.001364447119135E-2</v>
      </c>
      <c r="G374" s="750">
        <f t="shared" si="29"/>
        <v>-5.6444590870139197E-5</v>
      </c>
      <c r="H374" s="604">
        <f t="shared" si="31"/>
        <v>3.1859918384974012E-9</v>
      </c>
      <c r="I374" s="750">
        <f t="shared" si="32"/>
        <v>-5.6521606529542714E-7</v>
      </c>
    </row>
    <row r="375" spans="1:9">
      <c r="A375" s="563">
        <v>45106</v>
      </c>
      <c r="B375">
        <v>75.089996337890625</v>
      </c>
      <c r="C375" s="604">
        <v>13591.330078125</v>
      </c>
      <c r="D375" s="748">
        <f t="shared" si="30"/>
        <v>6.6586765799014902E-3</v>
      </c>
      <c r="E375" s="748">
        <f t="shared" si="30"/>
        <v>1.4464356514040322E-2</v>
      </c>
      <c r="F375" s="750">
        <f t="shared" si="28"/>
        <v>6.4477214531628571E-3</v>
      </c>
      <c r="G375" s="750">
        <f t="shared" si="29"/>
        <v>1.4438807273290647E-2</v>
      </c>
      <c r="H375" s="604">
        <f t="shared" si="31"/>
        <v>2.0847915547523088E-4</v>
      </c>
      <c r="I375" s="750">
        <f t="shared" si="32"/>
        <v>9.3097407414080005E-5</v>
      </c>
    </row>
    <row r="376" spans="1:9">
      <c r="A376" s="563">
        <v>45107</v>
      </c>
      <c r="B376">
        <v>75.589996337890625</v>
      </c>
      <c r="C376" s="604">
        <v>13787.919921875</v>
      </c>
      <c r="D376" s="748">
        <f t="shared" si="30"/>
        <v>-1.2303118412972824E-2</v>
      </c>
      <c r="E376" s="748">
        <f t="shared" si="30"/>
        <v>2.0923830090737727E-3</v>
      </c>
      <c r="F376" s="750">
        <f t="shared" si="28"/>
        <v>-1.2514073539711458E-2</v>
      </c>
      <c r="G376" s="750">
        <f t="shared" si="29"/>
        <v>2.0668337683240967E-3</v>
      </c>
      <c r="H376" s="604">
        <f t="shared" si="31"/>
        <v>4.2718018258847857E-6</v>
      </c>
      <c r="I376" s="750">
        <f t="shared" si="32"/>
        <v>-2.5864509771166701E-5</v>
      </c>
    </row>
    <row r="377" spans="1:9">
      <c r="A377" s="563">
        <v>45110</v>
      </c>
      <c r="B377">
        <v>74.660003662109375</v>
      </c>
      <c r="C377" s="604">
        <v>13816.76953125</v>
      </c>
      <c r="D377" s="748">
        <f t="shared" si="30"/>
        <v>-4.6880000850207937E-3</v>
      </c>
      <c r="E377" s="748">
        <f t="shared" si="30"/>
        <v>-1.8180183557514606E-3</v>
      </c>
      <c r="F377" s="750">
        <f t="shared" si="28"/>
        <v>-4.8989552117594268E-3</v>
      </c>
      <c r="G377" s="750">
        <f t="shared" si="29"/>
        <v>-1.8435675965011364E-3</v>
      </c>
      <c r="H377" s="604">
        <f t="shared" si="31"/>
        <v>3.3987414828689771E-6</v>
      </c>
      <c r="I377" s="750">
        <f t="shared" si="32"/>
        <v>9.0315550851100419E-6</v>
      </c>
    </row>
    <row r="378" spans="1:9">
      <c r="A378" s="563">
        <v>45112</v>
      </c>
      <c r="B378">
        <v>74.30999755859375</v>
      </c>
      <c r="C378" s="604">
        <v>13791.650390625</v>
      </c>
      <c r="D378" s="748">
        <f t="shared" si="30"/>
        <v>4.5754808027957949E-3</v>
      </c>
      <c r="E378" s="748">
        <f t="shared" si="30"/>
        <v>-8.1651106555781228E-3</v>
      </c>
      <c r="F378" s="750">
        <f t="shared" si="28"/>
        <v>4.3645256760571618E-3</v>
      </c>
      <c r="G378" s="750">
        <f t="shared" si="29"/>
        <v>-8.1906598963277979E-3</v>
      </c>
      <c r="H378" s="604">
        <f t="shared" si="31"/>
        <v>6.7086909537312491E-5</v>
      </c>
      <c r="I378" s="750">
        <f t="shared" si="32"/>
        <v>-3.5748345421374362E-5</v>
      </c>
    </row>
    <row r="379" spans="1:9">
      <c r="A379" s="563">
        <v>45113</v>
      </c>
      <c r="B379">
        <v>74.650001525878906</v>
      </c>
      <c r="C379" s="604">
        <v>13679.0400390625</v>
      </c>
      <c r="D379" s="748">
        <f t="shared" si="30"/>
        <v>4.0185905805345534E-4</v>
      </c>
      <c r="E379" s="748">
        <f t="shared" si="30"/>
        <v>-1.3392981121250758E-3</v>
      </c>
      <c r="F379" s="750">
        <f t="shared" si="28"/>
        <v>1.9090393131482197E-4</v>
      </c>
      <c r="G379" s="750">
        <f t="shared" si="29"/>
        <v>-1.3648473528747515E-3</v>
      </c>
      <c r="H379" s="604">
        <f t="shared" si="31"/>
        <v>1.8628082966492165E-6</v>
      </c>
      <c r="I379" s="750">
        <f t="shared" si="32"/>
        <v>-2.6055472530841817E-7</v>
      </c>
    </row>
    <row r="380" spans="1:9">
      <c r="A380" s="563">
        <v>45114</v>
      </c>
      <c r="B380">
        <v>74.680000305175781</v>
      </c>
      <c r="C380" s="604">
        <v>13660.7197265625</v>
      </c>
      <c r="D380" s="748">
        <f t="shared" si="30"/>
        <v>4.2581685754966347E-2</v>
      </c>
      <c r="E380" s="748">
        <f t="shared" si="30"/>
        <v>1.8125503401811294E-3</v>
      </c>
      <c r="F380" s="750">
        <f t="shared" si="28"/>
        <v>4.2370730628227715E-2</v>
      </c>
      <c r="G380" s="750">
        <f t="shared" si="29"/>
        <v>1.7870010994314536E-3</v>
      </c>
      <c r="H380" s="604">
        <f t="shared" si="31"/>
        <v>3.1933729293692239E-6</v>
      </c>
      <c r="I380" s="750">
        <f t="shared" si="32"/>
        <v>7.5716542216356888E-5</v>
      </c>
    </row>
    <row r="381" spans="1:9">
      <c r="A381" s="563">
        <v>45117</v>
      </c>
      <c r="B381">
        <v>77.860000610351563</v>
      </c>
      <c r="C381" s="604">
        <v>13685.48046875</v>
      </c>
      <c r="D381" s="748">
        <f t="shared" si="30"/>
        <v>5.9080282669750073E-3</v>
      </c>
      <c r="E381" s="748">
        <f t="shared" si="30"/>
        <v>5.4963160945835643E-3</v>
      </c>
      <c r="F381" s="750">
        <f t="shared" si="28"/>
        <v>5.6970731402363741E-3</v>
      </c>
      <c r="G381" s="750">
        <f t="shared" si="29"/>
        <v>5.4707668538338883E-3</v>
      </c>
      <c r="H381" s="604">
        <f t="shared" si="31"/>
        <v>2.992928996900754E-5</v>
      </c>
      <c r="I381" s="750">
        <f t="shared" si="32"/>
        <v>3.11673588994725E-5</v>
      </c>
    </row>
    <row r="382" spans="1:9">
      <c r="A382" s="563">
        <v>45118</v>
      </c>
      <c r="B382">
        <v>78.319999694824219</v>
      </c>
      <c r="C382" s="604">
        <v>13760.7001953125</v>
      </c>
      <c r="D382" s="748">
        <f t="shared" si="30"/>
        <v>-2.0428989790034824E-2</v>
      </c>
      <c r="E382" s="748">
        <f t="shared" si="30"/>
        <v>1.1500851219686581E-2</v>
      </c>
      <c r="F382" s="750">
        <f t="shared" si="28"/>
        <v>-2.0639944916773456E-2</v>
      </c>
      <c r="G382" s="750">
        <f t="shared" si="29"/>
        <v>1.1475301978936906E-2</v>
      </c>
      <c r="H382" s="604">
        <f t="shared" si="31"/>
        <v>1.3168255550779327E-4</v>
      </c>
      <c r="I382" s="750">
        <f t="shared" si="32"/>
        <v>-2.3684960074859916E-4</v>
      </c>
    </row>
    <row r="383" spans="1:9">
      <c r="A383" s="563">
        <v>45119</v>
      </c>
      <c r="B383">
        <v>76.720001220703125</v>
      </c>
      <c r="C383" s="604">
        <v>13918.9599609375</v>
      </c>
      <c r="D383" s="748">
        <f t="shared" si="30"/>
        <v>1.9942632363827428E-2</v>
      </c>
      <c r="E383" s="748">
        <f t="shared" si="30"/>
        <v>1.5777784559968477E-2</v>
      </c>
      <c r="F383" s="750">
        <f t="shared" si="28"/>
        <v>1.9731677237088796E-2</v>
      </c>
      <c r="G383" s="750">
        <f t="shared" si="29"/>
        <v>1.5752235319218801E-2</v>
      </c>
      <c r="H383" s="604">
        <f t="shared" si="31"/>
        <v>2.4813291755204425E-4</v>
      </c>
      <c r="I383" s="750">
        <f t="shared" si="32"/>
        <v>3.1081802308149579E-4</v>
      </c>
    </row>
    <row r="384" spans="1:9">
      <c r="A384" s="563">
        <v>45120</v>
      </c>
      <c r="B384">
        <v>78.25</v>
      </c>
      <c r="C384" s="604">
        <v>14138.5703125</v>
      </c>
      <c r="D384" s="748">
        <f t="shared" si="30"/>
        <v>8.5622769194289017E-3</v>
      </c>
      <c r="E384" s="748">
        <f t="shared" si="30"/>
        <v>-1.7590263115579985E-3</v>
      </c>
      <c r="F384" s="750">
        <f t="shared" si="28"/>
        <v>8.3513217926902677E-3</v>
      </c>
      <c r="G384" s="750">
        <f t="shared" si="29"/>
        <v>-1.7845755523076743E-3</v>
      </c>
      <c r="H384" s="604">
        <f t="shared" si="31"/>
        <v>3.1847099018942406E-6</v>
      </c>
      <c r="I384" s="750">
        <f t="shared" si="32"/>
        <v>-1.4903564700689351E-5</v>
      </c>
    </row>
    <row r="385" spans="1:9">
      <c r="A385" s="563">
        <v>45121</v>
      </c>
      <c r="B385">
        <v>78.919998168945313</v>
      </c>
      <c r="C385" s="604">
        <v>14113.7001953125</v>
      </c>
      <c r="D385" s="748">
        <f t="shared" si="30"/>
        <v>1.7232648782380622E-2</v>
      </c>
      <c r="E385" s="748">
        <f t="shared" si="30"/>
        <v>9.2994748495218715E-3</v>
      </c>
      <c r="F385" s="750">
        <f t="shared" si="28"/>
        <v>1.702169365564199E-2</v>
      </c>
      <c r="G385" s="750">
        <f t="shared" si="29"/>
        <v>9.2739256087721964E-3</v>
      </c>
      <c r="H385" s="604">
        <f t="shared" si="31"/>
        <v>8.6005696197040759E-5</v>
      </c>
      <c r="I385" s="750">
        <f t="shared" si="32"/>
        <v>1.5785792069773348E-4</v>
      </c>
    </row>
    <row r="386" spans="1:9">
      <c r="A386" s="563">
        <v>45124</v>
      </c>
      <c r="B386">
        <v>80.279998779296875</v>
      </c>
      <c r="C386" s="604">
        <v>14244.9501953125</v>
      </c>
      <c r="D386" s="748">
        <f t="shared" si="30"/>
        <v>-4.982675153908378E-4</v>
      </c>
      <c r="E386" s="748">
        <f t="shared" si="30"/>
        <v>7.6300339162129749E-3</v>
      </c>
      <c r="F386" s="750">
        <f t="shared" si="28"/>
        <v>-7.0922264212947114E-4</v>
      </c>
      <c r="G386" s="750">
        <f t="shared" si="29"/>
        <v>7.6044846754632989E-3</v>
      </c>
      <c r="H386" s="604">
        <f t="shared" si="31"/>
        <v>5.7828187179356158E-5</v>
      </c>
      <c r="I386" s="750">
        <f t="shared" si="32"/>
        <v>-5.3932727135651549E-6</v>
      </c>
    </row>
    <row r="387" spans="1:9">
      <c r="A387" s="563">
        <v>45125</v>
      </c>
      <c r="B387">
        <v>80.239997863769531</v>
      </c>
      <c r="C387" s="604">
        <v>14353.6396484375</v>
      </c>
      <c r="D387" s="748">
        <f t="shared" si="30"/>
        <v>-1.9316992318405113E-2</v>
      </c>
      <c r="E387" s="748">
        <f t="shared" si="30"/>
        <v>3.051409203362887E-4</v>
      </c>
      <c r="F387" s="750">
        <f t="shared" ref="F387:F450" si="33">D387-$F$504</f>
        <v>-1.9527947445143745E-2</v>
      </c>
      <c r="G387" s="750">
        <f t="shared" ref="G387:G450" si="34">E387-$G$504</f>
        <v>2.7959167958661288E-4</v>
      </c>
      <c r="H387" s="604">
        <f t="shared" si="31"/>
        <v>7.8171507294063203E-8</v>
      </c>
      <c r="I387" s="750">
        <f t="shared" si="32"/>
        <v>-5.4598516250668455E-6</v>
      </c>
    </row>
    <row r="388" spans="1:9">
      <c r="A388" s="563">
        <v>45126</v>
      </c>
      <c r="B388">
        <v>78.69000244140625</v>
      </c>
      <c r="C388" s="604">
        <v>14358.01953125</v>
      </c>
      <c r="D388" s="748">
        <f t="shared" si="30"/>
        <v>-1.2581083523300673E-2</v>
      </c>
      <c r="E388" s="748">
        <f t="shared" si="30"/>
        <v>-2.052580861142228E-2</v>
      </c>
      <c r="F388" s="750">
        <f t="shared" si="33"/>
        <v>-1.2792038650039307E-2</v>
      </c>
      <c r="G388" s="750">
        <f t="shared" si="34"/>
        <v>-2.0551357852171957E-2</v>
      </c>
      <c r="H388" s="604">
        <f t="shared" si="31"/>
        <v>4.2235830956802997E-4</v>
      </c>
      <c r="I388" s="750">
        <f t="shared" si="32"/>
        <v>2.6289376395577249E-4</v>
      </c>
    </row>
    <row r="389" spans="1:9">
      <c r="A389" s="563">
        <v>45127</v>
      </c>
      <c r="B389">
        <v>77.699996948242188</v>
      </c>
      <c r="C389" s="604">
        <v>14063.3095703125</v>
      </c>
      <c r="D389" s="748">
        <f t="shared" si="30"/>
        <v>5.9202925602894751E-3</v>
      </c>
      <c r="E389" s="748">
        <f t="shared" si="30"/>
        <v>-2.1687640343482917E-3</v>
      </c>
      <c r="F389" s="750">
        <f t="shared" si="33"/>
        <v>5.709337433550842E-3</v>
      </c>
      <c r="G389" s="750">
        <f t="shared" si="34"/>
        <v>-2.1943132750979677E-3</v>
      </c>
      <c r="H389" s="604">
        <f t="shared" si="31"/>
        <v>4.8150107492711687E-6</v>
      </c>
      <c r="I389" s="750">
        <f t="shared" si="32"/>
        <v>-1.2528074922454374E-5</v>
      </c>
    </row>
    <row r="390" spans="1:9">
      <c r="A390" s="563">
        <v>45128</v>
      </c>
      <c r="B390">
        <v>78.160003662109375</v>
      </c>
      <c r="C390" s="604">
        <v>14032.8095703125</v>
      </c>
      <c r="D390" s="748">
        <f t="shared" si="30"/>
        <v>-1.1386987939388082E-2</v>
      </c>
      <c r="E390" s="748">
        <f t="shared" si="30"/>
        <v>1.8571154083166785E-3</v>
      </c>
      <c r="F390" s="750">
        <f t="shared" si="33"/>
        <v>-1.1597943066126716E-2</v>
      </c>
      <c r="G390" s="750">
        <f t="shared" si="34"/>
        <v>1.8315661675670028E-3</v>
      </c>
      <c r="H390" s="604">
        <f t="shared" si="31"/>
        <v>3.3546346261760779E-6</v>
      </c>
      <c r="I390" s="750">
        <f t="shared" si="32"/>
        <v>-2.1242400133286003E-5</v>
      </c>
    </row>
    <row r="391" spans="1:9">
      <c r="A391" s="563">
        <v>45131</v>
      </c>
      <c r="B391">
        <v>77.269996643066406</v>
      </c>
      <c r="C391" s="604">
        <v>14058.8701171875</v>
      </c>
      <c r="D391" s="748">
        <f t="shared" si="30"/>
        <v>1.3847544212624685E-2</v>
      </c>
      <c r="E391" s="748">
        <f t="shared" si="30"/>
        <v>6.0950455058434994E-3</v>
      </c>
      <c r="F391" s="750">
        <f t="shared" si="33"/>
        <v>1.3636589085886051E-2</v>
      </c>
      <c r="G391" s="750">
        <f t="shared" si="34"/>
        <v>6.0694962650938234E-3</v>
      </c>
      <c r="H391" s="604">
        <f t="shared" si="31"/>
        <v>3.6838784911987872E-5</v>
      </c>
      <c r="I391" s="750">
        <f t="shared" si="32"/>
        <v>8.2767226525404583E-5</v>
      </c>
    </row>
    <row r="392" spans="1:9">
      <c r="A392" s="563">
        <v>45132</v>
      </c>
      <c r="B392">
        <v>78.339996337890625</v>
      </c>
      <c r="C392" s="604">
        <v>14144.5595703125</v>
      </c>
      <c r="D392" s="748">
        <f t="shared" si="30"/>
        <v>-1.3785987390170451E-2</v>
      </c>
      <c r="E392" s="748">
        <f t="shared" si="30"/>
        <v>-1.2216214148701443E-3</v>
      </c>
      <c r="F392" s="750">
        <f t="shared" si="33"/>
        <v>-1.3996942516909085E-2</v>
      </c>
      <c r="G392" s="750">
        <f t="shared" si="34"/>
        <v>-1.2471706556198201E-3</v>
      </c>
      <c r="H392" s="604">
        <f t="shared" si="31"/>
        <v>1.5554346442391719E-6</v>
      </c>
      <c r="I392" s="750">
        <f t="shared" si="32"/>
        <v>1.7456575975486439E-5</v>
      </c>
    </row>
    <row r="393" spans="1:9">
      <c r="A393" s="563">
        <v>45133</v>
      </c>
      <c r="B393">
        <v>77.260002136230469</v>
      </c>
      <c r="C393" s="604">
        <v>14127.2802734375</v>
      </c>
      <c r="D393" s="748">
        <f t="shared" si="30"/>
        <v>-8.801453357155653E-3</v>
      </c>
      <c r="E393" s="748">
        <f t="shared" si="30"/>
        <v>-5.4624754645872242E-3</v>
      </c>
      <c r="F393" s="750">
        <f t="shared" si="33"/>
        <v>-9.012408483894287E-3</v>
      </c>
      <c r="G393" s="750">
        <f t="shared" si="34"/>
        <v>-5.4880247053369002E-3</v>
      </c>
      <c r="H393" s="604">
        <f t="shared" si="31"/>
        <v>3.0118415166388171E-5</v>
      </c>
      <c r="I393" s="750">
        <f t="shared" si="32"/>
        <v>4.9460320414199727E-5</v>
      </c>
    </row>
    <row r="394" spans="1:9">
      <c r="A394" s="563">
        <v>45134</v>
      </c>
      <c r="B394">
        <v>76.580001831054688</v>
      </c>
      <c r="C394" s="604">
        <v>14050.1103515625</v>
      </c>
      <c r="D394" s="748">
        <f t="shared" si="30"/>
        <v>2.8728286163857142E-3</v>
      </c>
      <c r="E394" s="748">
        <f t="shared" si="30"/>
        <v>1.8971367342880407E-2</v>
      </c>
      <c r="F394" s="750">
        <f t="shared" si="33"/>
        <v>2.6618734896470806E-3</v>
      </c>
      <c r="G394" s="750">
        <f t="shared" si="34"/>
        <v>1.8945818102130731E-2</v>
      </c>
      <c r="H394" s="604">
        <f t="shared" si="31"/>
        <v>3.5894402355902451E-4</v>
      </c>
      <c r="I394" s="750">
        <f t="shared" si="32"/>
        <v>5.0431370945737559E-5</v>
      </c>
    </row>
    <row r="395" spans="1:9">
      <c r="A395" s="563">
        <v>45135</v>
      </c>
      <c r="B395">
        <v>76.800003051757813</v>
      </c>
      <c r="C395" s="604">
        <v>14316.66015625</v>
      </c>
      <c r="D395" s="748">
        <f t="shared" si="30"/>
        <v>1.1979142348800487E-2</v>
      </c>
      <c r="E395" s="748">
        <f t="shared" si="30"/>
        <v>2.0507139709664557E-3</v>
      </c>
      <c r="F395" s="750">
        <f t="shared" si="33"/>
        <v>1.1768187222061853E-2</v>
      </c>
      <c r="G395" s="750">
        <f t="shared" si="34"/>
        <v>2.0251647302167797E-3</v>
      </c>
      <c r="H395" s="604">
        <f t="shared" si="31"/>
        <v>4.1012921845140021E-6</v>
      </c>
      <c r="I395" s="750">
        <f t="shared" si="32"/>
        <v>2.3832517700707446E-5</v>
      </c>
    </row>
    <row r="396" spans="1:9">
      <c r="A396" s="563">
        <v>45138</v>
      </c>
      <c r="B396">
        <v>77.720001220703125</v>
      </c>
      <c r="C396" s="604">
        <v>14346.01953125</v>
      </c>
      <c r="D396" s="748">
        <f t="shared" si="30"/>
        <v>3.9886458276479075E-3</v>
      </c>
      <c r="E396" s="748">
        <f t="shared" si="30"/>
        <v>-4.3293803458657187E-3</v>
      </c>
      <c r="F396" s="750">
        <f t="shared" si="33"/>
        <v>3.777690700909274E-3</v>
      </c>
      <c r="G396" s="750">
        <f t="shared" si="34"/>
        <v>-4.3549295866153947E-3</v>
      </c>
      <c r="H396" s="604">
        <f t="shared" si="31"/>
        <v>1.8965411704378131E-5</v>
      </c>
      <c r="I396" s="750">
        <f t="shared" si="32"/>
        <v>-1.6451577002471646E-5</v>
      </c>
    </row>
    <row r="397" spans="1:9">
      <c r="A397" s="563">
        <v>45139</v>
      </c>
      <c r="B397">
        <v>78.029998779296875</v>
      </c>
      <c r="C397" s="604">
        <v>14283.91015625</v>
      </c>
      <c r="D397" s="748">
        <f t="shared" si="30"/>
        <v>-4.7545804722695983E-2</v>
      </c>
      <c r="E397" s="748">
        <f t="shared" si="30"/>
        <v>-2.1734942151092729E-2</v>
      </c>
      <c r="F397" s="750">
        <f t="shared" si="33"/>
        <v>-4.7756759849434616E-2</v>
      </c>
      <c r="G397" s="750">
        <f t="shared" si="34"/>
        <v>-2.1760491391842406E-2</v>
      </c>
      <c r="H397" s="604">
        <f t="shared" si="31"/>
        <v>4.7351898561444745E-4</v>
      </c>
      <c r="I397" s="750">
        <f t="shared" si="32"/>
        <v>1.039210561605907E-3</v>
      </c>
    </row>
    <row r="398" spans="1:9">
      <c r="A398" s="563">
        <v>45140</v>
      </c>
      <c r="B398">
        <v>74.319999694824219</v>
      </c>
      <c r="C398" s="604">
        <v>13973.4501953125</v>
      </c>
      <c r="D398" s="748">
        <f t="shared" si="30"/>
        <v>1.9375705695899414E-2</v>
      </c>
      <c r="E398" s="748">
        <f t="shared" si="30"/>
        <v>-9.826112061147585E-4</v>
      </c>
      <c r="F398" s="750">
        <f t="shared" si="33"/>
        <v>1.9164750569160782E-2</v>
      </c>
      <c r="G398" s="750">
        <f t="shared" si="34"/>
        <v>-1.0081604468644343E-3</v>
      </c>
      <c r="H398" s="604">
        <f t="shared" si="31"/>
        <v>1.0163874866218959E-6</v>
      </c>
      <c r="I398" s="750">
        <f t="shared" si="32"/>
        <v>-1.9321143497850555E-5</v>
      </c>
    </row>
    <row r="399" spans="1:9">
      <c r="A399" s="563">
        <v>45141</v>
      </c>
      <c r="B399">
        <v>75.760002136230469</v>
      </c>
      <c r="C399" s="604">
        <v>13959.7197265625</v>
      </c>
      <c r="D399" s="748">
        <f t="shared" si="30"/>
        <v>-0.25065999396778349</v>
      </c>
      <c r="E399" s="748">
        <f t="shared" si="30"/>
        <v>-3.6160820687143325E-3</v>
      </c>
      <c r="F399" s="750">
        <f t="shared" si="33"/>
        <v>-0.25087094909452212</v>
      </c>
      <c r="G399" s="750">
        <f t="shared" si="34"/>
        <v>-3.6416313094640084E-3</v>
      </c>
      <c r="H399" s="604">
        <f t="shared" si="31"/>
        <v>1.326147859406855E-5</v>
      </c>
      <c r="I399" s="750">
        <f t="shared" si="32"/>
        <v>9.1357950285756318E-4</v>
      </c>
    </row>
    <row r="400" spans="1:9">
      <c r="A400" s="563">
        <v>45142</v>
      </c>
      <c r="B400">
        <v>56.770000457763672</v>
      </c>
      <c r="C400" s="604">
        <v>13909.240234375</v>
      </c>
      <c r="D400" s="748">
        <f t="shared" si="30"/>
        <v>1.6381897087841102E-2</v>
      </c>
      <c r="E400" s="748">
        <f t="shared" si="30"/>
        <v>6.1225598821377236E-3</v>
      </c>
      <c r="F400" s="750">
        <f t="shared" si="33"/>
        <v>1.617094196110247E-2</v>
      </c>
      <c r="G400" s="750">
        <f t="shared" si="34"/>
        <v>6.0970106413880476E-3</v>
      </c>
      <c r="H400" s="604">
        <f t="shared" si="31"/>
        <v>3.717353876119909E-5</v>
      </c>
      <c r="I400" s="750">
        <f t="shared" si="32"/>
        <v>9.8594405218110258E-5</v>
      </c>
    </row>
    <row r="401" spans="1:9">
      <c r="A401" s="563">
        <v>45145</v>
      </c>
      <c r="B401">
        <v>57.700000762939453</v>
      </c>
      <c r="C401" s="604">
        <v>13994.400390625</v>
      </c>
      <c r="D401" s="748">
        <f t="shared" si="30"/>
        <v>1.5077970890488457E-2</v>
      </c>
      <c r="E401" s="748">
        <f t="shared" si="30"/>
        <v>-7.8660089073014916E-3</v>
      </c>
      <c r="F401" s="750">
        <f t="shared" si="33"/>
        <v>1.4867015763749823E-2</v>
      </c>
      <c r="G401" s="750">
        <f t="shared" si="34"/>
        <v>-7.8915581480511667E-3</v>
      </c>
      <c r="H401" s="604">
        <f t="shared" si="31"/>
        <v>6.2276690004072757E-5</v>
      </c>
      <c r="I401" s="750">
        <f t="shared" si="32"/>
        <v>-1.1732391938762506E-4</v>
      </c>
    </row>
    <row r="402" spans="1:9">
      <c r="A402" s="563">
        <v>45146</v>
      </c>
      <c r="B402">
        <v>58.569999694824219</v>
      </c>
      <c r="C402" s="604">
        <v>13884.3203125</v>
      </c>
      <c r="D402" s="748">
        <f t="shared" si="30"/>
        <v>2.0659024940708592E-2</v>
      </c>
      <c r="E402" s="748">
        <f t="shared" si="30"/>
        <v>-1.1689501365355404E-2</v>
      </c>
      <c r="F402" s="750">
        <f t="shared" si="33"/>
        <v>2.044806981396996E-2</v>
      </c>
      <c r="G402" s="750">
        <f t="shared" si="34"/>
        <v>-1.1715050606105079E-2</v>
      </c>
      <c r="H402" s="604">
        <f t="shared" si="31"/>
        <v>1.3724241070360297E-4</v>
      </c>
      <c r="I402" s="750">
        <f t="shared" si="32"/>
        <v>-2.3955017266782776E-4</v>
      </c>
    </row>
    <row r="403" spans="1:9">
      <c r="A403" s="563">
        <v>45147</v>
      </c>
      <c r="B403">
        <v>59.779998779296882</v>
      </c>
      <c r="C403" s="604">
        <v>13722.01953125</v>
      </c>
      <c r="D403" s="748">
        <f t="shared" ref="D403:E466" si="35">B404/B403-1</f>
        <v>1.3047885746432453E-2</v>
      </c>
      <c r="E403" s="748">
        <f t="shared" si="35"/>
        <v>1.1638740994814878E-3</v>
      </c>
      <c r="F403" s="750">
        <f t="shared" si="33"/>
        <v>1.2836930619693819E-2</v>
      </c>
      <c r="G403" s="750">
        <f t="shared" si="34"/>
        <v>1.138324858731812E-3</v>
      </c>
      <c r="H403" s="604">
        <f t="shared" ref="H403:H466" si="36">G403^2</f>
        <v>1.2957834840067997E-6</v>
      </c>
      <c r="I403" s="750">
        <f t="shared" ref="I403:I466" si="37">F403*G403</f>
        <v>1.4612597234213038E-5</v>
      </c>
    </row>
    <row r="404" spans="1:9">
      <c r="A404" s="563">
        <v>45148</v>
      </c>
      <c r="B404">
        <v>60.560001373291023</v>
      </c>
      <c r="C404" s="604">
        <v>13737.990234375</v>
      </c>
      <c r="D404" s="748">
        <f t="shared" si="35"/>
        <v>-1.4531060900922488E-2</v>
      </c>
      <c r="E404" s="748">
        <f t="shared" si="35"/>
        <v>-6.7797853551347931E-3</v>
      </c>
      <c r="F404" s="750">
        <f t="shared" si="33"/>
        <v>-1.4742016027661122E-2</v>
      </c>
      <c r="G404" s="750">
        <f t="shared" si="34"/>
        <v>-6.8053345958844691E-3</v>
      </c>
      <c r="H404" s="604">
        <f t="shared" si="36"/>
        <v>4.6312578961942027E-5</v>
      </c>
      <c r="I404" s="750">
        <f t="shared" si="37"/>
        <v>1.0032435168612557E-4</v>
      </c>
    </row>
    <row r="405" spans="1:9">
      <c r="A405" s="563">
        <v>45149</v>
      </c>
      <c r="B405">
        <v>59.680000305175781</v>
      </c>
      <c r="C405" s="604">
        <v>13644.849609375</v>
      </c>
      <c r="D405" s="748">
        <f t="shared" si="35"/>
        <v>-3.3512831202076043E-4</v>
      </c>
      <c r="E405" s="748">
        <f t="shared" si="35"/>
        <v>1.0515357285537208E-2</v>
      </c>
      <c r="F405" s="750">
        <f t="shared" si="33"/>
        <v>-5.4608343875939378E-4</v>
      </c>
      <c r="G405" s="750">
        <f t="shared" si="34"/>
        <v>1.0489808044787533E-2</v>
      </c>
      <c r="H405" s="604">
        <f t="shared" si="36"/>
        <v>1.1003607281648924E-4</v>
      </c>
      <c r="I405" s="750">
        <f t="shared" si="37"/>
        <v>-5.7283104490235288E-6</v>
      </c>
    </row>
    <row r="406" spans="1:9">
      <c r="A406" s="563">
        <v>45152</v>
      </c>
      <c r="B406">
        <v>59.659999847412109</v>
      </c>
      <c r="C406" s="604">
        <v>13788.330078125</v>
      </c>
      <c r="D406" s="748">
        <f t="shared" si="35"/>
        <v>-8.2132363345631676E-3</v>
      </c>
      <c r="E406" s="748">
        <f t="shared" si="35"/>
        <v>-1.1406767356623049E-2</v>
      </c>
      <c r="F406" s="750">
        <f t="shared" si="33"/>
        <v>-8.4241914613018016E-3</v>
      </c>
      <c r="G406" s="750">
        <f t="shared" si="34"/>
        <v>-1.1432316597372724E-2</v>
      </c>
      <c r="H406" s="604">
        <f t="shared" si="36"/>
        <v>1.3069786278256386E-4</v>
      </c>
      <c r="I406" s="750">
        <f t="shared" si="37"/>
        <v>9.6308023862486165E-5</v>
      </c>
    </row>
    <row r="407" spans="1:9">
      <c r="A407" s="563">
        <v>45153</v>
      </c>
      <c r="B407">
        <v>59.169998168945313</v>
      </c>
      <c r="C407" s="604">
        <v>13631.0498046875</v>
      </c>
      <c r="D407" s="748">
        <f t="shared" si="35"/>
        <v>-1.6731416163692225E-2</v>
      </c>
      <c r="E407" s="748">
        <f t="shared" si="35"/>
        <v>-1.1475265963829862E-2</v>
      </c>
      <c r="F407" s="750">
        <f t="shared" si="33"/>
        <v>-1.6942371290430858E-2</v>
      </c>
      <c r="G407" s="750">
        <f t="shared" si="34"/>
        <v>-1.1500815204579537E-2</v>
      </c>
      <c r="H407" s="604">
        <f t="shared" si="36"/>
        <v>1.3226875036988784E-4</v>
      </c>
      <c r="I407" s="750">
        <f t="shared" si="37"/>
        <v>1.9485108133861904E-4</v>
      </c>
    </row>
    <row r="408" spans="1:9">
      <c r="A408" s="563">
        <v>45154</v>
      </c>
      <c r="B408">
        <v>58.180000305175781</v>
      </c>
      <c r="C408" s="604">
        <v>13474.6298828125</v>
      </c>
      <c r="D408" s="748">
        <f t="shared" si="35"/>
        <v>-1.3234796385780845E-2</v>
      </c>
      <c r="E408" s="748">
        <f t="shared" si="35"/>
        <v>-1.1703489942506917E-2</v>
      </c>
      <c r="F408" s="750">
        <f t="shared" si="33"/>
        <v>-1.3445751512519479E-2</v>
      </c>
      <c r="G408" s="750">
        <f t="shared" si="34"/>
        <v>-1.1729039183256592E-2</v>
      </c>
      <c r="H408" s="604">
        <f t="shared" si="36"/>
        <v>1.3757036016236846E-4</v>
      </c>
      <c r="I408" s="750">
        <f t="shared" si="37"/>
        <v>1.5770574633867257E-4</v>
      </c>
    </row>
    <row r="409" spans="1:9">
      <c r="A409" s="563">
        <v>45155</v>
      </c>
      <c r="B409">
        <v>57.409999847412109</v>
      </c>
      <c r="C409" s="604">
        <v>13316.9296875</v>
      </c>
      <c r="D409" s="748">
        <f t="shared" si="35"/>
        <v>-4.3546420599976932E-3</v>
      </c>
      <c r="E409" s="748">
        <f t="shared" si="35"/>
        <v>-1.963621846486574E-3</v>
      </c>
      <c r="F409" s="750">
        <f t="shared" si="33"/>
        <v>-4.5655971867363263E-3</v>
      </c>
      <c r="G409" s="750">
        <f t="shared" si="34"/>
        <v>-1.98917108723625E-3</v>
      </c>
      <c r="H409" s="604">
        <f t="shared" si="36"/>
        <v>3.9568016142966446E-6</v>
      </c>
      <c r="I409" s="750">
        <f t="shared" si="37"/>
        <v>9.0817539198230622E-6</v>
      </c>
    </row>
    <row r="410" spans="1:9">
      <c r="A410" s="563">
        <v>45156</v>
      </c>
      <c r="B410">
        <v>57.159999847412109</v>
      </c>
      <c r="C410" s="604">
        <v>13290.7802734375</v>
      </c>
      <c r="D410" s="748">
        <f t="shared" si="35"/>
        <v>2.1518536485650719E-2</v>
      </c>
      <c r="E410" s="748">
        <f t="shared" si="35"/>
        <v>1.5560378401998198E-2</v>
      </c>
      <c r="F410" s="750">
        <f t="shared" si="33"/>
        <v>2.1307581358912087E-2</v>
      </c>
      <c r="G410" s="750">
        <f t="shared" si="34"/>
        <v>1.5534829161248523E-2</v>
      </c>
      <c r="H410" s="604">
        <f t="shared" si="36"/>
        <v>2.4133091706917748E-4</v>
      </c>
      <c r="I410" s="750">
        <f t="shared" si="37"/>
        <v>3.310096362501029E-4</v>
      </c>
    </row>
    <row r="411" spans="1:9">
      <c r="A411" s="563">
        <v>45159</v>
      </c>
      <c r="B411">
        <v>58.389999389648438</v>
      </c>
      <c r="C411" s="604">
        <v>13497.58984375</v>
      </c>
      <c r="D411" s="748">
        <f t="shared" si="35"/>
        <v>-1.1988302030472298E-3</v>
      </c>
      <c r="E411" s="748">
        <f t="shared" si="35"/>
        <v>6.1346310958865224E-4</v>
      </c>
      <c r="F411" s="750">
        <f t="shared" si="33"/>
        <v>-1.4097853297858631E-3</v>
      </c>
      <c r="G411" s="750">
        <f t="shared" si="34"/>
        <v>5.8791386883897648E-4</v>
      </c>
      <c r="H411" s="604">
        <f t="shared" si="36"/>
        <v>3.4564271717321323E-7</v>
      </c>
      <c r="I411" s="750">
        <f t="shared" si="37"/>
        <v>-8.2883234746683917E-7</v>
      </c>
    </row>
    <row r="412" spans="1:9">
      <c r="A412" s="563">
        <v>45160</v>
      </c>
      <c r="B412">
        <v>58.319999694824219</v>
      </c>
      <c r="C412" s="604">
        <v>13505.8701171875</v>
      </c>
      <c r="D412" s="748">
        <f t="shared" si="35"/>
        <v>1.4917677236578664E-2</v>
      </c>
      <c r="E412" s="748">
        <f t="shared" si="35"/>
        <v>1.5930862238648924E-2</v>
      </c>
      <c r="F412" s="750">
        <f t="shared" si="33"/>
        <v>1.470672210984003E-2</v>
      </c>
      <c r="G412" s="750">
        <f t="shared" si="34"/>
        <v>1.5905312997899247E-2</v>
      </c>
      <c r="H412" s="604">
        <f t="shared" si="36"/>
        <v>2.5297898156114275E-4</v>
      </c>
      <c r="I412" s="750">
        <f t="shared" si="37"/>
        <v>2.3391501833013086E-4</v>
      </c>
    </row>
    <row r="413" spans="1:9">
      <c r="A413" s="563">
        <v>45161</v>
      </c>
      <c r="B413">
        <v>59.189998626708977</v>
      </c>
      <c r="C413" s="604">
        <v>13721.0302734375</v>
      </c>
      <c r="D413" s="748">
        <f t="shared" si="35"/>
        <v>-1.757048699036079E-2</v>
      </c>
      <c r="E413" s="748">
        <f t="shared" si="35"/>
        <v>-1.8734784615455746E-2</v>
      </c>
      <c r="F413" s="750">
        <f t="shared" si="33"/>
        <v>-1.7781442117099422E-2</v>
      </c>
      <c r="G413" s="750">
        <f t="shared" si="34"/>
        <v>-1.8760333856205423E-2</v>
      </c>
      <c r="H413" s="604">
        <f t="shared" si="36"/>
        <v>3.5195012639628744E-4</v>
      </c>
      <c r="I413" s="750">
        <f t="shared" si="37"/>
        <v>3.3358579056157731E-4</v>
      </c>
    </row>
    <row r="414" spans="1:9">
      <c r="A414" s="563">
        <v>45162</v>
      </c>
      <c r="B414">
        <v>58.150001525878913</v>
      </c>
      <c r="C414" s="604">
        <v>13463.9697265625</v>
      </c>
      <c r="D414" s="748">
        <f t="shared" si="35"/>
        <v>1.1349954085871916E-2</v>
      </c>
      <c r="E414" s="748">
        <f t="shared" si="35"/>
        <v>9.4088642974721193E-3</v>
      </c>
      <c r="F414" s="750">
        <f t="shared" si="33"/>
        <v>1.1138998959133282E-2</v>
      </c>
      <c r="G414" s="750">
        <f t="shared" si="34"/>
        <v>9.3833150567224442E-3</v>
      </c>
      <c r="H414" s="604">
        <f t="shared" si="36"/>
        <v>8.8046601453714121E-5</v>
      </c>
      <c r="I414" s="750">
        <f t="shared" si="37"/>
        <v>1.0452073665005096E-4</v>
      </c>
    </row>
    <row r="415" spans="1:9">
      <c r="A415" s="563">
        <v>45163</v>
      </c>
      <c r="B415">
        <v>58.810001373291023</v>
      </c>
      <c r="C415" s="604">
        <v>13590.650390625</v>
      </c>
      <c r="D415" s="748">
        <f t="shared" si="35"/>
        <v>-1.8704405336321672E-3</v>
      </c>
      <c r="E415" s="748">
        <f t="shared" si="35"/>
        <v>8.4234005656174116E-3</v>
      </c>
      <c r="F415" s="750">
        <f t="shared" si="33"/>
        <v>-2.0813956603708008E-3</v>
      </c>
      <c r="G415" s="750">
        <f t="shared" si="34"/>
        <v>8.3978513248677365E-3</v>
      </c>
      <c r="H415" s="604">
        <f t="shared" si="36"/>
        <v>7.0523906874582796E-5</v>
      </c>
      <c r="I415" s="750">
        <f t="shared" si="37"/>
        <v>-1.7479251304018888E-5</v>
      </c>
    </row>
    <row r="416" spans="1:9">
      <c r="A416" s="563">
        <v>45166</v>
      </c>
      <c r="B416">
        <v>58.700000762939453</v>
      </c>
      <c r="C416" s="604">
        <v>13705.1298828125</v>
      </c>
      <c r="D416" s="748">
        <f t="shared" si="35"/>
        <v>3.2879050768160889E-2</v>
      </c>
      <c r="E416" s="748">
        <f t="shared" si="35"/>
        <v>1.7411719907285406E-2</v>
      </c>
      <c r="F416" s="750">
        <f t="shared" si="33"/>
        <v>3.2668095641422257E-2</v>
      </c>
      <c r="G416" s="750">
        <f t="shared" si="34"/>
        <v>1.7386170666535729E-2</v>
      </c>
      <c r="H416" s="604">
        <f t="shared" si="36"/>
        <v>3.0227893044590745E-4</v>
      </c>
      <c r="I416" s="750">
        <f t="shared" si="37"/>
        <v>5.6797308617247935E-4</v>
      </c>
    </row>
    <row r="417" spans="1:9">
      <c r="A417" s="563">
        <v>45167</v>
      </c>
      <c r="B417">
        <v>60.630001068115227</v>
      </c>
      <c r="C417" s="604">
        <v>13943.759765625</v>
      </c>
      <c r="D417" s="748">
        <f t="shared" si="35"/>
        <v>9.7311585385764232E-3</v>
      </c>
      <c r="E417" s="748">
        <f t="shared" si="35"/>
        <v>5.4181803155952668E-3</v>
      </c>
      <c r="F417" s="750">
        <f t="shared" si="33"/>
        <v>9.5202034118377892E-3</v>
      </c>
      <c r="G417" s="750">
        <f t="shared" si="34"/>
        <v>5.3926310748455908E-3</v>
      </c>
      <c r="H417" s="604">
        <f t="shared" si="36"/>
        <v>2.9080469909390312E-5</v>
      </c>
      <c r="I417" s="750">
        <f t="shared" si="37"/>
        <v>5.1338944757527475E-5</v>
      </c>
    </row>
    <row r="418" spans="1:9">
      <c r="A418" s="563">
        <v>45168</v>
      </c>
      <c r="B418">
        <v>61.220001220703118</v>
      </c>
      <c r="C418" s="604">
        <v>14019.3095703125</v>
      </c>
      <c r="D418" s="748">
        <f t="shared" si="35"/>
        <v>-1.6497911076305161E-2</v>
      </c>
      <c r="E418" s="748">
        <f t="shared" si="35"/>
        <v>1.1170419036299339E-3</v>
      </c>
      <c r="F418" s="750">
        <f t="shared" si="33"/>
        <v>-1.6708866203043793E-2</v>
      </c>
      <c r="G418" s="750">
        <f t="shared" si="34"/>
        <v>1.0914926628802582E-3</v>
      </c>
      <c r="H418" s="604">
        <f t="shared" si="36"/>
        <v>1.1913562331214369E-6</v>
      </c>
      <c r="I418" s="750">
        <f t="shared" si="37"/>
        <v>-1.8237604865670217E-5</v>
      </c>
    </row>
    <row r="419" spans="1:9">
      <c r="A419" s="563">
        <v>45169</v>
      </c>
      <c r="B419">
        <v>60.209999084472663</v>
      </c>
      <c r="C419" s="604">
        <v>14034.9697265625</v>
      </c>
      <c r="D419" s="748">
        <f t="shared" si="35"/>
        <v>1.0961631912436154E-2</v>
      </c>
      <c r="E419" s="748">
        <f t="shared" si="35"/>
        <v>-2.2516302575414926E-4</v>
      </c>
      <c r="F419" s="750">
        <f t="shared" si="33"/>
        <v>1.075067678569752E-2</v>
      </c>
      <c r="G419" s="750">
        <f t="shared" si="34"/>
        <v>-2.5071226650382508E-4</v>
      </c>
      <c r="H419" s="604">
        <f t="shared" si="36"/>
        <v>6.2856640575485007E-8</v>
      </c>
      <c r="I419" s="750">
        <f t="shared" si="37"/>
        <v>-2.6953265433922822E-6</v>
      </c>
    </row>
    <row r="420" spans="1:9">
      <c r="A420" s="563">
        <v>45170</v>
      </c>
      <c r="B420">
        <v>60.869998931884773</v>
      </c>
      <c r="C420" s="604">
        <v>14031.8095703125</v>
      </c>
      <c r="D420" s="748">
        <f t="shared" si="35"/>
        <v>1.7085607586277973E-2</v>
      </c>
      <c r="E420" s="748">
        <f t="shared" si="35"/>
        <v>-7.7391122973724524E-4</v>
      </c>
      <c r="F420" s="750">
        <f t="shared" si="33"/>
        <v>1.6874652459539341E-2</v>
      </c>
      <c r="G420" s="750">
        <f t="shared" si="34"/>
        <v>-7.9946047048692101E-4</v>
      </c>
      <c r="H420" s="604">
        <f t="shared" si="36"/>
        <v>6.3913704387116911E-7</v>
      </c>
      <c r="I420" s="750">
        <f t="shared" si="37"/>
        <v>-1.3490617594606601E-5</v>
      </c>
    </row>
    <row r="421" spans="1:9">
      <c r="A421" s="563">
        <v>45174</v>
      </c>
      <c r="B421">
        <v>61.909999847412109</v>
      </c>
      <c r="C421" s="604">
        <v>14020.9501953125</v>
      </c>
      <c r="D421" s="748">
        <f t="shared" si="35"/>
        <v>5.1687884931823636E-3</v>
      </c>
      <c r="E421" s="748">
        <f t="shared" si="35"/>
        <v>-1.0589900590306622E-2</v>
      </c>
      <c r="F421" s="750">
        <f t="shared" si="33"/>
        <v>4.9578333664437304E-3</v>
      </c>
      <c r="G421" s="750">
        <f t="shared" si="34"/>
        <v>-1.0615449831056297E-2</v>
      </c>
      <c r="H421" s="604">
        <f t="shared" si="36"/>
        <v>1.1268777511567317E-4</v>
      </c>
      <c r="I421" s="750">
        <f t="shared" si="37"/>
        <v>-5.2629631372220375E-5</v>
      </c>
    </row>
    <row r="422" spans="1:9">
      <c r="A422" s="563">
        <v>45175</v>
      </c>
      <c r="B422">
        <v>62.229999542236328</v>
      </c>
      <c r="C422" s="604">
        <v>13872.4697265625</v>
      </c>
      <c r="D422" s="748">
        <f t="shared" si="35"/>
        <v>1.5105232743429342E-2</v>
      </c>
      <c r="E422" s="748">
        <f t="shared" si="35"/>
        <v>-8.9125909715095375E-3</v>
      </c>
      <c r="F422" s="750">
        <f t="shared" si="33"/>
        <v>1.4894277616690708E-2</v>
      </c>
      <c r="G422" s="750">
        <f t="shared" si="34"/>
        <v>-8.9381402122592126E-3</v>
      </c>
      <c r="H422" s="604">
        <f t="shared" si="36"/>
        <v>7.9890350454005167E-5</v>
      </c>
      <c r="I422" s="750">
        <f t="shared" si="37"/>
        <v>-1.3312714169829551E-4</v>
      </c>
    </row>
    <row r="423" spans="1:9">
      <c r="A423" s="563">
        <v>45176</v>
      </c>
      <c r="B423">
        <v>63.169998168945313</v>
      </c>
      <c r="C423" s="604">
        <v>13748.830078125</v>
      </c>
      <c r="D423" s="748">
        <f t="shared" si="35"/>
        <v>1.4247293841483044E-2</v>
      </c>
      <c r="E423" s="748">
        <f t="shared" si="35"/>
        <v>9.2372916388772097E-4</v>
      </c>
      <c r="F423" s="750">
        <f t="shared" si="33"/>
        <v>1.403633871474441E-2</v>
      </c>
      <c r="G423" s="750">
        <f t="shared" si="34"/>
        <v>8.9817992313804521E-4</v>
      </c>
      <c r="H423" s="604">
        <f t="shared" si="36"/>
        <v>8.067271743282648E-7</v>
      </c>
      <c r="I423" s="750">
        <f t="shared" si="37"/>
        <v>1.2607157627948703E-5</v>
      </c>
    </row>
    <row r="424" spans="1:9">
      <c r="A424" s="563">
        <v>45177</v>
      </c>
      <c r="B424">
        <v>64.069999694824219</v>
      </c>
      <c r="C424" s="604">
        <v>13761.5302734375</v>
      </c>
      <c r="D424" s="748">
        <f t="shared" si="35"/>
        <v>1.560792890218754E-2</v>
      </c>
      <c r="E424" s="748">
        <f t="shared" si="35"/>
        <v>1.1362063076793438E-2</v>
      </c>
      <c r="F424" s="750">
        <f t="shared" si="33"/>
        <v>1.5396973775448906E-2</v>
      </c>
      <c r="G424" s="750">
        <f t="shared" si="34"/>
        <v>1.1336513836043763E-2</v>
      </c>
      <c r="H424" s="604">
        <f t="shared" si="36"/>
        <v>1.2851654595481167E-4</v>
      </c>
      <c r="I424" s="750">
        <f t="shared" si="37"/>
        <v>1.7454800623857951E-4</v>
      </c>
    </row>
    <row r="425" spans="1:9">
      <c r="A425" s="563">
        <v>45180</v>
      </c>
      <c r="B425">
        <v>65.069999694824219</v>
      </c>
      <c r="C425" s="604">
        <v>13917.8896484375</v>
      </c>
      <c r="D425" s="748">
        <f t="shared" si="35"/>
        <v>-2.4127857725333546E-2</v>
      </c>
      <c r="E425" s="748">
        <f t="shared" si="35"/>
        <v>-1.0366463632020317E-2</v>
      </c>
      <c r="F425" s="750">
        <f t="shared" si="33"/>
        <v>-2.4338812852072178E-2</v>
      </c>
      <c r="G425" s="750">
        <f t="shared" si="34"/>
        <v>-1.0392012872769993E-2</v>
      </c>
      <c r="H425" s="604">
        <f t="shared" si="36"/>
        <v>1.0799393154781723E-4</v>
      </c>
      <c r="I425" s="750">
        <f t="shared" si="37"/>
        <v>2.5292925646667379E-4</v>
      </c>
    </row>
    <row r="426" spans="1:9">
      <c r="A426" s="563">
        <v>45181</v>
      </c>
      <c r="B426">
        <v>63.5</v>
      </c>
      <c r="C426" s="604">
        <v>13773.6103515625</v>
      </c>
      <c r="D426" s="748">
        <f t="shared" si="35"/>
        <v>-1.3858284537247689E-2</v>
      </c>
      <c r="E426" s="748">
        <f t="shared" si="35"/>
        <v>2.9026153032538637E-3</v>
      </c>
      <c r="F426" s="750">
        <f t="shared" si="33"/>
        <v>-1.4069239663986323E-2</v>
      </c>
      <c r="G426" s="750">
        <f t="shared" si="34"/>
        <v>2.8770660625041878E-3</v>
      </c>
      <c r="H426" s="604">
        <f t="shared" si="36"/>
        <v>8.277509128013351E-6</v>
      </c>
      <c r="I426" s="750">
        <f t="shared" si="37"/>
        <v>-4.0478131962492875E-5</v>
      </c>
    </row>
    <row r="427" spans="1:9">
      <c r="A427" s="563">
        <v>45182</v>
      </c>
      <c r="B427">
        <v>62.619998931884773</v>
      </c>
      <c r="C427" s="604">
        <v>13813.58984375</v>
      </c>
      <c r="D427" s="748">
        <f t="shared" si="35"/>
        <v>7.6652754778618881E-3</v>
      </c>
      <c r="E427" s="748">
        <f t="shared" si="35"/>
        <v>8.1412552572917019E-3</v>
      </c>
      <c r="F427" s="750">
        <f t="shared" si="33"/>
        <v>7.454320351123255E-3</v>
      </c>
      <c r="G427" s="750">
        <f t="shared" si="34"/>
        <v>8.1157060165420267E-3</v>
      </c>
      <c r="H427" s="604">
        <f t="shared" si="36"/>
        <v>6.5864684146936455E-5</v>
      </c>
      <c r="I427" s="750">
        <f t="shared" si="37"/>
        <v>6.0497072522842671E-5</v>
      </c>
    </row>
    <row r="428" spans="1:9">
      <c r="A428" s="563">
        <v>45183</v>
      </c>
      <c r="B428">
        <v>63.099998474121087</v>
      </c>
      <c r="C428" s="604">
        <v>13926.0498046875</v>
      </c>
      <c r="D428" s="748">
        <f t="shared" si="35"/>
        <v>-3.2963519281390741E-2</v>
      </c>
      <c r="E428" s="748">
        <f t="shared" si="35"/>
        <v>-1.5633990228098638E-2</v>
      </c>
      <c r="F428" s="750">
        <f t="shared" si="33"/>
        <v>-3.3174474408129373E-2</v>
      </c>
      <c r="G428" s="750">
        <f t="shared" si="34"/>
        <v>-1.5659539468848314E-2</v>
      </c>
      <c r="H428" s="604">
        <f t="shared" si="36"/>
        <v>2.4522117637641814E-4</v>
      </c>
      <c r="I428" s="750">
        <f t="shared" si="37"/>
        <v>5.1949699135240028E-4</v>
      </c>
    </row>
    <row r="429" spans="1:9">
      <c r="A429" s="563">
        <v>45184</v>
      </c>
      <c r="B429">
        <v>61.020000457763672</v>
      </c>
      <c r="C429" s="604">
        <v>13708.330078125</v>
      </c>
      <c r="D429" s="748">
        <f t="shared" si="35"/>
        <v>-9.3411945353680803E-3</v>
      </c>
      <c r="E429" s="748">
        <f t="shared" si="35"/>
        <v>1.3934273825588761E-4</v>
      </c>
      <c r="F429" s="750">
        <f t="shared" si="33"/>
        <v>-9.5521496621067143E-3</v>
      </c>
      <c r="G429" s="750">
        <f t="shared" si="34"/>
        <v>1.1379349750621182E-4</v>
      </c>
      <c r="H429" s="604">
        <f t="shared" si="36"/>
        <v>1.2948960074696235E-8</v>
      </c>
      <c r="I429" s="750">
        <f t="shared" si="37"/>
        <v>-1.0869725187539025E-6</v>
      </c>
    </row>
    <row r="430" spans="1:9">
      <c r="A430" s="563">
        <v>45187</v>
      </c>
      <c r="B430">
        <v>60.450000762939453</v>
      </c>
      <c r="C430" s="604">
        <v>13710.240234375</v>
      </c>
      <c r="D430" s="748">
        <f t="shared" si="35"/>
        <v>-1.6546130858952068E-4</v>
      </c>
      <c r="E430" s="748">
        <f t="shared" si="35"/>
        <v>-2.3376544932555143E-3</v>
      </c>
      <c r="F430" s="750">
        <f t="shared" si="33"/>
        <v>-3.7641643532815403E-4</v>
      </c>
      <c r="G430" s="750">
        <f t="shared" si="34"/>
        <v>-2.3632037340051903E-3</v>
      </c>
      <c r="H430" s="604">
        <f t="shared" si="36"/>
        <v>5.5847318884160742E-6</v>
      </c>
      <c r="I430" s="750">
        <f t="shared" si="37"/>
        <v>8.8954872550841686E-7</v>
      </c>
    </row>
    <row r="431" spans="1:9">
      <c r="A431" s="563">
        <v>45188</v>
      </c>
      <c r="B431">
        <v>60.439998626708977</v>
      </c>
      <c r="C431" s="604">
        <v>13678.1904296875</v>
      </c>
      <c r="D431" s="748">
        <f t="shared" si="35"/>
        <v>-4.7980990638525345E-3</v>
      </c>
      <c r="E431" s="748">
        <f t="shared" si="35"/>
        <v>-1.52842254938379E-2</v>
      </c>
      <c r="F431" s="750">
        <f t="shared" si="33"/>
        <v>-5.0090541905911676E-3</v>
      </c>
      <c r="G431" s="750">
        <f t="shared" si="34"/>
        <v>-1.5309774734587575E-2</v>
      </c>
      <c r="H431" s="604">
        <f t="shared" si="36"/>
        <v>2.3438920242381604E-4</v>
      </c>
      <c r="I431" s="750">
        <f t="shared" si="37"/>
        <v>7.6687491291292675E-5</v>
      </c>
    </row>
    <row r="432" spans="1:9">
      <c r="A432" s="563">
        <v>45189</v>
      </c>
      <c r="B432">
        <v>60.150001525878913</v>
      </c>
      <c r="C432" s="604">
        <v>13469.1298828125</v>
      </c>
      <c r="D432" s="748">
        <f t="shared" si="35"/>
        <v>-2.2776437436873631E-2</v>
      </c>
      <c r="E432" s="748">
        <f t="shared" si="35"/>
        <v>-1.8200835257764281E-2</v>
      </c>
      <c r="F432" s="750">
        <f t="shared" si="33"/>
        <v>-2.2987392563612263E-2</v>
      </c>
      <c r="G432" s="750">
        <f t="shared" si="34"/>
        <v>-1.8226384498513958E-2</v>
      </c>
      <c r="H432" s="604">
        <f t="shared" si="36"/>
        <v>3.322010918876699E-4</v>
      </c>
      <c r="I432" s="750">
        <f t="shared" si="37"/>
        <v>4.189770554826776E-4</v>
      </c>
    </row>
    <row r="433" spans="1:9">
      <c r="A433" s="563">
        <v>45190</v>
      </c>
      <c r="B433">
        <v>58.779998779296882</v>
      </c>
      <c r="C433" s="604">
        <v>13223.98046875</v>
      </c>
      <c r="D433" s="748">
        <f t="shared" si="35"/>
        <v>-9.1867490990877876E-3</v>
      </c>
      <c r="E433" s="748">
        <f t="shared" si="35"/>
        <v>-9.2036572999043553E-4</v>
      </c>
      <c r="F433" s="750">
        <f t="shared" si="33"/>
        <v>-9.3977042258264216E-3</v>
      </c>
      <c r="G433" s="750">
        <f t="shared" si="34"/>
        <v>-9.459149707401113E-4</v>
      </c>
      <c r="H433" s="604">
        <f t="shared" si="36"/>
        <v>8.9475513187026565E-7</v>
      </c>
      <c r="I433" s="750">
        <f t="shared" si="37"/>
        <v>8.8894291177968204E-6</v>
      </c>
    </row>
    <row r="434" spans="1:9">
      <c r="A434" s="563">
        <v>45191</v>
      </c>
      <c r="B434">
        <v>58.240001678466797</v>
      </c>
      <c r="C434" s="604">
        <v>13211.8095703125</v>
      </c>
      <c r="D434" s="748">
        <f t="shared" si="35"/>
        <v>-2.232161132703081E-3</v>
      </c>
      <c r="E434" s="748">
        <f t="shared" si="35"/>
        <v>4.5043596693388199E-3</v>
      </c>
      <c r="F434" s="750">
        <f t="shared" si="33"/>
        <v>-2.4431162594417146E-3</v>
      </c>
      <c r="G434" s="750">
        <f t="shared" si="34"/>
        <v>4.4788104285891439E-3</v>
      </c>
      <c r="H434" s="604">
        <f t="shared" si="36"/>
        <v>2.0059742855238872E-5</v>
      </c>
      <c r="I434" s="750">
        <f t="shared" si="37"/>
        <v>-1.0942254581043253E-5</v>
      </c>
    </row>
    <row r="435" spans="1:9">
      <c r="A435" s="563">
        <v>45194</v>
      </c>
      <c r="B435">
        <v>58.110000610351563</v>
      </c>
      <c r="C435" s="604">
        <v>13271.3203125</v>
      </c>
      <c r="D435" s="748">
        <f t="shared" si="35"/>
        <v>-1.1701949716631854E-2</v>
      </c>
      <c r="E435" s="748">
        <f t="shared" si="35"/>
        <v>-1.5651039689085211E-2</v>
      </c>
      <c r="F435" s="750">
        <f t="shared" si="33"/>
        <v>-1.1912904843370488E-2</v>
      </c>
      <c r="G435" s="750">
        <f t="shared" si="34"/>
        <v>-1.5676588929834888E-2</v>
      </c>
      <c r="H435" s="604">
        <f t="shared" si="36"/>
        <v>2.4575544047502175E-4</v>
      </c>
      <c r="I435" s="750">
        <f t="shared" si="37"/>
        <v>1.8675371218975821E-4</v>
      </c>
    </row>
    <row r="436" spans="1:9">
      <c r="A436" s="563">
        <v>45195</v>
      </c>
      <c r="B436">
        <v>57.430000305175781</v>
      </c>
      <c r="C436" s="604">
        <v>13063.6103515625</v>
      </c>
      <c r="D436" s="748">
        <f t="shared" si="35"/>
        <v>1.236286053804303E-2</v>
      </c>
      <c r="E436" s="748">
        <f t="shared" si="35"/>
        <v>2.2382218257912534E-3</v>
      </c>
      <c r="F436" s="750">
        <f t="shared" si="33"/>
        <v>1.2151905411304396E-2</v>
      </c>
      <c r="G436" s="750">
        <f t="shared" si="34"/>
        <v>2.2126725850415774E-3</v>
      </c>
      <c r="H436" s="604">
        <f t="shared" si="36"/>
        <v>4.8959199685945769E-6</v>
      </c>
      <c r="I436" s="750">
        <f t="shared" si="37"/>
        <v>2.6888187959611631E-5</v>
      </c>
    </row>
    <row r="437" spans="1:9">
      <c r="A437" s="563">
        <v>45196</v>
      </c>
      <c r="B437">
        <v>58.139999389648438</v>
      </c>
      <c r="C437" s="604">
        <v>13092.849609375</v>
      </c>
      <c r="D437" s="748">
        <f t="shared" si="35"/>
        <v>7.911921040620884E-3</v>
      </c>
      <c r="E437" s="748">
        <f t="shared" si="35"/>
        <v>8.2816703236903155E-3</v>
      </c>
      <c r="F437" s="750">
        <f t="shared" si="33"/>
        <v>7.7009659138822508E-3</v>
      </c>
      <c r="G437" s="750">
        <f t="shared" si="34"/>
        <v>8.2561210829406404E-3</v>
      </c>
      <c r="H437" s="604">
        <f t="shared" si="36"/>
        <v>6.8163535336176936E-5</v>
      </c>
      <c r="I437" s="750">
        <f t="shared" si="37"/>
        <v>6.358010704061049E-5</v>
      </c>
    </row>
    <row r="438" spans="1:9">
      <c r="A438" s="563">
        <v>45197</v>
      </c>
      <c r="B438">
        <v>58.599998474121087</v>
      </c>
      <c r="C438" s="604">
        <v>13201.2802734375</v>
      </c>
      <c r="D438" s="748">
        <f t="shared" si="35"/>
        <v>1.3652189955264404E-3</v>
      </c>
      <c r="E438" s="748">
        <f t="shared" si="35"/>
        <v>1.3665370849522684E-3</v>
      </c>
      <c r="F438" s="750">
        <f t="shared" si="33"/>
        <v>1.1542638687878071E-3</v>
      </c>
      <c r="G438" s="750">
        <f t="shared" si="34"/>
        <v>1.3409878442025927E-3</v>
      </c>
      <c r="H438" s="604">
        <f t="shared" si="36"/>
        <v>1.798248398299117E-6</v>
      </c>
      <c r="I438" s="750">
        <f t="shared" si="37"/>
        <v>1.5478538170467057E-6</v>
      </c>
    </row>
    <row r="439" spans="1:9">
      <c r="A439" s="563">
        <v>45198</v>
      </c>
      <c r="B439">
        <v>58.680000305175781</v>
      </c>
      <c r="C439" s="604">
        <v>13219.3203125</v>
      </c>
      <c r="D439" s="748">
        <f t="shared" si="35"/>
        <v>-8.5206606681198505E-4</v>
      </c>
      <c r="E439" s="748">
        <f t="shared" si="35"/>
        <v>6.6909051796228969E-3</v>
      </c>
      <c r="F439" s="750">
        <f t="shared" si="33"/>
        <v>-1.0630211935506184E-3</v>
      </c>
      <c r="G439" s="750">
        <f t="shared" si="34"/>
        <v>6.6653559388732209E-3</v>
      </c>
      <c r="H439" s="604">
        <f t="shared" si="36"/>
        <v>4.4426969791872517E-5</v>
      </c>
      <c r="I439" s="750">
        <f t="shared" si="37"/>
        <v>-7.0854146255807139E-6</v>
      </c>
    </row>
    <row r="440" spans="1:9">
      <c r="A440" s="563">
        <v>45201</v>
      </c>
      <c r="B440">
        <v>58.630001068115227</v>
      </c>
      <c r="C440" s="604">
        <v>13307.76953125</v>
      </c>
      <c r="D440" s="748">
        <f t="shared" si="35"/>
        <v>-1.7397244400160328E-2</v>
      </c>
      <c r="E440" s="748">
        <f t="shared" si="35"/>
        <v>-1.8658258553729046E-2</v>
      </c>
      <c r="F440" s="750">
        <f t="shared" si="33"/>
        <v>-1.760819952689896E-2</v>
      </c>
      <c r="G440" s="750">
        <f t="shared" si="34"/>
        <v>-1.8683807794478723E-2</v>
      </c>
      <c r="H440" s="604">
        <f t="shared" si="36"/>
        <v>3.4908467370102389E-4</v>
      </c>
      <c r="I440" s="750">
        <f t="shared" si="37"/>
        <v>3.2898821556741136E-4</v>
      </c>
    </row>
    <row r="441" spans="1:9">
      <c r="A441" s="563">
        <v>45202</v>
      </c>
      <c r="B441">
        <v>57.610000610351563</v>
      </c>
      <c r="C441" s="604">
        <v>13059.4697265625</v>
      </c>
      <c r="D441" s="748">
        <f t="shared" si="35"/>
        <v>1.1282723560062768E-2</v>
      </c>
      <c r="E441" s="748">
        <f t="shared" si="35"/>
        <v>1.3518162893201069E-2</v>
      </c>
      <c r="F441" s="750">
        <f t="shared" si="33"/>
        <v>1.1071768433324134E-2</v>
      </c>
      <c r="G441" s="750">
        <f t="shared" si="34"/>
        <v>1.3492613652451394E-2</v>
      </c>
      <c r="H441" s="604">
        <f t="shared" si="36"/>
        <v>1.8205062317431774E-4</v>
      </c>
      <c r="I441" s="750">
        <f t="shared" si="37"/>
        <v>1.493870939202496E-4</v>
      </c>
    </row>
    <row r="442" spans="1:9">
      <c r="A442" s="563">
        <v>45203</v>
      </c>
      <c r="B442">
        <v>58.259998321533203</v>
      </c>
      <c r="C442" s="604">
        <v>13236.009765625</v>
      </c>
      <c r="D442" s="748">
        <f t="shared" si="35"/>
        <v>-4.1194279211097529E-3</v>
      </c>
      <c r="E442" s="748">
        <f t="shared" si="35"/>
        <v>-1.2223991812109203E-3</v>
      </c>
      <c r="F442" s="750">
        <f t="shared" si="33"/>
        <v>-4.330383047848386E-3</v>
      </c>
      <c r="G442" s="750">
        <f t="shared" si="34"/>
        <v>-1.247948421960596E-3</v>
      </c>
      <c r="H442" s="604">
        <f t="shared" si="36"/>
        <v>1.557375263873942E-6</v>
      </c>
      <c r="I442" s="750">
        <f t="shared" si="37"/>
        <v>5.4040946910473093E-6</v>
      </c>
    </row>
    <row r="443" spans="1:9">
      <c r="A443" s="563">
        <v>45204</v>
      </c>
      <c r="B443">
        <v>58.020000457763672</v>
      </c>
      <c r="C443" s="604">
        <v>13219.830078125</v>
      </c>
      <c r="D443" s="748">
        <f t="shared" si="35"/>
        <v>3.2919679978329563E-2</v>
      </c>
      <c r="E443" s="748">
        <f t="shared" si="35"/>
        <v>1.5999431488532334E-2</v>
      </c>
      <c r="F443" s="750">
        <f t="shared" si="33"/>
        <v>3.2708724851590931E-2</v>
      </c>
      <c r="G443" s="750">
        <f t="shared" si="34"/>
        <v>1.5973882247782657E-2</v>
      </c>
      <c r="H443" s="604">
        <f t="shared" si="36"/>
        <v>2.5516491406602594E-4</v>
      </c>
      <c r="I443" s="750">
        <f t="shared" si="37"/>
        <v>5.2248531925443576E-4</v>
      </c>
    </row>
    <row r="444" spans="1:9">
      <c r="A444" s="563">
        <v>45205</v>
      </c>
      <c r="B444">
        <v>59.930000305175781</v>
      </c>
      <c r="C444" s="604">
        <v>13431.33984375</v>
      </c>
      <c r="D444" s="748">
        <f t="shared" si="35"/>
        <v>-7.0082092692114184E-3</v>
      </c>
      <c r="E444" s="748">
        <f t="shared" si="35"/>
        <v>3.9385788194181703E-3</v>
      </c>
      <c r="F444" s="750">
        <f t="shared" si="33"/>
        <v>-7.2191643959500515E-3</v>
      </c>
      <c r="G444" s="750">
        <f t="shared" si="34"/>
        <v>3.9130295786684944E-3</v>
      </c>
      <c r="H444" s="604">
        <f t="shared" si="36"/>
        <v>1.5311800483534536E-5</v>
      </c>
      <c r="I444" s="750">
        <f t="shared" si="37"/>
        <v>-2.8248803814623025E-5</v>
      </c>
    </row>
    <row r="445" spans="1:9">
      <c r="A445" s="563">
        <v>45208</v>
      </c>
      <c r="B445">
        <v>59.509998321533203</v>
      </c>
      <c r="C445" s="604">
        <v>13484.240234375</v>
      </c>
      <c r="D445" s="748">
        <f t="shared" si="35"/>
        <v>-1.8483750421227629E-3</v>
      </c>
      <c r="E445" s="748">
        <f t="shared" si="35"/>
        <v>5.8289980012835585E-3</v>
      </c>
      <c r="F445" s="750">
        <f t="shared" si="33"/>
        <v>-2.0593301688613965E-3</v>
      </c>
      <c r="G445" s="750">
        <f t="shared" si="34"/>
        <v>5.8034487605338825E-3</v>
      </c>
      <c r="H445" s="604">
        <f t="shared" si="36"/>
        <v>3.368001751614226E-5</v>
      </c>
      <c r="I445" s="750">
        <f t="shared" si="37"/>
        <v>-1.1951217116008702E-5</v>
      </c>
    </row>
    <row r="446" spans="1:9">
      <c r="A446" s="563">
        <v>45209</v>
      </c>
      <c r="B446">
        <v>59.400001525878913</v>
      </c>
      <c r="C446" s="604">
        <v>13562.83984375</v>
      </c>
      <c r="D446" s="748">
        <f t="shared" si="35"/>
        <v>-7.2390621907384434E-3</v>
      </c>
      <c r="E446" s="748">
        <f t="shared" si="35"/>
        <v>7.1400860635115748E-3</v>
      </c>
      <c r="F446" s="750">
        <f t="shared" si="33"/>
        <v>-7.4500173174770765E-3</v>
      </c>
      <c r="G446" s="750">
        <f t="shared" si="34"/>
        <v>7.1145368227618988E-3</v>
      </c>
      <c r="H446" s="604">
        <f t="shared" si="36"/>
        <v>5.0616634202434971E-5</v>
      </c>
      <c r="I446" s="750">
        <f t="shared" si="37"/>
        <v>-5.3003422535404486E-5</v>
      </c>
    </row>
    <row r="447" spans="1:9">
      <c r="A447" s="563">
        <v>45210</v>
      </c>
      <c r="B447">
        <v>58.970001220703118</v>
      </c>
      <c r="C447" s="604">
        <v>13659.6796875</v>
      </c>
      <c r="D447" s="748">
        <f t="shared" si="35"/>
        <v>-1.6449062245611268E-2</v>
      </c>
      <c r="E447" s="748">
        <f t="shared" si="35"/>
        <v>-6.2563663931083369E-3</v>
      </c>
      <c r="F447" s="750">
        <f t="shared" si="33"/>
        <v>-1.66600173723499E-2</v>
      </c>
      <c r="G447" s="750">
        <f t="shared" si="34"/>
        <v>-6.2819156338580128E-3</v>
      </c>
      <c r="H447" s="604">
        <f t="shared" si="36"/>
        <v>3.9462464030909722E-5</v>
      </c>
      <c r="I447" s="750">
        <f t="shared" si="37"/>
        <v>1.0465682359171093E-4</v>
      </c>
    </row>
    <row r="448" spans="1:9">
      <c r="A448" s="563">
        <v>45211</v>
      </c>
      <c r="B448">
        <v>58</v>
      </c>
      <c r="C448" s="604">
        <v>13574.2197265625</v>
      </c>
      <c r="D448" s="748">
        <f t="shared" si="35"/>
        <v>-4.1379599735654748E-3</v>
      </c>
      <c r="E448" s="748">
        <f t="shared" si="35"/>
        <v>-1.2301941561011387E-2</v>
      </c>
      <c r="F448" s="750">
        <f t="shared" si="33"/>
        <v>-4.348915100304108E-3</v>
      </c>
      <c r="G448" s="750">
        <f t="shared" si="34"/>
        <v>-1.2327490801761062E-2</v>
      </c>
      <c r="H448" s="604">
        <f t="shared" si="36"/>
        <v>1.5196702946750358E-4</v>
      </c>
      <c r="I448" s="750">
        <f t="shared" si="37"/>
        <v>5.361121089663868E-5</v>
      </c>
    </row>
    <row r="449" spans="1:9">
      <c r="A449" s="563">
        <v>45212</v>
      </c>
      <c r="B449">
        <v>57.759998321533203</v>
      </c>
      <c r="C449" s="604">
        <v>13407.23046875</v>
      </c>
      <c r="D449" s="748">
        <f t="shared" si="35"/>
        <v>2.3891985945587502E-2</v>
      </c>
      <c r="E449" s="748">
        <f t="shared" si="35"/>
        <v>1.1989799114342059E-2</v>
      </c>
      <c r="F449" s="750">
        <f t="shared" si="33"/>
        <v>2.3681030818848869E-2</v>
      </c>
      <c r="G449" s="750">
        <f t="shared" si="34"/>
        <v>1.1964249873592384E-2</v>
      </c>
      <c r="H449" s="604">
        <f t="shared" si="36"/>
        <v>1.4314327503775538E-4</v>
      </c>
      <c r="I449" s="750">
        <f t="shared" si="37"/>
        <v>2.8332576998094995E-4</v>
      </c>
    </row>
    <row r="450" spans="1:9">
      <c r="A450" s="563">
        <v>45215</v>
      </c>
      <c r="B450">
        <v>59.139999389648438</v>
      </c>
      <c r="C450" s="604">
        <v>13567.98046875</v>
      </c>
      <c r="D450" s="748">
        <f t="shared" si="35"/>
        <v>-8.2853883805634743E-3</v>
      </c>
      <c r="E450" s="748">
        <f t="shared" si="35"/>
        <v>-2.5228860572757972E-3</v>
      </c>
      <c r="F450" s="750">
        <f t="shared" si="33"/>
        <v>-8.4963435073021083E-3</v>
      </c>
      <c r="G450" s="750">
        <f t="shared" si="34"/>
        <v>-2.5484352980254732E-3</v>
      </c>
      <c r="H450" s="604">
        <f t="shared" si="36"/>
        <v>6.4945224682221818E-6</v>
      </c>
      <c r="I450" s="750">
        <f t="shared" si="37"/>
        <v>2.1652381698158241E-5</v>
      </c>
    </row>
    <row r="451" spans="1:9">
      <c r="A451" s="563">
        <v>45216</v>
      </c>
      <c r="B451">
        <v>58.650001525878913</v>
      </c>
      <c r="C451" s="604">
        <v>13533.75</v>
      </c>
      <c r="D451" s="748">
        <f t="shared" si="35"/>
        <v>-1.6709349214614755E-2</v>
      </c>
      <c r="E451" s="748">
        <f t="shared" si="35"/>
        <v>-1.6215032442043031E-2</v>
      </c>
      <c r="F451" s="750">
        <f t="shared" ref="F451:F501" si="38">D451-$F$504</f>
        <v>-1.6920304341353387E-2</v>
      </c>
      <c r="G451" s="750">
        <f t="shared" ref="G451:G502" si="39">E451-$G$504</f>
        <v>-1.6240581682792708E-2</v>
      </c>
      <c r="H451" s="604">
        <f t="shared" si="36"/>
        <v>2.6375649339546205E-4</v>
      </c>
      <c r="I451" s="750">
        <f t="shared" si="37"/>
        <v>2.7479558475346179E-4</v>
      </c>
    </row>
    <row r="452" spans="1:9">
      <c r="A452" s="563">
        <v>45217</v>
      </c>
      <c r="B452">
        <v>57.669998168945313</v>
      </c>
      <c r="C452" s="604">
        <v>13314.2998046875</v>
      </c>
      <c r="D452" s="748">
        <f t="shared" si="35"/>
        <v>1.7340435580628366E-3</v>
      </c>
      <c r="E452" s="748">
        <f t="shared" si="35"/>
        <v>-9.6227453990778145E-3</v>
      </c>
      <c r="F452" s="750">
        <f t="shared" si="38"/>
        <v>1.5230884313242033E-3</v>
      </c>
      <c r="G452" s="750">
        <f t="shared" si="39"/>
        <v>-9.6482946398274896E-3</v>
      </c>
      <c r="H452" s="604">
        <f t="shared" si="36"/>
        <v>9.3089589456923867E-5</v>
      </c>
      <c r="I452" s="750">
        <f t="shared" si="37"/>
        <v>-1.4695205947928569E-5</v>
      </c>
    </row>
    <row r="453" spans="1:9">
      <c r="A453" s="563">
        <v>45218</v>
      </c>
      <c r="B453">
        <v>57.770000457763672</v>
      </c>
      <c r="C453" s="604">
        <v>13186.1796875</v>
      </c>
      <c r="D453" s="748">
        <f t="shared" si="35"/>
        <v>-2.440712889457175E-2</v>
      </c>
      <c r="E453" s="748">
        <f t="shared" si="35"/>
        <v>-1.5347137835482361E-2</v>
      </c>
      <c r="F453" s="750">
        <f t="shared" si="38"/>
        <v>-2.4618084021310382E-2</v>
      </c>
      <c r="G453" s="750">
        <f t="shared" si="39"/>
        <v>-1.5372687076232036E-2</v>
      </c>
      <c r="H453" s="604">
        <f t="shared" si="36"/>
        <v>2.3631950794375146E-4</v>
      </c>
      <c r="I453" s="750">
        <f t="shared" si="37"/>
        <v>3.7844610207599252E-4</v>
      </c>
    </row>
    <row r="454" spans="1:9">
      <c r="A454" s="563">
        <v>45219</v>
      </c>
      <c r="B454">
        <v>56.360000610351563</v>
      </c>
      <c r="C454" s="604">
        <v>12983.8095703125</v>
      </c>
      <c r="D454" s="748">
        <f t="shared" si="35"/>
        <v>-4.6132387050173973E-3</v>
      </c>
      <c r="E454" s="748">
        <f t="shared" si="35"/>
        <v>2.6587349133209148E-3</v>
      </c>
      <c r="F454" s="750">
        <f t="shared" si="38"/>
        <v>-4.8241938317560304E-3</v>
      </c>
      <c r="G454" s="750">
        <f t="shared" si="39"/>
        <v>2.6331856725712388E-3</v>
      </c>
      <c r="H454" s="604">
        <f t="shared" si="36"/>
        <v>6.9336667862344475E-6</v>
      </c>
      <c r="I454" s="750">
        <f t="shared" si="37"/>
        <v>-1.2702998079486525E-5</v>
      </c>
    </row>
    <row r="455" spans="1:9">
      <c r="A455" s="563">
        <v>45222</v>
      </c>
      <c r="B455">
        <v>56.099998474121087</v>
      </c>
      <c r="C455" s="604">
        <v>13018.330078125</v>
      </c>
      <c r="D455" s="748">
        <f t="shared" si="35"/>
        <v>2.5668493414853222E-2</v>
      </c>
      <c r="E455" s="748">
        <f t="shared" si="35"/>
        <v>9.3360698594304736E-3</v>
      </c>
      <c r="F455" s="750">
        <f t="shared" si="38"/>
        <v>2.545753828811459E-2</v>
      </c>
      <c r="G455" s="750">
        <f t="shared" si="39"/>
        <v>9.3105206186807985E-3</v>
      </c>
      <c r="H455" s="604">
        <f t="shared" si="36"/>
        <v>8.6685794190880284E-5</v>
      </c>
      <c r="I455" s="750">
        <f t="shared" si="37"/>
        <v>2.3702293513234676E-4</v>
      </c>
    </row>
    <row r="456" spans="1:9">
      <c r="A456" s="563">
        <v>45223</v>
      </c>
      <c r="B456">
        <v>57.540000915527337</v>
      </c>
      <c r="C456" s="604">
        <v>13139.8701171875</v>
      </c>
      <c r="D456" s="748">
        <f t="shared" si="35"/>
        <v>-2.7806782470637614E-2</v>
      </c>
      <c r="E456" s="748">
        <f t="shared" si="35"/>
        <v>-2.4250649951873759E-2</v>
      </c>
      <c r="F456" s="750">
        <f t="shared" si="38"/>
        <v>-2.8017737597376247E-2</v>
      </c>
      <c r="G456" s="750">
        <f t="shared" si="39"/>
        <v>-2.4276199192623436E-2</v>
      </c>
      <c r="H456" s="604">
        <f t="shared" si="36"/>
        <v>5.8933384723993082E-4</v>
      </c>
      <c r="I456" s="750">
        <f t="shared" si="37"/>
        <v>6.8016417884056055E-4</v>
      </c>
    </row>
    <row r="457" spans="1:9">
      <c r="A457" s="563">
        <v>45224</v>
      </c>
      <c r="B457">
        <v>55.939998626708977</v>
      </c>
      <c r="C457" s="604">
        <v>12821.2197265625</v>
      </c>
      <c r="D457" s="748">
        <f t="shared" si="35"/>
        <v>-3.9327388524607043E-3</v>
      </c>
      <c r="E457" s="748">
        <f t="shared" si="35"/>
        <v>-1.759656099899698E-2</v>
      </c>
      <c r="F457" s="750">
        <f t="shared" si="38"/>
        <v>-4.1436939791993374E-3</v>
      </c>
      <c r="G457" s="750">
        <f t="shared" si="39"/>
        <v>-1.7622110239746656E-2</v>
      </c>
      <c r="H457" s="604">
        <f t="shared" si="36"/>
        <v>3.1053876930178397E-4</v>
      </c>
      <c r="I457" s="750">
        <f t="shared" si="37"/>
        <v>7.3020632101225219E-5</v>
      </c>
    </row>
    <row r="458" spans="1:9">
      <c r="A458" s="563">
        <v>45225</v>
      </c>
      <c r="B458">
        <v>55.720001220703118</v>
      </c>
      <c r="C458" s="604">
        <v>12595.6103515625</v>
      </c>
      <c r="D458" s="748">
        <f t="shared" si="35"/>
        <v>9.6912614680533249E-3</v>
      </c>
      <c r="E458" s="748">
        <f t="shared" si="35"/>
        <v>3.7631692898962843E-3</v>
      </c>
      <c r="F458" s="750">
        <f t="shared" si="38"/>
        <v>9.4803063413146909E-3</v>
      </c>
      <c r="G458" s="750">
        <f t="shared" si="39"/>
        <v>3.7376200491466083E-3</v>
      </c>
      <c r="H458" s="604">
        <f t="shared" si="36"/>
        <v>1.3969803631782695E-5</v>
      </c>
      <c r="I458" s="750">
        <f t="shared" si="37"/>
        <v>3.5433783053349516E-5</v>
      </c>
    </row>
    <row r="459" spans="1:9">
      <c r="A459" s="563">
        <v>45226</v>
      </c>
      <c r="B459">
        <v>56.259998321533203</v>
      </c>
      <c r="C459" s="604">
        <v>12643.009765625</v>
      </c>
      <c r="D459" s="748">
        <f t="shared" si="35"/>
        <v>1.066501512284157E-3</v>
      </c>
      <c r="E459" s="748">
        <f t="shared" si="35"/>
        <v>1.1585113500682365E-2</v>
      </c>
      <c r="F459" s="750">
        <f t="shared" si="38"/>
        <v>8.5554638554552367E-4</v>
      </c>
      <c r="G459" s="750">
        <f t="shared" si="39"/>
        <v>1.155956425993269E-2</v>
      </c>
      <c r="H459" s="604">
        <f t="shared" si="36"/>
        <v>1.336235258795132E-4</v>
      </c>
      <c r="I459" s="750">
        <f t="shared" si="37"/>
        <v>9.8897434210666295E-6</v>
      </c>
    </row>
    <row r="460" spans="1:9">
      <c r="A460" s="563">
        <v>45229</v>
      </c>
      <c r="B460">
        <v>56.319999694824219</v>
      </c>
      <c r="C460" s="604">
        <v>12789.48046875</v>
      </c>
      <c r="D460" s="748">
        <f t="shared" si="35"/>
        <v>1.5092302534213342E-2</v>
      </c>
      <c r="E460" s="748">
        <f t="shared" si="35"/>
        <v>4.8289503061444972E-3</v>
      </c>
      <c r="F460" s="750">
        <f t="shared" si="38"/>
        <v>1.4881347407474708E-2</v>
      </c>
      <c r="G460" s="750">
        <f t="shared" si="39"/>
        <v>4.8034010653948212E-3</v>
      </c>
      <c r="H460" s="604">
        <f t="shared" si="36"/>
        <v>2.3072661795036102E-5</v>
      </c>
      <c r="I460" s="750">
        <f t="shared" si="37"/>
        <v>7.1481079991574469E-5</v>
      </c>
    </row>
    <row r="461" spans="1:9">
      <c r="A461" s="563">
        <v>45230</v>
      </c>
      <c r="B461">
        <v>57.169998168945313</v>
      </c>
      <c r="C461" s="604">
        <v>12851.240234375</v>
      </c>
      <c r="D461" s="748">
        <f t="shared" si="35"/>
        <v>2.4488929303789764E-3</v>
      </c>
      <c r="E461" s="748">
        <f t="shared" si="35"/>
        <v>1.6358692885156012E-2</v>
      </c>
      <c r="F461" s="750">
        <f t="shared" si="38"/>
        <v>2.2379378036403428E-3</v>
      </c>
      <c r="G461" s="750">
        <f t="shared" si="39"/>
        <v>1.6333143644406335E-2</v>
      </c>
      <c r="H461" s="604">
        <f t="shared" si="36"/>
        <v>2.6677158130881105E-4</v>
      </c>
      <c r="I461" s="750">
        <f t="shared" si="37"/>
        <v>3.6552559614104939E-5</v>
      </c>
    </row>
    <row r="462" spans="1:9">
      <c r="A462" s="563">
        <v>45231</v>
      </c>
      <c r="B462">
        <v>57.310001373291023</v>
      </c>
      <c r="C462" s="604">
        <v>13061.4697265625</v>
      </c>
      <c r="D462" s="748">
        <f t="shared" si="35"/>
        <v>4.8856878832210793E-3</v>
      </c>
      <c r="E462" s="748">
        <f t="shared" si="35"/>
        <v>1.7817344295621318E-2</v>
      </c>
      <c r="F462" s="750">
        <f t="shared" si="38"/>
        <v>4.6747327564824461E-3</v>
      </c>
      <c r="G462" s="750">
        <f t="shared" si="39"/>
        <v>1.7791795054871641E-2</v>
      </c>
      <c r="H462" s="604">
        <f t="shared" si="36"/>
        <v>3.1654797127455496E-4</v>
      </c>
      <c r="I462" s="750">
        <f t="shared" si="37"/>
        <v>8.3171887139630861E-5</v>
      </c>
    </row>
    <row r="463" spans="1:9">
      <c r="A463" s="563">
        <v>45232</v>
      </c>
      <c r="B463">
        <v>57.590000152587891</v>
      </c>
      <c r="C463" s="604">
        <v>13294.1904296875</v>
      </c>
      <c r="D463" s="748">
        <f t="shared" si="35"/>
        <v>-0.12345894411379099</v>
      </c>
      <c r="E463" s="748">
        <f t="shared" si="35"/>
        <v>1.3847390311102048E-2</v>
      </c>
      <c r="F463" s="750">
        <f t="shared" si="38"/>
        <v>-0.12366989924052962</v>
      </c>
      <c r="G463" s="750">
        <f t="shared" si="39"/>
        <v>1.3821841070352373E-2</v>
      </c>
      <c r="H463" s="604">
        <f t="shared" si="36"/>
        <v>1.9104329057407962E-4</v>
      </c>
      <c r="I463" s="750">
        <f t="shared" si="37"/>
        <v>-1.709345692489092E-3</v>
      </c>
    </row>
    <row r="464" spans="1:9">
      <c r="A464" s="563">
        <v>45233</v>
      </c>
      <c r="B464">
        <v>50.479999542236328</v>
      </c>
      <c r="C464" s="604">
        <v>13478.2802734375</v>
      </c>
      <c r="D464" s="748">
        <f t="shared" si="35"/>
        <v>-7.5277549833829838E-3</v>
      </c>
      <c r="E464" s="748">
        <f t="shared" si="35"/>
        <v>3.0048343837911773E-3</v>
      </c>
      <c r="F464" s="750">
        <f t="shared" si="38"/>
        <v>-7.7387101101216169E-3</v>
      </c>
      <c r="G464" s="750">
        <f t="shared" si="39"/>
        <v>2.9792851430415013E-3</v>
      </c>
      <c r="H464" s="604">
        <f t="shared" si="36"/>
        <v>8.8761399635478192E-6</v>
      </c>
      <c r="I464" s="750">
        <f t="shared" si="37"/>
        <v>-2.3055824057390395E-5</v>
      </c>
    </row>
    <row r="465" spans="1:9">
      <c r="A465" s="563">
        <v>45236</v>
      </c>
      <c r="B465">
        <v>50.099998474121087</v>
      </c>
      <c r="C465" s="604">
        <v>13518.7802734375</v>
      </c>
      <c r="D465" s="748">
        <f t="shared" si="35"/>
        <v>-1.1576807066311812E-2</v>
      </c>
      <c r="E465" s="748">
        <f t="shared" si="35"/>
        <v>8.9564350981357066E-3</v>
      </c>
      <c r="F465" s="750">
        <f t="shared" si="38"/>
        <v>-1.1787762193050446E-2</v>
      </c>
      <c r="G465" s="750">
        <f t="shared" si="39"/>
        <v>8.9308858573860315E-3</v>
      </c>
      <c r="H465" s="604">
        <f t="shared" si="36"/>
        <v>7.9760722197657832E-5</v>
      </c>
      <c r="I465" s="750">
        <f t="shared" si="37"/>
        <v>-1.0527515866014398E-4</v>
      </c>
    </row>
    <row r="466" spans="1:9">
      <c r="A466" s="563">
        <v>45237</v>
      </c>
      <c r="B466">
        <v>49.520000457763672</v>
      </c>
      <c r="C466" s="604">
        <v>13639.8603515625</v>
      </c>
      <c r="D466" s="748">
        <f t="shared" si="35"/>
        <v>1.4539604483994717E-2</v>
      </c>
      <c r="E466" s="748">
        <f t="shared" si="35"/>
        <v>7.7345401020112448E-4</v>
      </c>
      <c r="F466" s="750">
        <f t="shared" si="38"/>
        <v>1.4328649357256083E-2</v>
      </c>
      <c r="G466" s="750">
        <f t="shared" si="39"/>
        <v>7.4790476945144871E-4</v>
      </c>
      <c r="H466" s="604">
        <f t="shared" si="36"/>
        <v>5.593615441682246E-7</v>
      </c>
      <c r="I466" s="750">
        <f t="shared" si="37"/>
        <v>1.0716465194089259E-5</v>
      </c>
    </row>
    <row r="467" spans="1:9">
      <c r="A467" s="563">
        <v>45238</v>
      </c>
      <c r="B467">
        <v>50.240001678466797</v>
      </c>
      <c r="C467" s="604">
        <v>13650.41015625</v>
      </c>
      <c r="D467" s="748">
        <f t="shared" ref="D467:E501" si="40">B468/B467-1</f>
        <v>-1.1345610877353751E-2</v>
      </c>
      <c r="E467" s="748">
        <f t="shared" si="40"/>
        <v>-9.4473323117294505E-3</v>
      </c>
      <c r="F467" s="750">
        <f t="shared" si="38"/>
        <v>-1.1556566004092385E-2</v>
      </c>
      <c r="G467" s="750">
        <f t="shared" si="39"/>
        <v>-9.4728815524791257E-3</v>
      </c>
      <c r="H467" s="604">
        <f t="shared" ref="H467:H501" si="41">G467^2</f>
        <v>8.9735484907299326E-5</v>
      </c>
      <c r="I467" s="750">
        <f t="shared" ref="I467:I501" si="42">F467*G467</f>
        <v>1.0947398091017416E-4</v>
      </c>
    </row>
    <row r="468" spans="1:9">
      <c r="A468" s="563">
        <v>45239</v>
      </c>
      <c r="B468">
        <v>49.669998168945313</v>
      </c>
      <c r="C468" s="604">
        <v>13521.4501953125</v>
      </c>
      <c r="D468" s="748">
        <f t="shared" si="40"/>
        <v>2.31528401101877E-2</v>
      </c>
      <c r="E468" s="748">
        <f t="shared" si="40"/>
        <v>2.0460834618605483E-2</v>
      </c>
      <c r="F468" s="750">
        <f t="shared" si="38"/>
        <v>2.2941884983449068E-2</v>
      </c>
      <c r="G468" s="750">
        <f t="shared" si="39"/>
        <v>2.0435285377855807E-2</v>
      </c>
      <c r="H468" s="604">
        <f t="shared" si="41"/>
        <v>4.1760088847440734E-4</v>
      </c>
      <c r="I468" s="750">
        <f t="shared" si="42"/>
        <v>4.6882396674272645E-4</v>
      </c>
    </row>
    <row r="469" spans="1:9">
      <c r="A469" s="563">
        <v>45240</v>
      </c>
      <c r="B469">
        <v>50.819999694824219</v>
      </c>
      <c r="C469" s="604">
        <v>13798.1103515625</v>
      </c>
      <c r="D469" s="748">
        <f t="shared" si="40"/>
        <v>-1.0232201119368178E-2</v>
      </c>
      <c r="E469" s="748">
        <f t="shared" si="40"/>
        <v>-2.2010345194884984E-3</v>
      </c>
      <c r="F469" s="750">
        <f t="shared" si="38"/>
        <v>-1.0443156246106812E-2</v>
      </c>
      <c r="G469" s="750">
        <f t="shared" si="39"/>
        <v>-2.2265837602381744E-3</v>
      </c>
      <c r="H469" s="604">
        <f t="shared" si="41"/>
        <v>4.9576752413563682E-6</v>
      </c>
      <c r="I469" s="750">
        <f t="shared" si="42"/>
        <v>2.3252562103211284E-5</v>
      </c>
    </row>
    <row r="470" spans="1:9">
      <c r="A470" s="563">
        <v>45243</v>
      </c>
      <c r="B470">
        <v>50.299999237060547</v>
      </c>
      <c r="C470" s="604">
        <v>13767.740234375</v>
      </c>
      <c r="D470" s="748">
        <f t="shared" si="40"/>
        <v>2.0278339428127623E-2</v>
      </c>
      <c r="E470" s="748">
        <f t="shared" si="40"/>
        <v>2.3725000826348541E-2</v>
      </c>
      <c r="F470" s="750">
        <f t="shared" si="38"/>
        <v>2.0067384301388991E-2</v>
      </c>
      <c r="G470" s="750">
        <f t="shared" si="39"/>
        <v>2.3699451585598864E-2</v>
      </c>
      <c r="H470" s="604">
        <f t="shared" si="41"/>
        <v>5.6166400545814448E-4</v>
      </c>
      <c r="I470" s="750">
        <f t="shared" si="42"/>
        <v>4.7558600270037509E-4</v>
      </c>
    </row>
    <row r="471" spans="1:9">
      <c r="A471" s="563">
        <v>45244</v>
      </c>
      <c r="B471">
        <v>51.319999694824219</v>
      </c>
      <c r="C471" s="604">
        <v>14094.3798828125</v>
      </c>
      <c r="D471" s="748">
        <f t="shared" si="40"/>
        <v>-5.0662182985051762E-3</v>
      </c>
      <c r="E471" s="748">
        <f t="shared" si="40"/>
        <v>6.7118674366350994E-4</v>
      </c>
      <c r="F471" s="750">
        <f t="shared" si="38"/>
        <v>-5.2771734252438094E-3</v>
      </c>
      <c r="G471" s="750">
        <f t="shared" si="39"/>
        <v>6.4563750291383418E-4</v>
      </c>
      <c r="H471" s="604">
        <f t="shared" si="41"/>
        <v>4.1684778516881122E-7</v>
      </c>
      <c r="I471" s="750">
        <f t="shared" si="42"/>
        <v>-3.4071410727176583E-6</v>
      </c>
    </row>
    <row r="472" spans="1:9">
      <c r="A472" s="563">
        <v>45245</v>
      </c>
      <c r="B472">
        <v>51.060001373291023</v>
      </c>
      <c r="C472" s="604">
        <v>14103.83984375</v>
      </c>
      <c r="D472" s="748">
        <f t="shared" si="40"/>
        <v>-1.253433582319663E-2</v>
      </c>
      <c r="E472" s="748">
        <f t="shared" si="40"/>
        <v>6.9697885355357592E-4</v>
      </c>
      <c r="F472" s="750">
        <f t="shared" si="38"/>
        <v>-1.2745290949935264E-2</v>
      </c>
      <c r="G472" s="750">
        <f t="shared" si="39"/>
        <v>6.7142961280390015E-4</v>
      </c>
      <c r="H472" s="604">
        <f t="shared" si="41"/>
        <v>4.5081772494999527E-7</v>
      </c>
      <c r="I472" s="750">
        <f t="shared" si="42"/>
        <v>-8.5575657675880874E-6</v>
      </c>
    </row>
    <row r="473" spans="1:9">
      <c r="A473" s="563">
        <v>45246</v>
      </c>
      <c r="B473">
        <v>50.419998168945313</v>
      </c>
      <c r="C473" s="604">
        <v>14113.669921875</v>
      </c>
      <c r="D473" s="748">
        <f t="shared" si="40"/>
        <v>1.6660059164882446E-2</v>
      </c>
      <c r="E473" s="748">
        <f t="shared" si="40"/>
        <v>8.3681614635855439E-4</v>
      </c>
      <c r="F473" s="750">
        <f t="shared" si="38"/>
        <v>1.6449104038143814E-2</v>
      </c>
      <c r="G473" s="750">
        <f t="shared" si="39"/>
        <v>8.1126690560887863E-4</v>
      </c>
      <c r="H473" s="604">
        <f t="shared" si="41"/>
        <v>6.581539921362052E-7</v>
      </c>
      <c r="I473" s="750">
        <f t="shared" si="42"/>
        <v>1.3344613733063441E-5</v>
      </c>
    </row>
    <row r="474" spans="1:9">
      <c r="A474" s="563">
        <v>45247</v>
      </c>
      <c r="B474">
        <v>51.259998321533203</v>
      </c>
      <c r="C474" s="604">
        <v>14125.48046875</v>
      </c>
      <c r="D474" s="748">
        <f t="shared" si="40"/>
        <v>1.2680482777266411E-2</v>
      </c>
      <c r="E474" s="748">
        <f t="shared" si="40"/>
        <v>1.1259780156814392E-2</v>
      </c>
      <c r="F474" s="750">
        <f t="shared" si="38"/>
        <v>1.2469527650527777E-2</v>
      </c>
      <c r="G474" s="750">
        <f t="shared" si="39"/>
        <v>1.1234230916064717E-2</v>
      </c>
      <c r="H474" s="604">
        <f t="shared" si="41"/>
        <v>1.2620794427546428E-4</v>
      </c>
      <c r="I474" s="750">
        <f t="shared" si="42"/>
        <v>1.4008555304028297E-4</v>
      </c>
    </row>
    <row r="475" spans="1:9">
      <c r="A475" s="563">
        <v>45250</v>
      </c>
      <c r="B475">
        <v>51.909999847412109</v>
      </c>
      <c r="C475" s="604">
        <v>14284.5302734375</v>
      </c>
      <c r="D475" s="748">
        <f t="shared" si="40"/>
        <v>1.2906992595107525E-2</v>
      </c>
      <c r="E475" s="748">
        <f t="shared" si="40"/>
        <v>-5.9189768980169033E-3</v>
      </c>
      <c r="F475" s="750">
        <f t="shared" si="38"/>
        <v>1.2696037468368891E-2</v>
      </c>
      <c r="G475" s="750">
        <f t="shared" si="39"/>
        <v>-5.9445261387665793E-3</v>
      </c>
      <c r="H475" s="604">
        <f t="shared" si="41"/>
        <v>3.5337391014479093E-5</v>
      </c>
      <c r="I475" s="750">
        <f t="shared" si="42"/>
        <v>-7.5471926589478738E-5</v>
      </c>
    </row>
    <row r="476" spans="1:9">
      <c r="A476" s="563">
        <v>45251</v>
      </c>
      <c r="B476">
        <v>52.580001831054688</v>
      </c>
      <c r="C476" s="604">
        <v>14199.98046875</v>
      </c>
      <c r="D476" s="748">
        <f t="shared" si="40"/>
        <v>7.4172570571895413E-3</v>
      </c>
      <c r="E476" s="748">
        <f t="shared" si="40"/>
        <v>4.6394347483422749E-3</v>
      </c>
      <c r="F476" s="750">
        <f t="shared" si="38"/>
        <v>7.2063019304509082E-3</v>
      </c>
      <c r="G476" s="750">
        <f t="shared" si="39"/>
        <v>4.6138855075925989E-3</v>
      </c>
      <c r="H476" s="604">
        <f t="shared" si="41"/>
        <v>2.1287939477173012E-5</v>
      </c>
      <c r="I476" s="750">
        <f t="shared" si="42"/>
        <v>3.3249052040244014E-5</v>
      </c>
    </row>
    <row r="477" spans="1:9">
      <c r="A477" s="563">
        <v>45252</v>
      </c>
      <c r="B477">
        <v>52.970001220703118</v>
      </c>
      <c r="C477" s="604">
        <v>14265.8603515625</v>
      </c>
      <c r="D477" s="748">
        <f t="shared" si="40"/>
        <v>8.6841433617501629E-3</v>
      </c>
      <c r="E477" s="748">
        <f t="shared" si="40"/>
        <v>-1.0522142946574053E-3</v>
      </c>
      <c r="F477" s="750">
        <f t="shared" si="38"/>
        <v>8.4731882350115289E-3</v>
      </c>
      <c r="G477" s="750">
        <f t="shared" si="39"/>
        <v>-1.0777635354070811E-3</v>
      </c>
      <c r="H477" s="604">
        <f t="shared" si="41"/>
        <v>1.1615742382531705E-6</v>
      </c>
      <c r="I477" s="750">
        <f t="shared" si="42"/>
        <v>-9.1320933083357114E-6</v>
      </c>
    </row>
    <row r="478" spans="1:9">
      <c r="A478" s="563">
        <v>45254</v>
      </c>
      <c r="B478">
        <v>53.430000305175781</v>
      </c>
      <c r="C478" s="604">
        <v>14250.849609375</v>
      </c>
      <c r="D478" s="748">
        <f t="shared" si="40"/>
        <v>5.8020095736548427E-3</v>
      </c>
      <c r="E478" s="748">
        <f t="shared" si="40"/>
        <v>-6.8978891746451776E-4</v>
      </c>
      <c r="F478" s="750">
        <f t="shared" si="38"/>
        <v>5.5910544469162096E-3</v>
      </c>
      <c r="G478" s="750">
        <f t="shared" si="39"/>
        <v>-7.1533815821419352E-4</v>
      </c>
      <c r="H478" s="604">
        <f t="shared" si="41"/>
        <v>5.1170868059727453E-7</v>
      </c>
      <c r="I478" s="750">
        <f t="shared" si="42"/>
        <v>-3.9994945905323175E-6</v>
      </c>
    </row>
    <row r="479" spans="1:9">
      <c r="A479" s="563">
        <v>45257</v>
      </c>
      <c r="B479">
        <v>53.740001678466797</v>
      </c>
      <c r="C479" s="604">
        <v>14241.01953125</v>
      </c>
      <c r="D479" s="748">
        <f t="shared" si="40"/>
        <v>-1.7677721125195278E-2</v>
      </c>
      <c r="E479" s="748">
        <f t="shared" si="40"/>
        <v>2.8607666948001764E-3</v>
      </c>
      <c r="F479" s="750">
        <f t="shared" si="38"/>
        <v>-1.788867625193391E-2</v>
      </c>
      <c r="G479" s="750">
        <f t="shared" si="39"/>
        <v>2.8352174540505004E-3</v>
      </c>
      <c r="H479" s="604">
        <f t="shared" si="41"/>
        <v>8.0384580117526019E-6</v>
      </c>
      <c r="I479" s="750">
        <f t="shared" si="42"/>
        <v>-5.0718287139341707E-5</v>
      </c>
    </row>
    <row r="480" spans="1:9">
      <c r="A480" s="563">
        <v>45258</v>
      </c>
      <c r="B480">
        <v>52.790000915527337</v>
      </c>
      <c r="C480" s="604">
        <v>14281.759765625</v>
      </c>
      <c r="D480" s="748">
        <f t="shared" si="40"/>
        <v>1.5343768602881447E-2</v>
      </c>
      <c r="E480" s="748">
        <f t="shared" si="40"/>
        <v>-1.6293182095113989E-3</v>
      </c>
      <c r="F480" s="750">
        <f t="shared" si="38"/>
        <v>1.5132813476142813E-2</v>
      </c>
      <c r="G480" s="750">
        <f t="shared" si="39"/>
        <v>-1.6548674502610747E-3</v>
      </c>
      <c r="H480" s="604">
        <f t="shared" si="41"/>
        <v>2.7385862779335904E-6</v>
      </c>
      <c r="I480" s="750">
        <f t="shared" si="42"/>
        <v>-2.5042800452540888E-5</v>
      </c>
    </row>
    <row r="481" spans="1:9">
      <c r="A481" s="563">
        <v>45259</v>
      </c>
      <c r="B481">
        <v>53.599998474121087</v>
      </c>
      <c r="C481" s="604">
        <v>14258.490234375</v>
      </c>
      <c r="D481" s="748">
        <f t="shared" si="40"/>
        <v>-1.9402931537995993E-2</v>
      </c>
      <c r="E481" s="748">
        <f t="shared" si="40"/>
        <v>-2.2632485825673232E-3</v>
      </c>
      <c r="F481" s="750">
        <f t="shared" si="38"/>
        <v>-1.9613886664734625E-2</v>
      </c>
      <c r="G481" s="750">
        <f t="shared" si="39"/>
        <v>-2.2887978233169992E-3</v>
      </c>
      <c r="H481" s="604">
        <f t="shared" si="41"/>
        <v>5.2385954760206331E-6</v>
      </c>
      <c r="I481" s="750">
        <f t="shared" si="42"/>
        <v>4.4892221105030928E-5</v>
      </c>
    </row>
    <row r="482" spans="1:9">
      <c r="A482" s="563">
        <v>45260</v>
      </c>
      <c r="B482">
        <v>52.560001373291023</v>
      </c>
      <c r="C482" s="604">
        <v>14226.2197265625</v>
      </c>
      <c r="D482" s="748">
        <f t="shared" si="40"/>
        <v>-1.3318054222843934E-3</v>
      </c>
      <c r="E482" s="748">
        <f t="shared" si="40"/>
        <v>5.5398094778367213E-3</v>
      </c>
      <c r="F482" s="750">
        <f t="shared" si="38"/>
        <v>-1.5427605490230267E-3</v>
      </c>
      <c r="G482" s="750">
        <f t="shared" si="39"/>
        <v>5.5142602370870453E-3</v>
      </c>
      <c r="H482" s="604">
        <f t="shared" si="41"/>
        <v>3.0407065962319278E-5</v>
      </c>
      <c r="I482" s="750">
        <f t="shared" si="42"/>
        <v>-8.5071831508242559E-6</v>
      </c>
    </row>
    <row r="483" spans="1:9">
      <c r="A483" s="563">
        <v>45261</v>
      </c>
      <c r="B483">
        <v>52.490001678466797</v>
      </c>
      <c r="C483" s="604">
        <v>14305.0302734375</v>
      </c>
      <c r="D483" s="748">
        <f t="shared" si="40"/>
        <v>-4.5723313162943091E-3</v>
      </c>
      <c r="E483" s="748">
        <f t="shared" si="40"/>
        <v>-8.3565037457117297E-3</v>
      </c>
      <c r="F483" s="750">
        <f t="shared" si="38"/>
        <v>-4.7832864430329422E-3</v>
      </c>
      <c r="G483" s="750">
        <f t="shared" si="39"/>
        <v>-8.3820529864614048E-3</v>
      </c>
      <c r="H483" s="604">
        <f t="shared" si="41"/>
        <v>7.0258812267846561E-5</v>
      </c>
      <c r="I483" s="750">
        <f t="shared" si="42"/>
        <v>4.0093760414924622E-5</v>
      </c>
    </row>
    <row r="484" spans="1:9">
      <c r="A484" s="563">
        <v>45264</v>
      </c>
      <c r="B484">
        <v>52.25</v>
      </c>
      <c r="C484" s="604">
        <v>14185.490234375</v>
      </c>
      <c r="D484" s="748">
        <f t="shared" si="40"/>
        <v>5.1674728758597244E-3</v>
      </c>
      <c r="E484" s="748">
        <f t="shared" si="40"/>
        <v>3.1313631845699685E-3</v>
      </c>
      <c r="F484" s="750">
        <f t="shared" si="38"/>
        <v>4.9565177491210912E-3</v>
      </c>
      <c r="G484" s="750">
        <f t="shared" si="39"/>
        <v>3.1058139438202926E-3</v>
      </c>
      <c r="H484" s="604">
        <f t="shared" si="41"/>
        <v>9.6460802536285587E-6</v>
      </c>
      <c r="I484" s="750">
        <f t="shared" si="42"/>
        <v>1.5394021938013057E-5</v>
      </c>
    </row>
    <row r="485" spans="1:9">
      <c r="A485" s="563">
        <v>45265</v>
      </c>
      <c r="B485">
        <v>52.520000457763672</v>
      </c>
      <c r="C485" s="604">
        <v>14229.91015625</v>
      </c>
      <c r="D485" s="748">
        <f t="shared" si="40"/>
        <v>-1.3137825984291029E-2</v>
      </c>
      <c r="E485" s="748">
        <f t="shared" si="40"/>
        <v>-5.8468531704648496E-3</v>
      </c>
      <c r="F485" s="750">
        <f t="shared" si="38"/>
        <v>-1.3348781111029663E-2</v>
      </c>
      <c r="G485" s="750">
        <f t="shared" si="39"/>
        <v>-5.8724024112145256E-3</v>
      </c>
      <c r="H485" s="604">
        <f t="shared" si="41"/>
        <v>3.4485110079238177E-5</v>
      </c>
      <c r="I485" s="750">
        <f t="shared" si="42"/>
        <v>7.8389414383185505E-5</v>
      </c>
    </row>
    <row r="486" spans="1:9">
      <c r="A486" s="563">
        <v>45266</v>
      </c>
      <c r="B486">
        <v>51.830001831054688</v>
      </c>
      <c r="C486" s="604">
        <v>14146.7099609375</v>
      </c>
      <c r="D486" s="748">
        <f t="shared" si="40"/>
        <v>-9.8399019527892762E-3</v>
      </c>
      <c r="E486" s="748">
        <f t="shared" si="40"/>
        <v>1.3662559985409661E-2</v>
      </c>
      <c r="F486" s="750">
        <f t="shared" si="38"/>
        <v>-1.005085707952791E-2</v>
      </c>
      <c r="G486" s="750">
        <f t="shared" si="39"/>
        <v>1.3637010744659986E-2</v>
      </c>
      <c r="H486" s="604">
        <f t="shared" si="41"/>
        <v>1.8596806204997191E-4</v>
      </c>
      <c r="I486" s="750">
        <f t="shared" si="42"/>
        <v>-1.37063645986564E-4</v>
      </c>
    </row>
    <row r="487" spans="1:9">
      <c r="A487" s="563">
        <v>45267</v>
      </c>
      <c r="B487">
        <v>51.319999694824219</v>
      </c>
      <c r="C487" s="604">
        <v>14339.990234375</v>
      </c>
      <c r="D487" s="748">
        <f t="shared" si="40"/>
        <v>1.6367890833651089E-2</v>
      </c>
      <c r="E487" s="748">
        <f t="shared" si="40"/>
        <v>4.4616133722414908E-3</v>
      </c>
      <c r="F487" s="750">
        <f t="shared" si="38"/>
        <v>1.6156935706912456E-2</v>
      </c>
      <c r="G487" s="750">
        <f t="shared" si="39"/>
        <v>4.4360641314918148E-3</v>
      </c>
      <c r="H487" s="604">
        <f t="shared" si="41"/>
        <v>1.967866497870823E-5</v>
      </c>
      <c r="I487" s="750">
        <f t="shared" si="42"/>
        <v>7.1673202964253697E-5</v>
      </c>
    </row>
    <row r="488" spans="1:9">
      <c r="A488" s="563">
        <v>45268</v>
      </c>
      <c r="B488">
        <v>52.159999847412109</v>
      </c>
      <c r="C488" s="604">
        <v>14403.9697265625</v>
      </c>
      <c r="D488" s="748">
        <f t="shared" si="40"/>
        <v>2.8374224435695705E-2</v>
      </c>
      <c r="E488" s="748">
        <f t="shared" si="40"/>
        <v>1.9800449705129619E-3</v>
      </c>
      <c r="F488" s="750">
        <f t="shared" si="38"/>
        <v>2.8163269308957073E-2</v>
      </c>
      <c r="G488" s="750">
        <f t="shared" si="39"/>
        <v>1.9544957297632859E-3</v>
      </c>
      <c r="H488" s="604">
        <f t="shared" si="41"/>
        <v>3.8200535576629194E-6</v>
      </c>
      <c r="I488" s="750">
        <f t="shared" si="42"/>
        <v>5.5044989600530011E-5</v>
      </c>
    </row>
    <row r="489" spans="1:9">
      <c r="A489" s="563">
        <v>45271</v>
      </c>
      <c r="B489">
        <v>53.639999389648438</v>
      </c>
      <c r="C489" s="604">
        <v>14432.490234375</v>
      </c>
      <c r="D489" s="748">
        <f t="shared" si="40"/>
        <v>2.6099954172428275E-2</v>
      </c>
      <c r="E489" s="748">
        <f t="shared" si="40"/>
        <v>6.9918742095977926E-3</v>
      </c>
      <c r="F489" s="750">
        <f t="shared" si="38"/>
        <v>2.5888999045689642E-2</v>
      </c>
      <c r="G489" s="750">
        <f t="shared" si="39"/>
        <v>6.9663249688481166E-3</v>
      </c>
      <c r="H489" s="604">
        <f t="shared" si="41"/>
        <v>4.8529683571596716E-5</v>
      </c>
      <c r="I489" s="750">
        <f t="shared" si="42"/>
        <v>1.8035118047047283E-4</v>
      </c>
    </row>
    <row r="490" spans="1:9">
      <c r="A490" s="563">
        <v>45272</v>
      </c>
      <c r="B490">
        <v>55.040000915527337</v>
      </c>
      <c r="C490" s="604">
        <v>14533.400390625</v>
      </c>
      <c r="D490" s="748">
        <f t="shared" si="40"/>
        <v>5.632222991230007E-3</v>
      </c>
      <c r="E490" s="748">
        <f t="shared" si="40"/>
        <v>1.3799906761109648E-2</v>
      </c>
      <c r="F490" s="750">
        <f t="shared" si="38"/>
        <v>5.4212678644913739E-3</v>
      </c>
      <c r="G490" s="750">
        <f t="shared" si="39"/>
        <v>1.3774357520359973E-2</v>
      </c>
      <c r="H490" s="604">
        <f t="shared" si="41"/>
        <v>1.8973292509869735E-4</v>
      </c>
      <c r="I490" s="750">
        <f t="shared" si="42"/>
        <v>7.4674481779142605E-5</v>
      </c>
    </row>
    <row r="491" spans="1:9">
      <c r="A491" s="563">
        <v>45273</v>
      </c>
      <c r="B491">
        <v>55.349998474121087</v>
      </c>
      <c r="C491" s="604">
        <v>14733.9599609375</v>
      </c>
      <c r="D491" s="748">
        <f t="shared" si="40"/>
        <v>3.0713655100357284E-2</v>
      </c>
      <c r="E491" s="748">
        <f t="shared" si="40"/>
        <v>1.8731969849363761E-3</v>
      </c>
      <c r="F491" s="750">
        <f t="shared" si="38"/>
        <v>3.0502699973618652E-2</v>
      </c>
      <c r="G491" s="750">
        <f t="shared" si="39"/>
        <v>1.8476477441867003E-3</v>
      </c>
      <c r="H491" s="604">
        <f t="shared" si="41"/>
        <v>3.4138021865982025E-6</v>
      </c>
      <c r="I491" s="750">
        <f t="shared" si="42"/>
        <v>5.6358244797860224E-5</v>
      </c>
    </row>
    <row r="492" spans="1:9">
      <c r="A492" s="563">
        <v>45274</v>
      </c>
      <c r="B492">
        <v>57.049999237060547</v>
      </c>
      <c r="C492" s="604">
        <v>14761.5595703125</v>
      </c>
      <c r="D492" s="748">
        <f t="shared" si="40"/>
        <v>1.3672263004824714E-2</v>
      </c>
      <c r="E492" s="748">
        <f t="shared" si="40"/>
        <v>3.5470745020602656E-3</v>
      </c>
      <c r="F492" s="750">
        <f t="shared" si="38"/>
        <v>1.346130787808608E-2</v>
      </c>
      <c r="G492" s="750">
        <f t="shared" si="39"/>
        <v>3.5215252613105897E-3</v>
      </c>
      <c r="H492" s="604">
        <f t="shared" si="41"/>
        <v>1.2401140166048617E-5</v>
      </c>
      <c r="I492" s="750">
        <f t="shared" si="42"/>
        <v>4.7404335742959383E-5</v>
      </c>
    </row>
    <row r="493" spans="1:9">
      <c r="A493" s="563">
        <v>45275</v>
      </c>
      <c r="B493">
        <v>57.830001831054688</v>
      </c>
      <c r="C493" s="604">
        <v>14813.919921875</v>
      </c>
      <c r="D493" s="748">
        <f t="shared" si="40"/>
        <v>-2.974236842889888E-2</v>
      </c>
      <c r="E493" s="748">
        <f t="shared" si="40"/>
        <v>6.1354218813676198E-3</v>
      </c>
      <c r="F493" s="750">
        <f t="shared" si="38"/>
        <v>-2.9953323555637512E-2</v>
      </c>
      <c r="G493" s="750">
        <f t="shared" si="39"/>
        <v>6.1098726406179438E-3</v>
      </c>
      <c r="H493" s="604">
        <f t="shared" si="41"/>
        <v>3.7330543684571684E-5</v>
      </c>
      <c r="I493" s="750">
        <f t="shared" si="42"/>
        <v>-1.8301099208816663E-4</v>
      </c>
    </row>
    <row r="494" spans="1:9">
      <c r="A494" s="563">
        <v>45278</v>
      </c>
      <c r="B494">
        <v>56.110000610351563</v>
      </c>
      <c r="C494" s="604">
        <v>14904.8095703125</v>
      </c>
      <c r="D494" s="748">
        <f t="shared" si="40"/>
        <v>2.9406481789936656E-2</v>
      </c>
      <c r="E494" s="748">
        <f t="shared" si="40"/>
        <v>6.6025772275557504E-3</v>
      </c>
      <c r="F494" s="750">
        <f t="shared" si="38"/>
        <v>2.9195526663198024E-2</v>
      </c>
      <c r="G494" s="750">
        <f t="shared" si="39"/>
        <v>6.5770279868060744E-3</v>
      </c>
      <c r="H494" s="604">
        <f t="shared" si="41"/>
        <v>4.3257297139230365E-5</v>
      </c>
      <c r="I494" s="750">
        <f t="shared" si="42"/>
        <v>1.9201979595339635E-4</v>
      </c>
    </row>
    <row r="495" spans="1:9">
      <c r="A495" s="563">
        <v>45279</v>
      </c>
      <c r="B495">
        <v>57.759998321533203</v>
      </c>
      <c r="C495" s="604">
        <v>15003.2197265625</v>
      </c>
      <c r="D495" s="748">
        <f t="shared" si="40"/>
        <v>-5.3669938989278076E-3</v>
      </c>
      <c r="E495" s="748">
        <f t="shared" si="40"/>
        <v>-1.5015396760213684E-2</v>
      </c>
      <c r="F495" s="750">
        <f t="shared" si="38"/>
        <v>-5.5779490256664408E-3</v>
      </c>
      <c r="G495" s="750">
        <f t="shared" si="39"/>
        <v>-1.5040946000963359E-2</v>
      </c>
      <c r="H495" s="604">
        <f t="shared" si="41"/>
        <v>2.2623005660389565E-4</v>
      </c>
      <c r="I495" s="750">
        <f t="shared" si="42"/>
        <v>8.3897630091175118E-5</v>
      </c>
    </row>
    <row r="496" spans="1:9">
      <c r="A496" s="563">
        <v>45280</v>
      </c>
      <c r="B496">
        <v>57.450000762939453</v>
      </c>
      <c r="C496" s="604">
        <v>14777.9404296875</v>
      </c>
      <c r="D496" s="748">
        <f t="shared" si="40"/>
        <v>1.8450784064698356E-2</v>
      </c>
      <c r="E496" s="748">
        <f t="shared" si="40"/>
        <v>1.2581569697390549E-2</v>
      </c>
      <c r="F496" s="750">
        <f t="shared" si="38"/>
        <v>1.8239828937959723E-2</v>
      </c>
      <c r="G496" s="750">
        <f t="shared" si="39"/>
        <v>1.2556020456640874E-2</v>
      </c>
      <c r="H496" s="604">
        <f t="shared" si="41"/>
        <v>1.576536497075841E-4</v>
      </c>
      <c r="I496" s="750">
        <f t="shared" si="42"/>
        <v>2.2901966527065246E-4</v>
      </c>
    </row>
    <row r="497" spans="1:9">
      <c r="A497" s="563">
        <v>45281</v>
      </c>
      <c r="B497">
        <v>58.509998321533203</v>
      </c>
      <c r="C497" s="604">
        <v>14963.8701171875</v>
      </c>
      <c r="D497" s="748">
        <f t="shared" si="40"/>
        <v>1.2989269492950317E-2</v>
      </c>
      <c r="E497" s="748">
        <f t="shared" si="40"/>
        <v>1.9446579759854199E-3</v>
      </c>
      <c r="F497" s="750">
        <f t="shared" si="38"/>
        <v>1.2778314366211683E-2</v>
      </c>
      <c r="G497" s="750">
        <f t="shared" si="39"/>
        <v>1.9191087352357441E-3</v>
      </c>
      <c r="H497" s="604">
        <f t="shared" si="41"/>
        <v>3.6829783376581376E-6</v>
      </c>
      <c r="I497" s="750">
        <f t="shared" si="42"/>
        <v>2.4522974721785243E-5</v>
      </c>
    </row>
    <row r="498" spans="1:9">
      <c r="A498" s="563">
        <v>45282</v>
      </c>
      <c r="B498">
        <v>59.270000457763672</v>
      </c>
      <c r="C498" s="604">
        <v>14992.9697265625</v>
      </c>
      <c r="D498" s="748">
        <f t="shared" si="40"/>
        <v>8.9421085743799367E-3</v>
      </c>
      <c r="E498" s="748">
        <f t="shared" si="40"/>
        <v>5.4425899221908214E-3</v>
      </c>
      <c r="F498" s="750">
        <f t="shared" si="38"/>
        <v>8.7311534476413027E-3</v>
      </c>
      <c r="G498" s="750">
        <f t="shared" si="39"/>
        <v>5.4170406814411454E-3</v>
      </c>
      <c r="H498" s="604">
        <f t="shared" si="41"/>
        <v>2.9344329744388348E-5</v>
      </c>
      <c r="I498" s="750">
        <f t="shared" si="42"/>
        <v>4.7297013421778051E-5</v>
      </c>
    </row>
    <row r="499" spans="1:9">
      <c r="A499" s="563">
        <v>45286</v>
      </c>
      <c r="B499">
        <v>59.799999237060547</v>
      </c>
      <c r="C499" s="604">
        <v>15074.5703125</v>
      </c>
      <c r="D499" s="748">
        <f t="shared" si="40"/>
        <v>-7.6922924806255288E-3</v>
      </c>
      <c r="E499" s="748">
        <f t="shared" si="40"/>
        <v>1.63250921849456E-3</v>
      </c>
      <c r="F499" s="750">
        <f t="shared" si="38"/>
        <v>-7.9032476073641628E-3</v>
      </c>
      <c r="G499" s="750">
        <f t="shared" si="39"/>
        <v>1.6069599777448842E-3</v>
      </c>
      <c r="H499" s="604">
        <f t="shared" si="41"/>
        <v>2.5823203700738386E-6</v>
      </c>
      <c r="I499" s="750">
        <f t="shared" si="42"/>
        <v>-1.2700202599242225E-5</v>
      </c>
    </row>
    <row r="500" spans="1:9">
      <c r="A500" s="563">
        <v>45287</v>
      </c>
      <c r="B500">
        <v>59.340000152587891</v>
      </c>
      <c r="C500" s="604">
        <v>15099.1796875</v>
      </c>
      <c r="D500" s="748">
        <f t="shared" si="40"/>
        <v>1.0111454859578206E-3</v>
      </c>
      <c r="E500" s="748">
        <f t="shared" si="40"/>
        <v>-2.6756679144923634E-4</v>
      </c>
      <c r="F500" s="750">
        <f t="shared" si="38"/>
        <v>8.0019035921918727E-4</v>
      </c>
      <c r="G500" s="750">
        <f t="shared" si="39"/>
        <v>-2.9311603219891216E-4</v>
      </c>
      <c r="H500" s="604">
        <f t="shared" si="41"/>
        <v>8.5917008332033716E-8</v>
      </c>
      <c r="I500" s="750">
        <f t="shared" si="42"/>
        <v>-2.3454862309815039E-7</v>
      </c>
    </row>
    <row r="501" spans="1:9">
      <c r="A501" s="563">
        <v>45288</v>
      </c>
      <c r="B501">
        <v>59.400001525878913</v>
      </c>
      <c r="C501" s="604">
        <v>15095.1396484375</v>
      </c>
      <c r="D501" s="748">
        <f t="shared" si="40"/>
        <v>-1.4646510508976918E-2</v>
      </c>
      <c r="E501" s="748">
        <f t="shared" si="40"/>
        <v>-5.550795886222426E-3</v>
      </c>
      <c r="F501" s="750">
        <f t="shared" si="38"/>
        <v>-1.4857465635715552E-2</v>
      </c>
      <c r="G501" s="750">
        <f t="shared" si="39"/>
        <v>-5.576345126972102E-3</v>
      </c>
      <c r="H501" s="604">
        <f t="shared" si="41"/>
        <v>3.1095624975105508E-5</v>
      </c>
      <c r="I501" s="750">
        <f t="shared" si="42"/>
        <v>8.2850356096877877E-5</v>
      </c>
    </row>
    <row r="502" spans="1:9">
      <c r="A502" s="563">
        <v>45289</v>
      </c>
      <c r="B502">
        <v>58.529998779296882</v>
      </c>
      <c r="C502" s="604">
        <v>15011.349609375</v>
      </c>
      <c r="D502" s="748" t="s">
        <v>1047</v>
      </c>
      <c r="E502" s="748" t="s">
        <v>1047</v>
      </c>
      <c r="F502" s="748" t="s">
        <v>1047</v>
      </c>
      <c r="G502" s="750" t="e">
        <f t="shared" si="39"/>
        <v>#VALUE!</v>
      </c>
      <c r="H502" s="748" t="s">
        <v>1047</v>
      </c>
      <c r="I502" s="748" t="s">
        <v>1047</v>
      </c>
    </row>
    <row r="504" spans="1:9">
      <c r="F504" s="884">
        <f>AVERAGE(D2:D501)</f>
        <v>2.1095512673863337E-4</v>
      </c>
      <c r="G504" s="884">
        <f>AVERAGE(E2:E501)</f>
        <v>2.5549240749675796E-5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7117-25A9-4285-B931-A94F8CBD7A59}">
  <sheetPr>
    <tabColor theme="5" tint="-0.249977111117893"/>
  </sheetPr>
  <dimension ref="A1:N320"/>
  <sheetViews>
    <sheetView topLeftCell="B80" zoomScale="101" workbookViewId="0">
      <selection activeCell="B88" sqref="B88"/>
    </sheetView>
  </sheetViews>
  <sheetFormatPr defaultColWidth="11.42578125" defaultRowHeight="12.75"/>
  <cols>
    <col min="1" max="1" width="20.28515625" customWidth="1"/>
    <col min="2" max="2" width="62.42578125" style="646" customWidth="1"/>
    <col min="3" max="9" width="9.42578125" style="1097" customWidth="1"/>
    <col min="10" max="11" width="9.42578125" customWidth="1"/>
    <col min="12" max="12" width="8" customWidth="1"/>
  </cols>
  <sheetData>
    <row r="1" spans="1:13">
      <c r="B1" s="1264" t="s">
        <v>928</v>
      </c>
      <c r="C1" s="1265"/>
      <c r="D1" s="1265"/>
      <c r="E1" s="1265"/>
      <c r="F1" s="1265"/>
      <c r="G1" s="1265"/>
      <c r="H1" s="1265"/>
      <c r="I1" s="1266"/>
      <c r="K1" s="1273" t="s">
        <v>986</v>
      </c>
      <c r="L1" s="1274"/>
      <c r="M1" s="1275"/>
    </row>
    <row r="2" spans="1:13">
      <c r="B2" s="1267"/>
      <c r="C2" s="1268"/>
      <c r="D2" s="1268"/>
      <c r="E2" s="1268"/>
      <c r="F2" s="1268"/>
      <c r="G2" s="1268"/>
      <c r="H2" s="1268"/>
      <c r="I2" s="1269"/>
      <c r="K2" s="1276"/>
      <c r="L2" s="1277"/>
      <c r="M2" s="1278"/>
    </row>
    <row r="3" spans="1:13" ht="13.5" thickBot="1">
      <c r="B3" s="1270"/>
      <c r="C3" s="1271"/>
      <c r="D3" s="1271"/>
      <c r="E3" s="1271"/>
      <c r="F3" s="1271"/>
      <c r="G3" s="1271"/>
      <c r="H3" s="1271"/>
      <c r="I3" s="1272"/>
      <c r="K3" s="1279"/>
      <c r="L3" s="1280"/>
      <c r="M3" s="1281"/>
    </row>
    <row r="6" spans="1:13" ht="11.1" customHeight="1">
      <c r="A6" s="1282" t="s">
        <v>1248</v>
      </c>
      <c r="B6" s="1086" t="s">
        <v>477</v>
      </c>
      <c r="C6" s="1260" t="s">
        <v>469</v>
      </c>
      <c r="D6" s="1260"/>
      <c r="E6" s="1260"/>
      <c r="F6" s="1260" t="s">
        <v>470</v>
      </c>
      <c r="G6" s="1260"/>
      <c r="H6" s="1260"/>
      <c r="I6" s="1260"/>
      <c r="J6" s="1260"/>
      <c r="K6" s="1260"/>
    </row>
    <row r="7" spans="1:13" ht="11.1" customHeight="1" thickBot="1">
      <c r="A7" s="1282"/>
      <c r="B7" s="1086"/>
      <c r="C7" s="1260"/>
      <c r="D7" s="1260"/>
      <c r="E7" s="1260"/>
      <c r="F7" s="1260"/>
      <c r="G7" s="1260"/>
      <c r="H7" s="1260"/>
      <c r="I7" s="1260"/>
      <c r="J7" s="1260"/>
      <c r="K7" s="1260"/>
    </row>
    <row r="8" spans="1:13" ht="11.1" customHeight="1" thickBot="1">
      <c r="A8" s="1087"/>
      <c r="B8" s="1084" t="s">
        <v>18</v>
      </c>
      <c r="C8" s="1084" t="s">
        <v>872</v>
      </c>
      <c r="D8" s="1084" t="s">
        <v>871</v>
      </c>
      <c r="E8" s="1084" t="s">
        <v>870</v>
      </c>
      <c r="F8" s="1084" t="s">
        <v>471</v>
      </c>
      <c r="G8" s="1084" t="s">
        <v>472</v>
      </c>
      <c r="H8" s="1084" t="s">
        <v>473</v>
      </c>
      <c r="I8" s="1084" t="s">
        <v>474</v>
      </c>
      <c r="J8" s="1084" t="s">
        <v>475</v>
      </c>
      <c r="K8" s="1084" t="s">
        <v>476</v>
      </c>
    </row>
    <row r="9" spans="1:13" ht="14.1" customHeight="1" thickBot="1">
      <c r="B9" s="1172" t="s">
        <v>17</v>
      </c>
      <c r="C9" s="1150">
        <f>Forecasts!B21</f>
        <v>3342.2</v>
      </c>
      <c r="D9" s="1150">
        <f>Forecasts!C21</f>
        <v>4417.3999999999996</v>
      </c>
      <c r="E9" s="1150">
        <f>Forecasts!D21</f>
        <v>5304.8</v>
      </c>
      <c r="F9" s="1150">
        <f>Forecasts!E21</f>
        <v>5918.1959999999999</v>
      </c>
      <c r="G9" s="1150">
        <f>Forecasts!F21</f>
        <v>6746.8309599999993</v>
      </c>
      <c r="H9" s="1150">
        <f>Forecasts!G21</f>
        <v>7828.0731487999992</v>
      </c>
      <c r="I9" s="1150">
        <f>Forecasts!H21</f>
        <v>9241.0430287199979</v>
      </c>
      <c r="J9" s="1150">
        <f>Forecasts!I21</f>
        <v>11096.071783331998</v>
      </c>
      <c r="K9" s="1151">
        <f>Forecasts!J21</f>
        <v>13547.996793304486</v>
      </c>
    </row>
    <row r="10" spans="1:13" ht="14.1" customHeight="1" thickBot="1">
      <c r="B10" s="1173" t="s">
        <v>1267</v>
      </c>
      <c r="C10" s="1091">
        <f>Forecasts!B24</f>
        <v>-783</v>
      </c>
      <c r="D10" s="1091">
        <f>Forecasts!C24</f>
        <v>-1084.9000000000001</v>
      </c>
      <c r="E10" s="1091">
        <f>Forecasts!D24</f>
        <v>-1237.2</v>
      </c>
      <c r="F10" s="1091">
        <f>Forecasts!E24</f>
        <v>-1242.82116</v>
      </c>
      <c r="G10" s="1091">
        <f>Forecasts!F24</f>
        <v>-1416.8345015999998</v>
      </c>
      <c r="H10" s="1091">
        <f>Forecasts!G24</f>
        <v>-1565.6146297599998</v>
      </c>
      <c r="I10" s="1091">
        <f>Forecasts!H24</f>
        <v>-1755.7981754567995</v>
      </c>
      <c r="J10" s="1091">
        <f>Forecasts!I24</f>
        <v>-1997.2929209997594</v>
      </c>
      <c r="K10" s="1149">
        <f>Forecasts!J24</f>
        <v>-2438.6394227948076</v>
      </c>
    </row>
    <row r="11" spans="1:13" ht="14.1" customHeight="1" thickBot="1">
      <c r="B11" s="1172" t="s">
        <v>1046</v>
      </c>
      <c r="C11" s="1150">
        <f>C9+C10</f>
        <v>2559.1999999999998</v>
      </c>
      <c r="D11" s="1150">
        <f t="shared" ref="D11:K11" si="0">D9+D10</f>
        <v>3332.4999999999995</v>
      </c>
      <c r="E11" s="1150">
        <f t="shared" si="0"/>
        <v>4067.6000000000004</v>
      </c>
      <c r="F11" s="1150">
        <f t="shared" si="0"/>
        <v>4675.3748400000004</v>
      </c>
      <c r="G11" s="1150">
        <f t="shared" si="0"/>
        <v>5329.996458399999</v>
      </c>
      <c r="H11" s="1150">
        <f t="shared" si="0"/>
        <v>6262.4585190399994</v>
      </c>
      <c r="I11" s="1150">
        <f t="shared" si="0"/>
        <v>7485.2448532631988</v>
      </c>
      <c r="J11" s="1150">
        <f t="shared" si="0"/>
        <v>9098.7788623322376</v>
      </c>
      <c r="K11" s="1151">
        <f t="shared" si="0"/>
        <v>11109.357370509679</v>
      </c>
    </row>
    <row r="12" spans="1:13" ht="14.1" customHeight="1">
      <c r="B12" s="1174" t="str">
        <f>Data!A68</f>
        <v>&lt;Research and Development&gt;</v>
      </c>
      <c r="C12" s="1152">
        <f>Forecasts!B31</f>
        <v>-396.06666666666666</v>
      </c>
      <c r="D12" s="1152">
        <f>Forecasts!C31</f>
        <v>-477.63333333333333</v>
      </c>
      <c r="E12" s="1152">
        <f>Forecasts!D31</f>
        <v>-576</v>
      </c>
      <c r="F12" s="1152">
        <f>Forecasts!E31</f>
        <v>-645.08336399999996</v>
      </c>
      <c r="G12" s="1152">
        <f>Forecasts!F31</f>
        <v>-735.40457463999996</v>
      </c>
      <c r="H12" s="1152">
        <f>Forecasts!G31</f>
        <v>-853.25997321919988</v>
      </c>
      <c r="I12" s="1152">
        <f>Forecasts!H31</f>
        <v>-1007.2736901304797</v>
      </c>
      <c r="J12" s="1152">
        <f>Forecasts!I31</f>
        <v>-1209.4718243831878</v>
      </c>
      <c r="K12" s="1153">
        <f>Forecasts!J31</f>
        <v>-1476.7316504701889</v>
      </c>
    </row>
    <row r="13" spans="1:13" ht="14.1" customHeight="1">
      <c r="B13" s="1175" t="str">
        <f>Data!A69</f>
        <v>&lt;Sles and Marketing&gt;</v>
      </c>
      <c r="C13" s="1154">
        <f>Forecasts!B34</f>
        <v>-1317.5666666666666</v>
      </c>
      <c r="D13" s="1154">
        <f>Forecasts!C34</f>
        <v>-1651.3333333333333</v>
      </c>
      <c r="E13" s="1154">
        <f>Forecasts!D34</f>
        <v>-1968.2</v>
      </c>
      <c r="F13" s="1154">
        <f>Forecasts!E34</f>
        <v>-2071.3685999999998</v>
      </c>
      <c r="G13" s="1154">
        <f>Forecasts!F34</f>
        <v>-2361.3908359999996</v>
      </c>
      <c r="H13" s="1154">
        <f>Forecasts!G34</f>
        <v>-2739.8256020799995</v>
      </c>
      <c r="I13" s="1154">
        <f>Forecasts!H34</f>
        <v>-3234.3650600519991</v>
      </c>
      <c r="J13" s="1154">
        <f>Forecasts!I34</f>
        <v>-3883.6251241661989</v>
      </c>
      <c r="K13" s="1155">
        <f>Forecasts!J34</f>
        <v>-4000.133877891185</v>
      </c>
    </row>
    <row r="14" spans="1:13" ht="14.1" customHeight="1">
      <c r="B14" s="1175" t="str">
        <f>Data!A70</f>
        <v>&lt;Depreciation and Amortization&gt;</v>
      </c>
      <c r="C14" s="1154">
        <f>Forecasts!B37</f>
        <v>-84.4</v>
      </c>
      <c r="D14" s="1154">
        <f>Forecasts!C37</f>
        <v>-104.3</v>
      </c>
      <c r="E14" s="1154">
        <f>Forecasts!D37</f>
        <v>-113.4</v>
      </c>
      <c r="F14" s="1154">
        <f>Forecasts!E37</f>
        <v>-131.05320101497048</v>
      </c>
      <c r="G14" s="1154">
        <f>Forecasts!F37</f>
        <v>-142.82776901513012</v>
      </c>
      <c r="H14" s="1154">
        <f>Forecasts!G37</f>
        <v>-152.6067590133658</v>
      </c>
      <c r="I14" s="1154">
        <f>Forecasts!H37</f>
        <v>-160.72838567383414</v>
      </c>
      <c r="J14" s="1154">
        <f>Forecasts!I37</f>
        <v>-575.27443438990633</v>
      </c>
      <c r="K14" s="1155">
        <f>Forecasts!J37</f>
        <v>-592.53266742160349</v>
      </c>
    </row>
    <row r="15" spans="1:13" ht="14.1" customHeight="1">
      <c r="B15" s="1175" t="str">
        <f>Data!A71</f>
        <v>&lt;Selling, General and Administrative Expenses&gt;</v>
      </c>
      <c r="C15" s="1154">
        <f>Forecasts!B40</f>
        <v>-115.36666666666666</v>
      </c>
      <c r="D15" s="1154">
        <f>Forecasts!C40</f>
        <v>-134.23333333333335</v>
      </c>
      <c r="E15" s="1154">
        <f>Forecasts!D40</f>
        <v>-173.5</v>
      </c>
      <c r="F15" s="1154">
        <f>Forecasts!E40</f>
        <v>-195.300468</v>
      </c>
      <c r="G15" s="1154">
        <f>Forecasts!F40</f>
        <v>-222.64542168</v>
      </c>
      <c r="H15" s="1154">
        <f>Forecasts!G40</f>
        <v>-258.32641391039999</v>
      </c>
      <c r="I15" s="1154">
        <f>Forecasts!H40</f>
        <v>-304.95441994775996</v>
      </c>
      <c r="J15" s="1154">
        <f>Forecasts!I40</f>
        <v>-366.17036884995593</v>
      </c>
      <c r="K15" s="1155">
        <f>Forecasts!J40</f>
        <v>-377.15547991545463</v>
      </c>
    </row>
    <row r="16" spans="1:13" ht="14.1" customHeight="1">
      <c r="B16" s="1175" t="str">
        <f>Data!A72</f>
        <v>Other operating expenses (1)</v>
      </c>
      <c r="C16" s="1154">
        <f>Forecasts!B43</f>
        <v>0</v>
      </c>
      <c r="D16" s="1154">
        <f>Forecasts!C43</f>
        <v>0</v>
      </c>
      <c r="E16" s="1154">
        <f>Forecasts!D43</f>
        <v>0</v>
      </c>
      <c r="F16" s="1154">
        <f>Forecasts!E43</f>
        <v>0</v>
      </c>
      <c r="G16" s="1154">
        <f>Forecasts!F43</f>
        <v>0</v>
      </c>
      <c r="H16" s="1154">
        <f>Forecasts!G43</f>
        <v>0</v>
      </c>
      <c r="I16" s="1154">
        <f>Forecasts!H43</f>
        <v>0</v>
      </c>
      <c r="J16" s="1154">
        <f>Forecasts!I43</f>
        <v>0</v>
      </c>
      <c r="K16" s="1155">
        <f>Forecasts!J43</f>
        <v>0</v>
      </c>
    </row>
    <row r="17" spans="2:11" ht="14.1" customHeight="1">
      <c r="B17" s="1175" t="str">
        <f>Data!A73</f>
        <v>Other operating expenses (2)</v>
      </c>
      <c r="C17" s="1154">
        <f>Forecasts!B46</f>
        <v>0</v>
      </c>
      <c r="D17" s="1154">
        <f>Forecasts!C46</f>
        <v>0</v>
      </c>
      <c r="E17" s="1154">
        <f>Forecasts!D46</f>
        <v>0</v>
      </c>
      <c r="F17" s="1154">
        <f>Forecasts!E46</f>
        <v>0</v>
      </c>
      <c r="G17" s="1154">
        <f>Forecasts!F46</f>
        <v>0</v>
      </c>
      <c r="H17" s="1154">
        <f>Forecasts!G46</f>
        <v>0</v>
      </c>
      <c r="I17" s="1154">
        <f>Forecasts!H46</f>
        <v>0</v>
      </c>
      <c r="J17" s="1154">
        <f>Forecasts!I46</f>
        <v>0</v>
      </c>
      <c r="K17" s="1155">
        <f>Forecasts!J46</f>
        <v>0</v>
      </c>
    </row>
    <row r="18" spans="2:11" ht="14.1" customHeight="1">
      <c r="B18" s="1175" t="str">
        <f>Data!A74</f>
        <v>Income from equity investees</v>
      </c>
      <c r="C18" s="1154">
        <f>Forecasts!B49</f>
        <v>0</v>
      </c>
      <c r="D18" s="1154">
        <f>Forecasts!C49</f>
        <v>0</v>
      </c>
      <c r="E18" s="1154">
        <f>Forecasts!D49</f>
        <v>0</v>
      </c>
      <c r="F18" s="1154">
        <f>Forecasts!E49</f>
        <v>0</v>
      </c>
      <c r="G18" s="1154">
        <f>Forecasts!F49</f>
        <v>0</v>
      </c>
      <c r="H18" s="1154">
        <f>Forecasts!G49</f>
        <v>0</v>
      </c>
      <c r="I18" s="1154">
        <f>Forecasts!H49</f>
        <v>0</v>
      </c>
      <c r="J18" s="1154">
        <f>Forecasts!I49</f>
        <v>0</v>
      </c>
      <c r="K18" s="1155">
        <f>Forecasts!J49</f>
        <v>0</v>
      </c>
    </row>
    <row r="19" spans="2:11" ht="14.1" customHeight="1" thickBot="1">
      <c r="B19" s="1176" t="str">
        <f>Data!A75</f>
        <v>Gain on intellectual property matter</v>
      </c>
      <c r="C19" s="1156">
        <f>Forecasts!B52</f>
        <v>4.5999999999999996</v>
      </c>
      <c r="D19" s="1156">
        <f>Forecasts!C52</f>
        <v>4.5999999999999996</v>
      </c>
      <c r="E19" s="1156">
        <f>Forecasts!D52</f>
        <v>4.5999999999999996</v>
      </c>
      <c r="F19" s="1156">
        <f>Forecasts!E52</f>
        <v>5.918196</v>
      </c>
      <c r="G19" s="1156">
        <f>Forecasts!F52</f>
        <v>6.7468309599999996</v>
      </c>
      <c r="H19" s="1156">
        <f>Forecasts!G52</f>
        <v>7.8280731487999997</v>
      </c>
      <c r="I19" s="1156">
        <f>Forecasts!H52</f>
        <v>9.2410430287199983</v>
      </c>
      <c r="J19" s="1156">
        <f>Forecasts!I52</f>
        <v>11.096071783331999</v>
      </c>
      <c r="K19" s="1157">
        <f>Forecasts!J52</f>
        <v>13.547996793304486</v>
      </c>
    </row>
    <row r="20" spans="2:11" ht="14.1" customHeight="1" thickBot="1">
      <c r="B20" s="1172" t="s">
        <v>1268</v>
      </c>
      <c r="C20" s="1170">
        <f>Forecasts!B55</f>
        <v>650.4</v>
      </c>
      <c r="D20" s="1150">
        <f>Forecasts!C55</f>
        <v>969.5999999999998</v>
      </c>
      <c r="E20" s="1150">
        <f>Forecasts!D55</f>
        <v>1241.1000000000001</v>
      </c>
      <c r="F20" s="1150">
        <f>Forecasts!E55</f>
        <v>1638.4874029850303</v>
      </c>
      <c r="G20" s="1150">
        <f>Forecasts!F55</f>
        <v>1874.4746880248697</v>
      </c>
      <c r="H20" s="1150">
        <f>Forecasts!G55</f>
        <v>2266.2678439658339</v>
      </c>
      <c r="I20" s="1150">
        <f>Forecasts!H55</f>
        <v>2787.1643404878459</v>
      </c>
      <c r="J20" s="1150">
        <f>Forecasts!I55</f>
        <v>3075.3331823263206</v>
      </c>
      <c r="K20" s="1151">
        <f>Forecasts!J55</f>
        <v>4676.3516916045519</v>
      </c>
    </row>
    <row r="21" spans="2:11" ht="14.1" customHeight="1">
      <c r="B21" s="1173" t="str">
        <f>Data!A77</f>
        <v>Interest income - NET</v>
      </c>
      <c r="C21" s="1162">
        <f>Forecasts!B59</f>
        <v>-10.4</v>
      </c>
      <c r="D21" s="1163">
        <f>Forecasts!C59</f>
        <v>-0.6</v>
      </c>
      <c r="E21" s="1163">
        <f>Forecasts!D59</f>
        <v>98.7</v>
      </c>
      <c r="F21" s="1163">
        <f>Forecasts!E59</f>
        <v>110.82062250000001</v>
      </c>
      <c r="G21" s="1163">
        <f>Forecasts!F59</f>
        <v>114.78687727499998</v>
      </c>
      <c r="H21" s="1163">
        <f>Forecasts!G59</f>
        <v>118.89778513725001</v>
      </c>
      <c r="I21" s="1163">
        <f>Forecasts!H59</f>
        <v>123.15871229712754</v>
      </c>
      <c r="J21" s="1163">
        <f>Forecasts!I59</f>
        <v>127.57522701603175</v>
      </c>
      <c r="K21" s="1164">
        <f>Forecasts!J59</f>
        <v>131.40248382651271</v>
      </c>
    </row>
    <row r="22" spans="2:11" ht="14.1" customHeight="1">
      <c r="B22" s="1173" t="str">
        <f>Data!A78</f>
        <v>Other expense - NET</v>
      </c>
      <c r="C22" s="1165">
        <f>Forecasts!B62</f>
        <v>-11.6</v>
      </c>
      <c r="D22" s="1161">
        <f>Forecasts!C62</f>
        <v>-13.5</v>
      </c>
      <c r="E22" s="1161">
        <f>Forecasts!D62</f>
        <v>-6.1</v>
      </c>
      <c r="F22" s="1161">
        <f>Forecasts!E62</f>
        <v>-18.45</v>
      </c>
      <c r="G22" s="1161">
        <f>Forecasts!F62</f>
        <v>-19.372499999999999</v>
      </c>
      <c r="H22" s="1161">
        <f>Forecasts!G62</f>
        <v>-20.341124999999998</v>
      </c>
      <c r="I22" s="1161">
        <f>Forecasts!H62</f>
        <v>-21.358181250000001</v>
      </c>
      <c r="J22" s="1161">
        <f>Forecasts!I62</f>
        <v>-22.426090312500001</v>
      </c>
      <c r="K22" s="1166">
        <f>Forecasts!J62</f>
        <v>-23.098873021875001</v>
      </c>
    </row>
    <row r="23" spans="2:11" ht="14.1" customHeight="1">
      <c r="B23" s="1173" t="str">
        <f>Data!A79</f>
        <v>Income &lt;Loss&gt; from equity affiliates</v>
      </c>
      <c r="C23" s="1165">
        <f>Forecasts!B65</f>
        <v>0</v>
      </c>
      <c r="D23" s="1161">
        <f>Forecasts!C65</f>
        <v>0</v>
      </c>
      <c r="E23" s="1161">
        <f>Forecasts!D65</f>
        <v>0</v>
      </c>
      <c r="F23" s="1161">
        <f>Forecasts!E65</f>
        <v>0</v>
      </c>
      <c r="G23" s="1161">
        <f>Forecasts!F65</f>
        <v>0</v>
      </c>
      <c r="H23" s="1161">
        <f>Forecasts!G65</f>
        <v>0</v>
      </c>
      <c r="I23" s="1161">
        <f>Forecasts!H65</f>
        <v>0</v>
      </c>
      <c r="J23" s="1161">
        <f>Forecasts!I65</f>
        <v>0</v>
      </c>
      <c r="K23" s="1166">
        <f>Forecasts!J65</f>
        <v>0</v>
      </c>
    </row>
    <row r="24" spans="2:11" ht="14.1" customHeight="1" thickBot="1">
      <c r="B24" s="1173" t="str">
        <f>Data!A80</f>
        <v>Other income or gains &lt;Other expenses or losses&gt;</v>
      </c>
      <c r="C24" s="1167">
        <f>Forecasts!B68</f>
        <v>0</v>
      </c>
      <c r="D24" s="1168">
        <f>Forecasts!C68</f>
        <v>0</v>
      </c>
      <c r="E24" s="1168">
        <f>Forecasts!D68</f>
        <v>0</v>
      </c>
      <c r="F24" s="1168">
        <f>Forecasts!E68</f>
        <v>0</v>
      </c>
      <c r="G24" s="1168">
        <f>Forecasts!F68</f>
        <v>0</v>
      </c>
      <c r="H24" s="1168">
        <f>Forecasts!G68</f>
        <v>0</v>
      </c>
      <c r="I24" s="1168">
        <f>Forecasts!H68</f>
        <v>0</v>
      </c>
      <c r="J24" s="1168">
        <f>Forecasts!I68</f>
        <v>0</v>
      </c>
      <c r="K24" s="1169">
        <f>Forecasts!J68</f>
        <v>0</v>
      </c>
    </row>
    <row r="25" spans="2:11" ht="14.1" customHeight="1" thickBot="1">
      <c r="B25" s="1172" t="str">
        <f>Data!A81</f>
        <v xml:space="preserve">  Income before Tax</v>
      </c>
      <c r="C25" s="1171">
        <f>Forecasts!B71</f>
        <v>628.4</v>
      </c>
      <c r="D25" s="1158">
        <f>Forecasts!C71</f>
        <v>955.49999999999977</v>
      </c>
      <c r="E25" s="1158">
        <f>Forecasts!D71</f>
        <v>1333.7000000000003</v>
      </c>
      <c r="F25" s="1158">
        <f>Forecasts!E71</f>
        <v>1730.8580254850301</v>
      </c>
      <c r="G25" s="1158">
        <f>Forecasts!F71</f>
        <v>1969.8890652998698</v>
      </c>
      <c r="H25" s="1158">
        <f>Forecasts!G71</f>
        <v>2364.8245041030841</v>
      </c>
      <c r="I25" s="1158">
        <f>Forecasts!H71</f>
        <v>2888.9648715349736</v>
      </c>
      <c r="J25" s="1158">
        <f>Forecasts!I71</f>
        <v>3180.4823190298525</v>
      </c>
      <c r="K25" s="1159">
        <f>Forecasts!J71</f>
        <v>4784.6553024091891</v>
      </c>
    </row>
    <row r="26" spans="2:11" ht="14.1" customHeight="1">
      <c r="B26" s="1173" t="str">
        <f>Data!A82</f>
        <v>Provision for (Benefit from) Income Taxes (+Benefit, - Provision)</v>
      </c>
      <c r="C26" s="1162">
        <f>Forecasts!B75</f>
        <v>-14.1</v>
      </c>
      <c r="D26" s="1163">
        <f>Forecasts!C75</f>
        <v>-30.8</v>
      </c>
      <c r="E26" s="1163">
        <f>Forecasts!D75</f>
        <v>-143.80000000000001</v>
      </c>
      <c r="F26" s="1163">
        <f>Forecasts!E75</f>
        <v>-294.24586433245514</v>
      </c>
      <c r="G26" s="1163">
        <f>Forecasts!F75</f>
        <v>-334.88114110097791</v>
      </c>
      <c r="H26" s="1163">
        <f>Forecasts!G75</f>
        <v>-402.02016569752431</v>
      </c>
      <c r="I26" s="1163">
        <f>Forecasts!H75</f>
        <v>-491.12402816094556</v>
      </c>
      <c r="J26" s="1163">
        <f>Forecasts!I75</f>
        <v>-540.68199423507497</v>
      </c>
      <c r="K26" s="1164">
        <f>Forecasts!J75</f>
        <v>-813.39140140956215</v>
      </c>
    </row>
    <row r="27" spans="2:11" ht="14.1" customHeight="1">
      <c r="B27" s="1173" t="str">
        <f>Data!A83</f>
        <v>Income &lt;Loss&gt; from discontinued operations (+Income, - Loss)</v>
      </c>
      <c r="C27" s="1165">
        <f>Forecasts!B78</f>
        <v>-7.6</v>
      </c>
      <c r="D27" s="1161">
        <f>Forecasts!C78</f>
        <v>-68.099999999999994</v>
      </c>
      <c r="E27" s="1161">
        <f>Forecasts!D78</f>
        <v>-42.1</v>
      </c>
      <c r="F27" s="1161">
        <f>Forecasts!E78</f>
        <v>-47.345568</v>
      </c>
      <c r="G27" s="1161">
        <f>Forecasts!F78</f>
        <v>-53.974647679999997</v>
      </c>
      <c r="H27" s="1161">
        <f>Forecasts!G78</f>
        <v>-62.624585190399998</v>
      </c>
      <c r="I27" s="1161">
        <f>Forecasts!H78</f>
        <v>-73.928344229759986</v>
      </c>
      <c r="J27" s="1161">
        <f>Forecasts!I78</f>
        <v>-88.768574266655989</v>
      </c>
      <c r="K27" s="1166">
        <f>Forecasts!J78</f>
        <v>-108.38397434643589</v>
      </c>
    </row>
    <row r="28" spans="2:11" ht="14.1" customHeight="1" thickBot="1">
      <c r="B28" s="1173" t="str">
        <f>Data!A84</f>
        <v>Extraordinary gains &lt;losses&gt;</v>
      </c>
      <c r="C28" s="1167">
        <f>Forecasts!B81</f>
        <v>0</v>
      </c>
      <c r="D28" s="1168">
        <f>Forecasts!C81</f>
        <v>0</v>
      </c>
      <c r="E28" s="1168">
        <f>Forecasts!D81</f>
        <v>0</v>
      </c>
      <c r="F28" s="1168">
        <f>Forecasts!E81</f>
        <v>0</v>
      </c>
      <c r="G28" s="1168">
        <f>Forecasts!F81</f>
        <v>0</v>
      </c>
      <c r="H28" s="1168">
        <f>Forecasts!G81</f>
        <v>0</v>
      </c>
      <c r="I28" s="1168">
        <f>Forecasts!H81</f>
        <v>0</v>
      </c>
      <c r="J28" s="1168">
        <f>Forecasts!I81</f>
        <v>0</v>
      </c>
      <c r="K28" s="1169">
        <f>Forecasts!J81</f>
        <v>0</v>
      </c>
    </row>
    <row r="29" spans="2:11" ht="14.1" customHeight="1" thickBot="1">
      <c r="B29" s="1172" t="s">
        <v>1269</v>
      </c>
      <c r="C29" s="1170">
        <f>Forecasts!B84</f>
        <v>606.69999999999993</v>
      </c>
      <c r="D29" s="1150">
        <f>Forecasts!C84</f>
        <v>856.5999999999998</v>
      </c>
      <c r="E29" s="1150">
        <f>Forecasts!D84</f>
        <v>1147.8000000000004</v>
      </c>
      <c r="F29" s="1150">
        <f>Forecasts!E84</f>
        <v>1389.2665931525751</v>
      </c>
      <c r="G29" s="1150">
        <f>Forecasts!F84</f>
        <v>1581.0332765188919</v>
      </c>
      <c r="H29" s="1150">
        <f>Forecasts!G84</f>
        <v>1900.1797532151597</v>
      </c>
      <c r="I29" s="1150">
        <f>Forecasts!H84</f>
        <v>2323.9124991442677</v>
      </c>
      <c r="J29" s="1150">
        <f>Forecasts!I84</f>
        <v>2551.0317505281218</v>
      </c>
      <c r="K29" s="1151">
        <f>Forecasts!J84</f>
        <v>3862.879926653191</v>
      </c>
    </row>
    <row r="30" spans="2:11" ht="14.1" customHeight="1">
      <c r="B30" s="1173" t="str">
        <f>Data!A87</f>
        <v>Less: Net loss attributable to non-controlling interestsm net of tax (- and loss = +)</v>
      </c>
      <c r="C30" s="1162">
        <f>Forecasts!B87</f>
        <v>0.1</v>
      </c>
      <c r="D30" s="1163">
        <f>Forecasts!C87</f>
        <v>0.7</v>
      </c>
      <c r="E30" s="1163">
        <f>Forecasts!D87</f>
        <v>0</v>
      </c>
      <c r="F30" s="1163">
        <f>Forecasts!E87</f>
        <v>0</v>
      </c>
      <c r="G30" s="1163">
        <f>Forecasts!F87</f>
        <v>0</v>
      </c>
      <c r="H30" s="1163">
        <f>Forecasts!G87</f>
        <v>0</v>
      </c>
      <c r="I30" s="1163">
        <f>Forecasts!H87</f>
        <v>0</v>
      </c>
      <c r="J30" s="1163">
        <f>Forecasts!I87</f>
        <v>0</v>
      </c>
      <c r="K30" s="1164">
        <f>Forecasts!J87</f>
        <v>0</v>
      </c>
    </row>
    <row r="31" spans="2:11" ht="14.1" customHeight="1">
      <c r="B31" s="1173" t="str">
        <f>Forecasts!A90</f>
        <v xml:space="preserve">  Net Income attributable to common shareholders</v>
      </c>
      <c r="C31" s="1165">
        <f>Forecasts!B90</f>
        <v>606.79999999999995</v>
      </c>
      <c r="D31" s="1161">
        <f>Forecasts!C90</f>
        <v>857.29999999999984</v>
      </c>
      <c r="E31" s="1161">
        <f>Forecasts!D90</f>
        <v>1147.8000000000004</v>
      </c>
      <c r="F31" s="1161">
        <f>Forecasts!E90</f>
        <v>1389.2665931525751</v>
      </c>
      <c r="G31" s="1161">
        <f>Forecasts!F90</f>
        <v>1581.0332765188919</v>
      </c>
      <c r="H31" s="1161">
        <f>Forecasts!G90</f>
        <v>1900.1797532151597</v>
      </c>
      <c r="I31" s="1161">
        <f>Forecasts!H90</f>
        <v>2323.9124991442677</v>
      </c>
      <c r="J31" s="1161">
        <f>Forecasts!I90</f>
        <v>2551.0317505281218</v>
      </c>
      <c r="K31" s="1166">
        <f>Forecasts!J90</f>
        <v>3862.879926653191</v>
      </c>
    </row>
    <row r="32" spans="2:11" ht="14.1" customHeight="1" thickBot="1">
      <c r="B32" s="1173" t="str">
        <f>Forecasts!A94</f>
        <v>Other comprehensive income (loss)</v>
      </c>
      <c r="C32" s="1167">
        <f>Forecasts!B94</f>
        <v>-5.4</v>
      </c>
      <c r="D32" s="1168">
        <f>Forecasts!C94</f>
        <v>-14.7</v>
      </c>
      <c r="E32" s="1168">
        <f>Forecasts!D94</f>
        <v>1.3</v>
      </c>
      <c r="F32" s="1168">
        <f>Forecasts!E94</f>
        <v>2.959098</v>
      </c>
      <c r="G32" s="1168">
        <f>Forecasts!F94</f>
        <v>3.3734154799999998</v>
      </c>
      <c r="H32" s="1168">
        <f>Forecasts!G94</f>
        <v>3.9140365743999999</v>
      </c>
      <c r="I32" s="1168">
        <f>Forecasts!H94</f>
        <v>4.6205215143599991</v>
      </c>
      <c r="J32" s="1168">
        <f>Forecasts!I94</f>
        <v>5.5480358916659993</v>
      </c>
      <c r="K32" s="1169">
        <f>Forecasts!J94</f>
        <v>6.7739983966522432</v>
      </c>
    </row>
    <row r="33" spans="2:11" ht="14.1" customHeight="1" thickBot="1">
      <c r="B33" s="1172" t="s">
        <v>1249</v>
      </c>
      <c r="C33" s="1150">
        <f>Forecasts!B97</f>
        <v>601.29999999999995</v>
      </c>
      <c r="D33" s="1150">
        <f>Forecasts!C97</f>
        <v>841.89999999999975</v>
      </c>
      <c r="E33" s="1150">
        <f>Forecasts!D97</f>
        <v>1149.1000000000004</v>
      </c>
      <c r="F33" s="1150">
        <f>Forecasts!E97</f>
        <v>1392.2256911525751</v>
      </c>
      <c r="G33" s="1150">
        <f>Forecasts!F97</f>
        <v>1584.4066919988918</v>
      </c>
      <c r="H33" s="1150">
        <f>Forecasts!G97</f>
        <v>1904.0937897895597</v>
      </c>
      <c r="I33" s="1150">
        <f>Forecasts!H97</f>
        <v>2328.5330206586277</v>
      </c>
      <c r="J33" s="1150">
        <f>Forecasts!I97</f>
        <v>2556.579786419788</v>
      </c>
      <c r="K33" s="1151">
        <f>Forecasts!J97</f>
        <v>3869.6539250498431</v>
      </c>
    </row>
    <row r="34" spans="2:11" ht="14.1" customHeight="1">
      <c r="B34" s="1092" t="s">
        <v>1250</v>
      </c>
      <c r="C34" s="1093"/>
      <c r="D34" s="1093"/>
      <c r="E34" s="1093"/>
      <c r="F34" s="1093"/>
      <c r="G34" s="1093"/>
      <c r="H34" s="1093"/>
      <c r="I34" s="1093"/>
      <c r="J34" s="1094"/>
      <c r="K34" s="1094"/>
    </row>
    <row r="35" spans="2:11" ht="14.1" customHeight="1">
      <c r="B35" s="1092"/>
      <c r="C35" s="1093"/>
      <c r="D35" s="1093"/>
      <c r="E35" s="1093"/>
      <c r="F35" s="1093"/>
      <c r="G35" s="1093"/>
      <c r="H35" s="1093"/>
      <c r="I35" s="1093"/>
      <c r="J35" s="1094"/>
      <c r="K35" s="1094"/>
    </row>
    <row r="36" spans="2:11" ht="14.1" customHeight="1">
      <c r="B36" s="1092"/>
      <c r="C36" s="1093"/>
      <c r="D36" s="1093"/>
      <c r="E36" s="1093"/>
      <c r="F36" s="1093"/>
      <c r="G36" s="1093"/>
      <c r="H36" s="1093"/>
      <c r="I36" s="1093"/>
      <c r="J36" s="1094"/>
      <c r="K36" s="1094"/>
    </row>
    <row r="37" spans="2:11">
      <c r="B37" s="1095" t="s">
        <v>480</v>
      </c>
      <c r="C37" s="1260" t="s">
        <v>469</v>
      </c>
      <c r="D37" s="1260"/>
      <c r="E37" s="1260"/>
      <c r="F37" s="1260" t="s">
        <v>470</v>
      </c>
      <c r="G37" s="1260"/>
      <c r="H37" s="1260"/>
      <c r="I37" s="1260"/>
      <c r="J37" s="1260"/>
      <c r="K37" s="1260"/>
    </row>
    <row r="38" spans="2:11" ht="13.5" thickBot="1">
      <c r="B38" s="1096"/>
      <c r="C38" s="1260"/>
      <c r="D38" s="1260"/>
      <c r="E38" s="1260"/>
      <c r="F38" s="1260"/>
      <c r="G38" s="1260"/>
      <c r="H38" s="1260"/>
      <c r="I38" s="1260"/>
      <c r="J38" s="1260"/>
      <c r="K38" s="1260"/>
    </row>
    <row r="39" spans="2:11" ht="13.5" thickBot="1">
      <c r="B39" s="1177" t="s">
        <v>18</v>
      </c>
      <c r="C39" s="1178" t="s">
        <v>872</v>
      </c>
      <c r="D39" s="1084" t="s">
        <v>871</v>
      </c>
      <c r="E39" s="1084" t="s">
        <v>870</v>
      </c>
      <c r="F39" s="1084" t="s">
        <v>471</v>
      </c>
      <c r="G39" s="1084" t="s">
        <v>472</v>
      </c>
      <c r="H39" s="1084" t="s">
        <v>473</v>
      </c>
      <c r="I39" s="1084" t="s">
        <v>474</v>
      </c>
      <c r="J39" s="1084" t="s">
        <v>475</v>
      </c>
      <c r="K39" s="1177" t="s">
        <v>476</v>
      </c>
    </row>
    <row r="40" spans="2:11" ht="12.95" customHeight="1" thickBot="1">
      <c r="B40" s="1179" t="s">
        <v>1251</v>
      </c>
      <c r="C40" s="1183"/>
      <c r="D40" s="1183"/>
      <c r="E40" s="1183"/>
      <c r="F40" s="1183"/>
      <c r="G40" s="1183"/>
      <c r="H40" s="1183"/>
      <c r="I40" s="1183"/>
      <c r="J40" s="1183"/>
      <c r="K40" s="1184"/>
    </row>
    <row r="41" spans="2:11" ht="12.95" customHeight="1">
      <c r="B41" s="1160" t="str">
        <f>Data!A16</f>
        <v>Cash and cash equivalents</v>
      </c>
      <c r="C41" s="1194">
        <f>Forecasts!B115</f>
        <v>1319.1</v>
      </c>
      <c r="D41" s="1195">
        <f>Forecasts!C115</f>
        <v>1682.9</v>
      </c>
      <c r="E41" s="1195">
        <f>Forecasts!D115</f>
        <v>1397.9</v>
      </c>
      <c r="F41" s="1195">
        <f>Forecasts!E115</f>
        <v>1453.816</v>
      </c>
      <c r="G41" s="1195">
        <f>Forecasts!F115</f>
        <v>1511.9686400000001</v>
      </c>
      <c r="H41" s="1195">
        <f>Forecasts!G115</f>
        <v>1572.4473856000002</v>
      </c>
      <c r="I41" s="1195">
        <f>Forecasts!H115</f>
        <v>1635.3452810240003</v>
      </c>
      <c r="J41" s="1195">
        <f>Forecasts!I115</f>
        <v>1700.7590922649604</v>
      </c>
      <c r="K41" s="1196">
        <f>Forecasts!J115</f>
        <v>1768.7894559555589</v>
      </c>
    </row>
    <row r="42" spans="2:11" ht="12.95" customHeight="1">
      <c r="B42" s="1160" t="str">
        <f>Data!A17</f>
        <v>Short-term investments</v>
      </c>
      <c r="C42" s="1197">
        <f>Forecasts!B118</f>
        <v>1194</v>
      </c>
      <c r="D42" s="1185">
        <f>Forecasts!C118</f>
        <v>502.6</v>
      </c>
      <c r="E42" s="1185">
        <f>Forecasts!D118</f>
        <v>1021.5</v>
      </c>
      <c r="F42" s="1185">
        <f>Forecasts!E118</f>
        <v>1052.145</v>
      </c>
      <c r="G42" s="1185">
        <f>Forecasts!F118</f>
        <v>1083.7093500000001</v>
      </c>
      <c r="H42" s="1185">
        <f>Forecasts!G118</f>
        <v>1116.2206305000002</v>
      </c>
      <c r="I42" s="1185">
        <f>Forecasts!H118</f>
        <v>1149.7072494150002</v>
      </c>
      <c r="J42" s="1185">
        <f>Forecasts!I118</f>
        <v>1184.1984668974503</v>
      </c>
      <c r="K42" s="1186">
        <f>Forecasts!J118</f>
        <v>1219.7244209043738</v>
      </c>
    </row>
    <row r="43" spans="2:11" ht="12.95" customHeight="1">
      <c r="B43" s="1160" t="str">
        <f>Data!A18</f>
        <v>Accounts and notes receivable - net</v>
      </c>
      <c r="C43" s="1197">
        <f>Forecasts!B121</f>
        <v>807.7</v>
      </c>
      <c r="D43" s="1185">
        <f>Forecasts!C121</f>
        <v>1261.7</v>
      </c>
      <c r="E43" s="1185">
        <f>Forecasts!D121</f>
        <v>1402</v>
      </c>
      <c r="F43" s="1185">
        <f>Forecasts!E121</f>
        <v>1444.06</v>
      </c>
      <c r="G43" s="1185">
        <f>Forecasts!F121</f>
        <v>1487.3817999999999</v>
      </c>
      <c r="H43" s="1185">
        <f>Forecasts!G121</f>
        <v>1532.003254</v>
      </c>
      <c r="I43" s="1185">
        <f>Forecasts!H121</f>
        <v>1577.9633516199999</v>
      </c>
      <c r="J43" s="1185">
        <f>Forecasts!I121</f>
        <v>1625.3022521686</v>
      </c>
      <c r="K43" s="1186">
        <f>Forecasts!J121</f>
        <v>1674.0613197336581</v>
      </c>
    </row>
    <row r="44" spans="2:11" ht="12.95" customHeight="1">
      <c r="B44" s="1160" t="str">
        <f>Data!A19</f>
        <v>Inventories</v>
      </c>
      <c r="C44" s="1197">
        <f>Forecasts!B124</f>
        <v>175.8</v>
      </c>
      <c r="D44" s="1185">
        <f>Forecasts!C124</f>
        <v>264.60000000000002</v>
      </c>
      <c r="E44" s="1185">
        <f>Forecasts!D124</f>
        <v>484.8</v>
      </c>
      <c r="F44" s="1185">
        <f>Forecasts!E124</f>
        <v>499.34400000000005</v>
      </c>
      <c r="G44" s="1185">
        <f>Forecasts!F124</f>
        <v>514.32432000000006</v>
      </c>
      <c r="H44" s="1185">
        <f>Forecasts!G124</f>
        <v>529.75404960000003</v>
      </c>
      <c r="I44" s="1185">
        <f>Forecasts!H124</f>
        <v>545.64667108800006</v>
      </c>
      <c r="J44" s="1185">
        <f>Forecasts!I124</f>
        <v>562.01607122064013</v>
      </c>
      <c r="K44" s="1186">
        <f>Forecasts!J124</f>
        <v>578.87655335725935</v>
      </c>
    </row>
    <row r="45" spans="2:11" ht="12.95" customHeight="1">
      <c r="B45" s="1160" t="str">
        <f>Data!A20</f>
        <v>Prepaid expenses and other current assets</v>
      </c>
      <c r="C45" s="1197">
        <f>Forecasts!B127</f>
        <v>65.400000000000006</v>
      </c>
      <c r="D45" s="1185">
        <f>Forecasts!C127</f>
        <v>73.099999999999994</v>
      </c>
      <c r="E45" s="1185">
        <f>Forecasts!D127</f>
        <v>101.1</v>
      </c>
      <c r="F45" s="1185">
        <f>Forecasts!E127</f>
        <v>104.133</v>
      </c>
      <c r="G45" s="1185">
        <f>Forecasts!F127</f>
        <v>107.25699</v>
      </c>
      <c r="H45" s="1185">
        <f>Forecasts!G127</f>
        <v>110.4746997</v>
      </c>
      <c r="I45" s="1185">
        <f>Forecasts!H127</f>
        <v>113.78894069100001</v>
      </c>
      <c r="J45" s="1185">
        <f>Forecasts!I127</f>
        <v>117.20260891173001</v>
      </c>
      <c r="K45" s="1186">
        <f>Forecasts!J127</f>
        <v>120.71868717908191</v>
      </c>
    </row>
    <row r="46" spans="2:11" ht="12.95" customHeight="1" thickBot="1">
      <c r="B46" s="1160" t="str">
        <f>Data!A21</f>
        <v>Marketable equity securities</v>
      </c>
      <c r="C46" s="1205">
        <f>Forecasts!B130</f>
        <v>38.6</v>
      </c>
      <c r="D46" s="1203">
        <f>Forecasts!C130</f>
        <v>25.5</v>
      </c>
      <c r="E46" s="1203">
        <f>Forecasts!D130</f>
        <v>21</v>
      </c>
      <c r="F46" s="1203">
        <f>Forecasts!E130</f>
        <v>21.63</v>
      </c>
      <c r="G46" s="1203">
        <f>Forecasts!F130</f>
        <v>22.2789</v>
      </c>
      <c r="H46" s="1203">
        <f>Forecasts!G130</f>
        <v>22.947267</v>
      </c>
      <c r="I46" s="1203">
        <f>Forecasts!H130</f>
        <v>23.63568501</v>
      </c>
      <c r="J46" s="1203">
        <f>Forecasts!I130</f>
        <v>24.344755560300001</v>
      </c>
      <c r="K46" s="1204">
        <f>Forecasts!J130</f>
        <v>25.075098227109002</v>
      </c>
    </row>
    <row r="47" spans="2:11" ht="12.95" customHeight="1" thickBot="1">
      <c r="B47" s="1208" t="s">
        <v>405</v>
      </c>
      <c r="C47" s="1198">
        <f>Forecasts!B139</f>
        <v>3600.6000000000004</v>
      </c>
      <c r="D47" s="1187">
        <f>Forecasts!C139</f>
        <v>3810.3999999999996</v>
      </c>
      <c r="E47" s="1187">
        <f>Forecasts!D139</f>
        <v>4428.3</v>
      </c>
      <c r="F47" s="1187">
        <f>Forecasts!E139</f>
        <v>4575.1279999999997</v>
      </c>
      <c r="G47" s="1187">
        <f>Forecasts!F139</f>
        <v>4726.92</v>
      </c>
      <c r="H47" s="1187">
        <f>Forecasts!G139</f>
        <v>4883.8472864000005</v>
      </c>
      <c r="I47" s="1187">
        <f>Forecasts!H139</f>
        <v>5046.0871788480008</v>
      </c>
      <c r="J47" s="1187">
        <f>Forecasts!I139</f>
        <v>5213.8232470236799</v>
      </c>
      <c r="K47" s="1199">
        <f>Forecasts!J139</f>
        <v>5387.2455353570413</v>
      </c>
    </row>
    <row r="48" spans="2:11" ht="12.95" customHeight="1">
      <c r="B48" s="1160" t="str">
        <f>Data!A25</f>
        <v>Long-term investments</v>
      </c>
      <c r="C48" s="1194">
        <f>Forecasts!B142</f>
        <v>440.8</v>
      </c>
      <c r="D48" s="1195">
        <f>Forecasts!C142</f>
        <v>45.5</v>
      </c>
      <c r="E48" s="1195">
        <f>Forecasts!D142</f>
        <v>0</v>
      </c>
      <c r="F48" s="1195">
        <f>Forecasts!E142</f>
        <v>0</v>
      </c>
      <c r="G48" s="1195">
        <f>Forecasts!F142</f>
        <v>0</v>
      </c>
      <c r="H48" s="1195">
        <f>Forecasts!G142</f>
        <v>0</v>
      </c>
      <c r="I48" s="1195">
        <f>Forecasts!H142</f>
        <v>0</v>
      </c>
      <c r="J48" s="1195">
        <f>Forecasts!I142</f>
        <v>0</v>
      </c>
      <c r="K48" s="1196">
        <f>Forecasts!J142</f>
        <v>0</v>
      </c>
    </row>
    <row r="49" spans="2:11" ht="12.95" customHeight="1">
      <c r="B49" s="1160" t="str">
        <f>Data!A26</f>
        <v xml:space="preserve">Equity and cost investments </v>
      </c>
      <c r="C49" s="1197">
        <f>Forecasts!B145</f>
        <v>0</v>
      </c>
      <c r="D49" s="1185">
        <f>Forecasts!C145</f>
        <v>0</v>
      </c>
      <c r="E49" s="1185">
        <f>Forecasts!D145</f>
        <v>0</v>
      </c>
      <c r="F49" s="1185">
        <f>Forecasts!E145</f>
        <v>0</v>
      </c>
      <c r="G49" s="1185">
        <f>Forecasts!F145</f>
        <v>0</v>
      </c>
      <c r="H49" s="1185">
        <f>Forecasts!G145</f>
        <v>0</v>
      </c>
      <c r="I49" s="1185">
        <f>Forecasts!H145</f>
        <v>0</v>
      </c>
      <c r="J49" s="1185">
        <f>Forecasts!I145</f>
        <v>0</v>
      </c>
      <c r="K49" s="1186">
        <f>Forecasts!J145</f>
        <v>0</v>
      </c>
    </row>
    <row r="50" spans="2:11" ht="12.95" customHeight="1">
      <c r="B50" s="1160" t="str">
        <f>Data!A27</f>
        <v>Property, plant, and equipment - at cost</v>
      </c>
      <c r="C50" s="1197">
        <f>Forecasts!B148</f>
        <v>899.3</v>
      </c>
      <c r="D50" s="1185">
        <f>Forecasts!C148</f>
        <v>1178.7</v>
      </c>
      <c r="E50" s="1185">
        <f>Forecasts!D148</f>
        <v>1397.4</v>
      </c>
      <c r="F50" s="1185">
        <f>Forecasts!E148</f>
        <v>1566.9087122188132</v>
      </c>
      <c r="G50" s="1185">
        <f>Forecasts!F148</f>
        <v>1707.6887392549741</v>
      </c>
      <c r="H50" s="1185">
        <f>Forecasts!G148</f>
        <v>1824.6090777607524</v>
      </c>
      <c r="I50" s="1185">
        <f>Forecasts!H148</f>
        <v>1921.7135168215177</v>
      </c>
      <c r="J50" s="1185">
        <f>Forecasts!I148</f>
        <v>2002.3604958314174</v>
      </c>
      <c r="K50" s="1186">
        <f>Forecasts!J148</f>
        <v>2062.4313107063599</v>
      </c>
    </row>
    <row r="51" spans="2:11" ht="12.95" customHeight="1">
      <c r="B51" s="1160" t="str">
        <f>Data!A28</f>
        <v>&lt;Accumulated depreciation&gt;</v>
      </c>
      <c r="C51" s="1197">
        <f>Forecasts!B151</f>
        <v>-211.7</v>
      </c>
      <c r="D51" s="1185">
        <f>Forecasts!C151</f>
        <v>-280.2</v>
      </c>
      <c r="E51" s="1185">
        <f>Forecasts!D151</f>
        <v>-353</v>
      </c>
      <c r="F51" s="1185">
        <f>Forecasts!E151</f>
        <v>-490.95073791049526</v>
      </c>
      <c r="G51" s="1185">
        <f>Forecasts!F151</f>
        <v>-641.29575792642174</v>
      </c>
      <c r="H51" s="1185">
        <f>Forecasts!G151</f>
        <v>-801.93445162470152</v>
      </c>
      <c r="I51" s="1185">
        <f>Forecasts!H151</f>
        <v>-971.12222601821122</v>
      </c>
      <c r="J51" s="1185">
        <f>Forecasts!I151</f>
        <v>-1576.6742622181127</v>
      </c>
      <c r="K51" s="1186">
        <f>Forecasts!J151</f>
        <v>-1623.9744900846563</v>
      </c>
    </row>
    <row r="52" spans="2:11" ht="12.95" customHeight="1">
      <c r="B52" s="1160" t="str">
        <f>Data!A29</f>
        <v>Deferred Tax assets</v>
      </c>
      <c r="C52" s="1197">
        <f>Forecasts!B154</f>
        <v>342.3</v>
      </c>
      <c r="D52" s="1185">
        <f>Forecasts!C154</f>
        <v>569.4</v>
      </c>
      <c r="E52" s="1185">
        <f>Forecasts!D154</f>
        <v>868.8</v>
      </c>
      <c r="F52" s="1185">
        <f>Forecasts!E154</f>
        <v>894.86400000000003</v>
      </c>
      <c r="G52" s="1185">
        <f>Forecasts!F154</f>
        <v>921.70992000000001</v>
      </c>
      <c r="H52" s="1185">
        <f>Forecasts!G154</f>
        <v>949.36121760000003</v>
      </c>
      <c r="I52" s="1185">
        <f>Forecasts!H154</f>
        <v>977.84205412800009</v>
      </c>
      <c r="J52" s="1185">
        <f>Forecasts!I154</f>
        <v>1007.1773157518401</v>
      </c>
      <c r="K52" s="1186">
        <f>Forecasts!J154</f>
        <v>1037.3926352243952</v>
      </c>
    </row>
    <row r="53" spans="2:11" ht="12.95" customHeight="1">
      <c r="B53" s="1160" t="str">
        <f>Data!A30</f>
        <v>Other assets</v>
      </c>
      <c r="C53" s="1197">
        <f>Forecasts!B157</f>
        <v>659.1</v>
      </c>
      <c r="D53" s="1185">
        <f>Forecasts!C157</f>
        <v>720.2</v>
      </c>
      <c r="E53" s="1185">
        <f>Forecasts!D157</f>
        <v>755.6</v>
      </c>
      <c r="F53" s="1185">
        <f>Forecasts!E157</f>
        <v>778.26800000000003</v>
      </c>
      <c r="G53" s="1185">
        <f>Forecasts!F157</f>
        <v>801.61604</v>
      </c>
      <c r="H53" s="1185">
        <f>Forecasts!G157</f>
        <v>825.66452119999997</v>
      </c>
      <c r="I53" s="1185">
        <f>Forecasts!H157</f>
        <v>850.43445683599998</v>
      </c>
      <c r="J53" s="1185">
        <f>Forecasts!I157</f>
        <v>875.94749054108001</v>
      </c>
      <c r="K53" s="1186">
        <f>Forecasts!J157</f>
        <v>902.22591525731241</v>
      </c>
    </row>
    <row r="54" spans="2:11" ht="12.95" customHeight="1">
      <c r="B54" s="1160" t="str">
        <f>Data!A31</f>
        <v>Other intangible assets - Net</v>
      </c>
      <c r="C54" s="1197">
        <f>Forecasts!B160</f>
        <v>63.6</v>
      </c>
      <c r="D54" s="1185">
        <f>Forecasts!C160</f>
        <v>56</v>
      </c>
      <c r="E54" s="1185">
        <f>Forecasts!D160</f>
        <v>35.299999999999997</v>
      </c>
      <c r="F54" s="1185">
        <f>Forecasts!E160</f>
        <v>36.358999999999995</v>
      </c>
      <c r="G54" s="1185">
        <f>Forecasts!F160</f>
        <v>37.449769999999994</v>
      </c>
      <c r="H54" s="1185">
        <f>Forecasts!G160</f>
        <v>38.573263099999991</v>
      </c>
      <c r="I54" s="1185">
        <f>Forecasts!H160</f>
        <v>39.730460992999994</v>
      </c>
      <c r="J54" s="1185">
        <f>Forecasts!I160</f>
        <v>40.922374822789997</v>
      </c>
      <c r="K54" s="1186">
        <f>Forecasts!J160</f>
        <v>42.150046067473696</v>
      </c>
    </row>
    <row r="55" spans="2:11" ht="12.95" customHeight="1" thickBot="1">
      <c r="B55" s="1160" t="str">
        <f>Data!A32</f>
        <v xml:space="preserve">Goodwill </v>
      </c>
      <c r="C55" s="1197">
        <f>Forecasts!B163</f>
        <v>125.1</v>
      </c>
      <c r="D55" s="1185">
        <f>Forecasts!C163</f>
        <v>128</v>
      </c>
      <c r="E55" s="1185">
        <f>Forecasts!D163</f>
        <v>126.5</v>
      </c>
      <c r="F55" s="1185">
        <f>Forecasts!E163</f>
        <v>130.29500000000002</v>
      </c>
      <c r="G55" s="1185">
        <f>Forecasts!F163</f>
        <v>134.20385000000002</v>
      </c>
      <c r="H55" s="1185">
        <f>Forecasts!G163</f>
        <v>138.22996550000002</v>
      </c>
      <c r="I55" s="1185">
        <f>Forecasts!H163</f>
        <v>142.37686446500001</v>
      </c>
      <c r="J55" s="1185">
        <f>Forecasts!I163</f>
        <v>146.64817039895001</v>
      </c>
      <c r="K55" s="1186">
        <f>Forecasts!J163</f>
        <v>151.04761551091852</v>
      </c>
    </row>
    <row r="56" spans="2:11" ht="12.95" customHeight="1" thickBot="1">
      <c r="B56" s="1180" t="s">
        <v>406</v>
      </c>
      <c r="C56" s="1198">
        <f>Forecasts!B166</f>
        <v>5919.1000000000022</v>
      </c>
      <c r="D56" s="1187">
        <f>Forecasts!C166</f>
        <v>6227.9999999999991</v>
      </c>
      <c r="E56" s="1187">
        <f>Forecasts!D166</f>
        <v>7258.9000000000015</v>
      </c>
      <c r="F56" s="1187">
        <f>Forecasts!E166</f>
        <v>7490.8719743083184</v>
      </c>
      <c r="G56" s="1187">
        <f>Forecasts!F166</f>
        <v>7688.2925613285524</v>
      </c>
      <c r="H56" s="1187">
        <f>Forecasts!G166</f>
        <v>7858.3508799360507</v>
      </c>
      <c r="I56" s="1187">
        <f>Forecasts!H166</f>
        <v>8007.0623060733078</v>
      </c>
      <c r="J56" s="1187">
        <f>Forecasts!I166</f>
        <v>7710.204832151644</v>
      </c>
      <c r="K56" s="1199">
        <f>Forecasts!J166</f>
        <v>7958.518568038844</v>
      </c>
    </row>
    <row r="57" spans="2:11" ht="12.95" customHeight="1" thickBot="1">
      <c r="B57" s="1179" t="s">
        <v>450</v>
      </c>
      <c r="C57" s="1200"/>
      <c r="D57" s="1188"/>
      <c r="E57" s="1188"/>
      <c r="F57" s="1188"/>
      <c r="G57" s="1188"/>
      <c r="H57" s="1188"/>
      <c r="I57" s="1188"/>
      <c r="J57" s="1188"/>
      <c r="K57" s="1189"/>
    </row>
    <row r="58" spans="2:11" ht="12.95" customHeight="1">
      <c r="B58" s="1201" t="str">
        <f>Data!A36</f>
        <v>Accounts payable</v>
      </c>
      <c r="C58" s="1195">
        <f>Forecasts!B171</f>
        <v>148.4</v>
      </c>
      <c r="D58" s="1195">
        <f>Forecasts!C171</f>
        <v>243.4</v>
      </c>
      <c r="E58" s="1195">
        <f>Forecasts!D171</f>
        <v>204.3</v>
      </c>
      <c r="F58" s="1195">
        <f>Forecasts!E171</f>
        <v>210.42900000000003</v>
      </c>
      <c r="G58" s="1195">
        <f>Forecasts!F171</f>
        <v>216.74187000000003</v>
      </c>
      <c r="H58" s="1195">
        <f>Forecasts!G171</f>
        <v>223.24412610000005</v>
      </c>
      <c r="I58" s="1195">
        <f>Forecasts!H171</f>
        <v>229.94144988300005</v>
      </c>
      <c r="J58" s="1195">
        <f>Forecasts!I171</f>
        <v>236.83969337949006</v>
      </c>
      <c r="K58" s="1196">
        <f>Forecasts!J171</f>
        <v>243.94488418087477</v>
      </c>
    </row>
    <row r="59" spans="2:11" ht="12.95" customHeight="1">
      <c r="B59" s="1160" t="str">
        <f>Data!A37</f>
        <v>Accrued liabilities</v>
      </c>
      <c r="C59" s="1185">
        <f>Forecasts!B174</f>
        <v>197.3</v>
      </c>
      <c r="D59" s="1185">
        <f>Forecasts!C174</f>
        <v>266.3</v>
      </c>
      <c r="E59" s="1185">
        <f>Forecasts!D174</f>
        <v>423.7</v>
      </c>
      <c r="F59" s="1185">
        <f>Forecasts!E174</f>
        <v>436.411</v>
      </c>
      <c r="G59" s="1185">
        <f>Forecasts!F174</f>
        <v>449.50333000000001</v>
      </c>
      <c r="H59" s="1185">
        <f>Forecasts!G174</f>
        <v>462.98842990000003</v>
      </c>
      <c r="I59" s="1185">
        <f>Forecasts!H174</f>
        <v>476.87808279700005</v>
      </c>
      <c r="J59" s="1185">
        <f>Forecasts!I174</f>
        <v>491.18442528091003</v>
      </c>
      <c r="K59" s="1186">
        <f>Forecasts!J174</f>
        <v>505.91995803933736</v>
      </c>
    </row>
    <row r="60" spans="2:11" ht="12.95" customHeight="1">
      <c r="B60" s="1160" t="str">
        <f>Data!A38</f>
        <v>Notes payable and short-term debt</v>
      </c>
      <c r="C60" s="1185">
        <f>Forecasts!B177</f>
        <v>0</v>
      </c>
      <c r="D60" s="1185">
        <f>Forecasts!C177</f>
        <v>0</v>
      </c>
      <c r="E60" s="1185">
        <f>Forecasts!D177</f>
        <v>0</v>
      </c>
      <c r="F60" s="1185">
        <f>Forecasts!E177</f>
        <v>0</v>
      </c>
      <c r="G60" s="1185">
        <f>Forecasts!F177</f>
        <v>0</v>
      </c>
      <c r="H60" s="1185">
        <f>Forecasts!G177</f>
        <v>0</v>
      </c>
      <c r="I60" s="1185">
        <f>Forecasts!H177</f>
        <v>0</v>
      </c>
      <c r="J60" s="1185">
        <f>Forecasts!I177</f>
        <v>0</v>
      </c>
      <c r="K60" s="1186">
        <f>Forecasts!J177</f>
        <v>0</v>
      </c>
    </row>
    <row r="61" spans="2:11" ht="12.95" customHeight="1">
      <c r="B61" s="1160" t="str">
        <f>Data!A39</f>
        <v>Current maturities of long-term debt</v>
      </c>
      <c r="C61" s="1185">
        <f>Forecasts!B180</f>
        <v>0</v>
      </c>
      <c r="D61" s="1185">
        <f>Forecasts!C180</f>
        <v>0</v>
      </c>
      <c r="E61" s="1185">
        <f>Forecasts!D180</f>
        <v>0</v>
      </c>
      <c r="F61" s="1185">
        <f>Forecasts!E180</f>
        <v>0</v>
      </c>
      <c r="G61" s="1185">
        <f>Forecasts!F180</f>
        <v>0</v>
      </c>
      <c r="H61" s="1185">
        <f>Forecasts!G180</f>
        <v>0</v>
      </c>
      <c r="I61" s="1185">
        <f>Forecasts!H180</f>
        <v>0</v>
      </c>
      <c r="J61" s="1185">
        <f>Forecasts!I180</f>
        <v>0</v>
      </c>
      <c r="K61" s="1186">
        <f>Forecasts!J180</f>
        <v>0</v>
      </c>
    </row>
    <row r="62" spans="2:11" ht="12.95" customHeight="1">
      <c r="B62" s="1160" t="str">
        <f>Data!A40</f>
        <v>Deferred tax liabilities - current</v>
      </c>
      <c r="C62" s="1185">
        <f>Forecasts!B183</f>
        <v>0</v>
      </c>
      <c r="D62" s="1185">
        <f>Forecasts!C183</f>
        <v>0</v>
      </c>
      <c r="E62" s="1185">
        <f>Forecasts!D183</f>
        <v>0</v>
      </c>
      <c r="F62" s="1185">
        <f>Forecasts!E183</f>
        <v>0</v>
      </c>
      <c r="G62" s="1185">
        <f>Forecasts!F183</f>
        <v>0</v>
      </c>
      <c r="H62" s="1185">
        <f>Forecasts!G183</f>
        <v>0</v>
      </c>
      <c r="I62" s="1185">
        <f>Forecasts!H183</f>
        <v>0</v>
      </c>
      <c r="J62" s="1185">
        <f>Forecasts!I183</f>
        <v>0</v>
      </c>
      <c r="K62" s="1186">
        <f>Forecasts!J183</f>
        <v>0</v>
      </c>
    </row>
    <row r="63" spans="2:11" ht="12.95" customHeight="1">
      <c r="B63" s="1160" t="str">
        <f>Data!A41</f>
        <v>Accrued payroll and compensation</v>
      </c>
      <c r="C63" s="1185">
        <f>Forecasts!B186</f>
        <v>195</v>
      </c>
      <c r="D63" s="1185">
        <f>Forecasts!C186</f>
        <v>219.4</v>
      </c>
      <c r="E63" s="1185">
        <f>Forecasts!D186</f>
        <v>242.3</v>
      </c>
      <c r="F63" s="1185">
        <f>Forecasts!E186</f>
        <v>249.56900000000002</v>
      </c>
      <c r="G63" s="1185">
        <f>Forecasts!F186</f>
        <v>257.05607000000003</v>
      </c>
      <c r="H63" s="1185">
        <f>Forecasts!G186</f>
        <v>264.76775210000005</v>
      </c>
      <c r="I63" s="1185">
        <f>Forecasts!H186</f>
        <v>272.71078466300008</v>
      </c>
      <c r="J63" s="1185">
        <f>Forecasts!I186</f>
        <v>280.89210820289009</v>
      </c>
      <c r="K63" s="1186">
        <f>Forecasts!J186</f>
        <v>289.31887144897678</v>
      </c>
    </row>
    <row r="64" spans="2:11" ht="12.95" customHeight="1">
      <c r="B64" s="1160" t="str">
        <f>Data!A42</f>
        <v>Income taxes payable</v>
      </c>
      <c r="C64" s="1185">
        <f>Forecasts!B189</f>
        <v>0</v>
      </c>
      <c r="D64" s="1185">
        <f>Forecasts!C189</f>
        <v>0</v>
      </c>
      <c r="E64" s="1185">
        <f>Forecasts!D189</f>
        <v>0</v>
      </c>
      <c r="F64" s="1185">
        <f>Forecasts!E189</f>
        <v>0</v>
      </c>
      <c r="G64" s="1185">
        <f>Forecasts!F189</f>
        <v>0</v>
      </c>
      <c r="H64" s="1185">
        <f>Forecasts!G189</f>
        <v>0</v>
      </c>
      <c r="I64" s="1185">
        <f>Forecasts!H189</f>
        <v>0</v>
      </c>
      <c r="J64" s="1185">
        <f>Forecasts!I189</f>
        <v>0</v>
      </c>
      <c r="K64" s="1186">
        <f>Forecasts!J189</f>
        <v>0</v>
      </c>
    </row>
    <row r="65" spans="2:11" ht="12.95" customHeight="1" thickBot="1">
      <c r="B65" s="1202" t="str">
        <f>Data!A43</f>
        <v>Deferred revenue - current</v>
      </c>
      <c r="C65" s="1203">
        <f>Forecasts!B192</f>
        <v>1777.4</v>
      </c>
      <c r="D65" s="1203">
        <f>Forecasts!C192</f>
        <v>2349.3000000000002</v>
      </c>
      <c r="E65" s="1203">
        <f>Forecasts!D192</f>
        <v>2848.7</v>
      </c>
      <c r="F65" s="1203">
        <f>Forecasts!E192</f>
        <v>2934.1610000000001</v>
      </c>
      <c r="G65" s="1203">
        <f>Forecasts!F192</f>
        <v>3022.1858300000004</v>
      </c>
      <c r="H65" s="1203">
        <f>Forecasts!G192</f>
        <v>3112.8514049000005</v>
      </c>
      <c r="I65" s="1203">
        <f>Forecasts!H192</f>
        <v>3206.2369470470007</v>
      </c>
      <c r="J65" s="1203">
        <f>Forecasts!I192</f>
        <v>3302.4240554584107</v>
      </c>
      <c r="K65" s="1204">
        <f>Forecasts!J192</f>
        <v>3401.4967771221632</v>
      </c>
    </row>
    <row r="66" spans="2:11" ht="12.95" customHeight="1" thickBot="1">
      <c r="B66" s="1181" t="s">
        <v>407</v>
      </c>
      <c r="C66" s="1190"/>
      <c r="D66" s="1190"/>
      <c r="E66" s="1190"/>
      <c r="F66" s="1190"/>
      <c r="G66" s="1190"/>
      <c r="H66" s="1190"/>
      <c r="I66" s="1190"/>
      <c r="J66" s="1190"/>
      <c r="K66" s="1191"/>
    </row>
    <row r="67" spans="2:11" ht="12.95" customHeight="1">
      <c r="B67" s="1160" t="str">
        <f>Data!A45</f>
        <v xml:space="preserve">Long-term debt </v>
      </c>
      <c r="C67" s="1194">
        <f>Forecasts!B198</f>
        <v>988.4</v>
      </c>
      <c r="D67" s="1195">
        <f>Forecasts!C198</f>
        <v>990.4</v>
      </c>
      <c r="E67" s="1195">
        <f>Forecasts!D198</f>
        <v>992.3</v>
      </c>
      <c r="F67" s="1195">
        <f>Forecasts!E198</f>
        <v>1041.915</v>
      </c>
      <c r="G67" s="1195">
        <f>Forecasts!F198</f>
        <v>1094.0107499999999</v>
      </c>
      <c r="H67" s="1195">
        <f>Forecasts!G198</f>
        <v>1148.7112875</v>
      </c>
      <c r="I67" s="1195">
        <f>Forecasts!H198</f>
        <v>1206.146851875</v>
      </c>
      <c r="J67" s="1195">
        <f>Forecasts!I198</f>
        <v>1266.4541944687501</v>
      </c>
      <c r="K67" s="1196">
        <f>Forecasts!J198</f>
        <v>1304.4478203028127</v>
      </c>
    </row>
    <row r="68" spans="2:11" ht="12.95" customHeight="1">
      <c r="B68" s="1160" t="str">
        <f>Data!A46</f>
        <v>Long-term accrued liabilities</v>
      </c>
      <c r="C68" s="1197">
        <f>Forecasts!B201</f>
        <v>0</v>
      </c>
      <c r="D68" s="1185">
        <f>Forecasts!C201</f>
        <v>0</v>
      </c>
      <c r="E68" s="1185">
        <f>Forecasts!D201</f>
        <v>0</v>
      </c>
      <c r="F68" s="1185">
        <f>Forecasts!E201</f>
        <v>0</v>
      </c>
      <c r="G68" s="1185">
        <f>Forecasts!F201</f>
        <v>0</v>
      </c>
      <c r="H68" s="1185">
        <f>Forecasts!G201</f>
        <v>0</v>
      </c>
      <c r="I68" s="1185">
        <f>Forecasts!H201</f>
        <v>0</v>
      </c>
      <c r="J68" s="1185">
        <f>Forecasts!I201</f>
        <v>0</v>
      </c>
      <c r="K68" s="1186">
        <f>Forecasts!J201</f>
        <v>0</v>
      </c>
    </row>
    <row r="69" spans="2:11" ht="12.95" customHeight="1">
      <c r="B69" s="1160" t="str">
        <f>Data!A47</f>
        <v>Income taxes liabilities</v>
      </c>
      <c r="C69" s="1197">
        <f>Forecasts!B204</f>
        <v>79.5</v>
      </c>
      <c r="D69" s="1185">
        <f>Forecasts!C204</f>
        <v>67.8</v>
      </c>
      <c r="E69" s="1185">
        <f>Forecasts!D204</f>
        <v>0</v>
      </c>
      <c r="F69" s="1185">
        <f>Forecasts!E204</f>
        <v>0</v>
      </c>
      <c r="G69" s="1185">
        <f>Forecasts!F204</f>
        <v>0</v>
      </c>
      <c r="H69" s="1185">
        <f>Forecasts!G204</f>
        <v>0</v>
      </c>
      <c r="I69" s="1185">
        <f>Forecasts!H204</f>
        <v>0</v>
      </c>
      <c r="J69" s="1185">
        <f>Forecasts!I204</f>
        <v>0</v>
      </c>
      <c r="K69" s="1186">
        <f>Forecasts!J204</f>
        <v>0</v>
      </c>
    </row>
    <row r="70" spans="2:11" ht="12.95" customHeight="1">
      <c r="B70" s="1160" t="str">
        <f>Data!A48</f>
        <v>Other noncurrent liabilities (1)</v>
      </c>
      <c r="C70" s="1197">
        <f>Forecasts!B207</f>
        <v>59.2</v>
      </c>
      <c r="D70" s="1185">
        <f>Forecasts!C207</f>
        <v>82</v>
      </c>
      <c r="E70" s="1185">
        <f>Forecasts!D207</f>
        <v>124.7</v>
      </c>
      <c r="F70" s="1185">
        <f>Forecasts!E207</f>
        <v>124.7</v>
      </c>
      <c r="G70" s="1185">
        <f>Forecasts!F207</f>
        <v>124.7</v>
      </c>
      <c r="H70" s="1185">
        <f>Forecasts!G207</f>
        <v>124.7</v>
      </c>
      <c r="I70" s="1185">
        <f>Forecasts!H207</f>
        <v>124.7</v>
      </c>
      <c r="J70" s="1185">
        <f>Forecasts!I207</f>
        <v>124.7</v>
      </c>
      <c r="K70" s="1186">
        <f>Forecasts!J207</f>
        <v>128.441</v>
      </c>
    </row>
    <row r="71" spans="2:11" ht="12.95" customHeight="1" thickBot="1">
      <c r="B71" s="1160" t="str">
        <f>Data!A49</f>
        <v>Deferred revenue - noncurrent</v>
      </c>
      <c r="C71" s="1205">
        <f>Forecasts!B210</f>
        <v>1675.5</v>
      </c>
      <c r="D71" s="1203">
        <f>Forecasts!C210</f>
        <v>2291</v>
      </c>
      <c r="E71" s="1203">
        <f>Forecasts!D210</f>
        <v>2886.3</v>
      </c>
      <c r="F71" s="1203">
        <f>Forecasts!E210</f>
        <v>2886.3</v>
      </c>
      <c r="G71" s="1203">
        <f>Forecasts!F210</f>
        <v>2886.3</v>
      </c>
      <c r="H71" s="1203">
        <f>Forecasts!G210</f>
        <v>2886.3</v>
      </c>
      <c r="I71" s="1203">
        <f>Forecasts!H210</f>
        <v>2886.3</v>
      </c>
      <c r="J71" s="1203">
        <f>Forecasts!I210</f>
        <v>2886.3</v>
      </c>
      <c r="K71" s="1204">
        <f>Forecasts!J210</f>
        <v>2972.8890000000001</v>
      </c>
    </row>
    <row r="72" spans="2:11" ht="12.95" customHeight="1" thickBot="1">
      <c r="B72" s="1181" t="s">
        <v>408</v>
      </c>
      <c r="C72" s="1207">
        <f>Forecasts!B213</f>
        <v>5120.7000000000007</v>
      </c>
      <c r="D72" s="1190">
        <f>Forecasts!C213</f>
        <v>6509.6</v>
      </c>
      <c r="E72" s="1190">
        <f>Forecasts!D213</f>
        <v>7722.3</v>
      </c>
      <c r="F72" s="1190">
        <f>Forecasts!E213</f>
        <v>7883.4850000000006</v>
      </c>
      <c r="G72" s="1190">
        <f>Forecasts!F213</f>
        <v>8050.4978499999997</v>
      </c>
      <c r="H72" s="1190">
        <f>Forecasts!G213</f>
        <v>8223.5630005000003</v>
      </c>
      <c r="I72" s="1190">
        <f>Forecasts!H213</f>
        <v>8402.9141162650012</v>
      </c>
      <c r="J72" s="1190">
        <f>Forecasts!I213</f>
        <v>8588.7944767904519</v>
      </c>
      <c r="K72" s="1191">
        <f>Forecasts!J213</f>
        <v>8846.4583110941639</v>
      </c>
    </row>
    <row r="73" spans="2:11" ht="12.95" customHeight="1" thickBot="1">
      <c r="B73" s="1179" t="s">
        <v>258</v>
      </c>
      <c r="C73" s="1200"/>
      <c r="D73" s="1188"/>
      <c r="E73" s="1188"/>
      <c r="F73" s="1188"/>
      <c r="G73" s="1188"/>
      <c r="H73" s="1188"/>
      <c r="I73" s="1188"/>
      <c r="J73" s="1188"/>
      <c r="K73" s="1189"/>
    </row>
    <row r="74" spans="2:11" ht="12.95" customHeight="1">
      <c r="B74" s="1160" t="str">
        <f>Data!A52</f>
        <v>Preferred stock</v>
      </c>
      <c r="C74" s="1197">
        <f>Forecasts!B218</f>
        <v>0</v>
      </c>
      <c r="D74" s="1185">
        <f>Forecasts!C218</f>
        <v>0</v>
      </c>
      <c r="E74" s="1185">
        <f>Forecasts!D218</f>
        <v>0</v>
      </c>
      <c r="F74" s="1185">
        <f>Forecasts!E218</f>
        <v>0</v>
      </c>
      <c r="G74" s="1185">
        <f>Forecasts!F218</f>
        <v>0</v>
      </c>
      <c r="H74" s="1185">
        <f>Forecasts!G218</f>
        <v>0</v>
      </c>
      <c r="I74" s="1185">
        <f>Forecasts!H218</f>
        <v>0</v>
      </c>
      <c r="J74" s="1185">
        <f>Forecasts!I218</f>
        <v>0</v>
      </c>
      <c r="K74" s="1186">
        <f>Forecasts!J218</f>
        <v>0</v>
      </c>
    </row>
    <row r="75" spans="2:11" ht="12.95" customHeight="1">
      <c r="B75" s="1160" t="str">
        <f>Data!A53</f>
        <v>Common stock + Additional paid in capital</v>
      </c>
      <c r="C75" s="1197">
        <f>Forecasts!B222</f>
        <v>1254.3999999999999</v>
      </c>
      <c r="D75" s="1185">
        <f>Forecasts!C222</f>
        <v>1285</v>
      </c>
      <c r="E75" s="1185">
        <f>Forecasts!D222</f>
        <v>1417.2</v>
      </c>
      <c r="F75" s="1185">
        <f>Forecasts!E222</f>
        <v>1459.7160000000001</v>
      </c>
      <c r="G75" s="1185">
        <f>Forecasts!F222</f>
        <v>1503.5074800000002</v>
      </c>
      <c r="H75" s="1185">
        <f>Forecasts!G222</f>
        <v>1548.6127044000002</v>
      </c>
      <c r="I75" s="1185">
        <f>Forecasts!H222</f>
        <v>1595.0710855320003</v>
      </c>
      <c r="J75" s="1185">
        <f>Forecasts!I222</f>
        <v>1642.9232180979604</v>
      </c>
      <c r="K75" s="1186">
        <f>Forecasts!J222</f>
        <v>1692.2109146408993</v>
      </c>
    </row>
    <row r="76" spans="2:11" ht="12.95" customHeight="1">
      <c r="B76" s="1160" t="str">
        <f>Data!A54</f>
        <v>Accumulated retained earnings &lt;deficit&gt;</v>
      </c>
      <c r="C76" s="1197">
        <f>Forecasts!B225</f>
        <v>-467.9</v>
      </c>
      <c r="D76" s="1185">
        <f>Forecasts!C225</f>
        <v>-1546.4</v>
      </c>
      <c r="E76" s="1185">
        <f>Forecasts!D225</f>
        <v>-1861.7</v>
      </c>
      <c r="F76" s="1185">
        <f>Forecasts!E225</f>
        <v>-1833.4290256916825</v>
      </c>
      <c r="G76" s="1185">
        <f>Forecasts!F225</f>
        <v>-1846.8127686714479</v>
      </c>
      <c r="H76" s="1185">
        <f>Forecasts!G225</f>
        <v>-1894.9248249639511</v>
      </c>
      <c r="I76" s="1185">
        <f>Forecasts!H225</f>
        <v>-1972.022895723693</v>
      </c>
      <c r="J76" s="1185">
        <f>Forecasts!I225</f>
        <v>-2502.6128627367689</v>
      </c>
      <c r="K76" s="1186">
        <f>Forecasts!J225</f>
        <v>-2568.0246560928704</v>
      </c>
    </row>
    <row r="77" spans="2:11" ht="12.95" customHeight="1">
      <c r="B77" s="1160" t="str">
        <f>Data!A55</f>
        <v>Accum. other comprehensive income &lt;loss&gt;</v>
      </c>
      <c r="C77" s="1197">
        <f>Forecasts!B228</f>
        <v>-4.8</v>
      </c>
      <c r="D77" s="1185">
        <f>Forecasts!C228</f>
        <v>-20.2</v>
      </c>
      <c r="E77" s="1185">
        <f>Forecasts!D228</f>
        <v>-18.899999999999999</v>
      </c>
      <c r="F77" s="1185">
        <f>Forecasts!E228</f>
        <v>-18.899999999999999</v>
      </c>
      <c r="G77" s="1185">
        <f>Forecasts!F228</f>
        <v>-18.899999999999999</v>
      </c>
      <c r="H77" s="1185">
        <f>Forecasts!G228</f>
        <v>-18.899999999999999</v>
      </c>
      <c r="I77" s="1185">
        <f>Forecasts!H228</f>
        <v>-18.899999999999999</v>
      </c>
      <c r="J77" s="1185">
        <f>Forecasts!I228</f>
        <v>-18.899999999999999</v>
      </c>
      <c r="K77" s="1186">
        <f>Forecasts!J228</f>
        <v>-12.126001603347756</v>
      </c>
    </row>
    <row r="78" spans="2:11" ht="12.95" customHeight="1" thickBot="1">
      <c r="B78" s="1160" t="str">
        <f>Data!A56</f>
        <v>&lt;Treasury stock&gt; and other equity adjustments</v>
      </c>
      <c r="C78" s="1197">
        <f>Forecasts!B231</f>
        <v>0</v>
      </c>
      <c r="D78" s="1185">
        <f>Forecasts!C231</f>
        <v>0</v>
      </c>
      <c r="E78" s="1185">
        <f>Forecasts!D231</f>
        <v>0</v>
      </c>
      <c r="F78" s="1185">
        <f>Forecasts!E231</f>
        <v>0</v>
      </c>
      <c r="G78" s="1185">
        <f>Forecasts!F231</f>
        <v>0</v>
      </c>
      <c r="H78" s="1185">
        <f>Forecasts!G231</f>
        <v>0</v>
      </c>
      <c r="I78" s="1185">
        <f>Forecasts!H231</f>
        <v>0</v>
      </c>
      <c r="J78" s="1185">
        <f>Forecasts!I231</f>
        <v>0</v>
      </c>
      <c r="K78" s="1186">
        <f>Forecasts!J231</f>
        <v>0</v>
      </c>
    </row>
    <row r="79" spans="2:11" ht="12.95" customHeight="1" thickBot="1">
      <c r="B79" s="1181" t="str">
        <f>Data!A57</f>
        <v xml:space="preserve"> Total Common Shareholders' Equity</v>
      </c>
      <c r="C79" s="1206">
        <f>Forecasts!B234</f>
        <v>781.69999999999993</v>
      </c>
      <c r="D79" s="1192">
        <f>Forecasts!C234</f>
        <v>-281.60000000000008</v>
      </c>
      <c r="E79" s="1192">
        <f>Forecasts!D234</f>
        <v>-463.4</v>
      </c>
      <c r="F79" s="1192">
        <f>Forecasts!E234</f>
        <v>-392.61302569168231</v>
      </c>
      <c r="G79" s="1192">
        <f>Forecasts!F234</f>
        <v>-362.20528867144765</v>
      </c>
      <c r="H79" s="1192">
        <f>Forecasts!G234</f>
        <v>-365.21212056395086</v>
      </c>
      <c r="I79" s="1192">
        <f>Forecasts!H234</f>
        <v>-395.85181019169261</v>
      </c>
      <c r="J79" s="1192">
        <f>Forecasts!I234</f>
        <v>-878.58964463880841</v>
      </c>
      <c r="K79" s="1193">
        <f>Forecasts!J234</f>
        <v>-887.93974305531879</v>
      </c>
    </row>
    <row r="80" spans="2:11" ht="12.95" customHeight="1" thickBot="1">
      <c r="B80" s="1160" t="str">
        <f>Data!A58</f>
        <v>Noncontrolling interests</v>
      </c>
      <c r="C80" s="1197">
        <f>Forecasts!B237</f>
        <v>16.7</v>
      </c>
      <c r="D80" s="1185">
        <f>Forecasts!C237</f>
        <v>0</v>
      </c>
      <c r="E80" s="1185">
        <f>Forecasts!D237</f>
        <v>0</v>
      </c>
      <c r="F80" s="1185">
        <f>Forecasts!E237</f>
        <v>0</v>
      </c>
      <c r="G80" s="1185">
        <f>Forecasts!F237</f>
        <v>0</v>
      </c>
      <c r="H80" s="1185">
        <f>Forecasts!G237</f>
        <v>0</v>
      </c>
      <c r="I80" s="1185">
        <f>Forecasts!H237</f>
        <v>0</v>
      </c>
      <c r="J80" s="1185">
        <f>Forecasts!I237</f>
        <v>0</v>
      </c>
      <c r="K80" s="1186">
        <f>Forecasts!J237</f>
        <v>0</v>
      </c>
    </row>
    <row r="81" spans="2:14" ht="12.95" customHeight="1" thickBot="1">
      <c r="B81" s="1181" t="s">
        <v>639</v>
      </c>
      <c r="C81" s="1207">
        <f>Forecasts!B240</f>
        <v>798.4</v>
      </c>
      <c r="D81" s="1190">
        <f>Forecasts!C240</f>
        <v>-281.60000000000008</v>
      </c>
      <c r="E81" s="1190">
        <f>Forecasts!D240</f>
        <v>-463.4</v>
      </c>
      <c r="F81" s="1190">
        <f>Forecasts!E240</f>
        <v>-392.61302569168231</v>
      </c>
      <c r="G81" s="1190">
        <f>Forecasts!F240</f>
        <v>-362.20528867144765</v>
      </c>
      <c r="H81" s="1190">
        <f>Forecasts!G240</f>
        <v>-365.21212056395086</v>
      </c>
      <c r="I81" s="1190">
        <f>Forecasts!H240</f>
        <v>-395.85181019169261</v>
      </c>
      <c r="J81" s="1190">
        <f>Forecasts!I240</f>
        <v>-878.58964463880841</v>
      </c>
      <c r="K81" s="1191">
        <f>Forecasts!J240</f>
        <v>-887.93974305531879</v>
      </c>
    </row>
    <row r="82" spans="2:14" ht="12.95" customHeight="1" thickBot="1">
      <c r="B82" s="1182" t="s">
        <v>409</v>
      </c>
      <c r="C82" s="1207">
        <f>Forecasts!B243</f>
        <v>5919.1</v>
      </c>
      <c r="D82" s="1190">
        <f>Forecasts!C243</f>
        <v>6228</v>
      </c>
      <c r="E82" s="1190">
        <f>Forecasts!D243</f>
        <v>7258.9000000000005</v>
      </c>
      <c r="F82" s="1190">
        <f>Forecasts!E243</f>
        <v>7490.8719743083184</v>
      </c>
      <c r="G82" s="1190">
        <f>Forecasts!F243</f>
        <v>7688.2925613285524</v>
      </c>
      <c r="H82" s="1190">
        <f>Forecasts!G243</f>
        <v>7858.3508799360498</v>
      </c>
      <c r="I82" s="1190">
        <f>Forecasts!H243</f>
        <v>8007.0623060733087</v>
      </c>
      <c r="J82" s="1190">
        <f>Forecasts!I243</f>
        <v>7710.2048321516431</v>
      </c>
      <c r="K82" s="1191">
        <f>Forecasts!J243</f>
        <v>7958.5185680388449</v>
      </c>
    </row>
    <row r="83" spans="2:14" ht="12.95" customHeight="1">
      <c r="B83" s="1092" t="s">
        <v>1250</v>
      </c>
      <c r="C83" s="1093"/>
      <c r="D83" s="1093"/>
      <c r="E83" s="1093"/>
      <c r="F83" s="1093"/>
      <c r="G83" s="1093"/>
      <c r="H83" s="1093"/>
      <c r="I83" s="1093"/>
      <c r="J83" s="1094"/>
      <c r="K83" s="1094"/>
    </row>
    <row r="84" spans="2:14">
      <c r="B84" s="1092"/>
    </row>
    <row r="86" spans="2:14">
      <c r="B86" s="1262" t="s">
        <v>1252</v>
      </c>
      <c r="C86" s="1260" t="s">
        <v>469</v>
      </c>
      <c r="D86" s="1260"/>
      <c r="E86" s="1260"/>
      <c r="F86" s="1260" t="s">
        <v>470</v>
      </c>
      <c r="G86" s="1260"/>
      <c r="H86" s="1260"/>
      <c r="I86" s="1260"/>
      <c r="J86" s="1260"/>
      <c r="K86" s="1226"/>
    </row>
    <row r="87" spans="2:14" ht="13.5" thickBot="1">
      <c r="B87" s="1263"/>
      <c r="C87" s="1260"/>
      <c r="D87" s="1260"/>
      <c r="E87" s="1260"/>
      <c r="F87" s="1261"/>
      <c r="G87" s="1261"/>
      <c r="H87" s="1261"/>
      <c r="I87" s="1261"/>
      <c r="J87" s="1261"/>
      <c r="K87" s="1226"/>
    </row>
    <row r="88" spans="2:14" ht="13.5" thickBot="1">
      <c r="B88" s="1177" t="s">
        <v>18</v>
      </c>
      <c r="C88" s="1177" t="s">
        <v>871</v>
      </c>
      <c r="D88" s="1177" t="s">
        <v>870</v>
      </c>
      <c r="E88" s="1177" t="s">
        <v>471</v>
      </c>
      <c r="F88" s="1177" t="s">
        <v>472</v>
      </c>
      <c r="G88" s="1177" t="s">
        <v>473</v>
      </c>
      <c r="H88" s="1177" t="s">
        <v>474</v>
      </c>
      <c r="I88" s="1177" t="s">
        <v>475</v>
      </c>
      <c r="J88" s="1177" t="s">
        <v>476</v>
      </c>
      <c r="L88" s="1209"/>
      <c r="M88" s="1209"/>
      <c r="N88" s="1209"/>
    </row>
    <row r="89" spans="2:14" ht="15" customHeight="1" thickBot="1">
      <c r="B89" s="1179" t="str">
        <f>Data!A97</f>
        <v>Net Income</v>
      </c>
      <c r="C89" s="1215">
        <f>Forecasts!C280</f>
        <v>856.5999999999998</v>
      </c>
      <c r="D89" s="1215">
        <f>Forecasts!D280</f>
        <v>1147.8000000000004</v>
      </c>
      <c r="E89" s="1215">
        <f>Forecasts!E280</f>
        <v>1389.2665931525751</v>
      </c>
      <c r="F89" s="1215">
        <f>Forecasts!F280</f>
        <v>1581.0332765188919</v>
      </c>
      <c r="G89" s="1215">
        <f>Forecasts!G280</f>
        <v>1900.1797532151597</v>
      </c>
      <c r="H89" s="1215">
        <f>Forecasts!H280</f>
        <v>2323.9124991442677</v>
      </c>
      <c r="I89" s="1215">
        <f>Forecasts!I280</f>
        <v>2551.0317505281218</v>
      </c>
      <c r="J89" s="1216">
        <f>Forecasts!J280</f>
        <v>3862.879926653191</v>
      </c>
      <c r="L89" s="1209"/>
      <c r="M89" s="1209"/>
      <c r="N89" s="1209"/>
    </row>
    <row r="90" spans="2:14" ht="15" customHeight="1">
      <c r="B90" s="1221" t="str">
        <f>Forecasts!A281</f>
        <v>Add back depreciation expense (net)</v>
      </c>
      <c r="C90" s="1211">
        <f>Forecasts!C281</f>
        <v>68.5</v>
      </c>
      <c r="D90" s="1211">
        <f>Forecasts!D281</f>
        <v>72.800000000000011</v>
      </c>
      <c r="E90" s="1211">
        <f>Forecasts!E281</f>
        <v>137.95073791049526</v>
      </c>
      <c r="F90" s="1211">
        <f>Forecasts!F281</f>
        <v>150.34502001592648</v>
      </c>
      <c r="G90" s="1211">
        <f>Forecasts!G281</f>
        <v>160.63869369827978</v>
      </c>
      <c r="H90" s="1211">
        <f>Forecasts!H281</f>
        <v>169.1877743935097</v>
      </c>
      <c r="I90" s="1211">
        <f>Forecasts!I281</f>
        <v>605.55203619990152</v>
      </c>
      <c r="J90" s="1212">
        <f>Forecasts!J281</f>
        <v>47.300227866543537</v>
      </c>
      <c r="L90" s="1209"/>
      <c r="M90" s="1209"/>
      <c r="N90" s="1209"/>
    </row>
    <row r="91" spans="2:14" ht="15" customHeight="1">
      <c r="B91" s="1221" t="str">
        <f>Forecasts!A282</f>
        <v>Add back amortization expense (net)</v>
      </c>
      <c r="C91" s="1211">
        <f>Forecasts!C282</f>
        <v>0</v>
      </c>
      <c r="D91" s="1211">
        <f>Forecasts!D282</f>
        <v>0</v>
      </c>
      <c r="E91" s="1211">
        <f>Forecasts!E282</f>
        <v>0</v>
      </c>
      <c r="F91" s="1211">
        <f>Forecasts!F282</f>
        <v>0</v>
      </c>
      <c r="G91" s="1211">
        <f>Forecasts!G282</f>
        <v>0</v>
      </c>
      <c r="H91" s="1211">
        <f>Forecasts!H282</f>
        <v>0</v>
      </c>
      <c r="I91" s="1211">
        <f>Forecasts!I282</f>
        <v>0</v>
      </c>
      <c r="J91" s="1212">
        <f>Forecasts!J282</f>
        <v>0</v>
      </c>
      <c r="L91" s="1209"/>
      <c r="M91" s="1209"/>
      <c r="N91" s="1209"/>
    </row>
    <row r="92" spans="2:14" ht="15" customHeight="1">
      <c r="B92" s="1221" t="str">
        <f>Forecasts!A283</f>
        <v>&lt;Increase&gt; Decrease in receivables - net</v>
      </c>
      <c r="C92" s="1211">
        <f>Forecasts!C283</f>
        <v>-454</v>
      </c>
      <c r="D92" s="1211">
        <f>Forecasts!D283</f>
        <v>-140.29999999999995</v>
      </c>
      <c r="E92" s="1211">
        <f>Forecasts!E283</f>
        <v>-42.059999999999945</v>
      </c>
      <c r="F92" s="1211">
        <f>Forecasts!F283</f>
        <v>-43.321799999999939</v>
      </c>
      <c r="G92" s="1211">
        <f>Forecasts!G283</f>
        <v>-44.621454000000085</v>
      </c>
      <c r="H92" s="1211">
        <f>Forecasts!H283</f>
        <v>-45.960097619999942</v>
      </c>
      <c r="I92" s="1211">
        <f>Forecasts!I283</f>
        <v>-47.338900548600122</v>
      </c>
      <c r="J92" s="1212">
        <f>Forecasts!J283</f>
        <v>-48.759067565058103</v>
      </c>
      <c r="L92" s="1209"/>
      <c r="M92" s="1209"/>
      <c r="N92" s="1209"/>
    </row>
    <row r="93" spans="2:14" ht="15" customHeight="1">
      <c r="B93" s="1221" t="str">
        <f>Forecasts!A284</f>
        <v>&lt;Increase&gt; Decrease in inventories</v>
      </c>
      <c r="C93" s="1211">
        <f>Forecasts!C284</f>
        <v>-88.800000000000011</v>
      </c>
      <c r="D93" s="1211">
        <f>Forecasts!D284</f>
        <v>-220.2</v>
      </c>
      <c r="E93" s="1211">
        <f>Forecasts!E284</f>
        <v>-14.54400000000004</v>
      </c>
      <c r="F93" s="1211">
        <f>Forecasts!F284</f>
        <v>-14.980320000000006</v>
      </c>
      <c r="G93" s="1211">
        <f>Forecasts!G284</f>
        <v>-15.429729599999973</v>
      </c>
      <c r="H93" s="1211">
        <f>Forecasts!H284</f>
        <v>-15.892621488000032</v>
      </c>
      <c r="I93" s="1211">
        <f>Forecasts!I284</f>
        <v>-16.369400132640067</v>
      </c>
      <c r="J93" s="1212">
        <f>Forecasts!J284</f>
        <v>-16.860482136619225</v>
      </c>
      <c r="L93" s="1209"/>
      <c r="M93" s="1209"/>
      <c r="N93" s="1209"/>
    </row>
    <row r="94" spans="2:14" ht="15" customHeight="1">
      <c r="B94" s="1221" t="str">
        <f>Forecasts!A285</f>
        <v>&lt;Increase&gt; Decrease in prepaid expenses</v>
      </c>
      <c r="C94" s="1211">
        <f>Forecasts!C285</f>
        <v>-7.6999999999999886</v>
      </c>
      <c r="D94" s="1211">
        <f>Forecasts!D285</f>
        <v>-28</v>
      </c>
      <c r="E94" s="1211">
        <f>Forecasts!E285</f>
        <v>-3.0330000000000013</v>
      </c>
      <c r="F94" s="1211">
        <f>Forecasts!F285</f>
        <v>-3.1239900000000063</v>
      </c>
      <c r="G94" s="1211">
        <f>Forecasts!G285</f>
        <v>-3.2177097000000003</v>
      </c>
      <c r="H94" s="1211">
        <f>Forecasts!H285</f>
        <v>-3.3142409910000055</v>
      </c>
      <c r="I94" s="1211">
        <f>Forecasts!I285</f>
        <v>-3.4136682207300026</v>
      </c>
      <c r="J94" s="1212">
        <f>Forecasts!J285</f>
        <v>-3.5160782673519009</v>
      </c>
      <c r="L94" s="1209"/>
      <c r="M94" s="1209"/>
      <c r="N94" s="1209"/>
    </row>
    <row r="95" spans="2:14" ht="15" customHeight="1">
      <c r="B95" s="1221" t="str">
        <f>Forecasts!A286</f>
        <v>&lt;Increase&gt; Decrease in other current assets (1)</v>
      </c>
      <c r="C95" s="1211">
        <f>Forecasts!C286</f>
        <v>0</v>
      </c>
      <c r="D95" s="1211">
        <f>Forecasts!D286</f>
        <v>0</v>
      </c>
      <c r="E95" s="1211">
        <f>Forecasts!E286</f>
        <v>0</v>
      </c>
      <c r="F95" s="1211">
        <f>Forecasts!F286</f>
        <v>0</v>
      </c>
      <c r="G95" s="1211">
        <f>Forecasts!G286</f>
        <v>0</v>
      </c>
      <c r="H95" s="1211">
        <f>Forecasts!H286</f>
        <v>0</v>
      </c>
      <c r="I95" s="1211">
        <f>Forecasts!I286</f>
        <v>0</v>
      </c>
      <c r="J95" s="1212">
        <f>Forecasts!J286</f>
        <v>0</v>
      </c>
      <c r="L95" s="1209"/>
      <c r="M95" s="1209"/>
      <c r="N95" s="1209"/>
    </row>
    <row r="96" spans="2:14" ht="15" customHeight="1">
      <c r="B96" s="1221" t="str">
        <f>Forecasts!A287</f>
        <v>&lt;Increase&gt; Decrease in other current assets (2)</v>
      </c>
      <c r="C96" s="1211">
        <f>Forecasts!C287</f>
        <v>0</v>
      </c>
      <c r="D96" s="1211">
        <f>Forecasts!D287</f>
        <v>0</v>
      </c>
      <c r="E96" s="1211">
        <f>Forecasts!E287</f>
        <v>0</v>
      </c>
      <c r="F96" s="1211">
        <f>Forecasts!F287</f>
        <v>0</v>
      </c>
      <c r="G96" s="1211">
        <f>Forecasts!G287</f>
        <v>0</v>
      </c>
      <c r="H96" s="1211">
        <f>Forecasts!H287</f>
        <v>0</v>
      </c>
      <c r="I96" s="1211">
        <f>Forecasts!I287</f>
        <v>0</v>
      </c>
      <c r="J96" s="1212">
        <f>Forecasts!J287</f>
        <v>0</v>
      </c>
      <c r="L96" s="1209"/>
      <c r="M96" s="1209"/>
      <c r="N96" s="1209"/>
    </row>
    <row r="97" spans="2:14" ht="15" customHeight="1">
      <c r="B97" s="1221" t="str">
        <f>Forecasts!A288</f>
        <v>Increase &lt;Decrease&gt; in accounts payable - trade</v>
      </c>
      <c r="C97" s="1211">
        <f>Forecasts!C288</f>
        <v>95</v>
      </c>
      <c r="D97" s="1211">
        <f>Forecasts!D288</f>
        <v>-39.099999999999994</v>
      </c>
      <c r="E97" s="1211">
        <f>Forecasts!E288</f>
        <v>6.1290000000000191</v>
      </c>
      <c r="F97" s="1211">
        <f>Forecasts!F288</f>
        <v>6.3128700000000038</v>
      </c>
      <c r="G97" s="1211">
        <f>Forecasts!G288</f>
        <v>6.502256100000011</v>
      </c>
      <c r="H97" s="1211">
        <f>Forecasts!H288</f>
        <v>6.6973237830000016</v>
      </c>
      <c r="I97" s="1211">
        <f>Forecasts!I288</f>
        <v>6.8982434964900108</v>
      </c>
      <c r="J97" s="1212">
        <f>Forecasts!J288</f>
        <v>7.1051908013847083</v>
      </c>
      <c r="L97" s="1209"/>
      <c r="M97" s="1209"/>
      <c r="N97" s="1209"/>
    </row>
    <row r="98" spans="2:14" ht="15" customHeight="1">
      <c r="B98" s="1221" t="str">
        <f>Forecasts!A289</f>
        <v>Increase &lt;Decrease&gt; in current accrued liabilities</v>
      </c>
      <c r="C98" s="1211">
        <f>Forecasts!C289</f>
        <v>69</v>
      </c>
      <c r="D98" s="1211">
        <f>Forecasts!D289</f>
        <v>157.39999999999998</v>
      </c>
      <c r="E98" s="1211">
        <f>Forecasts!E289</f>
        <v>12.711000000000013</v>
      </c>
      <c r="F98" s="1211">
        <f>Forecasts!F289</f>
        <v>13.092330000000004</v>
      </c>
      <c r="G98" s="1211">
        <f>Forecasts!G289</f>
        <v>13.485099900000023</v>
      </c>
      <c r="H98" s="1211">
        <f>Forecasts!H289</f>
        <v>13.889652897000019</v>
      </c>
      <c r="I98" s="1211">
        <f>Forecasts!I289</f>
        <v>14.306342483909987</v>
      </c>
      <c r="J98" s="1212">
        <f>Forecasts!J289</f>
        <v>14.735532758427325</v>
      </c>
      <c r="L98" s="1209"/>
      <c r="M98" s="1209"/>
      <c r="N98" s="1209"/>
    </row>
    <row r="99" spans="2:14" ht="15" customHeight="1">
      <c r="B99" s="1221" t="str">
        <f>Forecasts!A290</f>
        <v>Increase &lt;Decrease&gt; in insurance reserves</v>
      </c>
      <c r="C99" s="1211">
        <f>Forecasts!C290</f>
        <v>24.400000000000006</v>
      </c>
      <c r="D99" s="1211">
        <f>Forecasts!D290</f>
        <v>22.900000000000006</v>
      </c>
      <c r="E99" s="1211">
        <f>Forecasts!E290</f>
        <v>7.2690000000000055</v>
      </c>
      <c r="F99" s="1211">
        <f>Forecasts!F290</f>
        <v>7.487070000000017</v>
      </c>
      <c r="G99" s="1211">
        <f>Forecasts!G290</f>
        <v>7.7116821000000186</v>
      </c>
      <c r="H99" s="1211">
        <f>Forecasts!H290</f>
        <v>7.9430325630000311</v>
      </c>
      <c r="I99" s="1211">
        <f>Forecasts!I290</f>
        <v>8.1813235398900019</v>
      </c>
      <c r="J99" s="1212">
        <f>Forecasts!J290</f>
        <v>8.4267632460866935</v>
      </c>
      <c r="L99" s="1209"/>
      <c r="M99" s="1209"/>
      <c r="N99" s="1209"/>
    </row>
    <row r="100" spans="2:14" ht="15" customHeight="1">
      <c r="B100" s="1221" t="str">
        <f>Forecasts!A291</f>
        <v xml:space="preserve">Increase &lt;Decrease&gt; in stored value card liabilities </v>
      </c>
      <c r="C100" s="1211">
        <f>Forecasts!C291</f>
        <v>0</v>
      </c>
      <c r="D100" s="1211">
        <f>Forecasts!D291</f>
        <v>0</v>
      </c>
      <c r="E100" s="1211">
        <f>Forecasts!E291</f>
        <v>0</v>
      </c>
      <c r="F100" s="1211">
        <f>Forecasts!F291</f>
        <v>0</v>
      </c>
      <c r="G100" s="1211">
        <f>Forecasts!G291</f>
        <v>0</v>
      </c>
      <c r="H100" s="1211">
        <f>Forecasts!H291</f>
        <v>0</v>
      </c>
      <c r="I100" s="1211">
        <f>Forecasts!I291</f>
        <v>0</v>
      </c>
      <c r="J100" s="1212">
        <f>Forecasts!J291</f>
        <v>0</v>
      </c>
      <c r="L100" s="1209"/>
      <c r="M100" s="1209"/>
      <c r="N100" s="1209"/>
    </row>
    <row r="101" spans="2:14" ht="15" customHeight="1">
      <c r="B101" s="1221" t="str">
        <f>Forecasts!A292</f>
        <v>Increase &lt;Decrease&gt; in other current liabilities (2)</v>
      </c>
      <c r="C101" s="1211">
        <f>Forecasts!C292</f>
        <v>571.90000000000009</v>
      </c>
      <c r="D101" s="1211">
        <f>Forecasts!D292</f>
        <v>499.39999999999964</v>
      </c>
      <c r="E101" s="1211">
        <f>Forecasts!E292</f>
        <v>85.46100000000024</v>
      </c>
      <c r="F101" s="1211">
        <f>Forecasts!F292</f>
        <v>88.024830000000293</v>
      </c>
      <c r="G101" s="1211">
        <f>Forecasts!G292</f>
        <v>90.665574900000138</v>
      </c>
      <c r="H101" s="1211">
        <f>Forecasts!H292</f>
        <v>93.385542147000251</v>
      </c>
      <c r="I101" s="1211">
        <f>Forecasts!I292</f>
        <v>96.187108411410009</v>
      </c>
      <c r="J101" s="1212">
        <f>Forecasts!J292</f>
        <v>99.072721663752418</v>
      </c>
      <c r="L101" s="1209"/>
      <c r="M101" s="1209"/>
      <c r="N101" s="1209"/>
    </row>
    <row r="102" spans="2:14" ht="15" customHeight="1">
      <c r="B102" s="1221" t="str">
        <f>Forecasts!A293</f>
        <v>Net change in deferred tax assets and liabilities</v>
      </c>
      <c r="C102" s="1211">
        <f>Forecasts!C293</f>
        <v>-225.7</v>
      </c>
      <c r="D102" s="1211">
        <f>Forecasts!D293</f>
        <v>-362.7</v>
      </c>
      <c r="E102" s="1211">
        <f>Forecasts!E293</f>
        <v>-26.694000000000077</v>
      </c>
      <c r="F102" s="1211">
        <f>Forecasts!F293</f>
        <v>-27.494819999999979</v>
      </c>
      <c r="G102" s="1211">
        <f>Forecasts!G293</f>
        <v>-28.319664600000021</v>
      </c>
      <c r="H102" s="1211">
        <f>Forecasts!H293</f>
        <v>-29.169254538000054</v>
      </c>
      <c r="I102" s="1211">
        <f>Forecasts!I293</f>
        <v>-30.044332174139985</v>
      </c>
      <c r="J102" s="1212">
        <f>Forecasts!J293</f>
        <v>-30.945662139364167</v>
      </c>
      <c r="L102" s="1209"/>
      <c r="M102" s="1209"/>
      <c r="N102" s="1209"/>
    </row>
    <row r="103" spans="2:14" ht="15" customHeight="1">
      <c r="B103" s="1221" t="str">
        <f>Forecasts!A294</f>
        <v>Increase &lt;Decrease&gt; in long-term accrued liabilities</v>
      </c>
      <c r="C103" s="1211">
        <f>Forecasts!C294</f>
        <v>0</v>
      </c>
      <c r="D103" s="1211">
        <f>Forecasts!D294</f>
        <v>0</v>
      </c>
      <c r="E103" s="1211">
        <f>Forecasts!E294</f>
        <v>0</v>
      </c>
      <c r="F103" s="1211">
        <f>Forecasts!F294</f>
        <v>0</v>
      </c>
      <c r="G103" s="1211">
        <f>Forecasts!G294</f>
        <v>0</v>
      </c>
      <c r="H103" s="1211">
        <f>Forecasts!H294</f>
        <v>0</v>
      </c>
      <c r="I103" s="1211">
        <f>Forecasts!I294</f>
        <v>0</v>
      </c>
      <c r="J103" s="1212">
        <f>Forecasts!J294</f>
        <v>0</v>
      </c>
      <c r="L103" s="1209"/>
      <c r="M103" s="1209"/>
      <c r="N103" s="1209"/>
    </row>
    <row r="104" spans="2:14" ht="15" customHeight="1">
      <c r="B104" s="1221" t="str">
        <f>Forecasts!A295</f>
        <v>Increase &lt;Decrease&gt; in other noncurrent liabilities (1)</v>
      </c>
      <c r="C104" s="1211">
        <f>Forecasts!C295</f>
        <v>22.799999999999997</v>
      </c>
      <c r="D104" s="1211">
        <f>Forecasts!D295</f>
        <v>42.7</v>
      </c>
      <c r="E104" s="1211">
        <f>Forecasts!E295</f>
        <v>0</v>
      </c>
      <c r="F104" s="1211">
        <f>Forecasts!F295</f>
        <v>0</v>
      </c>
      <c r="G104" s="1211">
        <f>Forecasts!G295</f>
        <v>0</v>
      </c>
      <c r="H104" s="1211">
        <f>Forecasts!H295</f>
        <v>0</v>
      </c>
      <c r="I104" s="1211">
        <f>Forecasts!I295</f>
        <v>0</v>
      </c>
      <c r="J104" s="1212">
        <f>Forecasts!J295</f>
        <v>3.7409999999999997</v>
      </c>
      <c r="L104" s="1209"/>
      <c r="M104" s="1209"/>
      <c r="N104" s="1209"/>
    </row>
    <row r="105" spans="2:14" ht="15" customHeight="1" thickBot="1">
      <c r="B105" s="1221" t="str">
        <f>Forecasts!A296</f>
        <v>Increase &lt;Decrease&gt; in other noncurrent liabilities (2)</v>
      </c>
      <c r="C105" s="1211">
        <f>Forecasts!C296</f>
        <v>615.5</v>
      </c>
      <c r="D105" s="1211">
        <f>Forecasts!D296</f>
        <v>595.30000000000018</v>
      </c>
      <c r="E105" s="1211">
        <f>Forecasts!E296</f>
        <v>0</v>
      </c>
      <c r="F105" s="1211">
        <f>Forecasts!F296</f>
        <v>0</v>
      </c>
      <c r="G105" s="1211">
        <f>Forecasts!G296</f>
        <v>0</v>
      </c>
      <c r="H105" s="1211">
        <f>Forecasts!H296</f>
        <v>0</v>
      </c>
      <c r="I105" s="1211">
        <f>Forecasts!I296</f>
        <v>0</v>
      </c>
      <c r="J105" s="1212">
        <f>Forecasts!J296</f>
        <v>86.588999999999942</v>
      </c>
      <c r="L105" s="1209"/>
      <c r="M105" s="1209"/>
      <c r="N105" s="1209"/>
    </row>
    <row r="106" spans="2:14" ht="15" customHeight="1" thickBot="1">
      <c r="B106" s="1222" t="str">
        <f>Forecasts!A297</f>
        <v xml:space="preserve">  Net Cash Flows from Operations</v>
      </c>
      <c r="C106" s="1215">
        <f>Forecasts!C297</f>
        <v>1547.4999999999998</v>
      </c>
      <c r="D106" s="1215">
        <f>Forecasts!D297</f>
        <v>1748</v>
      </c>
      <c r="E106" s="1215">
        <f>Forecasts!E297</f>
        <v>1552.4563310630704</v>
      </c>
      <c r="F106" s="1215">
        <f>Forecasts!F297</f>
        <v>1757.3744665348186</v>
      </c>
      <c r="G106" s="1215">
        <f>Forecasts!G297</f>
        <v>2087.5945020134395</v>
      </c>
      <c r="H106" s="1215">
        <f>Forecasts!H297</f>
        <v>2520.6796102907779</v>
      </c>
      <c r="I106" s="1215">
        <f>Forecasts!I297</f>
        <v>3184.9905035836136</v>
      </c>
      <c r="J106" s="1216">
        <f>Forecasts!J297</f>
        <v>4029.7690728809916</v>
      </c>
      <c r="L106" s="1209"/>
      <c r="M106" s="1209"/>
      <c r="N106" s="1209"/>
    </row>
    <row r="107" spans="2:14" ht="15" customHeight="1">
      <c r="B107" s="1221" t="str">
        <f>Forecasts!A298</f>
        <v>&lt;Increase&gt; Decrease in property, plant, &amp; equip. at cost</v>
      </c>
      <c r="C107" s="1211">
        <f>Forecasts!C298</f>
        <v>-279.40000000000009</v>
      </c>
      <c r="D107" s="1211">
        <f>Forecasts!D298</f>
        <v>-218.70000000000005</v>
      </c>
      <c r="E107" s="1211">
        <f>Forecasts!E298</f>
        <v>-169.50871221881312</v>
      </c>
      <c r="F107" s="1211">
        <f>Forecasts!F298</f>
        <v>-140.78002703616085</v>
      </c>
      <c r="G107" s="1211">
        <f>Forecasts!G298</f>
        <v>-116.92033850577832</v>
      </c>
      <c r="H107" s="1211">
        <f>Forecasts!H298</f>
        <v>-97.104439060765344</v>
      </c>
      <c r="I107" s="1211">
        <f>Forecasts!I298</f>
        <v>-80.646979009899724</v>
      </c>
      <c r="J107" s="1212">
        <f>Forecasts!J298</f>
        <v>-60.070814874942471</v>
      </c>
      <c r="L107" s="1209"/>
      <c r="M107" s="1209"/>
      <c r="N107" s="1209"/>
    </row>
    <row r="108" spans="2:14" ht="15" customHeight="1">
      <c r="B108" s="1221" t="str">
        <f>Forecasts!A299</f>
        <v>&lt;Increase&gt; Decrease in short-term investments</v>
      </c>
      <c r="C108" s="1211">
        <f>Forecasts!C299</f>
        <v>691.4</v>
      </c>
      <c r="D108" s="1211">
        <f>Forecasts!D299</f>
        <v>-518.9</v>
      </c>
      <c r="E108" s="1211">
        <f>Forecasts!E299</f>
        <v>-30.644999999999982</v>
      </c>
      <c r="F108" s="1211">
        <f>Forecasts!F299</f>
        <v>-31.564350000000104</v>
      </c>
      <c r="G108" s="1211">
        <f>Forecasts!G299</f>
        <v>-32.511280500000112</v>
      </c>
      <c r="H108" s="1211">
        <f>Forecasts!H299</f>
        <v>-33.486618915000008</v>
      </c>
      <c r="I108" s="1211">
        <f>Forecasts!I299</f>
        <v>-34.491217482450111</v>
      </c>
      <c r="J108" s="1212">
        <f>Forecasts!J299</f>
        <v>-35.525954006923484</v>
      </c>
      <c r="L108" s="1209"/>
      <c r="M108" s="1209"/>
      <c r="N108" s="1209"/>
    </row>
    <row r="109" spans="2:14" ht="15" customHeight="1">
      <c r="B109" s="1221" t="str">
        <f>Forecasts!A300</f>
        <v>&lt;Increase&gt; Decrease in long-term investments</v>
      </c>
      <c r="C109" s="1211">
        <f>Forecasts!C300</f>
        <v>395.3</v>
      </c>
      <c r="D109" s="1211">
        <f>Forecasts!D300</f>
        <v>45.5</v>
      </c>
      <c r="E109" s="1211">
        <f>Forecasts!E300</f>
        <v>0</v>
      </c>
      <c r="F109" s="1211">
        <f>Forecasts!F300</f>
        <v>0</v>
      </c>
      <c r="G109" s="1211">
        <f>Forecasts!G300</f>
        <v>0</v>
      </c>
      <c r="H109" s="1211">
        <f>Forecasts!H300</f>
        <v>0</v>
      </c>
      <c r="I109" s="1211">
        <f>Forecasts!I300</f>
        <v>0</v>
      </c>
      <c r="J109" s="1212">
        <f>Forecasts!J300</f>
        <v>0</v>
      </c>
      <c r="L109" s="1209"/>
      <c r="M109" s="1209"/>
      <c r="N109" s="1209"/>
    </row>
    <row r="110" spans="2:14" ht="15" customHeight="1">
      <c r="B110" s="1221" t="str">
        <f>Forecasts!A301</f>
        <v>&lt;Increase&gt; Decrease in amortizable intangible assets (net)</v>
      </c>
      <c r="C110" s="1211">
        <f>Forecasts!C301</f>
        <v>7.6000000000000014</v>
      </c>
      <c r="D110" s="1211">
        <f>Forecasts!D301</f>
        <v>20.700000000000003</v>
      </c>
      <c r="E110" s="1211">
        <f>Forecasts!E301</f>
        <v>-1.0589999999999975</v>
      </c>
      <c r="F110" s="1211">
        <f>Forecasts!F301</f>
        <v>-1.0907699999999991</v>
      </c>
      <c r="G110" s="1211">
        <f>Forecasts!G301</f>
        <v>-1.1234930999999975</v>
      </c>
      <c r="H110" s="1211">
        <f>Forecasts!H301</f>
        <v>-1.1571978930000029</v>
      </c>
      <c r="I110" s="1211">
        <f>Forecasts!I301</f>
        <v>-1.1919138297900034</v>
      </c>
      <c r="J110" s="1212">
        <f>Forecasts!J301</f>
        <v>-1.2276712446836981</v>
      </c>
      <c r="L110" s="1209"/>
      <c r="M110" s="1209"/>
      <c r="N110" s="1209"/>
    </row>
    <row r="111" spans="2:14" ht="15" customHeight="1">
      <c r="B111" s="1221" t="str">
        <f>Forecasts!A302</f>
        <v>&lt;Increase&gt; Decrease in goodwill and nonamort. intangibles</v>
      </c>
      <c r="C111" s="1211">
        <f>Forecasts!C302</f>
        <v>-2.9000000000000057</v>
      </c>
      <c r="D111" s="1211">
        <f>Forecasts!D302</f>
        <v>1.5</v>
      </c>
      <c r="E111" s="1211">
        <f>Forecasts!E302</f>
        <v>-3.7950000000000159</v>
      </c>
      <c r="F111" s="1211">
        <f>Forecasts!F302</f>
        <v>-3.908850000000001</v>
      </c>
      <c r="G111" s="1211">
        <f>Forecasts!G302</f>
        <v>-4.0261155000000031</v>
      </c>
      <c r="H111" s="1211">
        <f>Forecasts!H302</f>
        <v>-4.1468989649999912</v>
      </c>
      <c r="I111" s="1211">
        <f>Forecasts!I302</f>
        <v>-4.2713059339500035</v>
      </c>
      <c r="J111" s="1212">
        <f>Forecasts!J302</f>
        <v>-4.3994451119685039</v>
      </c>
      <c r="L111" s="1209"/>
      <c r="M111" s="1209"/>
      <c r="N111" s="1209"/>
    </row>
    <row r="112" spans="2:14" ht="15" customHeight="1">
      <c r="B112" s="1221" t="str">
        <f>Forecasts!A303</f>
        <v xml:space="preserve">&lt;Increase&gt; Decrease in other  assets </v>
      </c>
      <c r="C112" s="1211">
        <f>Forecasts!C303</f>
        <v>-61.100000000000023</v>
      </c>
      <c r="D112" s="1211">
        <f>Forecasts!D303</f>
        <v>-35.399999999999977</v>
      </c>
      <c r="E112" s="1211">
        <f>Forecasts!E303</f>
        <v>-22.668000000000006</v>
      </c>
      <c r="F112" s="1211">
        <f>Forecasts!F303</f>
        <v>-23.348039999999969</v>
      </c>
      <c r="G112" s="1211">
        <f>Forecasts!G303</f>
        <v>-24.048481199999969</v>
      </c>
      <c r="H112" s="1211">
        <f>Forecasts!H303</f>
        <v>-24.769935636000014</v>
      </c>
      <c r="I112" s="1211">
        <f>Forecasts!I303</f>
        <v>-25.513033705080034</v>
      </c>
      <c r="J112" s="1212">
        <f>Forecasts!J303</f>
        <v>-26.278424716232394</v>
      </c>
      <c r="L112" s="1209"/>
      <c r="M112" s="1209"/>
      <c r="N112" s="1209"/>
    </row>
    <row r="113" spans="2:14" ht="15" customHeight="1" thickBot="1">
      <c r="B113" s="1221" t="str">
        <f>Forecasts!A304</f>
        <v>&lt;Increase&gt; Decrease in other noncurrent assets (2)</v>
      </c>
      <c r="C113" s="1211">
        <f>Forecasts!C304</f>
        <v>0</v>
      </c>
      <c r="D113" s="1211">
        <f>Forecasts!D304</f>
        <v>0</v>
      </c>
      <c r="E113" s="1211">
        <f>Forecasts!E304</f>
        <v>0</v>
      </c>
      <c r="F113" s="1211">
        <f>Forecasts!F304</f>
        <v>0</v>
      </c>
      <c r="G113" s="1211">
        <f>Forecasts!G304</f>
        <v>0</v>
      </c>
      <c r="H113" s="1211">
        <f>Forecasts!H304</f>
        <v>0</v>
      </c>
      <c r="I113" s="1211">
        <f>Forecasts!I304</f>
        <v>0</v>
      </c>
      <c r="J113" s="1212">
        <f>Forecasts!J304</f>
        <v>0</v>
      </c>
      <c r="L113" s="1209"/>
      <c r="M113" s="1209"/>
      <c r="N113" s="1209"/>
    </row>
    <row r="114" spans="2:14" ht="15" customHeight="1" thickBot="1">
      <c r="B114" s="1222" t="str">
        <f>Forecasts!A305</f>
        <v xml:space="preserve">  Net Cash Flows from Investing Activities</v>
      </c>
      <c r="C114" s="1215">
        <f>Forecasts!C305</f>
        <v>750.9</v>
      </c>
      <c r="D114" s="1215">
        <f>Forecasts!D305</f>
        <v>-705.3</v>
      </c>
      <c r="E114" s="1215">
        <f>Forecasts!E305</f>
        <v>-227.67571221881312</v>
      </c>
      <c r="F114" s="1215">
        <f>Forecasts!F305</f>
        <v>-200.69203703616091</v>
      </c>
      <c r="G114" s="1215">
        <f>Forecasts!G305</f>
        <v>-178.62970880577839</v>
      </c>
      <c r="H114" s="1215">
        <f>Forecasts!H305</f>
        <v>-160.66509046976535</v>
      </c>
      <c r="I114" s="1215">
        <f>Forecasts!I305</f>
        <v>-146.11444996116987</v>
      </c>
      <c r="J114" s="1216">
        <f>Forecasts!J305</f>
        <v>-127.50230995475056</v>
      </c>
      <c r="L114" s="1209"/>
      <c r="M114" s="1209"/>
      <c r="N114" s="1209"/>
    </row>
    <row r="115" spans="2:14" ht="15" customHeight="1">
      <c r="B115" s="1221" t="str">
        <f>Forecasts!A306</f>
        <v>Increase &lt;Decrease&gt; in short-term debt</v>
      </c>
      <c r="C115" s="1211">
        <f>Forecasts!C306</f>
        <v>0</v>
      </c>
      <c r="D115" s="1211">
        <f>Forecasts!D306</f>
        <v>0</v>
      </c>
      <c r="E115" s="1211">
        <f>Forecasts!E306</f>
        <v>0</v>
      </c>
      <c r="F115" s="1211">
        <f>Forecasts!F306</f>
        <v>0</v>
      </c>
      <c r="G115" s="1211">
        <f>Forecasts!G306</f>
        <v>0</v>
      </c>
      <c r="H115" s="1211">
        <f>Forecasts!H306</f>
        <v>0</v>
      </c>
      <c r="I115" s="1211">
        <f>Forecasts!I306</f>
        <v>0</v>
      </c>
      <c r="J115" s="1212">
        <f>Forecasts!J306</f>
        <v>0</v>
      </c>
      <c r="L115" s="1209"/>
      <c r="M115" s="1209"/>
      <c r="N115" s="1209"/>
    </row>
    <row r="116" spans="2:14" ht="15" customHeight="1">
      <c r="B116" s="1221" t="str">
        <f>Forecasts!A307</f>
        <v>Increase &lt;Decrease&gt; in long-term debt</v>
      </c>
      <c r="C116" s="1211">
        <f>Forecasts!C307</f>
        <v>2</v>
      </c>
      <c r="D116" s="1211">
        <f>Forecasts!D307</f>
        <v>1.8999999999999773</v>
      </c>
      <c r="E116" s="1211">
        <f>Forecasts!E307</f>
        <v>49.615000000000009</v>
      </c>
      <c r="F116" s="1211">
        <f>Forecasts!F307</f>
        <v>52.095749999999953</v>
      </c>
      <c r="G116" s="1211">
        <f>Forecasts!G307</f>
        <v>54.70053750000011</v>
      </c>
      <c r="H116" s="1211">
        <f>Forecasts!H307</f>
        <v>57.435564375000013</v>
      </c>
      <c r="I116" s="1211">
        <f>Forecasts!I307</f>
        <v>60.307342593750036</v>
      </c>
      <c r="J116" s="1212">
        <f>Forecasts!J307</f>
        <v>37.993625834062641</v>
      </c>
      <c r="L116" s="1209"/>
      <c r="M116" s="1209"/>
      <c r="N116" s="1209"/>
    </row>
    <row r="117" spans="2:14" ht="15" customHeight="1">
      <c r="B117" s="1221" t="str">
        <f>Forecasts!A308</f>
        <v>Increase &lt;Decrease&gt; in preferred stock</v>
      </c>
      <c r="C117" s="1211">
        <f>Forecasts!C308</f>
        <v>0</v>
      </c>
      <c r="D117" s="1211">
        <f>Forecasts!D308</f>
        <v>0</v>
      </c>
      <c r="E117" s="1211">
        <f>Forecasts!E308</f>
        <v>0</v>
      </c>
      <c r="F117" s="1211">
        <f>Forecasts!F308</f>
        <v>0</v>
      </c>
      <c r="G117" s="1211">
        <f>Forecasts!G308</f>
        <v>0</v>
      </c>
      <c r="H117" s="1211">
        <f>Forecasts!H308</f>
        <v>0</v>
      </c>
      <c r="I117" s="1211">
        <f>Forecasts!I308</f>
        <v>0</v>
      </c>
      <c r="J117" s="1212">
        <f>Forecasts!J308</f>
        <v>0</v>
      </c>
      <c r="L117" s="1209"/>
      <c r="M117" s="1209"/>
      <c r="N117" s="1209"/>
    </row>
    <row r="118" spans="2:14" ht="15" customHeight="1">
      <c r="B118" s="1221" t="str">
        <f>Forecasts!A309</f>
        <v>Increase &lt;Decrease&gt; in common stock + paid in capital</v>
      </c>
      <c r="C118" s="1211">
        <f>Forecasts!C309</f>
        <v>30.600000000000136</v>
      </c>
      <c r="D118" s="1211">
        <f>Forecasts!D309</f>
        <v>132.20000000000005</v>
      </c>
      <c r="E118" s="1211">
        <f>Forecasts!E309</f>
        <v>42.516000000000076</v>
      </c>
      <c r="F118" s="1211">
        <f>Forecasts!F309</f>
        <v>43.791480000000092</v>
      </c>
      <c r="G118" s="1211">
        <f>Forecasts!G309</f>
        <v>45.105224399999997</v>
      </c>
      <c r="H118" s="1211">
        <f>Forecasts!H309</f>
        <v>46.458381132000113</v>
      </c>
      <c r="I118" s="1211">
        <f>Forecasts!I309</f>
        <v>47.852132565960119</v>
      </c>
      <c r="J118" s="1212">
        <f>Forecasts!J309</f>
        <v>49.287696542938875</v>
      </c>
      <c r="L118" s="1209"/>
      <c r="M118" s="1209"/>
      <c r="N118" s="1209"/>
    </row>
    <row r="119" spans="2:14" ht="15" customHeight="1">
      <c r="B119" s="1221" t="str">
        <f>Forecasts!A310</f>
        <v xml:space="preserve">Increase &lt;Decrease&gt; in accum. OCI </v>
      </c>
      <c r="C119" s="1211">
        <f>Forecasts!C310</f>
        <v>-15.399999999999999</v>
      </c>
      <c r="D119" s="1211">
        <f>Forecasts!D310</f>
        <v>1.3000000000000007</v>
      </c>
      <c r="E119" s="1211">
        <f>Forecasts!E310</f>
        <v>0</v>
      </c>
      <c r="F119" s="1211">
        <f>Forecasts!F310</f>
        <v>0</v>
      </c>
      <c r="G119" s="1211">
        <f>Forecasts!G310</f>
        <v>0</v>
      </c>
      <c r="H119" s="1211">
        <f>Forecasts!H310</f>
        <v>0</v>
      </c>
      <c r="I119" s="1211">
        <f>Forecasts!I310</f>
        <v>0</v>
      </c>
      <c r="J119" s="1212">
        <f>Forecasts!J310</f>
        <v>6.7739983966522423</v>
      </c>
      <c r="L119" s="1209"/>
      <c r="M119" s="1209"/>
      <c r="N119" s="1209"/>
    </row>
    <row r="120" spans="2:14" ht="15" customHeight="1">
      <c r="B120" s="1221" t="str">
        <f>Forecasts!A311</f>
        <v>Increase &lt;Decrease&gt; in treasury stock and other equity adjs.</v>
      </c>
      <c r="C120" s="1211">
        <f>Forecasts!C311</f>
        <v>0</v>
      </c>
      <c r="D120" s="1211">
        <f>Forecasts!D311</f>
        <v>0</v>
      </c>
      <c r="E120" s="1211">
        <f>Forecasts!E311</f>
        <v>0</v>
      </c>
      <c r="F120" s="1211">
        <f>Forecasts!F311</f>
        <v>0</v>
      </c>
      <c r="G120" s="1211">
        <f>Forecasts!G311</f>
        <v>0</v>
      </c>
      <c r="H120" s="1211">
        <f>Forecasts!H311</f>
        <v>0</v>
      </c>
      <c r="I120" s="1211">
        <f>Forecasts!I311</f>
        <v>0</v>
      </c>
      <c r="J120" s="1212">
        <f>Forecasts!J311</f>
        <v>0</v>
      </c>
      <c r="L120" s="1209"/>
      <c r="M120" s="1209"/>
      <c r="N120" s="1209"/>
    </row>
    <row r="121" spans="2:14" ht="15" customHeight="1">
      <c r="B121" s="1221" t="str">
        <f>Forecasts!A312</f>
        <v>Dividends and share repurchases</v>
      </c>
      <c r="C121" s="1211">
        <f>Forecasts!C312</f>
        <v>-1935.7999999999997</v>
      </c>
      <c r="D121" s="1211">
        <f>Forecasts!D312</f>
        <v>-1463.1000000000004</v>
      </c>
      <c r="E121" s="1211">
        <f>Forecasts!E312</f>
        <v>-1360.9956188442575</v>
      </c>
      <c r="F121" s="1211">
        <f>Forecasts!F312</f>
        <v>-1594.4170194986573</v>
      </c>
      <c r="G121" s="1211">
        <f>Forecasts!G312</f>
        <v>-1948.2918095076629</v>
      </c>
      <c r="H121" s="1211">
        <f>Forecasts!H312</f>
        <v>-2401.0105699040096</v>
      </c>
      <c r="I121" s="1211">
        <f>Forecasts!I312</f>
        <v>-3081.6217175411975</v>
      </c>
      <c r="J121" s="1212">
        <f>Forecasts!J312</f>
        <v>-3928.2917200092925</v>
      </c>
      <c r="L121" s="1209"/>
      <c r="M121" s="1209"/>
      <c r="N121" s="1209"/>
    </row>
    <row r="122" spans="2:14" ht="17.100000000000001" customHeight="1" thickBot="1">
      <c r="B122" s="1221" t="str">
        <f>Forecasts!A313</f>
        <v>Increase &lt;Decrease&gt; in noncontrolling interests</v>
      </c>
      <c r="C122" s="1211">
        <f>Forecasts!C313</f>
        <v>-16</v>
      </c>
      <c r="D122" s="1211">
        <f>Forecasts!D313</f>
        <v>0</v>
      </c>
      <c r="E122" s="1211">
        <f>Forecasts!E313</f>
        <v>0</v>
      </c>
      <c r="F122" s="1211">
        <f>Forecasts!F313</f>
        <v>0</v>
      </c>
      <c r="G122" s="1211">
        <f>Forecasts!G313</f>
        <v>0</v>
      </c>
      <c r="H122" s="1211">
        <f>Forecasts!H313</f>
        <v>0</v>
      </c>
      <c r="I122" s="1211">
        <f>Forecasts!I313</f>
        <v>0</v>
      </c>
      <c r="J122" s="1212">
        <f>Forecasts!J313</f>
        <v>0</v>
      </c>
      <c r="L122" s="1209"/>
      <c r="M122" s="1209"/>
      <c r="N122" s="1209"/>
    </row>
    <row r="123" spans="2:14" ht="15" customHeight="1" thickBot="1">
      <c r="B123" s="1222" t="str">
        <f>Forecasts!A314</f>
        <v xml:space="preserve">  Net Cash Flows from Financing Activities</v>
      </c>
      <c r="C123" s="1215">
        <f>Forecasts!C314</f>
        <v>-1934.5999999999997</v>
      </c>
      <c r="D123" s="1215">
        <f>Forecasts!D314</f>
        <v>-1327.7000000000003</v>
      </c>
      <c r="E123" s="1215">
        <f>Forecasts!E314</f>
        <v>-1268.8646188442574</v>
      </c>
      <c r="F123" s="1215">
        <f>Forecasts!F314</f>
        <v>-1498.5297894986572</v>
      </c>
      <c r="G123" s="1215">
        <f>Forecasts!G314</f>
        <v>-1848.4860476076628</v>
      </c>
      <c r="H123" s="1215">
        <f>Forecasts!H314</f>
        <v>-2297.1166243970092</v>
      </c>
      <c r="I123" s="1215">
        <f>Forecasts!I314</f>
        <v>-2973.4622423814872</v>
      </c>
      <c r="J123" s="1216">
        <f>Forecasts!J314</f>
        <v>-3834.2363992356386</v>
      </c>
      <c r="L123" s="1209"/>
      <c r="M123" s="1209"/>
      <c r="N123" s="1209"/>
    </row>
    <row r="124" spans="2:14" ht="15" customHeight="1">
      <c r="B124" s="1223" t="str">
        <f>Forecasts!A315</f>
        <v xml:space="preserve">  Net Change in Cash</v>
      </c>
      <c r="C124" s="1217">
        <f>Forecasts!C315</f>
        <v>363.79999999999995</v>
      </c>
      <c r="D124" s="1217">
        <f>Forecasts!D315</f>
        <v>-285.00000000000023</v>
      </c>
      <c r="E124" s="1217">
        <f>Forecasts!E315</f>
        <v>55.91599999999994</v>
      </c>
      <c r="F124" s="1217">
        <f>Forecasts!F315</f>
        <v>58.152640000000474</v>
      </c>
      <c r="G124" s="1217">
        <f>Forecasts!G315</f>
        <v>60.478745599998319</v>
      </c>
      <c r="H124" s="1217">
        <f>Forecasts!H315</f>
        <v>62.897895424003309</v>
      </c>
      <c r="I124" s="1217">
        <f>Forecasts!I315</f>
        <v>65.41381124095642</v>
      </c>
      <c r="J124" s="1218">
        <f>Forecasts!J315</f>
        <v>68.030363690602371</v>
      </c>
      <c r="L124" s="1209"/>
      <c r="M124" s="1209"/>
      <c r="N124" s="1209"/>
    </row>
    <row r="125" spans="2:14" ht="15" customHeight="1">
      <c r="B125" s="1224" t="str">
        <f>Forecasts!A316</f>
        <v>Cash and cash equivalents, beginning of year</v>
      </c>
      <c r="C125" s="1213">
        <f>Forecasts!C316</f>
        <v>1319.1</v>
      </c>
      <c r="D125" s="1213">
        <f>Forecasts!D316</f>
        <v>1682.9</v>
      </c>
      <c r="E125" s="1213">
        <f>Forecasts!E316</f>
        <v>1397.9</v>
      </c>
      <c r="F125" s="1213">
        <f>Forecasts!F316</f>
        <v>1453.816</v>
      </c>
      <c r="G125" s="1213">
        <f>Forecasts!G316</f>
        <v>1511.9686400000005</v>
      </c>
      <c r="H125" s="1213">
        <f>Forecasts!H316</f>
        <v>1572.4473855999988</v>
      </c>
      <c r="I125" s="1213">
        <f>Forecasts!I316</f>
        <v>1635.3452810240021</v>
      </c>
      <c r="J125" s="1214">
        <f>Forecasts!J316</f>
        <v>1700.7590922649586</v>
      </c>
      <c r="L125" s="1209"/>
      <c r="M125" s="1209"/>
      <c r="N125" s="1209"/>
    </row>
    <row r="126" spans="2:14" ht="15" customHeight="1" thickBot="1">
      <c r="B126" s="1225" t="str">
        <f>Forecasts!A317</f>
        <v>Cash and cash equivalents, end of year</v>
      </c>
      <c r="C126" s="1219">
        <f>Forecasts!C317</f>
        <v>1682.9</v>
      </c>
      <c r="D126" s="1219">
        <f>Forecasts!D317</f>
        <v>1397.9</v>
      </c>
      <c r="E126" s="1219">
        <f>Forecasts!E317</f>
        <v>1453.816</v>
      </c>
      <c r="F126" s="1219">
        <f>Forecasts!F317</f>
        <v>1511.9686400000005</v>
      </c>
      <c r="G126" s="1219">
        <f>Forecasts!G317</f>
        <v>1572.4473855999988</v>
      </c>
      <c r="H126" s="1219">
        <f>Forecasts!H317</f>
        <v>1635.3452810240021</v>
      </c>
      <c r="I126" s="1219">
        <f>Forecasts!I317</f>
        <v>1700.7590922649586</v>
      </c>
      <c r="J126" s="1220">
        <f>Forecasts!J317</f>
        <v>1768.7894559555609</v>
      </c>
      <c r="L126" s="1209"/>
      <c r="M126" s="1209"/>
      <c r="N126" s="1209"/>
    </row>
    <row r="127" spans="2:14" ht="15" customHeight="1">
      <c r="B127" s="1209"/>
      <c r="D127" s="1210"/>
      <c r="E127" s="1210"/>
      <c r="F127" s="1210"/>
      <c r="G127" s="1210"/>
      <c r="H127" s="1210"/>
      <c r="I127" s="1210"/>
      <c r="J127" s="1210"/>
      <c r="K127" s="1210"/>
      <c r="L127" s="1209"/>
      <c r="M127" s="1209"/>
      <c r="N127" s="1209"/>
    </row>
    <row r="128" spans="2:14" ht="15" customHeight="1">
      <c r="B128" s="1209">
        <f>Data!A137</f>
        <v>0</v>
      </c>
      <c r="C128" s="1209"/>
      <c r="D128" s="1209"/>
      <c r="E128" s="1209"/>
      <c r="F128" s="1209"/>
      <c r="G128" s="1209"/>
      <c r="H128" s="1209"/>
      <c r="I128" s="1209"/>
      <c r="J128" s="1209"/>
      <c r="K128" s="1209"/>
      <c r="L128" s="1209"/>
      <c r="M128" s="1209"/>
      <c r="N128" s="1209"/>
    </row>
    <row r="129" spans="2:11" ht="15" customHeight="1">
      <c r="B129" s="1098"/>
      <c r="C129" s="659"/>
      <c r="D129" s="659"/>
      <c r="E129" s="659"/>
      <c r="F129" s="659"/>
      <c r="G129" s="659"/>
      <c r="H129" s="659"/>
      <c r="I129" s="659"/>
      <c r="J129" s="457"/>
      <c r="K129" s="457"/>
    </row>
    <row r="130" spans="2:11">
      <c r="B130" s="1099" t="s">
        <v>1253</v>
      </c>
      <c r="C130" s="1260" t="s">
        <v>469</v>
      </c>
      <c r="D130" s="1260"/>
      <c r="E130" s="1260"/>
      <c r="F130" s="1260" t="s">
        <v>470</v>
      </c>
      <c r="G130" s="1260"/>
      <c r="H130" s="1260"/>
      <c r="I130" s="1100"/>
      <c r="J130" s="1101"/>
      <c r="K130" s="1101"/>
    </row>
    <row r="131" spans="2:11">
      <c r="B131" s="1102"/>
      <c r="C131" s="1260"/>
      <c r="D131" s="1260"/>
      <c r="E131" s="1260"/>
      <c r="F131" s="1260"/>
      <c r="G131" s="1260"/>
      <c r="H131" s="1260"/>
      <c r="I131" s="1103"/>
      <c r="J131" s="1104"/>
      <c r="K131" s="1104"/>
    </row>
    <row r="132" spans="2:11">
      <c r="B132" s="1088" t="s">
        <v>18</v>
      </c>
      <c r="C132" s="1089" t="s">
        <v>872</v>
      </c>
      <c r="D132" s="1089" t="s">
        <v>871</v>
      </c>
      <c r="E132" s="1089" t="s">
        <v>870</v>
      </c>
      <c r="F132" s="1090" t="s">
        <v>471</v>
      </c>
      <c r="G132" s="1090" t="s">
        <v>472</v>
      </c>
      <c r="H132" s="1090" t="s">
        <v>473</v>
      </c>
      <c r="I132" s="1090" t="s">
        <v>474</v>
      </c>
      <c r="J132" s="1090" t="s">
        <v>475</v>
      </c>
      <c r="K132" s="1090" t="s">
        <v>476</v>
      </c>
    </row>
    <row r="133" spans="2:11" ht="11.1" customHeight="1">
      <c r="B133" s="1105" t="s">
        <v>13</v>
      </c>
      <c r="C133" s="1106"/>
      <c r="D133" s="1106"/>
      <c r="E133" s="1106"/>
      <c r="F133" s="1107"/>
      <c r="G133" s="1107"/>
      <c r="H133" s="1107"/>
      <c r="I133" s="1107"/>
      <c r="J133" s="1107"/>
      <c r="K133" s="1107"/>
    </row>
    <row r="134" spans="2:11" ht="11.1" customHeight="1">
      <c r="B134" s="1105" t="s">
        <v>447</v>
      </c>
      <c r="C134" s="1108"/>
      <c r="D134" s="1108"/>
      <c r="E134" s="1108"/>
      <c r="F134" s="1108"/>
      <c r="G134" s="1108"/>
      <c r="H134" s="1108"/>
      <c r="I134" s="1108"/>
      <c r="J134" s="1108"/>
      <c r="K134" s="1109"/>
    </row>
    <row r="135" spans="2:11" ht="11.1" customHeight="1">
      <c r="B135" s="646" t="s">
        <v>28</v>
      </c>
      <c r="C135" s="1072"/>
      <c r="D135" s="1072"/>
      <c r="E135" s="1072"/>
      <c r="F135" s="1072"/>
      <c r="G135" s="1072"/>
      <c r="H135" s="1072"/>
      <c r="I135" s="1072"/>
      <c r="J135" s="1072"/>
      <c r="K135" s="1072"/>
    </row>
    <row r="136" spans="2:11" ht="11.1" customHeight="1">
      <c r="B136" s="646" t="s">
        <v>14</v>
      </c>
      <c r="C136" s="1072"/>
      <c r="D136" s="1072"/>
      <c r="E136" s="1072"/>
      <c r="F136" s="1072"/>
      <c r="G136" s="1072"/>
      <c r="H136" s="1072"/>
      <c r="I136" s="1072"/>
      <c r="J136" s="1072"/>
      <c r="K136" s="1072"/>
    </row>
    <row r="137" spans="2:11" ht="11.1" customHeight="1">
      <c r="B137" s="646" t="s">
        <v>15</v>
      </c>
      <c r="C137" s="1072"/>
      <c r="D137" s="1072"/>
      <c r="E137" s="1072"/>
      <c r="F137" s="1072"/>
      <c r="G137" s="1072"/>
      <c r="H137" s="1072"/>
      <c r="I137" s="1072"/>
      <c r="J137" s="1072"/>
      <c r="K137" s="1072"/>
    </row>
    <row r="138" spans="2:11" ht="11.1" customHeight="1">
      <c r="C138" s="1072"/>
      <c r="D138" s="1072"/>
      <c r="E138" s="1072"/>
      <c r="F138" s="1072"/>
      <c r="G138" s="1072"/>
      <c r="H138" s="1072"/>
      <c r="I138" s="1072"/>
      <c r="J138" s="1072"/>
      <c r="K138" s="1072"/>
    </row>
    <row r="139" spans="2:11" ht="11.1" customHeight="1">
      <c r="B139" s="1105" t="s">
        <v>164</v>
      </c>
      <c r="C139" s="1108"/>
      <c r="D139" s="1108"/>
      <c r="E139" s="1108"/>
      <c r="F139" s="1108"/>
      <c r="G139" s="1108"/>
      <c r="H139" s="1108"/>
      <c r="I139" s="1108"/>
      <c r="J139" s="1108"/>
      <c r="K139" s="1108"/>
    </row>
    <row r="140" spans="2:11" ht="11.1" customHeight="1">
      <c r="B140" s="646" t="s">
        <v>426</v>
      </c>
      <c r="C140" s="1072"/>
      <c r="D140" s="1072"/>
      <c r="E140" s="1072"/>
      <c r="F140" s="1072"/>
      <c r="G140" s="1072"/>
      <c r="H140" s="1072"/>
      <c r="I140" s="1072"/>
      <c r="J140" s="1072"/>
      <c r="K140" s="1072"/>
    </row>
    <row r="141" spans="2:11" ht="11.1" customHeight="1">
      <c r="B141" s="646" t="s">
        <v>427</v>
      </c>
      <c r="C141" s="1110"/>
      <c r="D141" s="1110"/>
      <c r="E141" s="1110"/>
      <c r="F141" s="1110"/>
      <c r="G141" s="1110"/>
      <c r="H141" s="1110"/>
      <c r="I141" s="1110"/>
      <c r="J141" s="1110"/>
      <c r="K141" s="1110"/>
    </row>
    <row r="142" spans="2:11" ht="11.1" customHeight="1">
      <c r="B142" s="646" t="s">
        <v>428</v>
      </c>
      <c r="C142" s="1072"/>
      <c r="D142" s="1072"/>
      <c r="E142" s="1072"/>
      <c r="F142" s="1072"/>
      <c r="G142" s="1072"/>
      <c r="H142" s="1072"/>
      <c r="I142" s="1072"/>
      <c r="J142" s="1072"/>
      <c r="K142" s="1072"/>
    </row>
    <row r="143" spans="2:11" ht="11.1" customHeight="1">
      <c r="C143" s="1072"/>
      <c r="D143" s="1072"/>
      <c r="E143" s="1072"/>
      <c r="F143" s="1072"/>
      <c r="G143" s="1072"/>
      <c r="H143" s="1072"/>
      <c r="I143" s="1072"/>
      <c r="J143" s="1072"/>
      <c r="K143" s="1072"/>
    </row>
    <row r="144" spans="2:11" ht="11.1" customHeight="1">
      <c r="B144" s="1105" t="s">
        <v>165</v>
      </c>
      <c r="C144" s="1108"/>
      <c r="D144" s="1108"/>
      <c r="E144" s="1108"/>
      <c r="F144" s="1108"/>
      <c r="G144" s="1108"/>
      <c r="H144" s="1108"/>
      <c r="I144" s="1108"/>
      <c r="J144" s="1108"/>
      <c r="K144" s="1108"/>
    </row>
    <row r="145" spans="2:11" ht="11.1" customHeight="1">
      <c r="B145" s="646" t="s">
        <v>426</v>
      </c>
      <c r="C145" s="1072"/>
      <c r="D145" s="1072"/>
      <c r="E145" s="1072"/>
      <c r="F145" s="1072"/>
      <c r="G145" s="1072"/>
      <c r="H145" s="1072"/>
      <c r="I145" s="1072"/>
      <c r="J145" s="1072"/>
      <c r="K145" s="1072"/>
    </row>
    <row r="146" spans="2:11" ht="11.1" customHeight="1">
      <c r="B146" s="646" t="s">
        <v>427</v>
      </c>
      <c r="C146" s="1110"/>
      <c r="D146" s="1110"/>
      <c r="E146" s="1110"/>
      <c r="F146" s="1110"/>
      <c r="G146" s="1110"/>
      <c r="H146" s="1110"/>
      <c r="I146" s="1110"/>
      <c r="J146" s="1110"/>
      <c r="K146" s="1110"/>
    </row>
    <row r="147" spans="2:11" ht="11.1" customHeight="1">
      <c r="B147" s="646" t="s">
        <v>428</v>
      </c>
      <c r="C147" s="1072"/>
      <c r="D147" s="1072"/>
      <c r="E147" s="1072"/>
      <c r="F147" s="1072"/>
      <c r="G147" s="1072"/>
      <c r="H147" s="1072"/>
      <c r="I147" s="1072"/>
      <c r="J147" s="1072"/>
      <c r="K147" s="1072"/>
    </row>
    <row r="148" spans="2:11" ht="11.1" customHeight="1">
      <c r="C148" s="1072"/>
      <c r="D148" s="1072"/>
      <c r="E148" s="1072"/>
      <c r="F148" s="1072"/>
      <c r="G148" s="1072"/>
      <c r="H148" s="1072"/>
      <c r="I148" s="1072"/>
      <c r="J148" s="1072"/>
      <c r="K148" s="1072"/>
    </row>
    <row r="149" spans="2:11" ht="11.1" customHeight="1">
      <c r="B149" s="1105" t="s">
        <v>166</v>
      </c>
      <c r="C149" s="1108"/>
      <c r="D149" s="1108"/>
      <c r="E149" s="1108"/>
      <c r="F149" s="1108"/>
      <c r="G149" s="1108"/>
      <c r="H149" s="1108"/>
      <c r="I149" s="1108"/>
      <c r="J149" s="1108"/>
      <c r="K149" s="1108"/>
    </row>
    <row r="150" spans="2:11" ht="11.1" customHeight="1">
      <c r="B150" s="646" t="s">
        <v>429</v>
      </c>
      <c r="C150" s="1072"/>
      <c r="D150" s="1072"/>
      <c r="E150" s="1072"/>
      <c r="F150" s="1072"/>
      <c r="G150" s="1072"/>
      <c r="H150" s="1072"/>
      <c r="I150" s="1072"/>
      <c r="J150" s="1072"/>
      <c r="K150" s="1072"/>
    </row>
    <row r="151" spans="2:11" ht="11.1" customHeight="1">
      <c r="B151" s="646" t="s">
        <v>427</v>
      </c>
      <c r="C151" s="1110"/>
      <c r="D151" s="1110"/>
      <c r="E151" s="1110"/>
      <c r="F151" s="1110"/>
      <c r="G151" s="1110"/>
      <c r="H151" s="1110"/>
      <c r="I151" s="1110"/>
      <c r="J151" s="1110"/>
      <c r="K151" s="1110"/>
    </row>
    <row r="152" spans="2:11" ht="11.1" customHeight="1">
      <c r="B152" s="646" t="s">
        <v>430</v>
      </c>
      <c r="C152" s="1110"/>
      <c r="D152" s="1110"/>
      <c r="E152" s="1110"/>
      <c r="F152" s="1110"/>
      <c r="G152" s="1110"/>
      <c r="H152" s="1110"/>
      <c r="I152" s="1110"/>
      <c r="J152" s="1110"/>
      <c r="K152" s="1110"/>
    </row>
    <row r="153" spans="2:11" ht="11.1" customHeight="1">
      <c r="B153" s="646" t="s">
        <v>431</v>
      </c>
      <c r="C153" s="1072"/>
      <c r="D153" s="1072"/>
      <c r="E153" s="1072"/>
      <c r="F153" s="1072"/>
      <c r="G153" s="1072"/>
      <c r="H153" s="1072"/>
      <c r="I153" s="1072"/>
      <c r="J153" s="1072"/>
      <c r="K153" s="1072"/>
    </row>
    <row r="154" spans="2:11" ht="11.1" customHeight="1">
      <c r="C154" s="1072"/>
      <c r="D154" s="1072"/>
      <c r="E154" s="1072"/>
      <c r="F154" s="1072"/>
      <c r="G154" s="1072"/>
      <c r="H154" s="1072"/>
      <c r="I154" s="1072"/>
      <c r="J154" s="1072"/>
      <c r="K154" s="1072"/>
    </row>
    <row r="155" spans="2:11" ht="11.1" customHeight="1">
      <c r="B155" s="1105" t="s">
        <v>222</v>
      </c>
      <c r="C155" s="1108"/>
      <c r="D155" s="1108"/>
      <c r="E155" s="1108"/>
      <c r="F155" s="1108"/>
      <c r="G155" s="1108"/>
      <c r="H155" s="1108"/>
      <c r="I155" s="1108"/>
      <c r="J155" s="1108"/>
      <c r="K155" s="1108"/>
    </row>
    <row r="156" spans="2:11" ht="11.1" customHeight="1">
      <c r="B156" s="646" t="s">
        <v>429</v>
      </c>
      <c r="C156" s="1072"/>
      <c r="D156" s="1072"/>
      <c r="E156" s="1072"/>
      <c r="F156" s="1072"/>
      <c r="G156" s="1072"/>
      <c r="H156" s="1072"/>
      <c r="I156" s="1072"/>
      <c r="J156" s="1072"/>
      <c r="K156" s="1072"/>
    </row>
    <row r="157" spans="2:11" ht="11.1" customHeight="1">
      <c r="B157" s="646" t="s">
        <v>427</v>
      </c>
      <c r="C157" s="1110"/>
      <c r="D157" s="1110"/>
      <c r="E157" s="1110"/>
      <c r="F157" s="1110"/>
      <c r="G157" s="1110"/>
      <c r="H157" s="1110"/>
      <c r="I157" s="1110"/>
      <c r="J157" s="1110"/>
      <c r="K157" s="1110"/>
    </row>
    <row r="158" spans="2:11" ht="11.1" customHeight="1">
      <c r="B158" s="646" t="s">
        <v>430</v>
      </c>
      <c r="C158" s="1110"/>
      <c r="D158" s="1110"/>
      <c r="E158" s="1110"/>
      <c r="F158" s="1110"/>
      <c r="G158" s="1110"/>
      <c r="H158" s="1110"/>
      <c r="I158" s="1110"/>
      <c r="J158" s="1110"/>
      <c r="K158" s="1110"/>
    </row>
    <row r="159" spans="2:11" ht="11.1" customHeight="1">
      <c r="B159" s="646" t="s">
        <v>431</v>
      </c>
      <c r="C159" s="1072"/>
      <c r="D159" s="1072"/>
      <c r="E159" s="1072"/>
      <c r="F159" s="1072"/>
      <c r="G159" s="1072"/>
      <c r="H159" s="1072"/>
      <c r="I159" s="1072"/>
      <c r="J159" s="1072"/>
      <c r="K159" s="1072"/>
    </row>
    <row r="160" spans="2:11" ht="11.1" customHeight="1">
      <c r="C160" s="1072"/>
      <c r="D160" s="1072"/>
      <c r="E160" s="1072"/>
      <c r="F160" s="1072"/>
      <c r="G160" s="1072"/>
      <c r="H160" s="1072"/>
      <c r="I160" s="1072"/>
      <c r="J160" s="1072"/>
      <c r="K160" s="1072"/>
    </row>
    <row r="161" spans="2:11" ht="11.1" customHeight="1">
      <c r="B161" s="1105" t="s">
        <v>432</v>
      </c>
      <c r="C161" s="1108"/>
      <c r="D161" s="1108"/>
      <c r="E161" s="1108"/>
      <c r="F161" s="1108"/>
      <c r="G161" s="1108"/>
      <c r="H161" s="1108"/>
      <c r="I161" s="1108"/>
      <c r="J161" s="1108"/>
      <c r="K161" s="1108"/>
    </row>
    <row r="162" spans="2:11" ht="11.1" customHeight="1">
      <c r="B162" s="646" t="s">
        <v>29</v>
      </c>
      <c r="C162" s="1072"/>
      <c r="D162" s="1072"/>
      <c r="E162" s="1072"/>
      <c r="F162" s="1072"/>
      <c r="G162" s="1072"/>
      <c r="H162" s="1072"/>
      <c r="I162" s="1072"/>
      <c r="J162" s="1072"/>
      <c r="K162" s="1072"/>
    </row>
    <row r="163" spans="2:11" ht="11.1" customHeight="1">
      <c r="B163" s="646" t="s">
        <v>433</v>
      </c>
      <c r="C163" s="1072"/>
      <c r="D163" s="1072"/>
      <c r="E163" s="1072"/>
      <c r="F163" s="1072"/>
      <c r="G163" s="1072"/>
      <c r="H163" s="1072"/>
      <c r="I163" s="1072"/>
      <c r="J163" s="1072"/>
      <c r="K163" s="1072"/>
    </row>
    <row r="164" spans="2:11" ht="11.1" customHeight="1">
      <c r="C164" s="1072"/>
      <c r="D164" s="1072"/>
      <c r="E164" s="1072"/>
      <c r="F164" s="1072"/>
      <c r="G164" s="1072"/>
      <c r="H164" s="1072"/>
      <c r="I164" s="1072"/>
      <c r="J164" s="1072"/>
      <c r="K164" s="1072"/>
    </row>
    <row r="165" spans="2:11" ht="11.1" customHeight="1">
      <c r="B165" s="1105" t="s">
        <v>435</v>
      </c>
      <c r="C165" s="1108"/>
      <c r="D165" s="1108"/>
      <c r="E165" s="1108"/>
      <c r="F165" s="1108"/>
      <c r="G165" s="1108"/>
      <c r="H165" s="1108"/>
      <c r="I165" s="1108"/>
      <c r="J165" s="1108"/>
      <c r="K165" s="1108"/>
    </row>
    <row r="166" spans="2:11" ht="11.1" customHeight="1">
      <c r="B166" s="646" t="s">
        <v>30</v>
      </c>
      <c r="C166" s="1110"/>
      <c r="D166" s="1110"/>
      <c r="E166" s="1110"/>
      <c r="F166" s="1110"/>
      <c r="G166" s="1110"/>
      <c r="H166" s="1110"/>
      <c r="I166" s="1110"/>
      <c r="J166" s="1110"/>
      <c r="K166" s="1110"/>
    </row>
    <row r="167" spans="2:11" ht="11.1" customHeight="1">
      <c r="B167" s="646" t="s">
        <v>436</v>
      </c>
      <c r="C167" s="1110"/>
      <c r="D167" s="1110"/>
      <c r="E167" s="1110"/>
      <c r="F167" s="1110"/>
      <c r="G167" s="1110"/>
      <c r="H167" s="1110"/>
      <c r="I167" s="1110"/>
      <c r="J167" s="1110"/>
      <c r="K167" s="1110"/>
    </row>
    <row r="168" spans="2:11" ht="11.1" customHeight="1">
      <c r="B168" s="646" t="s">
        <v>31</v>
      </c>
      <c r="C168" s="1110"/>
      <c r="D168" s="1110"/>
      <c r="E168" s="1110"/>
      <c r="F168" s="1110"/>
      <c r="G168" s="1110"/>
      <c r="H168" s="1110"/>
      <c r="I168" s="1110"/>
      <c r="J168" s="1110"/>
      <c r="K168" s="1110"/>
    </row>
    <row r="169" spans="2:11" ht="11.1" customHeight="1">
      <c r="C169" s="1110"/>
      <c r="D169" s="1110"/>
      <c r="E169" s="1110"/>
      <c r="F169" s="1110"/>
      <c r="G169" s="1110"/>
      <c r="H169" s="1110"/>
      <c r="I169" s="1110"/>
      <c r="J169" s="1110"/>
      <c r="K169" s="1110"/>
    </row>
    <row r="170" spans="2:11" ht="11.1" customHeight="1">
      <c r="B170" s="1105" t="s">
        <v>438</v>
      </c>
      <c r="C170" s="1111"/>
      <c r="D170" s="1111"/>
      <c r="E170" s="1111"/>
      <c r="F170" s="1111"/>
      <c r="G170" s="1111"/>
      <c r="H170" s="1111"/>
      <c r="I170" s="1111"/>
      <c r="J170" s="1111"/>
      <c r="K170" s="1111"/>
    </row>
    <row r="171" spans="2:11" ht="11.1" customHeight="1">
      <c r="B171" s="646" t="s">
        <v>439</v>
      </c>
      <c r="C171" s="1110"/>
      <c r="D171" s="1110"/>
      <c r="E171" s="1110"/>
      <c r="F171" s="1110"/>
      <c r="G171" s="1110"/>
      <c r="H171" s="1110"/>
      <c r="I171" s="1110"/>
      <c r="J171" s="1110"/>
      <c r="K171" s="1110"/>
    </row>
    <row r="172" spans="2:11" ht="11.1" customHeight="1">
      <c r="B172" s="646" t="s">
        <v>440</v>
      </c>
      <c r="C172" s="1110"/>
      <c r="D172" s="1110"/>
      <c r="E172" s="1110"/>
      <c r="F172" s="1110"/>
      <c r="G172" s="1110"/>
      <c r="H172" s="1110"/>
      <c r="I172" s="1110"/>
      <c r="J172" s="1110"/>
      <c r="K172" s="1110"/>
    </row>
    <row r="173" spans="2:11" ht="11.1" customHeight="1">
      <c r="C173" s="1072"/>
      <c r="D173" s="1072"/>
      <c r="E173" s="1072"/>
      <c r="F173" s="1072"/>
      <c r="G173" s="1072"/>
      <c r="H173" s="1072"/>
      <c r="I173" s="1072"/>
      <c r="J173" s="1072"/>
      <c r="K173" s="1072"/>
    </row>
    <row r="174" spans="2:11" ht="11.1" customHeight="1">
      <c r="B174" s="1105" t="s">
        <v>442</v>
      </c>
      <c r="C174" s="1108"/>
      <c r="D174" s="1108"/>
      <c r="E174" s="1108"/>
      <c r="F174" s="1108"/>
      <c r="G174" s="1108"/>
      <c r="H174" s="1108"/>
      <c r="I174" s="1108"/>
      <c r="J174" s="1108"/>
      <c r="K174" s="1108"/>
    </row>
    <row r="175" spans="2:11" ht="11.1" customHeight="1">
      <c r="B175" s="646" t="s">
        <v>443</v>
      </c>
      <c r="C175" s="1072"/>
      <c r="D175" s="1072"/>
      <c r="E175" s="1072"/>
      <c r="F175" s="1072"/>
      <c r="G175" s="1072"/>
      <c r="H175" s="1072"/>
      <c r="I175" s="1072"/>
      <c r="J175" s="1072"/>
      <c r="K175" s="1072"/>
    </row>
    <row r="176" spans="2:11" ht="11.1" customHeight="1">
      <c r="B176" s="646" t="s">
        <v>16</v>
      </c>
      <c r="C176" s="1072"/>
      <c r="D176" s="1072"/>
      <c r="E176" s="1072"/>
      <c r="F176" s="1072"/>
      <c r="G176" s="1072"/>
      <c r="H176" s="1072"/>
      <c r="I176" s="1072"/>
      <c r="J176" s="1072"/>
      <c r="K176" s="1072"/>
    </row>
    <row r="177" spans="1:11" ht="11.1" customHeight="1">
      <c r="B177" s="646" t="s">
        <v>445</v>
      </c>
      <c r="C177" s="1110"/>
      <c r="D177" s="1110"/>
      <c r="E177" s="1110"/>
      <c r="F177" s="1110"/>
      <c r="G177" s="1110"/>
      <c r="H177" s="1110"/>
      <c r="I177" s="1110"/>
      <c r="J177" s="1110"/>
      <c r="K177" s="1110"/>
    </row>
    <row r="181" spans="1:11">
      <c r="B181" s="608" t="s">
        <v>1254</v>
      </c>
      <c r="C181" s="1112"/>
      <c r="D181" s="1113"/>
    </row>
    <row r="188" spans="1:11">
      <c r="A188" s="203" t="s">
        <v>726</v>
      </c>
    </row>
    <row r="189" spans="1:11">
      <c r="B189" s="646" t="s">
        <v>18</v>
      </c>
      <c r="C189" s="1114" t="s">
        <v>872</v>
      </c>
      <c r="D189" s="1114" t="s">
        <v>871</v>
      </c>
      <c r="E189" s="1114" t="s">
        <v>870</v>
      </c>
      <c r="F189" s="1114" t="s">
        <v>930</v>
      </c>
      <c r="G189" s="1114" t="s">
        <v>931</v>
      </c>
      <c r="H189" s="1114" t="s">
        <v>932</v>
      </c>
      <c r="I189" s="1114" t="s">
        <v>933</v>
      </c>
      <c r="J189" s="1114" t="s">
        <v>934</v>
      </c>
    </row>
    <row r="190" spans="1:11">
      <c r="B190" s="646" t="s">
        <v>935</v>
      </c>
      <c r="C190" s="647"/>
      <c r="D190" s="647"/>
      <c r="E190" s="647"/>
      <c r="F190" s="647"/>
      <c r="G190" s="647"/>
      <c r="H190" s="647"/>
      <c r="I190" s="647"/>
      <c r="J190" s="647"/>
      <c r="K190" s="1115" t="s">
        <v>936</v>
      </c>
    </row>
    <row r="191" spans="1:11">
      <c r="B191" s="649" t="s">
        <v>1255</v>
      </c>
      <c r="C191" s="1116">
        <v>42078</v>
      </c>
      <c r="D191" s="1116">
        <v>45814</v>
      </c>
      <c r="E191" s="1116">
        <v>42743</v>
      </c>
      <c r="F191" s="1116">
        <v>43084.944000000003</v>
      </c>
      <c r="G191" s="1116">
        <v>43429.623552000005</v>
      </c>
      <c r="H191" s="1116">
        <v>43777.060540416001</v>
      </c>
      <c r="I191" s="1116">
        <v>44127.277024739327</v>
      </c>
      <c r="J191" s="1116">
        <v>44480.295240937245</v>
      </c>
      <c r="K191" s="650">
        <v>8.0000000000000071E-3</v>
      </c>
    </row>
    <row r="192" spans="1:11">
      <c r="B192" s="649" t="s">
        <v>1256</v>
      </c>
      <c r="C192" s="1116">
        <v>30496</v>
      </c>
      <c r="D192" s="1116">
        <v>33232</v>
      </c>
      <c r="E192" s="1116">
        <v>33507</v>
      </c>
      <c r="F192" s="1116">
        <v>35115.336000000003</v>
      </c>
      <c r="G192" s="1116">
        <v>36800.872128000003</v>
      </c>
      <c r="H192" s="1116">
        <v>38567.313990144001</v>
      </c>
      <c r="I192" s="1116">
        <v>40418.545061670913</v>
      </c>
      <c r="J192" s="1116">
        <v>42358.635224631122</v>
      </c>
      <c r="K192" s="650">
        <v>4.8000000000000043E-2</v>
      </c>
    </row>
    <row r="193" spans="2:11">
      <c r="B193" s="649" t="s">
        <v>1257</v>
      </c>
      <c r="C193" s="1116">
        <v>7883</v>
      </c>
      <c r="D193" s="1116">
        <v>9532</v>
      </c>
      <c r="E193" s="1116">
        <v>9632</v>
      </c>
      <c r="F193" s="1116">
        <v>10643.36</v>
      </c>
      <c r="G193" s="1116">
        <v>11760.9128</v>
      </c>
      <c r="H193" s="1116">
        <v>12995.808644000001</v>
      </c>
      <c r="I193" s="1116">
        <v>14360.36855162</v>
      </c>
      <c r="J193" s="1116">
        <v>15868.207249540101</v>
      </c>
      <c r="K193" s="650">
        <v>0.10499999999999998</v>
      </c>
    </row>
    <row r="194" spans="2:11">
      <c r="B194" s="649" t="s">
        <v>1258</v>
      </c>
      <c r="C194" s="1116">
        <v>3502</v>
      </c>
      <c r="D194" s="1116">
        <v>4934</v>
      </c>
      <c r="E194" s="1116">
        <v>4273</v>
      </c>
      <c r="F194" s="1116">
        <v>4721.665</v>
      </c>
      <c r="G194" s="1116">
        <v>5217.4398249999995</v>
      </c>
      <c r="H194" s="1116">
        <v>5765.2710066249992</v>
      </c>
      <c r="I194" s="1116">
        <v>6370.6244623206239</v>
      </c>
      <c r="J194" s="1116">
        <v>7039.5400308642893</v>
      </c>
      <c r="K194" s="650">
        <v>0.10499999999999998</v>
      </c>
    </row>
    <row r="195" spans="2:11">
      <c r="B195" s="643" t="s">
        <v>938</v>
      </c>
      <c r="C195" s="1117">
        <v>83959</v>
      </c>
      <c r="D195" s="1117">
        <v>93512</v>
      </c>
      <c r="E195" s="1117">
        <v>90155</v>
      </c>
      <c r="F195" s="1118">
        <v>93565.304999999993</v>
      </c>
      <c r="G195" s="1118">
        <v>97208.848305000007</v>
      </c>
      <c r="H195" s="1118">
        <v>101105.45418118501</v>
      </c>
      <c r="I195" s="1118">
        <v>105276.81510035088</v>
      </c>
      <c r="J195" s="1119">
        <v>109746.67774597275</v>
      </c>
      <c r="K195" s="650">
        <v>4.0112493189731424E-2</v>
      </c>
    </row>
    <row r="197" spans="2:11">
      <c r="B197" s="646" t="s">
        <v>935</v>
      </c>
    </row>
    <row r="202" spans="2:11">
      <c r="B202" s="646" t="s">
        <v>726</v>
      </c>
      <c r="C202" s="1120"/>
      <c r="D202" s="1120"/>
      <c r="E202" s="1120"/>
      <c r="F202" s="1120"/>
      <c r="G202" s="1120"/>
      <c r="H202" s="1120"/>
      <c r="I202" s="1120"/>
      <c r="J202" s="1120"/>
    </row>
    <row r="203" spans="2:11">
      <c r="C203" s="1094"/>
      <c r="D203" s="1094"/>
      <c r="E203" s="1094"/>
      <c r="F203" s="1094"/>
      <c r="G203" s="1094"/>
      <c r="H203" s="1094"/>
      <c r="I203" s="1094"/>
      <c r="J203" s="1094"/>
    </row>
    <row r="204" spans="2:11">
      <c r="C204" s="1121" t="s">
        <v>469</v>
      </c>
      <c r="D204" s="1120"/>
      <c r="E204" s="1120"/>
      <c r="F204" s="1122" t="s">
        <v>470</v>
      </c>
      <c r="G204" s="1123"/>
      <c r="H204" s="1123"/>
      <c r="I204" s="1123"/>
      <c r="J204" s="1123"/>
    </row>
    <row r="205" spans="2:11">
      <c r="B205" s="646" t="s">
        <v>18</v>
      </c>
      <c r="C205" s="1124">
        <v>2021</v>
      </c>
      <c r="D205" s="1124">
        <v>2022</v>
      </c>
      <c r="E205" s="1124">
        <v>2023</v>
      </c>
      <c r="F205" s="1124" t="s">
        <v>471</v>
      </c>
      <c r="G205" s="1124" t="s">
        <v>472</v>
      </c>
      <c r="H205" s="1124" t="s">
        <v>473</v>
      </c>
      <c r="I205" s="1124" t="s">
        <v>474</v>
      </c>
      <c r="J205" s="1124" t="s">
        <v>475</v>
      </c>
    </row>
    <row r="206" spans="2:11">
      <c r="C206" s="1124"/>
      <c r="D206" s="1124"/>
      <c r="E206" s="1124"/>
      <c r="F206" s="1124"/>
      <c r="G206" s="1124"/>
      <c r="H206" s="1124"/>
      <c r="I206" s="1124"/>
      <c r="J206" s="1124"/>
    </row>
    <row r="207" spans="2:11">
      <c r="B207" s="646" t="s">
        <v>935</v>
      </c>
      <c r="C207" s="1124"/>
      <c r="D207" s="1124"/>
      <c r="E207" s="1124"/>
      <c r="F207" s="1124"/>
      <c r="G207" s="1124"/>
      <c r="H207" s="1124"/>
      <c r="I207" s="1124"/>
      <c r="J207" s="1124"/>
    </row>
    <row r="208" spans="2:11">
      <c r="B208" s="649" t="s">
        <v>1255</v>
      </c>
      <c r="C208" s="1125">
        <v>42078</v>
      </c>
      <c r="D208" s="1125">
        <v>45814</v>
      </c>
      <c r="E208" s="1125">
        <v>42743</v>
      </c>
      <c r="F208" s="1126">
        <v>43084.944000000003</v>
      </c>
      <c r="G208" s="1126">
        <v>43429.623552000005</v>
      </c>
      <c r="H208" s="1126">
        <v>43777.060540416001</v>
      </c>
      <c r="I208" s="1126">
        <v>44127.277024739327</v>
      </c>
      <c r="J208" s="1127">
        <v>44480.295240937245</v>
      </c>
    </row>
    <row r="209" spans="2:10">
      <c r="B209" s="649" t="s">
        <v>1256</v>
      </c>
      <c r="C209" s="1125">
        <v>30496</v>
      </c>
      <c r="D209" s="1125">
        <v>33232</v>
      </c>
      <c r="E209" s="1125">
        <v>33507</v>
      </c>
      <c r="F209" s="1126">
        <v>35115.336000000003</v>
      </c>
      <c r="G209" s="1126">
        <v>36800.872128000003</v>
      </c>
      <c r="H209" s="1126">
        <v>38567.313990144001</v>
      </c>
      <c r="I209" s="1126">
        <v>40418.545061670913</v>
      </c>
      <c r="J209" s="1127">
        <v>42358.635224631122</v>
      </c>
    </row>
    <row r="210" spans="2:10">
      <c r="B210" s="649" t="s">
        <v>1257</v>
      </c>
      <c r="C210" s="1125">
        <v>7883</v>
      </c>
      <c r="D210" s="1125">
        <v>9532</v>
      </c>
      <c r="E210" s="1125">
        <v>9632</v>
      </c>
      <c r="F210" s="1126">
        <v>10643.36</v>
      </c>
      <c r="G210" s="1126">
        <v>11760.9128</v>
      </c>
      <c r="H210" s="1126">
        <v>12995.808644000001</v>
      </c>
      <c r="I210" s="1126">
        <v>14360.36855162</v>
      </c>
      <c r="J210" s="1127">
        <v>15868.207249540101</v>
      </c>
    </row>
    <row r="211" spans="2:10">
      <c r="B211" s="649" t="s">
        <v>1258</v>
      </c>
      <c r="C211" s="1125">
        <v>3502</v>
      </c>
      <c r="D211" s="1125">
        <v>4934</v>
      </c>
      <c r="E211" s="1125">
        <v>4273</v>
      </c>
      <c r="F211" s="1126">
        <v>4721.665</v>
      </c>
      <c r="G211" s="1126">
        <v>5217.4398249999995</v>
      </c>
      <c r="H211" s="1126">
        <v>5765.2710066249992</v>
      </c>
      <c r="I211" s="1126">
        <v>6370.6244623206239</v>
      </c>
      <c r="J211" s="1127">
        <v>7039.5400308642893</v>
      </c>
    </row>
    <row r="212" spans="2:10">
      <c r="B212" s="643" t="s">
        <v>938</v>
      </c>
      <c r="C212" s="1128">
        <v>83959</v>
      </c>
      <c r="D212" s="1128">
        <v>93512</v>
      </c>
      <c r="E212" s="1128">
        <v>90155</v>
      </c>
      <c r="F212" s="1126">
        <v>93565.304999999993</v>
      </c>
      <c r="G212" s="1126">
        <v>97208.848305000007</v>
      </c>
      <c r="H212" s="1126">
        <v>101105.45418118501</v>
      </c>
      <c r="I212" s="1126">
        <v>105276.81510035088</v>
      </c>
      <c r="J212" s="1127">
        <v>109746.67774597275</v>
      </c>
    </row>
    <row r="214" spans="2:10">
      <c r="B214" s="646" t="s">
        <v>1259</v>
      </c>
      <c r="C214" s="1115" t="s">
        <v>936</v>
      </c>
    </row>
    <row r="215" spans="2:10">
      <c r="B215" s="649" t="s">
        <v>1255</v>
      </c>
      <c r="C215" s="650">
        <v>8.0000000000000002E-3</v>
      </c>
    </row>
    <row r="216" spans="2:10">
      <c r="B216" s="649" t="s">
        <v>1256</v>
      </c>
      <c r="C216" s="1129">
        <v>4.8000000000000001E-2</v>
      </c>
    </row>
    <row r="217" spans="2:10">
      <c r="B217" s="649" t="s">
        <v>1257</v>
      </c>
      <c r="C217" s="1129">
        <v>0.105</v>
      </c>
    </row>
    <row r="218" spans="2:10">
      <c r="B218" s="649" t="s">
        <v>1258</v>
      </c>
      <c r="C218" s="1129">
        <v>0.105</v>
      </c>
    </row>
    <row r="219" spans="2:10">
      <c r="B219" s="643"/>
    </row>
    <row r="222" spans="2:10">
      <c r="B222" s="1130"/>
      <c r="C222" s="1131"/>
      <c r="D222" s="1131"/>
      <c r="E222" s="1131"/>
      <c r="F222" s="1131"/>
      <c r="G222" s="1131"/>
      <c r="H222" s="1131"/>
      <c r="I222" s="1131"/>
      <c r="J222" s="1131"/>
    </row>
    <row r="223" spans="2:10">
      <c r="B223" s="1130"/>
      <c r="C223" s="1131"/>
      <c r="D223" s="1131"/>
      <c r="E223" s="1131"/>
      <c r="F223" s="1131"/>
      <c r="G223" s="1131"/>
      <c r="H223" s="1131"/>
      <c r="I223" s="1131"/>
      <c r="J223" s="1131"/>
    </row>
    <row r="224" spans="2:10">
      <c r="B224" s="1130"/>
      <c r="C224" s="1131"/>
      <c r="D224" s="1131"/>
      <c r="E224" s="1131"/>
      <c r="F224" s="1131"/>
      <c r="G224" s="1131"/>
      <c r="H224" s="1131"/>
      <c r="I224" s="1131"/>
      <c r="J224" s="1131"/>
    </row>
    <row r="225" spans="2:10">
      <c r="B225" s="1130"/>
      <c r="C225" s="1131"/>
      <c r="D225" s="1131"/>
      <c r="E225" s="1131"/>
      <c r="F225" s="1131"/>
      <c r="G225" s="1131"/>
      <c r="H225" s="1131"/>
      <c r="I225" s="1131"/>
      <c r="J225" s="1131"/>
    </row>
    <row r="226" spans="2:10">
      <c r="B226" s="1130"/>
      <c r="C226" s="1132"/>
      <c r="D226" s="1132"/>
      <c r="E226" s="1132"/>
      <c r="F226" s="1132"/>
      <c r="G226" s="1132"/>
      <c r="H226" s="1132"/>
      <c r="I226" s="1132"/>
      <c r="J226" s="1132"/>
    </row>
    <row r="227" spans="2:10">
      <c r="B227" s="1130"/>
      <c r="C227" s="1131"/>
      <c r="D227" s="1131"/>
      <c r="E227" s="1131"/>
      <c r="F227" s="1131"/>
      <c r="G227" s="1131"/>
      <c r="H227" s="1131"/>
      <c r="I227" s="1131"/>
      <c r="J227" s="1131"/>
    </row>
    <row r="228" spans="2:10">
      <c r="B228" s="1130"/>
      <c r="C228" s="1131"/>
      <c r="D228" s="1131"/>
      <c r="E228" s="1131"/>
      <c r="F228" s="1131"/>
      <c r="G228" s="1131"/>
      <c r="H228" s="1131"/>
      <c r="I228" s="1131"/>
      <c r="J228" s="1131"/>
    </row>
    <row r="229" spans="2:10">
      <c r="B229" s="1130"/>
      <c r="C229" s="1131"/>
      <c r="D229" s="1131"/>
      <c r="E229" s="1131"/>
      <c r="F229" s="1131"/>
      <c r="G229" s="1131"/>
      <c r="H229" s="1131"/>
      <c r="I229" s="1131"/>
      <c r="J229" s="1131"/>
    </row>
    <row r="230" spans="2:10">
      <c r="B230" s="1130"/>
      <c r="C230" s="1132"/>
      <c r="D230" s="1132"/>
      <c r="E230" s="1132"/>
      <c r="F230" s="1132"/>
      <c r="G230" s="1132"/>
      <c r="H230" s="1132"/>
      <c r="I230" s="1132"/>
      <c r="J230" s="1132"/>
    </row>
    <row r="233" spans="2:10" ht="8.1" customHeight="1">
      <c r="B233" s="1133"/>
      <c r="C233" s="1134"/>
      <c r="D233" s="1134"/>
      <c r="E233" s="1134"/>
      <c r="F233" s="1134"/>
    </row>
    <row r="234" spans="2:10">
      <c r="B234" s="1133"/>
      <c r="C234" s="1134"/>
      <c r="D234" s="1134"/>
      <c r="E234" s="1135"/>
      <c r="F234" s="1136"/>
    </row>
    <row r="237" spans="2:10">
      <c r="D237" s="659"/>
      <c r="F237" s="646"/>
      <c r="G237" s="646"/>
      <c r="H237" s="646"/>
    </row>
    <row r="242" spans="1:13" s="1097" customFormat="1">
      <c r="A242"/>
      <c r="B242" s="666" t="s">
        <v>951</v>
      </c>
      <c r="C242" s="666"/>
      <c r="D242" s="669" t="s">
        <v>872</v>
      </c>
      <c r="E242" s="669" t="s">
        <v>871</v>
      </c>
      <c r="F242" s="669" t="s">
        <v>870</v>
      </c>
      <c r="J242"/>
      <c r="K242"/>
      <c r="L242"/>
      <c r="M242"/>
    </row>
    <row r="243" spans="1:13" s="1097" customFormat="1">
      <c r="A243"/>
      <c r="B243" s="448" t="s">
        <v>952</v>
      </c>
      <c r="C243" s="646">
        <v>22003</v>
      </c>
      <c r="D243" s="646">
        <v>20879</v>
      </c>
      <c r="E243" s="646">
        <v>20264</v>
      </c>
      <c r="F243" s="646">
        <v>20579</v>
      </c>
      <c r="J243"/>
      <c r="K243"/>
      <c r="L243"/>
      <c r="M243"/>
    </row>
    <row r="244" spans="1:13" s="1097" customFormat="1">
      <c r="A244"/>
      <c r="B244" s="448"/>
      <c r="C244" s="646"/>
      <c r="D244" s="1072">
        <v>-5.1083943098668372E-2</v>
      </c>
      <c r="E244" s="1072">
        <v>-2.9455433689352883E-2</v>
      </c>
      <c r="F244" s="1072">
        <v>1.5544808527437892E-2</v>
      </c>
      <c r="G244" s="1072"/>
      <c r="J244"/>
      <c r="K244"/>
      <c r="L244"/>
      <c r="M244"/>
    </row>
    <row r="245" spans="1:13" s="1097" customFormat="1">
      <c r="A245"/>
      <c r="B245" s="448" t="s">
        <v>953</v>
      </c>
      <c r="C245" s="1097">
        <v>21952</v>
      </c>
      <c r="D245" s="646">
        <v>20733</v>
      </c>
      <c r="E245" s="646">
        <v>20182</v>
      </c>
      <c r="F245" s="646">
        <v>20453</v>
      </c>
      <c r="J245"/>
      <c r="K245"/>
      <c r="L245"/>
      <c r="M245"/>
    </row>
    <row r="246" spans="1:13" s="1097" customFormat="1">
      <c r="A246"/>
      <c r="B246" s="457"/>
      <c r="D246" s="1072">
        <v>-5.5530247813411093E-2</v>
      </c>
      <c r="E246" s="1072">
        <v>-2.6575989967684399E-2</v>
      </c>
      <c r="F246" s="1072">
        <v>1.3427806956693988E-2</v>
      </c>
      <c r="G246" s="1072"/>
      <c r="J246"/>
      <c r="K246"/>
      <c r="L246"/>
      <c r="M246"/>
    </row>
    <row r="254" spans="1:13" s="1097" customFormat="1">
      <c r="A254"/>
      <c r="B254" s="646"/>
      <c r="F254" s="659"/>
      <c r="G254" s="1137"/>
      <c r="J254"/>
      <c r="K254"/>
      <c r="L254"/>
      <c r="M254"/>
    </row>
    <row r="258" spans="1:13" s="1097" customFormat="1">
      <c r="A258"/>
      <c r="J258"/>
      <c r="K258"/>
      <c r="L258"/>
      <c r="M258"/>
    </row>
    <row r="259" spans="1:13" s="1097" customFormat="1">
      <c r="A259"/>
      <c r="B259" s="666" t="s">
        <v>945</v>
      </c>
      <c r="C259" s="667" t="s">
        <v>946</v>
      </c>
      <c r="D259" s="667" t="s">
        <v>55</v>
      </c>
      <c r="J259"/>
      <c r="K259"/>
      <c r="L259"/>
      <c r="M259"/>
    </row>
    <row r="260" spans="1:13" s="1097" customFormat="1">
      <c r="A260"/>
      <c r="B260" s="659" t="s">
        <v>947</v>
      </c>
      <c r="C260" s="668">
        <v>0.70062999896721478</v>
      </c>
      <c r="D260" s="646">
        <v>61055</v>
      </c>
      <c r="J260"/>
      <c r="K260"/>
      <c r="L260"/>
      <c r="M260"/>
    </row>
    <row r="261" spans="1:13" s="1097" customFormat="1">
      <c r="A261"/>
      <c r="B261" s="659" t="s">
        <v>948</v>
      </c>
      <c r="C261" s="668">
        <v>0.29937000103278522</v>
      </c>
      <c r="D261" s="646">
        <v>26088</v>
      </c>
      <c r="J261"/>
      <c r="K261"/>
      <c r="L261"/>
      <c r="M261"/>
    </row>
    <row r="262" spans="1:13" s="1097" customFormat="1">
      <c r="A262"/>
      <c r="B262" s="659" t="s">
        <v>949</v>
      </c>
      <c r="C262" s="668">
        <v>1</v>
      </c>
      <c r="D262" s="646">
        <v>87143</v>
      </c>
      <c r="J262"/>
      <c r="K262"/>
      <c r="L262"/>
      <c r="M262"/>
    </row>
    <row r="279" spans="2:13">
      <c r="C279" s="1114" t="s">
        <v>964</v>
      </c>
      <c r="D279" s="1114" t="s">
        <v>873</v>
      </c>
      <c r="E279" s="1114" t="s">
        <v>872</v>
      </c>
      <c r="F279" s="1114" t="s">
        <v>871</v>
      </c>
      <c r="G279" s="1114" t="s">
        <v>870</v>
      </c>
      <c r="H279" s="1114" t="s">
        <v>930</v>
      </c>
      <c r="I279" s="1114" t="s">
        <v>931</v>
      </c>
      <c r="J279" s="1114" t="s">
        <v>932</v>
      </c>
      <c r="K279" s="1114" t="s">
        <v>933</v>
      </c>
      <c r="L279" s="1114" t="s">
        <v>934</v>
      </c>
    </row>
    <row r="280" spans="2:13" s="1072" customFormat="1">
      <c r="B280" s="1138" t="s">
        <v>965</v>
      </c>
      <c r="C280" s="1072">
        <f>C282/C283</f>
        <v>0.32316232560704372</v>
      </c>
      <c r="D280" s="1072">
        <f t="shared" ref="D280:L280" si="1">D282/D283</f>
        <v>0.29920992153609749</v>
      </c>
      <c r="E280" s="1072">
        <f t="shared" si="1"/>
        <v>0.2522319001655049</v>
      </c>
      <c r="F280" s="1072">
        <f t="shared" si="1"/>
        <v>0.2356443472800428</v>
      </c>
      <c r="G280" s="1072">
        <f t="shared" si="1"/>
        <v>0.23615207188184936</v>
      </c>
      <c r="H280" s="1072">
        <f t="shared" si="1"/>
        <v>0.23578865915491953</v>
      </c>
      <c r="I280" s="1072">
        <f t="shared" si="1"/>
        <v>0.236360149590193</v>
      </c>
      <c r="J280" s="1072">
        <f>J282/J283</f>
        <v>0.23780098656822257</v>
      </c>
      <c r="K280" s="1072">
        <f t="shared" si="1"/>
        <v>0.24006703551303796</v>
      </c>
      <c r="L280" s="1072">
        <f t="shared" si="1"/>
        <v>0.24313182570467853</v>
      </c>
    </row>
    <row r="281" spans="2:13" s="1072" customFormat="1">
      <c r="B281" s="1138" t="s">
        <v>966</v>
      </c>
      <c r="C281" s="1072">
        <f>C285/C284</f>
        <v>0.93579996621050854</v>
      </c>
      <c r="D281" s="1072">
        <f t="shared" ref="D281:L281" si="2">D285/D284</f>
        <v>1.1998906805138017</v>
      </c>
      <c r="E281" s="1072">
        <f t="shared" si="2"/>
        <v>0.85786991062562068</v>
      </c>
      <c r="F281" s="1072">
        <f t="shared" si="2"/>
        <v>0.80925458117807447</v>
      </c>
      <c r="G281" s="1072">
        <f t="shared" si="2"/>
        <v>0.78400030665440046</v>
      </c>
      <c r="H281" s="1072">
        <f t="shared" si="2"/>
        <v>0.77998466449780357</v>
      </c>
      <c r="I281" s="1072">
        <f t="shared" si="2"/>
        <v>0.78631257504484353</v>
      </c>
      <c r="J281" s="1072">
        <f t="shared" si="2"/>
        <v>0.80258990244925599</v>
      </c>
      <c r="K281" s="1072">
        <f t="shared" si="2"/>
        <v>0.82916816986495923</v>
      </c>
      <c r="L281" s="1072">
        <f t="shared" si="2"/>
        <v>0.86715499605912261</v>
      </c>
    </row>
    <row r="282" spans="2:13">
      <c r="B282" s="1098" t="s">
        <v>952</v>
      </c>
      <c r="C282" s="1097">
        <f>[1]Data!C45+[1]Data!C38+[1]Data!C39</f>
        <v>17581</v>
      </c>
      <c r="D282" s="1097">
        <f>[1]Data!D45+[1]Data!D38+[1]Data!D39</f>
        <v>22003</v>
      </c>
      <c r="E282" s="1097">
        <f>[1]Data!E45+[1]Data!E38+[1]Data!E39</f>
        <v>20879</v>
      </c>
      <c r="F282" s="1097">
        <f>[1]Data!F45+[1]Data!F38+[1]Data!F39</f>
        <v>20264</v>
      </c>
      <c r="G282" s="1097">
        <f>[1]Data!G45+[1]Data!G38+[1]Data!G39</f>
        <v>20579</v>
      </c>
      <c r="H282" s="1097">
        <f>[1]Forecasts!E189+[1]Forecasts!E192+[1]Forecasts!E210</f>
        <v>21196.37</v>
      </c>
      <c r="I282" s="1097">
        <f>[1]Forecasts!F189+[1]Forecasts!F192+[1]Forecasts!F210</f>
        <v>21832.2611</v>
      </c>
      <c r="J282" s="1097">
        <f>[1]Forecasts!G189+[1]Forecasts!G192+[1]Forecasts!G210</f>
        <v>22487.228933000002</v>
      </c>
      <c r="K282" s="1097">
        <f>[1]Forecasts!H189+[1]Forecasts!H192+[1]Forecasts!H210</f>
        <v>23161.845800990002</v>
      </c>
      <c r="L282" s="1097">
        <f>[1]Forecasts!I189+[1]Forecasts!I192+[1]Forecasts!I210</f>
        <v>23856.701175019702</v>
      </c>
    </row>
    <row r="283" spans="2:13">
      <c r="B283" s="1098" t="s">
        <v>949</v>
      </c>
      <c r="C283" s="1097">
        <f>[1]Data!C33</f>
        <v>54403</v>
      </c>
      <c r="D283" s="1097">
        <f>[1]Data!D33</f>
        <v>73537</v>
      </c>
      <c r="E283" s="1097">
        <f>[1]Data!E33</f>
        <v>82777</v>
      </c>
      <c r="F283" s="1097">
        <f>[1]Data!F33</f>
        <v>85994</v>
      </c>
      <c r="G283" s="1097">
        <f>[1]Data!G33</f>
        <v>87143</v>
      </c>
      <c r="H283" s="1097">
        <f>[1]Forecasts!E178</f>
        <v>89895.629738805248</v>
      </c>
      <c r="I283" s="1097">
        <f>[1]Forecasts!F178</f>
        <v>92368.621097309791</v>
      </c>
      <c r="J283" s="1097">
        <f>[1]Forecasts!G178</f>
        <v>94563.228090513643</v>
      </c>
      <c r="K283" s="1097">
        <f>[1]Forecasts!H178</f>
        <v>96480.742353866779</v>
      </c>
      <c r="L283" s="1097">
        <f>[1]Forecasts!I178</f>
        <v>98122.494271882693</v>
      </c>
      <c r="M283" s="1097"/>
    </row>
    <row r="284" spans="2:13">
      <c r="B284" s="1098" t="s">
        <v>948</v>
      </c>
      <c r="C284" s="1097">
        <f>[1]Data!C60</f>
        <v>17757</v>
      </c>
      <c r="D284" s="1097">
        <f>[1]Data!D60</f>
        <v>18295</v>
      </c>
      <c r="E284" s="1097">
        <f>[1]Data!E60</f>
        <v>24168</v>
      </c>
      <c r="F284" s="1097">
        <f>[1]Data!F60</f>
        <v>24939</v>
      </c>
      <c r="G284" s="1097">
        <f>[1]Data!G60</f>
        <v>26088</v>
      </c>
      <c r="H284" s="1097">
        <f>[1]Forecasts!E255</f>
        <v>27008.979738805268</v>
      </c>
      <c r="I284" s="1097">
        <f>[1]Forecasts!F255</f>
        <v>27595.371597309793</v>
      </c>
      <c r="J284" s="1097">
        <f>[1]Forecasts!G255</f>
        <v>27846.78110551367</v>
      </c>
      <c r="K284" s="1097">
        <f>[1]Forecasts!H255</f>
        <v>27762.801959316785</v>
      </c>
      <c r="L284" s="1097">
        <f>[1]Forecasts!I255</f>
        <v>27343.015665496219</v>
      </c>
    </row>
    <row r="285" spans="2:13">
      <c r="B285" s="1098" t="s">
        <v>967</v>
      </c>
      <c r="C285" s="1097">
        <f>[1]Data!C45</f>
        <v>16617</v>
      </c>
      <c r="D285" s="1097">
        <f>[1]Data!D45</f>
        <v>21952</v>
      </c>
      <c r="E285" s="1097">
        <f>[1]Data!E45</f>
        <v>20733</v>
      </c>
      <c r="F285" s="1097">
        <f>[1]Data!F45</f>
        <v>20182</v>
      </c>
      <c r="G285" s="1097">
        <f>[1]Data!G45</f>
        <v>20453</v>
      </c>
      <c r="H285" s="1097">
        <f>[1]Forecasts!E210</f>
        <v>21066.59</v>
      </c>
      <c r="I285" s="1097">
        <f>[1]Forecasts!F210</f>
        <v>21698.5877</v>
      </c>
      <c r="J285" s="1097">
        <f>[1]Forecasts!G210</f>
        <v>22349.545331000001</v>
      </c>
      <c r="K285" s="1097">
        <f>[1]Forecasts!H210</f>
        <v>23020.031690930002</v>
      </c>
      <c r="L285" s="1097">
        <f>[1]Forecasts!I210</f>
        <v>23710.632641657903</v>
      </c>
    </row>
    <row r="305" spans="1:13" s="1097" customFormat="1">
      <c r="A305"/>
      <c r="B305" s="646"/>
      <c r="D305"/>
      <c r="J305"/>
      <c r="K305"/>
      <c r="L305"/>
      <c r="M305"/>
    </row>
    <row r="307" spans="1:13" s="1097" customFormat="1">
      <c r="A307" s="615" t="s">
        <v>1260</v>
      </c>
      <c r="B307" s="614" t="s">
        <v>1261</v>
      </c>
      <c r="C307" s="614" t="s">
        <v>856</v>
      </c>
      <c r="J307"/>
      <c r="K307"/>
      <c r="L307"/>
      <c r="M307"/>
    </row>
    <row r="308" spans="1:13" s="1097" customFormat="1">
      <c r="A308" s="1139" t="s">
        <v>1262</v>
      </c>
      <c r="B308" s="1139">
        <v>11127</v>
      </c>
      <c r="C308" s="1139">
        <v>10085</v>
      </c>
      <c r="J308"/>
      <c r="K308"/>
      <c r="L308"/>
      <c r="M308"/>
    </row>
    <row r="309" spans="1:13" s="1097" customFormat="1">
      <c r="A309" s="1139" t="s">
        <v>1263</v>
      </c>
      <c r="B309" s="1139">
        <v>8160</v>
      </c>
      <c r="C309" s="1139">
        <v>8420</v>
      </c>
      <c r="J309"/>
      <c r="K309"/>
      <c r="L309"/>
      <c r="M309"/>
    </row>
    <row r="310" spans="1:13" s="1097" customFormat="1">
      <c r="A310" s="1139" t="s">
        <v>1264</v>
      </c>
      <c r="B310" s="1139">
        <v>2723</v>
      </c>
      <c r="C310" s="1139">
        <v>2291</v>
      </c>
      <c r="J310"/>
      <c r="K310"/>
      <c r="L310"/>
      <c r="M310"/>
    </row>
    <row r="311" spans="1:13" s="1097" customFormat="1">
      <c r="A311" s="1139" t="s">
        <v>1265</v>
      </c>
      <c r="B311" s="604">
        <v>1232</v>
      </c>
      <c r="C311" s="604">
        <v>885</v>
      </c>
      <c r="J311"/>
      <c r="K311"/>
      <c r="L311"/>
      <c r="M311"/>
    </row>
    <row r="315" spans="1:13" s="1097" customFormat="1">
      <c r="A315" s="665"/>
      <c r="B315" s="1140">
        <v>44774</v>
      </c>
      <c r="C315" s="1140">
        <v>45139</v>
      </c>
      <c r="D315" s="1140">
        <v>45231</v>
      </c>
      <c r="J315"/>
      <c r="K315"/>
      <c r="L315"/>
      <c r="M315"/>
    </row>
    <row r="316" spans="1:13" s="1097" customFormat="1" ht="24">
      <c r="A316" s="1141" t="s">
        <v>857</v>
      </c>
      <c r="B316" s="1142" t="s">
        <v>1261</v>
      </c>
      <c r="C316" s="1142" t="s">
        <v>856</v>
      </c>
      <c r="D316" s="1143" t="s">
        <v>1266</v>
      </c>
      <c r="J316"/>
      <c r="K316"/>
      <c r="L316"/>
      <c r="M316"/>
    </row>
    <row r="317" spans="1:13" s="1097" customFormat="1">
      <c r="A317" s="1144" t="s">
        <v>855</v>
      </c>
      <c r="B317" s="1145">
        <v>23242</v>
      </c>
      <c r="C317" s="1145">
        <v>21681</v>
      </c>
      <c r="D317" s="1145">
        <v>22418</v>
      </c>
      <c r="J317"/>
      <c r="K317"/>
      <c r="L317"/>
      <c r="M317"/>
    </row>
    <row r="318" spans="1:13" s="1097" customFormat="1">
      <c r="A318" s="1144" t="s">
        <v>854</v>
      </c>
      <c r="B318" s="1146">
        <v>1191</v>
      </c>
      <c r="C318" s="1146">
        <v>1415</v>
      </c>
      <c r="D318" s="1145">
        <v>1470</v>
      </c>
      <c r="J318"/>
      <c r="K318"/>
      <c r="L318"/>
      <c r="M318"/>
    </row>
    <row r="319" spans="1:13" s="1097" customFormat="1">
      <c r="A319" s="1144" t="s">
        <v>853</v>
      </c>
      <c r="B319" s="1146">
        <v>3.44</v>
      </c>
      <c r="C319" s="1146">
        <v>4.55</v>
      </c>
      <c r="D319" s="1147">
        <v>4.16</v>
      </c>
      <c r="J319"/>
      <c r="K319"/>
      <c r="L319"/>
      <c r="M319"/>
    </row>
    <row r="320" spans="1:13" s="1097" customFormat="1">
      <c r="A320" s="1148" t="s">
        <v>852</v>
      </c>
      <c r="B320" s="665"/>
      <c r="C320" s="665"/>
      <c r="D320" s="665"/>
      <c r="J320"/>
      <c r="K320"/>
      <c r="L320"/>
      <c r="M320"/>
    </row>
  </sheetData>
  <mergeCells count="12">
    <mergeCell ref="C37:E38"/>
    <mergeCell ref="F37:K38"/>
    <mergeCell ref="B1:I3"/>
    <mergeCell ref="K1:M3"/>
    <mergeCell ref="A6:A7"/>
    <mergeCell ref="C6:E7"/>
    <mergeCell ref="F6:K7"/>
    <mergeCell ref="C86:E87"/>
    <mergeCell ref="C130:E131"/>
    <mergeCell ref="F130:H131"/>
    <mergeCell ref="F86:J87"/>
    <mergeCell ref="B86:B87"/>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7"/>
  <sheetViews>
    <sheetView topLeftCell="A80" zoomScale="102" zoomScaleNormal="91" workbookViewId="0">
      <selection activeCell="B86" sqref="B86"/>
    </sheetView>
  </sheetViews>
  <sheetFormatPr defaultColWidth="9.140625" defaultRowHeight="12.75"/>
  <cols>
    <col min="1" max="1" width="40" style="17" customWidth="1"/>
    <col min="2" max="6" width="10.7109375" style="17" customWidth="1"/>
    <col min="7" max="8" width="9.7109375" style="17" customWidth="1"/>
    <col min="9" max="9" width="10.7109375" style="17" customWidth="1"/>
    <col min="10" max="16384" width="9.140625" style="17"/>
  </cols>
  <sheetData>
    <row r="1" spans="1:14" ht="12.75" customHeight="1">
      <c r="A1" s="1" t="str">
        <f>Data!A1</f>
        <v>Financial Statement Analysis Package (FSAP): Version 9.0</v>
      </c>
      <c r="B1" s="2"/>
      <c r="C1" s="2"/>
      <c r="D1" s="2"/>
      <c r="E1" s="2"/>
      <c r="F1" s="3"/>
      <c r="J1" s="5"/>
      <c r="K1" s="6"/>
      <c r="L1" s="6"/>
      <c r="M1" s="6"/>
      <c r="N1" s="7"/>
    </row>
    <row r="2" spans="1:14" ht="12.75" customHeight="1">
      <c r="A2" s="9" t="str">
        <f>Data!A2</f>
        <v>Financial Reporting, Financial Statement Analysis, and Valuation: A Strategic Perspective, 9th Edition</v>
      </c>
      <c r="B2" s="10"/>
      <c r="C2" s="10"/>
      <c r="D2" s="10"/>
      <c r="E2" s="10"/>
      <c r="F2" s="11"/>
      <c r="J2" s="9" t="s">
        <v>403</v>
      </c>
      <c r="K2" s="10"/>
      <c r="L2" s="10"/>
      <c r="M2" s="10"/>
      <c r="N2" s="11"/>
    </row>
    <row r="3" spans="1:14" ht="12.75" customHeight="1" thickBot="1">
      <c r="A3" s="12" t="s">
        <v>404</v>
      </c>
      <c r="B3" s="13"/>
      <c r="C3" s="13"/>
      <c r="D3" s="13"/>
      <c r="E3" s="13"/>
      <c r="F3" s="14"/>
      <c r="J3" s="15"/>
      <c r="K3" s="13"/>
      <c r="L3" s="13"/>
      <c r="M3" s="13"/>
      <c r="N3" s="14"/>
    </row>
    <row r="4" spans="1:14" ht="12.75" customHeight="1">
      <c r="A4" s="37"/>
      <c r="J4" s="38"/>
      <c r="K4" s="38"/>
      <c r="L4" s="38"/>
      <c r="M4" s="38"/>
      <c r="N4" s="38"/>
    </row>
    <row r="5" spans="1:14" ht="12.75" customHeight="1">
      <c r="K5" s="16"/>
      <c r="L5" s="16"/>
      <c r="M5" s="16"/>
      <c r="N5" s="16"/>
    </row>
    <row r="6" spans="1:14" ht="12.75" customHeight="1">
      <c r="A6" s="18" t="s">
        <v>399</v>
      </c>
      <c r="J6" s="17" t="s">
        <v>292</v>
      </c>
      <c r="K6" s="16"/>
      <c r="L6" s="16"/>
      <c r="M6" s="16"/>
      <c r="N6" s="16"/>
    </row>
    <row r="7" spans="1:14" ht="12.75" customHeight="1">
      <c r="J7" s="17" t="s">
        <v>293</v>
      </c>
      <c r="K7" s="16"/>
      <c r="L7" s="16"/>
      <c r="M7" s="16"/>
      <c r="N7" s="16"/>
    </row>
    <row r="8" spans="1:14" ht="12.75" customHeight="1" thickBot="1">
      <c r="K8" s="16"/>
      <c r="L8" s="16"/>
      <c r="M8" s="16"/>
      <c r="N8" s="16"/>
    </row>
    <row r="9" spans="1:14" ht="12.75" customHeight="1">
      <c r="A9" s="39" t="str">
        <f>Data!A9</f>
        <v>Analyst Name:</v>
      </c>
      <c r="B9" s="40" t="str">
        <f>Data!B9</f>
        <v>CAI Zonghuan</v>
      </c>
      <c r="C9" s="40"/>
      <c r="D9" s="40"/>
      <c r="E9" s="40"/>
      <c r="F9" s="41"/>
      <c r="J9" s="16"/>
    </row>
    <row r="10" spans="1:14" ht="12.75" customHeight="1" thickBot="1">
      <c r="A10" s="42" t="str">
        <f>Data!A10</f>
        <v>Company Name:</v>
      </c>
      <c r="B10" s="43" t="str">
        <f>Data!B10</f>
        <v>FORTINET</v>
      </c>
      <c r="C10" s="44"/>
      <c r="D10" s="44"/>
      <c r="E10" s="44"/>
      <c r="F10" s="45"/>
    </row>
    <row r="11" spans="1:14" ht="12.75" customHeight="1"/>
    <row r="12" spans="1:14" ht="12.75" customHeight="1">
      <c r="A12" s="46"/>
      <c r="B12" s="46"/>
      <c r="C12" s="46"/>
      <c r="D12" s="46"/>
      <c r="E12" s="46"/>
      <c r="F12" s="46"/>
    </row>
    <row r="13" spans="1:14" ht="12.75" customHeight="1">
      <c r="A13" s="47" t="s">
        <v>424</v>
      </c>
      <c r="B13" s="48"/>
      <c r="C13" s="48"/>
      <c r="D13" s="48"/>
      <c r="E13" s="48"/>
      <c r="F13" s="49"/>
    </row>
    <row r="14" spans="1:14" ht="12.75" customHeight="1">
      <c r="A14" s="50" t="str">
        <f>Data!A154</f>
        <v>Assets - Liabilities - Equities</v>
      </c>
      <c r="B14" s="416">
        <f>Data!B154</f>
        <v>0</v>
      </c>
      <c r="C14" s="416">
        <f>Data!C154</f>
        <v>0</v>
      </c>
      <c r="D14" s="416">
        <f>Data!D154</f>
        <v>0</v>
      </c>
      <c r="E14" s="416">
        <f>Data!E154</f>
        <v>0</v>
      </c>
      <c r="F14" s="416">
        <f>Data!F154</f>
        <v>0</v>
      </c>
      <c r="J14" s="16" t="s">
        <v>295</v>
      </c>
    </row>
    <row r="15" spans="1:14" ht="12.75" customHeight="1">
      <c r="A15" s="51" t="str">
        <f>Data!A155</f>
        <v>Net Income (computed) - Net Income (reported)</v>
      </c>
      <c r="B15" s="416">
        <f>Data!B155</f>
        <v>0</v>
      </c>
      <c r="C15" s="416">
        <f>Data!C155</f>
        <v>0</v>
      </c>
      <c r="D15" s="416">
        <f>Data!D155</f>
        <v>0</v>
      </c>
      <c r="E15" s="416">
        <f>Data!E155</f>
        <v>0</v>
      </c>
      <c r="F15" s="416">
        <f>Data!F155</f>
        <v>0</v>
      </c>
      <c r="J15" s="16" t="s">
        <v>296</v>
      </c>
    </row>
    <row r="16" spans="1:14" ht="12.75" customHeight="1" thickBot="1">
      <c r="A16" s="50" t="str">
        <f>Data!A156</f>
        <v>Cash Changes</v>
      </c>
      <c r="B16" s="416"/>
      <c r="C16" s="416">
        <f>Data!C156</f>
        <v>0</v>
      </c>
      <c r="D16" s="416">
        <f>Data!D156</f>
        <v>3.4106051316484809E-13</v>
      </c>
      <c r="E16" s="416">
        <f>Data!E156</f>
        <v>0</v>
      </c>
      <c r="F16" s="416">
        <f>Data!F156</f>
        <v>0</v>
      </c>
      <c r="J16" s="16" t="s">
        <v>297</v>
      </c>
    </row>
    <row r="17" spans="1:10" ht="12.75" customHeight="1" thickBot="1">
      <c r="A17" s="52" t="s">
        <v>36</v>
      </c>
      <c r="B17" s="53"/>
      <c r="C17" s="53"/>
      <c r="D17" s="53"/>
      <c r="E17" s="53"/>
      <c r="F17" s="54"/>
    </row>
    <row r="18" spans="1:10" ht="12.75" customHeight="1">
      <c r="A18" s="55"/>
      <c r="B18" s="55"/>
      <c r="C18" s="55"/>
      <c r="D18" s="55"/>
      <c r="E18" s="55"/>
      <c r="F18" s="55"/>
    </row>
    <row r="19" spans="1:10" ht="12.75" customHeight="1" thickBot="1">
      <c r="A19" s="56"/>
      <c r="B19" s="48"/>
      <c r="C19" s="48"/>
      <c r="D19" s="48"/>
      <c r="E19" s="48"/>
      <c r="F19" s="57"/>
    </row>
    <row r="20" spans="1:10" ht="12.75" customHeight="1" thickBot="1">
      <c r="A20" s="58" t="s">
        <v>425</v>
      </c>
      <c r="B20" s="59"/>
      <c r="C20" s="59"/>
      <c r="D20" s="59"/>
      <c r="E20" s="59"/>
      <c r="F20" s="60"/>
      <c r="J20" s="61" t="s">
        <v>488</v>
      </c>
    </row>
    <row r="21" spans="1:10" ht="12.75" customHeight="1" thickBot="1">
      <c r="A21" s="62" t="s">
        <v>18</v>
      </c>
      <c r="B21" s="63">
        <f>Data!$C$11</f>
        <v>2019</v>
      </c>
      <c r="C21" s="63">
        <f>Data!$D$11</f>
        <v>2020</v>
      </c>
      <c r="D21" s="63">
        <f>Data!$E$11</f>
        <v>2021</v>
      </c>
      <c r="E21" s="63">
        <f>Data!$F$11</f>
        <v>2022</v>
      </c>
      <c r="F21" s="63">
        <f>Data!$G$11</f>
        <v>2023</v>
      </c>
    </row>
    <row r="22" spans="1:10" ht="12.75" customHeight="1">
      <c r="B22" s="48"/>
      <c r="C22" s="48"/>
      <c r="D22" s="48"/>
      <c r="E22" s="48"/>
      <c r="F22" s="64"/>
    </row>
    <row r="23" spans="1:10" ht="12.75" customHeight="1">
      <c r="A23" s="56" t="s">
        <v>164</v>
      </c>
      <c r="B23" s="48"/>
      <c r="C23" s="48"/>
      <c r="D23" s="48"/>
      <c r="E23" s="48"/>
      <c r="F23" s="49"/>
      <c r="J23" s="17" t="s">
        <v>284</v>
      </c>
    </row>
    <row r="24" spans="1:10" ht="12.75" customHeight="1">
      <c r="A24" s="65" t="s">
        <v>426</v>
      </c>
      <c r="B24" s="66">
        <f>IF(ISERROR((Data!C86+(1-Data!C142)*(-Data!C78))/Data!C65),"",(Data!C86+(1-Data!C142)*(-Data!C78))/Data!C65)</f>
        <v>0.15560564031437815</v>
      </c>
      <c r="C24" s="66">
        <f>IF(ISERROR((Data!D86+(1-Data!D142)*(-Data!D78))/Data!D65),"",(Data!D86+(1-Data!D142)*(-Data!D78))/Data!D65)</f>
        <v>0.19024437249460383</v>
      </c>
      <c r="D24" s="66">
        <f>IF(ISERROR((Data!E86+(1-Data!E142)*(-Data!E78))/Data!E65),"",(Data!E86+(1-Data!E142)*(-Data!E78))/Data!E65)</f>
        <v>0.18378313685596312</v>
      </c>
      <c r="E24" s="66">
        <f>IF(ISERROR((Data!F86+(1-Data!F142)*(-Data!F78))/Data!F65),"",(Data!F86+(1-Data!F142)*(-Data!F78))/Data!F65)</f>
        <v>0.19590143523339518</v>
      </c>
      <c r="F24" s="66">
        <f>IF(ISERROR((Data!G86+(1-Data!G142)*(-Data!G78))/Data!G65),"",(Data!G86+(1-Data!G142)*(-Data!G78))/Data!G65)</f>
        <v>0.21711751621173284</v>
      </c>
      <c r="J24" s="17" t="s">
        <v>298</v>
      </c>
    </row>
    <row r="25" spans="1:10" ht="12.75" customHeight="1">
      <c r="A25" s="65" t="s">
        <v>427</v>
      </c>
      <c r="B25" s="67">
        <f>IF(ISERROR(Data!C65/((Data!B33+Data!C33)/2)),"",Data!C65/((Data!B33+Data!C33)/2))</f>
        <v>0.62180187431725409</v>
      </c>
      <c r="C25" s="67">
        <f>IF(ISERROR(Data!D65/((Data!C33+Data!D33)/2)),"",Data!D65/((Data!C33+Data!D33)/2))</f>
        <v>0.65484558981283991</v>
      </c>
      <c r="D25" s="67">
        <f>IF(ISERROR(Data!E65/((Data!D33+Data!E33)/2)),"",Data!E65/((Data!D33+Data!E33)/2))</f>
        <v>0.67088201051828633</v>
      </c>
      <c r="E25" s="67">
        <f>IF(ISERROR(Data!F65/((Data!E33+Data!F33)/2)),"",Data!F65/((Data!E33+Data!F33)/2))</f>
        <v>0.7273176313688039</v>
      </c>
      <c r="F25" s="67">
        <f>IF(ISERROR(Data!G65/((Data!F33+Data!G33)/2)),"",Data!G65/((Data!F33+Data!G33)/2))</f>
        <v>0.78665964750980577</v>
      </c>
      <c r="J25" s="17" t="s">
        <v>282</v>
      </c>
    </row>
    <row r="26" spans="1:10" ht="12.75" customHeight="1">
      <c r="A26" s="68" t="s">
        <v>428</v>
      </c>
      <c r="B26" s="66">
        <f>IF(ISERROR((Data!C86+(1-Data!C142)*(-Data!C78))/((Data!B33+Data!C33)/2)),"",(Data!C86+(1-Data!C142)*(-Data!C78))/((Data!B33+Data!C33)/2))</f>
        <v>9.6755878801816811E-2</v>
      </c>
      <c r="C26" s="66">
        <f>IF(ISERROR((Data!D86+(1-Data!D142)*(-Data!D78))/((Data!C33+Data!D33)/2)),"",(Data!D86+(1-Data!D142)*(-Data!D78))/((Data!C33+Data!D33)/2))</f>
        <v>0.12458068831480246</v>
      </c>
      <c r="D26" s="66">
        <f>IF(ISERROR((Data!E86+(1-Data!E142)*(-Data!E78))/((Data!D33+Data!E33)/2)),"",(Data!E86+(1-Data!E142)*(-Data!E78))/((Data!D33+Data!E33)/2))</f>
        <v>0.12329680035328591</v>
      </c>
      <c r="E26" s="66">
        <f>IF(ISERROR((Data!F86+(1-Data!F142)*(-Data!F78))/((Data!E33+Data!F33)/2)),"",(Data!F86+(1-Data!F142)*(-Data!F78))/((Data!E33+Data!F33)/2))</f>
        <v>0.14248256785570212</v>
      </c>
      <c r="F26" s="66">
        <f>IF(ISERROR((Data!G86+(1-Data!G142)*(-Data!G78))/((Data!F33+Data!G33)/2)),"",(Data!G86+(1-Data!G142)*(-Data!G78))/((Data!F33+Data!G33)/2))</f>
        <v>0.17079758877132628</v>
      </c>
      <c r="J26" s="17" t="s">
        <v>283</v>
      </c>
    </row>
    <row r="27" spans="1:10" ht="12.75" customHeight="1">
      <c r="A27" s="69"/>
      <c r="B27" s="70"/>
      <c r="C27" s="70"/>
      <c r="D27" s="70"/>
      <c r="E27" s="70"/>
      <c r="F27" s="71"/>
    </row>
    <row r="28" spans="1:10" ht="12.75" customHeight="1">
      <c r="A28" s="61" t="s">
        <v>165</v>
      </c>
      <c r="B28" s="61"/>
      <c r="C28" s="61"/>
      <c r="D28" s="61"/>
      <c r="E28" s="61"/>
      <c r="F28" s="72"/>
      <c r="J28" s="17" t="s">
        <v>285</v>
      </c>
    </row>
    <row r="29" spans="1:10" ht="12.75" customHeight="1">
      <c r="A29" s="65" t="s">
        <v>426</v>
      </c>
      <c r="B29" s="66">
        <f>IF(ISERROR((Data!C86+((1-Data!C142)*-Data!C78)-Data!C144)/Data!C65),"",(Data!C86+((1-Data!C142)*-Data!C78)-Data!C144)/Data!C65)</f>
        <v>0.15560564031437815</v>
      </c>
      <c r="C29" s="66">
        <f>IF(ISERROR((Data!D86+((1-Data!D142)*-Data!D78)-Data!D144)/Data!D65),"",(Data!D86+((1-Data!D142)*-Data!D78)-Data!D144)/Data!D65)</f>
        <v>0.18017267961763805</v>
      </c>
      <c r="D29" s="66">
        <f>IF(ISERROR((Data!E86+((1-Data!E142)*-Data!E78)-Data!E144)/Data!E65),"",(Data!E86+((1-Data!E142)*-Data!E78)-Data!E144)/Data!E65)</f>
        <v>0.1851624678355574</v>
      </c>
      <c r="E29" s="66">
        <f>IF(ISERROR((Data!F86+((1-Data!F142)*-Data!F78)-Data!F144)/Data!F65),"",(Data!F86+((1-Data!F142)*-Data!F78)-Data!F144)/Data!F65)</f>
        <v>0.21064087472268753</v>
      </c>
      <c r="F29" s="66">
        <f>IF(ISERROR((Data!G86+((1-Data!G142)*-Data!G78)-Data!G144)/Data!G65),"",(Data!G86+((1-Data!G142)*-Data!G78)-Data!G144)/Data!G65)</f>
        <v>0.22449008445181726</v>
      </c>
      <c r="J29" s="17" t="s">
        <v>290</v>
      </c>
    </row>
    <row r="30" spans="1:10" ht="12.75" customHeight="1">
      <c r="A30" s="65" t="s">
        <v>427</v>
      </c>
      <c r="B30" s="67">
        <f>IF(ISERROR(Data!C65/((Data!B33+Data!C33)/2)),"",Data!C65/((Data!B33+Data!C33)/2))</f>
        <v>0.62180187431725409</v>
      </c>
      <c r="C30" s="67">
        <f>IF(ISERROR(Data!D65/((Data!C33+Data!D33)/2)),"",Data!D65/((Data!C33+Data!D33)/2))</f>
        <v>0.65484558981283991</v>
      </c>
      <c r="D30" s="67">
        <f>IF(ISERROR(Data!E65/((Data!D33+Data!E33)/2)),"",Data!E65/((Data!D33+Data!E33)/2))</f>
        <v>0.67088201051828633</v>
      </c>
      <c r="E30" s="67">
        <f>IF(ISERROR(Data!F65/((Data!E33+Data!F33)/2)),"",Data!F65/((Data!E33+Data!F33)/2))</f>
        <v>0.7273176313688039</v>
      </c>
      <c r="F30" s="67">
        <f>IF(ISERROR(Data!G65/((Data!F33+Data!G33)/2)),"",Data!G65/((Data!F33+Data!G33)/2))</f>
        <v>0.78665964750980577</v>
      </c>
    </row>
    <row r="31" spans="1:10" ht="12.75" customHeight="1">
      <c r="A31" s="68" t="s">
        <v>428</v>
      </c>
      <c r="B31" s="66">
        <f>IF(ISERROR((Data!C86+((1-Data!C142)*-Data!C78)-Data!C144)/((Data!B33+Data!C33)/2)),"",(Data!C86+((1-Data!C142)*-Data!C78)-Data!C144)/((Data!B33+Data!C33)/2))</f>
        <v>9.6755878801816811E-2</v>
      </c>
      <c r="C31" s="66">
        <f>IF(ISERROR((Data!D86+((1-Data!D142)*-Data!D78)-Data!D144)/((Data!C33+Data!D33)/2)),"",(Data!D86+((1-Data!D142)*-Data!D78)-Data!D144)/((Data!C33+Data!D33)/2))</f>
        <v>0.11798528465237203</v>
      </c>
      <c r="D31" s="66">
        <f>IF(ISERROR((Data!E86+((1-Data!E142)*-Data!E78)-Data!E144)/((Data!D33+Data!E33)/2)),"",(Data!E86+((1-Data!E142)*-Data!E78)-Data!E144)/((Data!D33+Data!E33)/2))</f>
        <v>0.12422216869404629</v>
      </c>
      <c r="E31" s="66">
        <f>IF(ISERROR((Data!F86+((1-Data!F142)*-Data!F78)-Data!F144)/((Data!E33+Data!F33)/2)),"",(Data!F86+((1-Data!F142)*-Data!F78)-Data!F144)/((Data!E33+Data!F33)/2))</f>
        <v>0.15320282207275804</v>
      </c>
      <c r="F31" s="66">
        <f>IF(ISERROR((Data!G86+((1-Data!G142)*-Data!G78)-Data!G144)/((Data!F33+Data!G33)/2)),"",(Data!G86+((1-Data!G142)*-Data!G78)-Data!G144)/((Data!F33+Data!G33)/2))</f>
        <v>0.1765972907043131</v>
      </c>
    </row>
    <row r="32" spans="1:10" ht="12.75" customHeight="1">
      <c r="A32" s="69"/>
      <c r="B32" s="61"/>
      <c r="C32" s="61"/>
      <c r="D32" s="61"/>
      <c r="E32" s="61"/>
      <c r="F32" s="73"/>
    </row>
    <row r="33" spans="1:10" ht="12.75" customHeight="1">
      <c r="A33" s="56" t="s">
        <v>166</v>
      </c>
      <c r="B33" s="56"/>
      <c r="C33" s="56"/>
      <c r="D33" s="56"/>
      <c r="E33" s="56"/>
      <c r="F33" s="74"/>
      <c r="J33" s="17" t="s">
        <v>288</v>
      </c>
    </row>
    <row r="34" spans="1:10" ht="12.75" customHeight="1">
      <c r="A34" s="65" t="s">
        <v>429</v>
      </c>
      <c r="B34" s="66">
        <f>IF(ISERROR((Data!C88-Data!C146)/Data!C65),"",(Data!C88-Data!C146)/Data!C65)</f>
        <v>0.15335182616736012</v>
      </c>
      <c r="C34" s="66">
        <f>IF(ISERROR((Data!D88-Data!D146)/Data!D65),"",(Data!D88-Data!D146)/Data!D65)</f>
        <v>0.18829016342892391</v>
      </c>
      <c r="D34" s="66">
        <f>IF(ISERROR((Data!E88-Data!E146)/Data!E65),"",(Data!E88-Data!E146)/Data!E65)</f>
        <v>0.18155705822512117</v>
      </c>
      <c r="E34" s="66">
        <f>IF(ISERROR((Data!F88-Data!F146)/Data!F65),"",(Data!F88-Data!F146)/Data!F65)</f>
        <v>0.19407343686331324</v>
      </c>
      <c r="F34" s="66">
        <f>IF(ISERROR((Data!G88-Data!G146)/Data!G65),"",(Data!G88-Data!G146)/Data!G65)</f>
        <v>0.21637007992761279</v>
      </c>
      <c r="J34" s="17" t="s">
        <v>299</v>
      </c>
    </row>
    <row r="35" spans="1:10" ht="12.75" customHeight="1">
      <c r="A35" s="65" t="s">
        <v>427</v>
      </c>
      <c r="B35" s="67">
        <f>IF(ISERROR(Data!C65/((Data!B33+Data!C33)/2)),"",Data!C65/((Data!B33+Data!C33)/2))</f>
        <v>0.62180187431725409</v>
      </c>
      <c r="C35" s="67">
        <f>IF(ISERROR(Data!D65/((Data!C33+Data!D33)/2)),"",Data!D65/((Data!C33+Data!D33)/2))</f>
        <v>0.65484558981283991</v>
      </c>
      <c r="D35" s="67">
        <f>IF(ISERROR(Data!E65/((Data!D33+Data!E33)/2)),"",Data!E65/((Data!D33+Data!E33)/2))</f>
        <v>0.67088201051828633</v>
      </c>
      <c r="E35" s="67">
        <f>IF(ISERROR(Data!F65/((Data!E33+Data!F33)/2)),"",Data!F65/((Data!E33+Data!F33)/2))</f>
        <v>0.7273176313688039</v>
      </c>
      <c r="F35" s="67">
        <f>IF(ISERROR(Data!G65/((Data!F33+Data!G33)/2)),"",Data!G65/((Data!F33+Data!G33)/2))</f>
        <v>0.78665964750980577</v>
      </c>
      <c r="J35" s="17" t="s">
        <v>282</v>
      </c>
    </row>
    <row r="36" spans="1:10" ht="12.75" customHeight="1">
      <c r="A36" s="65" t="s">
        <v>430</v>
      </c>
      <c r="B36" s="67">
        <f>IF(ISERROR(((Data!B33+Data!C33)/2)/((Data!B57+Data!C57)/2)),"",((Data!B33+Data!C33)/2)/((Data!B57+Data!C57)/2))</f>
        <v>2.9572387996259457</v>
      </c>
      <c r="C36" s="67">
        <f>IF(ISERROR(((Data!C33+Data!D33)/2)/((Data!C57+Data!D57)/2)),"",((Data!C33+Data!D33)/2)/((Data!C57+Data!D57)/2))</f>
        <v>3.6043031295487631</v>
      </c>
      <c r="D36" s="67">
        <f>IF(ISERROR(((Data!D33+Data!E33)/2)/((Data!D57+Data!E57)/2)),"",((Data!D33+Data!E33)/2)/((Data!D57+Data!E57)/2))</f>
        <v>6.0838981498442948</v>
      </c>
      <c r="E36" s="67">
        <f>IF(ISERROR(((Data!E33+Data!F33)/2)/((Data!E57+Data!F57)/2)),"",((Data!E33+Data!F33)/2)/((Data!E57+Data!F57)/2))</f>
        <v>24.289342131573697</v>
      </c>
      <c r="F36" s="67">
        <f>IF(ISERROR(((Data!F33+Data!G33)/2)/((Data!F57+Data!G57)/2)),"",((Data!F33+Data!G33)/2)/((Data!F57+Data!G57)/2))</f>
        <v>-18.103221476510068</v>
      </c>
      <c r="J36" s="17" t="s">
        <v>286</v>
      </c>
    </row>
    <row r="37" spans="1:10" ht="12.75" customHeight="1">
      <c r="A37" s="68" t="s">
        <v>431</v>
      </c>
      <c r="B37" s="66">
        <f>IF(ISERROR((Data!C88-Data!C146)/((Data!B57+Data!C57)/2)),"",(Data!C88-Data!C146)/((Data!B57+Data!C57)/2))</f>
        <v>0.28198588795375323</v>
      </c>
      <c r="C37" s="66">
        <f>IF(ISERROR((Data!D88-Data!D146)/((Data!C57+Data!D57)/2)),"",(Data!D88-Data!D146)/((Data!C57+Data!D57)/2))</f>
        <v>0.44441411935953434</v>
      </c>
      <c r="D37" s="66">
        <f>IF(ISERROR((Data!E88-Data!E146)/((Data!D57+Data!E57)/2)),"",(Data!E88-Data!E146)/((Data!D57+Data!E57)/2))</f>
        <v>0.74103926238016726</v>
      </c>
      <c r="E37" s="66">
        <f>IF(ISERROR((Data!F88-Data!F146)/((Data!E57+Data!F57)/2)),"",(Data!F88-Data!F146)/((Data!E57+Data!F57)/2))</f>
        <v>3.4285142971405724</v>
      </c>
      <c r="F37" s="66">
        <f>IF(ISERROR((Data!G88-Data!G146)/((Data!F57+Data!G57)/2)),"",(Data!G88-Data!G146)/((Data!F57+Data!G57)/2))</f>
        <v>-3.0813422818791958</v>
      </c>
      <c r="J37" s="17" t="s">
        <v>287</v>
      </c>
    </row>
    <row r="38" spans="1:10" ht="12.75" customHeight="1">
      <c r="A38" s="69"/>
      <c r="B38" s="70"/>
      <c r="C38" s="70"/>
      <c r="D38" s="70"/>
      <c r="E38" s="70"/>
      <c r="F38" s="71"/>
    </row>
    <row r="39" spans="1:10" ht="12.75" customHeight="1">
      <c r="A39" s="56" t="s">
        <v>222</v>
      </c>
      <c r="B39" s="56"/>
      <c r="C39" s="56"/>
      <c r="D39" s="56"/>
      <c r="E39" s="56"/>
      <c r="F39" s="74"/>
      <c r="J39" s="17" t="s">
        <v>289</v>
      </c>
    </row>
    <row r="40" spans="1:10" ht="12.75" customHeight="1">
      <c r="A40" s="65" t="s">
        <v>429</v>
      </c>
      <c r="B40" s="66">
        <f>IF(ISERROR((Data!C88-Data!C146-Data!C144)/Data!C65),"",(Data!C88-Data!C146-Data!C144)/Data!C65)</f>
        <v>0.15335182616736012</v>
      </c>
      <c r="C40" s="66">
        <f>IF(ISERROR((Data!D88-Data!D146-Data!D144)/Data!D65),"",(Data!D88-Data!D146-Data!D144)/Data!D65)</f>
        <v>0.17821847055195814</v>
      </c>
      <c r="D40" s="66">
        <f>IF(ISERROR((Data!E88-Data!E146-Data!E144)/Data!E65),"",(Data!E88-Data!E146-Data!E144)/Data!E65)</f>
        <v>0.18293638920471544</v>
      </c>
      <c r="E40" s="66">
        <f>IF(ISERROR((Data!F88-Data!F146-Data!F144)/Data!F65),"",(Data!F88-Data!F146-Data!F144)/Data!F65)</f>
        <v>0.20881287635260559</v>
      </c>
      <c r="F40" s="66">
        <f>IF(ISERROR((Data!G88-Data!G146-Data!G144)/Data!G65),"",(Data!G88-Data!G146-Data!G144)/Data!G65)</f>
        <v>0.22374264816769723</v>
      </c>
      <c r="J40" s="17" t="s">
        <v>291</v>
      </c>
    </row>
    <row r="41" spans="1:10" ht="12.75" customHeight="1">
      <c r="A41" s="65" t="s">
        <v>427</v>
      </c>
      <c r="B41" s="67">
        <f>IF(ISERROR(Data!C65/((Data!B33+Data!C33)/2)),"",Data!C65/((Data!B33+Data!C33)/2))</f>
        <v>0.62180187431725409</v>
      </c>
      <c r="C41" s="67">
        <f>IF(ISERROR(Data!D65/((Data!C33+Data!D33)/2)),"",Data!D65/((Data!C33+Data!D33)/2))</f>
        <v>0.65484558981283991</v>
      </c>
      <c r="D41" s="67">
        <f>IF(ISERROR(Data!E65/((Data!D33+Data!E33)/2)),"",Data!E65/((Data!D33+Data!E33)/2))</f>
        <v>0.67088201051828633</v>
      </c>
      <c r="E41" s="67">
        <f>IF(ISERROR(Data!F65/((Data!E33+Data!F33)/2)),"",Data!F65/((Data!E33+Data!F33)/2))</f>
        <v>0.7273176313688039</v>
      </c>
      <c r="F41" s="67">
        <f>IF(ISERROR(Data!G65/((Data!F33+Data!G33)/2)),"",Data!G65/((Data!F33+Data!G33)/2))</f>
        <v>0.78665964750980577</v>
      </c>
    </row>
    <row r="42" spans="1:10" ht="12.75" customHeight="1">
      <c r="A42" s="65" t="s">
        <v>430</v>
      </c>
      <c r="B42" s="67">
        <f>IF(ISERROR(((Data!B33+Data!C33)/2)/((Data!B57+Data!C57)/2)),"",((Data!B33+Data!C33)/2)/((Data!B57+Data!C57)/2))</f>
        <v>2.9572387996259457</v>
      </c>
      <c r="C42" s="67">
        <f>IF(ISERROR(((Data!C33+Data!D33)/2)/((Data!C57+Data!D57)/2)),"",((Data!C33+Data!D33)/2)/((Data!C57+Data!D57)/2))</f>
        <v>3.6043031295487631</v>
      </c>
      <c r="D42" s="67">
        <f>IF(ISERROR(((Data!D33+Data!E33)/2)/((Data!D57+Data!E57)/2)),"",((Data!D33+Data!E33)/2)/((Data!D57+Data!E57)/2))</f>
        <v>6.0838981498442948</v>
      </c>
      <c r="E42" s="67">
        <f>IF(ISERROR(((Data!E33+Data!F33)/2)/((Data!E57+Data!F57)/2)),"",((Data!E33+Data!F33)/2)/((Data!E57+Data!F57)/2))</f>
        <v>24.289342131573697</v>
      </c>
      <c r="F42" s="67">
        <f>IF(ISERROR(((Data!F33+Data!G33)/2)/((Data!F57+Data!G57)/2)),"",((Data!F33+Data!G33)/2)/((Data!F57+Data!G57)/2))</f>
        <v>-18.103221476510068</v>
      </c>
    </row>
    <row r="43" spans="1:10" ht="12.75" customHeight="1">
      <c r="A43" s="68" t="s">
        <v>431</v>
      </c>
      <c r="B43" s="66">
        <f>IF(ISERROR((Data!C88-Data!C146-Data!C144)/((Data!B57+Data!C57)/2)),"",(Data!C88-Data!C146-Data!C144)/((Data!B57+Data!C57)/2))</f>
        <v>0.28198588795375323</v>
      </c>
      <c r="C43" s="66">
        <f>IF(ISERROR((Data!D88-Data!D146-Data!D144)/((Data!C57+Data!D57)/2)),"",(Data!D88-Data!D146-Data!D144)/((Data!C57+Data!D57)/2))</f>
        <v>0.42064228529839898</v>
      </c>
      <c r="D43" s="66">
        <f>IF(ISERROR((Data!E88-Data!E146-Data!E144)/((Data!D57+Data!E57)/2)),"",(Data!E88-Data!E146-Data!E144)/((Data!D57+Data!E57)/2))</f>
        <v>0.74666910911644369</v>
      </c>
      <c r="E43" s="66">
        <f>IF(ISERROR((Data!F88-Data!F146-Data!F144)/((Data!E57+Data!F57)/2)),"",(Data!F88-Data!F146-Data!F144)/((Data!E57+Data!F57)/2))</f>
        <v>3.6889022195560894</v>
      </c>
      <c r="F43" s="66">
        <f>IF(ISERROR((Data!G88-Data!G146-Data!G144)/((Data!F57+Data!G57)/2)),"",(Data!G88-Data!G146-Data!G144)/((Data!F57+Data!G57)/2))</f>
        <v>-3.1863355704697995</v>
      </c>
    </row>
    <row r="44" spans="1:10" ht="12.75" customHeight="1">
      <c r="A44" s="75"/>
      <c r="B44" s="56"/>
      <c r="C44" s="56"/>
      <c r="D44" s="56"/>
      <c r="E44" s="56"/>
      <c r="F44" s="74"/>
    </row>
    <row r="45" spans="1:10" ht="12.75" customHeight="1">
      <c r="A45" s="621" t="s">
        <v>432</v>
      </c>
      <c r="B45" s="621">
        <f>Data!$C$11</f>
        <v>2019</v>
      </c>
      <c r="C45" s="621">
        <f>Data!$D$11</f>
        <v>2020</v>
      </c>
      <c r="D45" s="621">
        <f>Data!$E$11</f>
        <v>2021</v>
      </c>
      <c r="E45" s="621">
        <f>Data!$F$11</f>
        <v>2022</v>
      </c>
      <c r="F45" s="621">
        <f>Data!$G$11</f>
        <v>2023</v>
      </c>
    </row>
    <row r="46" spans="1:10" ht="12.75" customHeight="1">
      <c r="A46" s="65" t="s">
        <v>29</v>
      </c>
      <c r="B46" s="66">
        <f>IF(ISERROR(Data!C67/Data!C65),"",Data!C67/Data!C65)</f>
        <v>0.76611188164586219</v>
      </c>
      <c r="C46" s="66">
        <f>IF(ISERROR(Data!D67/Data!D65),"",Data!D67/Data!D65)</f>
        <v>0.78029602220166516</v>
      </c>
      <c r="D46" s="66">
        <f>IF(ISERROR(Data!E67/Data!E65),"",Data!E67/Data!E65)</f>
        <v>0.76572317635090659</v>
      </c>
      <c r="E46" s="66">
        <f>IF(ISERROR(Data!F67/Data!F65),"",Data!F67/Data!F65)</f>
        <v>0.75440304251369583</v>
      </c>
      <c r="F46" s="66">
        <f>IF(ISERROR(Data!G67/Data!G65),"",Data!G67/Data!G65)</f>
        <v>0.76677725833207666</v>
      </c>
      <c r="J46" s="17" t="s">
        <v>365</v>
      </c>
    </row>
    <row r="47" spans="1:10" ht="12.75" customHeight="1">
      <c r="A47" s="65" t="s">
        <v>100</v>
      </c>
      <c r="B47" s="66">
        <f>IF(ISERROR(Data!C76/Data!C65),"",Data!C76/Data!C65)</f>
        <v>0.16227461858529818</v>
      </c>
      <c r="C47" s="66">
        <f>IF(ISERROR(Data!D76/Data!D65),"",Data!D76/Data!D65)</f>
        <v>0.20497995683009562</v>
      </c>
      <c r="D47" s="66">
        <f>IF(ISERROR(Data!E76/Data!E65),"",Data!E76/Data!E65)</f>
        <v>0.19460235772844234</v>
      </c>
      <c r="E47" s="66">
        <f>IF(ISERROR(Data!F76/Data!F65),"",Data!F76/Data!F65)</f>
        <v>0.21949563091411234</v>
      </c>
      <c r="F47" s="66">
        <f>IF(ISERROR(Data!G76/Data!G65),"",Data!G76/Data!G65)</f>
        <v>0.23395792489820541</v>
      </c>
      <c r="J47" s="17" t="s">
        <v>366</v>
      </c>
    </row>
    <row r="48" spans="1:10" ht="12.75" customHeight="1">
      <c r="A48" s="65" t="s">
        <v>96</v>
      </c>
      <c r="B48" s="66">
        <f>IF(ISERROR(Data!C88/Data!C65),"",Data!C88/Data!C65)</f>
        <v>0.15335182616736012</v>
      </c>
      <c r="C48" s="66">
        <f>IF(ISERROR(Data!D88/Data!D65),"",Data!D88/Data!D65)</f>
        <v>0.18829016342892391</v>
      </c>
      <c r="D48" s="66">
        <f>IF(ISERROR(Data!E88/Data!E65),"",Data!E88/Data!E65)</f>
        <v>0.18155705822512117</v>
      </c>
      <c r="E48" s="66">
        <f>IF(ISERROR(Data!F88/Data!F65),"",Data!F88/Data!F65)</f>
        <v>0.19407343686331324</v>
      </c>
      <c r="F48" s="66">
        <f>IF(ISERROR(Data!G88/Data!G65),"",Data!G88/Data!G65)</f>
        <v>0.21637007992761279</v>
      </c>
      <c r="J48" s="17" t="s">
        <v>367</v>
      </c>
    </row>
    <row r="49" spans="1:10" ht="12.75" customHeight="1">
      <c r="A49" s="65" t="s">
        <v>434</v>
      </c>
      <c r="B49" s="66">
        <f>IF(ISERROR(Data!C92/Data!C65),"",Data!C92/Data!C65)</f>
        <v>0.15427646786870083</v>
      </c>
      <c r="C49" s="66">
        <f>IF(ISERROR(Data!D92/Data!D65),"",Data!D92/Data!D65)</f>
        <v>0.18813598519888999</v>
      </c>
      <c r="D49" s="66">
        <f>IF(ISERROR(Data!E92/Data!E65),"",Data!E92/Data!E65)</f>
        <v>0.17991143558135358</v>
      </c>
      <c r="E49" s="66">
        <f>IF(ISERROR(Data!F92/Data!F65),"",Data!F92/Data!F65)</f>
        <v>0.1905872232534975</v>
      </c>
      <c r="F49" s="66">
        <f>IF(ISERROR(Data!G92/Data!G65),"",Data!G92/Data!G65)</f>
        <v>0.21661514100437346</v>
      </c>
      <c r="J49" s="17" t="s">
        <v>368</v>
      </c>
    </row>
    <row r="50" spans="1:10" ht="12.75" customHeight="1"/>
    <row r="51" spans="1:10" ht="12.75" customHeight="1">
      <c r="A51" s="61" t="s">
        <v>99</v>
      </c>
      <c r="B51" s="70"/>
      <c r="C51" s="70"/>
      <c r="D51" s="70"/>
      <c r="E51" s="70"/>
      <c r="F51" s="70"/>
    </row>
    <row r="52" spans="1:10" ht="12.75" customHeight="1">
      <c r="A52" s="65" t="s">
        <v>101</v>
      </c>
      <c r="B52" s="66">
        <f>IF(ISERROR((Data!C76-Data!C75)/Data!C65),"",(Data!C76-Data!C75)/Data!C65)</f>
        <v>0.16227461858529818</v>
      </c>
      <c r="C52" s="66">
        <f>IF(ISERROR((Data!D76-Data!D75)/Data!D65),"",(Data!D76-Data!D75)/Data!D65)</f>
        <v>0.18948504471168673</v>
      </c>
      <c r="D52" s="66">
        <f>IF(ISERROR((Data!E76-Data!E75)/Data!E65),"",(Data!E76-Data!E75)/Data!E65)</f>
        <v>0.19322601879001855</v>
      </c>
      <c r="E52" s="66">
        <f>IF(ISERROR((Data!F76-Data!F75)/Data!F65),"",(Data!F76-Data!F75)/Data!F65)</f>
        <v>0.21845429438131023</v>
      </c>
      <c r="F52" s="66">
        <f>IF(ISERROR((Data!G76-Data!G75)/Data!G65),"",(Data!G76-Data!G75)/Data!G65)</f>
        <v>0.23309078570351383</v>
      </c>
      <c r="J52" s="17" t="s">
        <v>371</v>
      </c>
    </row>
    <row r="53" spans="1:10" ht="12.75" customHeight="1">
      <c r="A53" s="65" t="s">
        <v>102</v>
      </c>
      <c r="B53" s="66">
        <f>IF(ISERROR((Data!C88-Data!C144)/Data!C65),"",(Data!C88-Data!C144)/Data!C65)</f>
        <v>0.15335182616736012</v>
      </c>
      <c r="C53" s="66">
        <f>IF(ISERROR((Data!D88-Data!D144)/Data!D65),"",(Data!D88-Data!D144)/Data!D65)</f>
        <v>0.17821847055195814</v>
      </c>
      <c r="D53" s="66">
        <f>IF(ISERROR((Data!E88-Data!E144)/Data!E65),"",(Data!E88-Data!E144)/Data!E65)</f>
        <v>0.18293638920471544</v>
      </c>
      <c r="E53" s="66">
        <f>IF(ISERROR((Data!F88-Data!F144)/Data!F65),"",(Data!F88-Data!F144)/Data!F65)</f>
        <v>0.20881287635260559</v>
      </c>
      <c r="F53" s="66">
        <f>IF(ISERROR((Data!G88-Data!G144)/Data!G65),"",(Data!G88-Data!G144)/Data!G65)</f>
        <v>0.22374264816769723</v>
      </c>
      <c r="J53" s="17" t="s">
        <v>372</v>
      </c>
    </row>
    <row r="54" spans="1:10" ht="12.75" customHeight="1">
      <c r="B54" s="70"/>
      <c r="C54" s="70"/>
      <c r="D54" s="70"/>
      <c r="E54" s="70"/>
      <c r="F54" s="70"/>
    </row>
    <row r="55" spans="1:10" ht="12.75" customHeight="1">
      <c r="A55" s="61" t="s">
        <v>751</v>
      </c>
      <c r="B55" s="70"/>
      <c r="C55" s="70"/>
      <c r="D55" s="70"/>
      <c r="E55" s="70"/>
      <c r="F55" s="70"/>
    </row>
    <row r="56" spans="1:10" ht="12.75" customHeight="1">
      <c r="A56" s="65" t="s">
        <v>97</v>
      </c>
      <c r="B56" s="66">
        <f>IF(ISERROR(Data!C65/Data!B65-1),"",Data!C65/Data!B65-1)</f>
        <v>0.19860356865787443</v>
      </c>
      <c r="C56" s="66">
        <f>IF(ISERROR(Data!D65/Data!C65-1),"",Data!D65/Data!C65-1)</f>
        <v>0.19944521497919565</v>
      </c>
      <c r="D56" s="66">
        <f>IF(ISERROR(Data!E65/Data!D65-1),"",Data!E65/Data!D65-1)</f>
        <v>0.28823620104841186</v>
      </c>
      <c r="E56" s="66">
        <f>IF(ISERROR(Data!F65/Data!E65-1),"",Data!F65/Data!E65-1)</f>
        <v>0.32170426665070906</v>
      </c>
      <c r="F56" s="66">
        <f>IF(ISERROR(Data!G65/Data!F65-1),"",Data!G65/Data!F65-1)</f>
        <v>0.20088739982795323</v>
      </c>
      <c r="J56" s="17" t="s">
        <v>300</v>
      </c>
    </row>
    <row r="57" spans="1:10" ht="12.75" customHeight="1">
      <c r="A57" s="65" t="s">
        <v>98</v>
      </c>
      <c r="B57" s="66">
        <f>IF(ISERROR(Data!C88/Data!B88-1),"",Data!C88/Data!B88-1)</f>
        <v>-9.5550910719616189E-3</v>
      </c>
      <c r="C57" s="66">
        <f>IF(ISERROR(Data!D88/Data!C88-1),"",Data!D88/Data!C88-1)</f>
        <v>0.47271630991860203</v>
      </c>
      <c r="D57" s="66">
        <f>IF(ISERROR(Data!E88/Data!D88-1),"",Data!E88/Data!D88-1)</f>
        <v>0.24216990788126869</v>
      </c>
      <c r="E57" s="66">
        <f>IF(ISERROR(Data!F88/Data!E88-1),"",Data!F88/Data!E88-1)</f>
        <v>0.4128213579433091</v>
      </c>
      <c r="F57" s="66">
        <f>IF(ISERROR(Data!G88/Data!F88-1),"",Data!G88/Data!F88-1)</f>
        <v>0.33885454333372289</v>
      </c>
      <c r="J57" s="17" t="s">
        <v>301</v>
      </c>
    </row>
    <row r="58" spans="1:10" ht="12.75" customHeight="1">
      <c r="A58" s="65" t="s">
        <v>103</v>
      </c>
      <c r="B58" s="66">
        <f>IF(ISERROR(((Data!C88-Data!C144)/(Data!B88-Data!B144))-1),"",((Data!C88-Data!C144)/(Data!B88-Data!B144))-1)</f>
        <v>-2.2082018927444658E-2</v>
      </c>
      <c r="C58" s="66">
        <f>IF(ISERROR(((Data!D88-Data!D144)/(Data!C88-Data!C144))-1),"",((Data!D88-Data!D144)/(Data!C88-Data!C144))-1)</f>
        <v>0.39394030750678399</v>
      </c>
      <c r="D58" s="66">
        <f>IF(ISERROR(((Data!E88-Data!E144)/(Data!D88-Data!D144))-1),"",((Data!E88-Data!E144)/(Data!D88-Data!D144))-1)</f>
        <v>0.32233925211410708</v>
      </c>
      <c r="E58" s="66">
        <f>IF(ISERROR(((Data!F88-Data!F144)/(Data!E88-Data!E144))-1),"",((Data!F88-Data!F144)/(Data!E88-Data!E144))-1)</f>
        <v>0.50866030977576404</v>
      </c>
      <c r="F58" s="66">
        <f>IF(ISERROR(((Data!G88-Data!G144)/(Data!F88-Data!F144))-1),"",((Data!G88-Data!G144)/(Data!F88-Data!F144))-1)</f>
        <v>0.28674884270552203</v>
      </c>
      <c r="J58" s="17" t="s">
        <v>302</v>
      </c>
    </row>
    <row r="59" spans="1:10" ht="12.75" customHeight="1">
      <c r="B59" s="76"/>
      <c r="C59" s="76"/>
      <c r="D59" s="76"/>
      <c r="E59" s="76"/>
      <c r="F59" s="76"/>
    </row>
    <row r="60" spans="1:10" ht="12.75" customHeight="1">
      <c r="A60" s="56" t="s">
        <v>303</v>
      </c>
      <c r="B60" s="56"/>
      <c r="C60" s="56"/>
      <c r="D60" s="56"/>
      <c r="E60" s="56"/>
      <c r="F60" s="74"/>
    </row>
    <row r="61" spans="1:10" ht="12.75" customHeight="1">
      <c r="A61" s="65" t="s">
        <v>156</v>
      </c>
      <c r="B61" s="66">
        <f>IF(ISERROR((Data!C67/Data!B67)/(Data!C65/Data!B65)),"",(Data!C67/Data!B67)/(Data!C65/Data!B65))</f>
        <v>1.0209167786280631</v>
      </c>
      <c r="C61" s="66">
        <f>IF(ISERROR((Data!D67/Data!C67)/(Data!D65/Data!C65)),"",(Data!D67/Data!C67)/(Data!D65/Data!C65))</f>
        <v>1.0185144505595327</v>
      </c>
      <c r="D61" s="66">
        <f>IF(ISERROR((Data!E67/Data!D67)/(Data!E65/Data!D65)),"",(Data!E67/Data!D67)/(Data!E65/Data!D65))</f>
        <v>0.98132395214621226</v>
      </c>
      <c r="E61" s="66">
        <f>IF(ISERROR((Data!F67/Data!E67)/(Data!F65/Data!E65)),"",(Data!F67/Data!E67)/(Data!F65/Data!E65))</f>
        <v>0.98521641477386457</v>
      </c>
      <c r="F61" s="66">
        <f>IF(ISERROR((Data!G67/Data!F67)/(Data!G65/Data!F65)),"",(Data!G67/Data!F67)/(Data!G65/Data!F65))</f>
        <v>1.0164026589515727</v>
      </c>
      <c r="J61" s="17" t="s">
        <v>369</v>
      </c>
    </row>
    <row r="62" spans="1:10" ht="12.75" customHeight="1">
      <c r="A62" s="65" t="s">
        <v>157</v>
      </c>
      <c r="B62" s="66">
        <f>IF(ISERROR((Data!C76/Data!B76)/(Data!C65/Data!B65)),"",(Data!C76/Data!B76)/(Data!C65/Data!B65))</f>
        <v>1.2493207197057561</v>
      </c>
      <c r="C62" s="66">
        <f>IF(ISERROR((Data!D76/Data!C76)/(Data!D65/Data!C65)),"",(Data!D76/Data!C76)/(Data!D65/Data!C65))</f>
        <v>1.263167084397427</v>
      </c>
      <c r="D62" s="66">
        <f>IF(ISERROR((Data!E76/Data!D76)/(Data!E65/Data!D65)),"",(Data!E76/Data!D76)/(Data!E65/Data!D65))</f>
        <v>0.94937261543939599</v>
      </c>
      <c r="E62" s="66">
        <f>IF(ISERROR((Data!F76/Data!E76)/(Data!F65/Data!E65)),"",(Data!F76/Data!E76)/(Data!F65/Data!E65))</f>
        <v>1.1279186618098807</v>
      </c>
      <c r="F62" s="66">
        <f>IF(ISERROR((Data!G76/Data!F76)/(Data!G65/Data!F65)),"",(Data!G76/Data!F76)/(Data!G65/Data!F65))</f>
        <v>1.065888755616061</v>
      </c>
      <c r="J62" s="17" t="s">
        <v>370</v>
      </c>
    </row>
    <row r="63" spans="1:10" ht="12.75" customHeight="1">
      <c r="A63" s="507" t="s">
        <v>752</v>
      </c>
      <c r="B63" s="66">
        <f>IF(ISERROR((Data!C86/Data!B86)/(Data!C65/Data!B65)),"",(Data!C86/Data!B86)/(Data!C65/Data!B65))</f>
        <v>0.82633235443899122</v>
      </c>
      <c r="C63" s="66">
        <f>IF(ISERROR((Data!D86/Data!C86)/(Data!D65/Data!C65)),"",(Data!D86/Data!C86)/(Data!D65/Data!C65))</f>
        <v>1.2278312435838483</v>
      </c>
      <c r="D63" s="66">
        <f>IF(ISERROR((Data!E86/Data!D86)/(Data!E65/Data!D65)),"",(Data!E86/Data!D86)/(Data!E65/Data!D65))</f>
        <v>0.96408189630118146</v>
      </c>
      <c r="E63" s="66">
        <f>IF(ISERROR((Data!F86/Data!E86)/(Data!F65/Data!E65)),"",(Data!F86/Data!E86)/(Data!F65/Data!E65))</f>
        <v>1.0682423297371559</v>
      </c>
      <c r="F63" s="66">
        <f>IF(ISERROR((Data!G86/Data!F86)/(Data!G65/Data!F65)),"",(Data!G86/Data!F86)/(Data!G65/Data!F65))</f>
        <v>1.11579872877917</v>
      </c>
      <c r="J63" s="457" t="s">
        <v>753</v>
      </c>
    </row>
    <row r="64" spans="1:10" ht="12.75" customHeight="1" thickBot="1">
      <c r="A64" s="507"/>
      <c r="B64" s="70"/>
      <c r="C64" s="70"/>
      <c r="D64" s="70"/>
      <c r="E64" s="70"/>
      <c r="F64" s="70"/>
    </row>
    <row r="65" spans="1:10" ht="12.75" customHeight="1" thickBot="1">
      <c r="A65" s="77" t="s">
        <v>304</v>
      </c>
      <c r="B65" s="63">
        <f>Data!$C$11</f>
        <v>2019</v>
      </c>
      <c r="C65" s="63">
        <f>Data!$D$11</f>
        <v>2020</v>
      </c>
      <c r="D65" s="63">
        <f>Data!$E$11</f>
        <v>2021</v>
      </c>
      <c r="E65" s="63">
        <f>Data!$F$11</f>
        <v>2022</v>
      </c>
      <c r="F65" s="63">
        <f>Data!$G$11</f>
        <v>2023</v>
      </c>
    </row>
    <row r="66" spans="1:10" ht="12.75" customHeight="1">
      <c r="A66" s="65" t="s">
        <v>305</v>
      </c>
      <c r="B66" s="66">
        <f>IF(ISERROR(Data!C67/Data!C65),"",Data!C67/Data!C65)</f>
        <v>0.76611188164586219</v>
      </c>
      <c r="C66" s="66">
        <f>IF(ISERROR(Data!D67/Data!D65),"",Data!D67/Data!D65)</f>
        <v>0.78029602220166516</v>
      </c>
      <c r="D66" s="66">
        <f>IF(ISERROR(Data!E67/Data!E65),"",Data!E67/Data!E65)</f>
        <v>0.76572317635090659</v>
      </c>
      <c r="E66" s="66">
        <f>IF(ISERROR(Data!F67/Data!F65),"",Data!F67/Data!F65)</f>
        <v>0.75440304251369583</v>
      </c>
      <c r="F66" s="66">
        <f>IF(ISERROR(Data!G67/Data!G65),"",Data!G67/Data!G65)</f>
        <v>0.76677725833207666</v>
      </c>
      <c r="J66" s="17" t="s">
        <v>365</v>
      </c>
    </row>
    <row r="67" spans="1:10" ht="12.75" customHeight="1">
      <c r="A67" s="65" t="s">
        <v>306</v>
      </c>
      <c r="B67" s="66">
        <f>IF(ISERROR(Data!C76/Data!C67),"",Data!C76/Data!C67)</f>
        <v>0.21181582282300401</v>
      </c>
      <c r="C67" s="66">
        <f>IF(ISERROR(Data!D76/Data!D67),"",Data!D76/Data!D67)</f>
        <v>0.26269511954159258</v>
      </c>
      <c r="D67" s="66">
        <f>IF(ISERROR(Data!E76/Data!E67),"",Data!E76/Data!E67)</f>
        <v>0.2541419193497968</v>
      </c>
      <c r="E67" s="66">
        <f>IF(ISERROR(Data!F76/Data!F67),"",Data!F76/Data!F67)</f>
        <v>0.29095273818454609</v>
      </c>
      <c r="F67" s="66">
        <f>IF(ISERROR(Data!G76/Data!G67),"",Data!G76/Data!G67)</f>
        <v>0.30511849739404073</v>
      </c>
      <c r="J67" s="17" t="s">
        <v>312</v>
      </c>
    </row>
    <row r="68" spans="1:10" ht="12.75" customHeight="1">
      <c r="A68" s="65" t="s">
        <v>307</v>
      </c>
      <c r="B68" s="66">
        <f>IF(ISERROR(Data!C81/Data!C76),"",Data!C81/Data!C76)</f>
        <v>1.0997150997150997</v>
      </c>
      <c r="C68" s="66">
        <f>IF(ISERROR(Data!D81/Data!D76),"",Data!D81/Data!D76)</f>
        <v>1.0186160210605493</v>
      </c>
      <c r="D68" s="66">
        <f>IF(ISERROR(Data!E81/Data!E76),"",Data!E81/Data!E76)</f>
        <v>0.96617466174661748</v>
      </c>
      <c r="E68" s="66">
        <f>IF(ISERROR(Data!F81/Data!F76),"",Data!F81/Data!F76)</f>
        <v>0.98545792079207917</v>
      </c>
      <c r="F68" s="66">
        <f>IF(ISERROR(Data!G81/Data!G76),"",Data!G81/Data!G76)</f>
        <v>1.0746112319716381</v>
      </c>
      <c r="J68" s="17" t="s">
        <v>313</v>
      </c>
    </row>
    <row r="69" spans="1:10" ht="12.75" customHeight="1">
      <c r="A69" s="65" t="s">
        <v>308</v>
      </c>
      <c r="B69" s="66">
        <f>IF(ISERROR(Data!C86/Data!C81),"",Data!C86/Data!C81)</f>
        <v>0.85932642487046629</v>
      </c>
      <c r="C69" s="66">
        <f>IF(ISERROR(Data!D86/Data!D81),"",Data!D86/Data!D81)</f>
        <v>0.90179065903636701</v>
      </c>
      <c r="D69" s="66">
        <f>IF(ISERROR(Data!E86/Data!E81),"",Data!E86/Data!E81)</f>
        <v>0.96546785486950981</v>
      </c>
      <c r="E69" s="66">
        <f>IF(ISERROR(Data!F86/Data!F81),"",Data!F86/Data!F81)</f>
        <v>0.89649398220826793</v>
      </c>
      <c r="F69" s="66">
        <f>IF(ISERROR(Data!G86/Data!G81),"",Data!G86/Data!G81)</f>
        <v>0.86061333133388329</v>
      </c>
      <c r="J69" s="17" t="s">
        <v>314</v>
      </c>
    </row>
    <row r="70" spans="1:10" ht="12.75" customHeight="1">
      <c r="A70" s="65" t="s">
        <v>309</v>
      </c>
      <c r="B70" s="66">
        <f>IF(ISERROR(Data!C86/Data!C65),"",Data!C86/Data!C65)</f>
        <v>0.15335182616736012</v>
      </c>
      <c r="C70" s="66">
        <f>IF(ISERROR(Data!D86/Data!D65),"",Data!D86/Data!D65)</f>
        <v>0.18829016342892391</v>
      </c>
      <c r="D70" s="66">
        <f>IF(ISERROR(Data!E86/Data!E65),"",Data!E86/Data!E65)</f>
        <v>0.18152713781341631</v>
      </c>
      <c r="E70" s="66">
        <f>IF(ISERROR(Data!F86/Data!F65),"",Data!F86/Data!F65)</f>
        <v>0.19391497260832161</v>
      </c>
      <c r="F70" s="66">
        <f>IF(ISERROR(Data!G86/Data!G65),"",Data!G86/Data!G65)</f>
        <v>0.21637007992761279</v>
      </c>
      <c r="G70" s="410"/>
      <c r="J70" s="17" t="s">
        <v>315</v>
      </c>
    </row>
    <row r="71" spans="1:10" ht="12.75" customHeight="1">
      <c r="A71" s="65"/>
      <c r="B71" s="66"/>
      <c r="C71" s="66"/>
      <c r="D71" s="66"/>
      <c r="E71" s="66"/>
      <c r="F71" s="66"/>
      <c r="G71" s="410"/>
    </row>
    <row r="72" spans="1:10" ht="12.75" customHeight="1">
      <c r="A72" s="77" t="s">
        <v>175</v>
      </c>
      <c r="B72" s="66"/>
      <c r="C72" s="66"/>
      <c r="D72" s="66"/>
      <c r="E72" s="66"/>
      <c r="F72" s="66"/>
    </row>
    <row r="73" spans="1:10" ht="12.75" customHeight="1">
      <c r="A73" s="65" t="s">
        <v>310</v>
      </c>
      <c r="B73" s="66">
        <f>IF(ISERROR(Data!C92/Data!C86),"",Data!C92/Data!C86)</f>
        <v>1.0060295447693699</v>
      </c>
      <c r="C73" s="66">
        <f>IF(ISERROR(Data!D92/Data!D86),"",Data!D92/Data!D86)</f>
        <v>0.999181166837257</v>
      </c>
      <c r="D73" s="66">
        <f>IF(ISERROR(Data!E92/Data!E86),"",Data!E92/Data!E86)</f>
        <v>0.99109939014339876</v>
      </c>
      <c r="E73" s="66">
        <f>IF(ISERROR(Data!F92/Data!F86),"",Data!F92/Data!F86)</f>
        <v>0.98283913144991819</v>
      </c>
      <c r="F73" s="66">
        <f>IF(ISERROR(Data!G92/Data!G86),"",Data!G92/Data!G86)</f>
        <v>1.0011326014985189</v>
      </c>
      <c r="J73" s="17" t="s">
        <v>316</v>
      </c>
    </row>
    <row r="74" spans="1:10" ht="12.75" customHeight="1">
      <c r="A74" s="65" t="s">
        <v>311</v>
      </c>
      <c r="B74" s="66">
        <f>IF(ISERROR(Data!C92/Data!C65),"",Data!C92/Data!C65)</f>
        <v>0.15427646786870083</v>
      </c>
      <c r="C74" s="66">
        <f>IF(ISERROR(Data!D92/Data!D65),"",Data!D92/Data!D65)</f>
        <v>0.18813598519888999</v>
      </c>
      <c r="D74" s="66">
        <f>IF(ISERROR(Data!E92/Data!E65),"",Data!E92/Data!E65)</f>
        <v>0.17991143558135358</v>
      </c>
      <c r="E74" s="66">
        <f>IF(ISERROR(Data!F92/Data!F65),"",Data!F92/Data!F65)</f>
        <v>0.1905872232534975</v>
      </c>
      <c r="F74" s="66">
        <f>IF(ISERROR(Data!G92/Data!G65),"",Data!G92/Data!G65)</f>
        <v>0.21661514100437346</v>
      </c>
      <c r="J74" s="17" t="s">
        <v>317</v>
      </c>
    </row>
    <row r="75" spans="1:10" ht="12.75" customHeight="1">
      <c r="B75" s="76"/>
      <c r="C75" s="76"/>
      <c r="D75" s="76"/>
      <c r="E75" s="76"/>
      <c r="F75" s="76"/>
    </row>
    <row r="76" spans="1:10" ht="12.75" customHeight="1" thickBot="1">
      <c r="B76" s="76"/>
      <c r="C76" s="76"/>
      <c r="D76" s="76"/>
      <c r="E76" s="76"/>
      <c r="F76" s="76"/>
    </row>
    <row r="77" spans="1:10" ht="12.75" customHeight="1" thickBot="1">
      <c r="A77" s="78" t="s">
        <v>437</v>
      </c>
      <c r="B77" s="79"/>
      <c r="C77" s="79"/>
      <c r="D77" s="79"/>
      <c r="E77" s="79"/>
      <c r="F77" s="80"/>
      <c r="J77" s="61" t="s">
        <v>489</v>
      </c>
    </row>
    <row r="78" spans="1:10" ht="12.75" customHeight="1" thickBot="1">
      <c r="A78" s="62" t="s">
        <v>18</v>
      </c>
      <c r="B78" s="63">
        <f>Data!$C$11</f>
        <v>2019</v>
      </c>
      <c r="C78" s="63">
        <f>Data!$D$11</f>
        <v>2020</v>
      </c>
      <c r="D78" s="63">
        <f>Data!$E$11</f>
        <v>2021</v>
      </c>
      <c r="E78" s="63">
        <f>Data!$F$11</f>
        <v>2022</v>
      </c>
      <c r="F78" s="63">
        <f>Data!$G$11</f>
        <v>2023</v>
      </c>
    </row>
    <row r="79" spans="1:10" ht="12.75" customHeight="1">
      <c r="A79" s="56"/>
      <c r="B79" s="48"/>
      <c r="C79" s="48"/>
      <c r="D79" s="48"/>
      <c r="E79" s="48"/>
      <c r="F79" s="48"/>
    </row>
    <row r="80" spans="1:10" ht="12.75" customHeight="1">
      <c r="A80" s="56" t="s">
        <v>438</v>
      </c>
      <c r="B80" s="48">
        <v>2019</v>
      </c>
      <c r="C80" s="48">
        <v>2020</v>
      </c>
      <c r="D80" s="48">
        <v>2021</v>
      </c>
      <c r="E80" s="48">
        <v>2022</v>
      </c>
      <c r="F80" s="48">
        <v>2023</v>
      </c>
    </row>
    <row r="81" spans="1:10" ht="12.75" customHeight="1">
      <c r="A81" s="65" t="s">
        <v>439</v>
      </c>
      <c r="B81" s="81">
        <f>IF(ISERROR(Data!C24/Data!C44),"",Data!C24/Data!C44)</f>
        <v>1.9020469844758894</v>
      </c>
      <c r="C81" s="81">
        <f>IF(ISERROR(Data!D24/Data!D44),"",Data!D24/Data!D44)</f>
        <v>1.4978955998906809</v>
      </c>
      <c r="D81" s="81">
        <f>IF(ISERROR(Data!E24/Data!E44),"",Data!E24/Data!E44)</f>
        <v>1.5532548207583796</v>
      </c>
      <c r="E81" s="81">
        <f>IF(ISERROR(Data!F24/Data!F44),"",Data!F24/Data!F44)</f>
        <v>1.2377858627858627</v>
      </c>
      <c r="F81" s="81">
        <f>IF(ISERROR(Data!G24/Data!G44),"",Data!G24/Data!G44)</f>
        <v>1.1907233127184726</v>
      </c>
      <c r="J81" s="17" t="s">
        <v>318</v>
      </c>
    </row>
    <row r="82" spans="1:10" ht="12.75" customHeight="1">
      <c r="A82" s="65" t="s">
        <v>440</v>
      </c>
      <c r="B82" s="81">
        <f>IF(ISERROR((Data!C16+Data!C17+Data!C18)/Data!C44),"",(Data!C16+Data!C17+Data!C18)/Data!C44)</f>
        <v>1.7927599945047394</v>
      </c>
      <c r="C82" s="81">
        <f>IF(ISERROR((Data!D16+Data!D17+Data!D18)/Data!D44),"",(Data!D16+Data!D17+Data!D18)/Data!D44)</f>
        <v>1.3978136102760319</v>
      </c>
      <c r="D82" s="81">
        <f>IF(ISERROR((Data!E16+Data!E17+Data!E19)/Data!E44),"",(Data!E16+Data!E17+Data!E19)/Data!E44)</f>
        <v>1.1599585867736506</v>
      </c>
      <c r="E82" s="81">
        <f>IF(ISERROR((Data!F16+Data!F17+Data!F19)/Data!F44),"",(Data!F16+Data!F17+Data!F19)/Data!F44)</f>
        <v>0.79590046777546775</v>
      </c>
      <c r="F82" s="81">
        <f>IF(ISERROR((Data!G16+Data!G17+Data!G18)/Data!G44),"",(Data!G16+Data!G17+Data!G18)/Data!G44)</f>
        <v>1.0275342834095187</v>
      </c>
      <c r="J82" s="17" t="s">
        <v>319</v>
      </c>
    </row>
    <row r="83" spans="1:10" ht="12.75" customHeight="1">
      <c r="A83" s="65" t="s">
        <v>441</v>
      </c>
      <c r="B83" s="66">
        <f>IF(ISERROR(Data!C113/((Data!B44+Data!C44)/2)),"",Data!C113/((Data!B44+Data!C44)/2))</f>
        <v>0.59582626649952075</v>
      </c>
      <c r="C83" s="66">
        <f>IF(ISERROR(Data!D113/((Data!C44+Data!D44)/2)),"",Data!D113/((Data!C44+Data!D44)/2))</f>
        <v>0.65972666118771506</v>
      </c>
      <c r="D83" s="66">
        <f>IF(ISERROR(Data!E113/((Data!D44+Data!E44)/2)),"",Data!E113/((Data!D44+Data!E44)/2))</f>
        <v>0.72316520397338202</v>
      </c>
      <c r="E83" s="66">
        <f>IF(ISERROR(Data!F113/((Data!E44+Data!F44)/2)),"",Data!F113/((Data!E44+Data!F44)/2))</f>
        <v>0.6413786713610673</v>
      </c>
      <c r="F83" s="66">
        <f>IF(ISERROR(Data!G113/((Data!F44+Data!G44)/2)),"",Data!G113/((Data!F44+Data!G44)/2))</f>
        <v>0.56948244917174229</v>
      </c>
      <c r="J83" s="17" t="s">
        <v>320</v>
      </c>
    </row>
    <row r="84" spans="1:10" ht="12.75" customHeight="1">
      <c r="B84" s="70"/>
      <c r="C84" s="70"/>
      <c r="D84" s="70"/>
      <c r="E84" s="70"/>
      <c r="F84" s="71"/>
    </row>
    <row r="85" spans="1:10" ht="12.75" customHeight="1">
      <c r="A85" s="56" t="s">
        <v>435</v>
      </c>
      <c r="B85" s="56"/>
      <c r="C85" s="56"/>
      <c r="D85" s="56"/>
      <c r="E85" s="56"/>
      <c r="F85" s="56"/>
    </row>
    <row r="86" spans="1:10" ht="12.75" customHeight="1">
      <c r="A86" s="65" t="s">
        <v>168</v>
      </c>
      <c r="B86" s="67">
        <f>IF(ISERROR(Data!C65/((Data!B16+Data!C16)/2)),"",Data!C65/((Data!B16+Data!C16)/2))</f>
        <v>1.8527560066812283</v>
      </c>
      <c r="C86" s="67">
        <f>IF(ISERROR(Data!D65/((Data!C16+Data!D16)/2)),"",Data!D65/((Data!C16+Data!D16)/2))</f>
        <v>2.2715054940244275</v>
      </c>
      <c r="D86" s="67">
        <f>IF(ISERROR(Data!E65/((Data!D16+Data!E16)/2)),"",Data!E65/((Data!D16+Data!E16)/2))</f>
        <v>2.8075097652148351</v>
      </c>
      <c r="E86" s="67">
        <f>IF(ISERROR(Data!F65/((Data!E16+Data!F16)/2)),"",Data!F65/((Data!E16+Data!F16)/2))</f>
        <v>2.9429713524317118</v>
      </c>
      <c r="F86" s="67">
        <f>IF(ISERROR(Data!G65/((Data!F16+Data!G16)/2)),"",Data!G65/((Data!F16+Data!G16)/2))</f>
        <v>3.4437808361464555</v>
      </c>
      <c r="J86" s="17" t="s">
        <v>328</v>
      </c>
    </row>
    <row r="87" spans="1:10" ht="12.75" customHeight="1">
      <c r="A87" s="65" t="s">
        <v>118</v>
      </c>
      <c r="B87" s="67">
        <f>IF(ISERROR(365/B86),"",365/B86)</f>
        <v>197.00381414701803</v>
      </c>
      <c r="C87" s="67">
        <f>IF(ISERROR(365/C86),"",365/C86)</f>
        <v>160.68638220783225</v>
      </c>
      <c r="D87" s="67">
        <f>IF(ISERROR(365/D86),"",365/D86)</f>
        <v>130.00845251630662</v>
      </c>
      <c r="E87" s="67">
        <f>IF(ISERROR(365/E86),"",365/E86)</f>
        <v>124.02431294426587</v>
      </c>
      <c r="F87" s="67">
        <f>IF(ISERROR(365/F86),"",365/F86)</f>
        <v>105.98816166490725</v>
      </c>
      <c r="G87" s="184">
        <f>B89+B91+B93</f>
        <v>220.92427888093331</v>
      </c>
      <c r="H87" s="76"/>
      <c r="J87" s="17" t="s">
        <v>330</v>
      </c>
    </row>
    <row r="88" spans="1:10" ht="12.75" customHeight="1">
      <c r="A88" s="65" t="s">
        <v>116</v>
      </c>
      <c r="B88" s="67">
        <f>IF(ISERROR(Data!C65/((Data!B18+Data!C18)/2)),"",Data!C65/((Data!B18+Data!C18)/2))</f>
        <v>4.375</v>
      </c>
      <c r="C88" s="67">
        <f>IF(ISERROR(Data!D65/((Data!C18+Data!D18)/2)),"",Data!D65/((Data!C18+Data!D18)/2))</f>
        <v>4.1040892193308549</v>
      </c>
      <c r="D88" s="67">
        <f>IF(ISERROR(Data!E65/((Data!D18+Data!E18)/2)),"",Data!E65/((Data!D18+Data!E18)/2))</f>
        <v>4.3754663873797206</v>
      </c>
      <c r="E88" s="67">
        <f>IF(ISERROR(Data!F65/((Data!E18+Data!F18)/2)),"",Data!F65/((Data!E18+Data!F18)/2))</f>
        <v>4.2692567894075575</v>
      </c>
      <c r="F88" s="67">
        <f>IF(ISERROR(Data!G65/((Data!F18+Data!G18)/2)),"",Data!G65/((Data!F18+Data!G18)/2))</f>
        <v>3.9830311221233625</v>
      </c>
      <c r="J88" s="17" t="s">
        <v>321</v>
      </c>
    </row>
    <row r="89" spans="1:10" ht="12.75" customHeight="1">
      <c r="A89" s="65" t="s">
        <v>113</v>
      </c>
      <c r="B89" s="82">
        <f>IF(ISERROR(365/B88),"",365/B88)</f>
        <v>83.428571428571431</v>
      </c>
      <c r="C89" s="82">
        <f>IF(ISERROR(365/C88),"",365/C88)</f>
        <v>88.935688405797109</v>
      </c>
      <c r="D89" s="82">
        <f>IF(ISERROR(365/D88),"",365/D88)</f>
        <v>83.419678654778295</v>
      </c>
      <c r="E89" s="82">
        <f>IF(ISERROR(365/E88),"",365/E88)</f>
        <v>85.494974419341702</v>
      </c>
      <c r="F89" s="82">
        <f>IF(ISERROR(365/F88),"",365/F88)</f>
        <v>91.638751696576676</v>
      </c>
      <c r="J89" s="17" t="s">
        <v>323</v>
      </c>
    </row>
    <row r="90" spans="1:10" ht="12.75" customHeight="1">
      <c r="A90" s="65" t="s">
        <v>457</v>
      </c>
      <c r="B90" s="67">
        <f>IF(ISERROR(-Data!C66/((Data!B19+Data!C19)/2)),"",-Data!C66/((Data!B19+Data!C19)/2))</f>
        <v>4.8667628667628664</v>
      </c>
      <c r="C90" s="67">
        <f>IF(ISERROR(-Data!D66/((Data!C19+Data!D19)/2)),"",-Data!D66/((Data!C19+Data!D19)/2))</f>
        <v>4.4237485448195573</v>
      </c>
      <c r="D90" s="67">
        <f>IF(ISERROR(-Data!E66/((Data!D19+Data!E19)/2)),"",-Data!E66/((Data!D19+Data!E19)/2))</f>
        <v>4.9619771863117865</v>
      </c>
      <c r="E90" s="67">
        <f>IF(ISERROR(-Data!F66/((Data!E19+Data!F19)/2)),"",-Data!F66/((Data!E19+Data!F19)/2))</f>
        <v>4.9268846503178931</v>
      </c>
      <c r="F90" s="67">
        <f>IF(ISERROR(-Data!G66/((Data!F19+Data!G19)/2)),"",-Data!G66/((Data!F19+Data!G19)/2))</f>
        <v>3.3018414731785426</v>
      </c>
      <c r="J90" s="17" t="s">
        <v>329</v>
      </c>
    </row>
    <row r="91" spans="1:10" ht="12.75" customHeight="1">
      <c r="A91" s="65" t="s">
        <v>114</v>
      </c>
      <c r="B91" s="82">
        <f>IF(ISERROR(365/B90),"",365/B90)</f>
        <v>74.998517493575818</v>
      </c>
      <c r="C91" s="82">
        <f>IF(ISERROR(365/C90),"",365/C90)</f>
        <v>82.509210526315798</v>
      </c>
      <c r="D91" s="82">
        <f>IF(ISERROR(365/D90),"",365/D90)</f>
        <v>73.559386973180082</v>
      </c>
      <c r="E91" s="82">
        <f>IF(ISERROR(365/E90),"",365/E90)</f>
        <v>74.083325652133837</v>
      </c>
      <c r="F91" s="82">
        <f>IF(ISERROR(365/F90),"",365/F90)</f>
        <v>110.54437439379244</v>
      </c>
      <c r="J91" s="17" t="s">
        <v>324</v>
      </c>
    </row>
    <row r="92" spans="1:10" ht="12.75" customHeight="1">
      <c r="A92" s="65" t="s">
        <v>111</v>
      </c>
      <c r="B92" s="67">
        <f>IF(ISERROR((-Data!C66+Data!C19-Data!B19)/((Data!C36+Data!B36)/2)),"",(-Data!C66+Data!C19-Data!B19)/((Data!C36+Data!B36)/2))</f>
        <v>5.8402625820568916</v>
      </c>
      <c r="C92" s="67">
        <f>IF(ISERROR((-Data!D66+Data!D19-Data!C19)/((Data!D36+Data!C36)/2)),"",(-Data!D66+Data!D19-Data!C19)/((Data!D36+Data!C36)/2))</f>
        <v>4.9739495798319329</v>
      </c>
      <c r="D92" s="67">
        <f>IF(ISERROR((-Data!E66+Data!E19-Data!D19)/((Data!E36+Data!D36)/2)),"",(-Data!E66+Data!E19-Data!D19)/((Data!E36+Data!D36)/2))</f>
        <v>5.6482758620689655</v>
      </c>
      <c r="E92" s="67">
        <f>IF(ISERROR((-Data!F66+Data!F19-Data!E19)/((Data!F36+Data!E36)/2)),"",(-Data!F66+Data!F19-Data!E19)/((Data!F36+Data!E36)/2))</f>
        <v>5.9913221031138333</v>
      </c>
      <c r="F92" s="67">
        <f>IF(ISERROR((-Data!G66+Data!G19-Data!F19)/((Data!G36+Data!F36)/2)),"",(-Data!G66+Data!G19-Data!F19)/((Data!G36+Data!F36)/2))</f>
        <v>6.5106097833370562</v>
      </c>
      <c r="J92" s="17" t="s">
        <v>322</v>
      </c>
    </row>
    <row r="93" spans="1:10" ht="12.75" customHeight="1">
      <c r="A93" s="65" t="s">
        <v>115</v>
      </c>
      <c r="B93" s="82">
        <f>IF(ISERROR(365/B92),"",365/B92)</f>
        <v>62.497189958786073</v>
      </c>
      <c r="C93" s="82">
        <f>IF(ISERROR(365/C92),"",365/C92)</f>
        <v>73.382328095962151</v>
      </c>
      <c r="D93" s="82">
        <f>IF(ISERROR(365/D92),"",365/D92)</f>
        <v>64.621489621489616</v>
      </c>
      <c r="E93" s="82">
        <f>IF(ISERROR(365/E92),"",365/E92)</f>
        <v>60.921445002982026</v>
      </c>
      <c r="F93" s="82">
        <f>IF(ISERROR(365/F92),"",365/F92)</f>
        <v>56.062337038561822</v>
      </c>
      <c r="J93" s="17" t="s">
        <v>325</v>
      </c>
    </row>
    <row r="94" spans="1:10" ht="12.75" customHeight="1">
      <c r="A94" s="65" t="s">
        <v>112</v>
      </c>
      <c r="B94" s="82">
        <f>IF(ISERROR(B89+B91-B93),"",B89+B91-B93)</f>
        <v>95.929898963361182</v>
      </c>
      <c r="C94" s="82">
        <f>IF(ISERROR(C89+C91-C93),"",C89+C91-C93)</f>
        <v>98.062570836150741</v>
      </c>
      <c r="D94" s="82">
        <f>IF(ISERROR(D89+D91-D93),"",D89+D91-D93)</f>
        <v>92.357576006468776</v>
      </c>
      <c r="E94" s="82">
        <f>IF(ISERROR(E89+E91-E93),"",E89+E91-E93)</f>
        <v>98.656855068493527</v>
      </c>
      <c r="F94" s="82">
        <f>IF(ISERROR(F89+F91-F93),"",F89+F91-F93)</f>
        <v>146.12078905180729</v>
      </c>
      <c r="J94" s="17" t="s">
        <v>326</v>
      </c>
    </row>
    <row r="95" spans="1:10" ht="12.75" customHeight="1">
      <c r="A95" s="65" t="s">
        <v>32</v>
      </c>
      <c r="B95" s="67">
        <f>IF(ISERROR(Data!C65/((Data!B25+Data!B28+Data!C27+Data!C28)/2)),"",Data!C65/((Data!B25+Data!B28+Data!C27+Data!C28)/2))</f>
        <v>14.396006655574043</v>
      </c>
      <c r="C95" s="67">
        <f>IF(ISERROR(Data!D65/((Data!C27+Data!C28+Data!D27+Data!D28)/2)),"",Data!D65/((Data!C27+Data!C28+Data!D27+Data!D28)/2))</f>
        <v>6.5490344566452103</v>
      </c>
      <c r="D95" s="67">
        <f>IF(ISERROR(Data!E65/((Data!D27+Data!D28+Data!E27+Data!E28)/2)),"",Data!E65/((Data!D27+Data!D28+Data!E27+Data!E28)/2))</f>
        <v>5.88622754491018</v>
      </c>
      <c r="E95" s="67">
        <f>IF(ISERROR(Data!F65/((Data!E27+Data!E28+Data!F27+Data!F28)/2)),"",Data!F65/((Data!E27+Data!E28+Data!F27+Data!F28)/2))</f>
        <v>5.5701405964314983</v>
      </c>
      <c r="F95" s="67">
        <f>IF(ISERROR(Data!G65/((Data!F27+Data!F28+Data!G27+Data!G28)/2)),"",Data!G65/((Data!F27+Data!F28+Data!G27+Data!G28)/2))</f>
        <v>5.4607030727263366</v>
      </c>
      <c r="J95" s="17" t="s">
        <v>327</v>
      </c>
    </row>
    <row r="96" spans="1:10" ht="12.75" customHeight="1">
      <c r="A96" s="65" t="s">
        <v>720</v>
      </c>
      <c r="B96" s="67">
        <f>IF(ISERROR(Data!C118+Data!C117)/-Data!C145,"",(Data!C118+Data!C117)/-Data!C145)</f>
        <v>21.120129870129869</v>
      </c>
      <c r="C96" s="67">
        <f>IF(ISERROR(Data!D118+Data!D117)/-Data!D145,"",(Data!D118+Data!D117)/-Data!D145)</f>
        <v>13.470930232558139</v>
      </c>
      <c r="D96" s="67">
        <f>IF(ISERROR(Data!E115+Data!E114)/-Data!E145,"",(Data!E115+Data!E114)/-Data!E145)</f>
        <v>3.5059241706161131</v>
      </c>
      <c r="E96" s="67">
        <f>IF(ISERROR(Data!F115+Data!F114)/-Data!F145,"",(Data!F115+Data!F114)/-Data!F145)</f>
        <v>2.6960690316395013</v>
      </c>
      <c r="F96" s="67">
        <f>IF(ISERROR(Data!G115+Data!G114)/-Data!G145,"",(Data!G115+Data!G114)/-Data!G145)</f>
        <v>1.7998236331569664</v>
      </c>
      <c r="J96" s="399" t="s">
        <v>725</v>
      </c>
    </row>
    <row r="97" spans="1:10" ht="12.75" customHeight="1">
      <c r="A97" s="65" t="s">
        <v>721</v>
      </c>
      <c r="B97" s="67">
        <f>IF(ISERROR((Data!C27+Data!B25)/2)/Data!C145,"",((Data!C27+Data!B25)/2)/Data!C145)</f>
        <v>4.4504870129870122</v>
      </c>
      <c r="C97" s="67">
        <f>IF(ISERROR((Data!D27+Data!C27)/2)/Data!D145,"",((Data!D27+Data!C27)/2)/Data!D145)</f>
        <v>8.0072674418604652</v>
      </c>
      <c r="D97" s="67">
        <f>IF(ISERROR((Data!E27+Data!D27)/2)/Data!E145,"",((Data!E27+Data!D27)/2)/Data!E145)</f>
        <v>9.003554502369667</v>
      </c>
      <c r="E97" s="67">
        <f>IF(ISERROR((Data!F27+Data!E27)/2)/Data!F145,"",((Data!F27+Data!E27)/2)/Data!F145)</f>
        <v>9.9616490891658671</v>
      </c>
      <c r="F97" s="67">
        <f>IF(ISERROR((Data!G27+Data!F27)/2)/Data!G145,"",((Data!G27+Data!F27)/2)/Data!G145)</f>
        <v>11.358465608465609</v>
      </c>
      <c r="J97" s="399" t="s">
        <v>724</v>
      </c>
    </row>
    <row r="98" spans="1:10" ht="12.75" customHeight="1">
      <c r="A98" s="65" t="s">
        <v>722</v>
      </c>
      <c r="B98" s="67">
        <f>IF(ISERROR(Data!C27+Data!C28)/Data!C145,"",(Data!C27+Data!C28)/Data!C145)</f>
        <v>5.5892857142857144</v>
      </c>
      <c r="C98" s="67">
        <f>IF(ISERROR(Data!D27+Data!D28)/Data!D145,"",(Data!D27+Data!D28)/Data!D145)</f>
        <v>6.5116279069767442</v>
      </c>
      <c r="D98" s="67">
        <f>IF(ISERROR(Data!E27+Data!E28)/Data!E145,"",(Data!E27+Data!E28)/Data!E145)</f>
        <v>8.1469194312796187</v>
      </c>
      <c r="E98" s="67">
        <f>IF(ISERROR(Data!F27+Data!F28)/Data!F145,"",(Data!F27+Data!F28)/Data!F145)</f>
        <v>8.6145733461169698</v>
      </c>
      <c r="F98" s="67">
        <f>IF(ISERROR(Data!G27+Data!G28)/Data!G145,"",(Data!G27+Data!G28)/Data!G145)</f>
        <v>9.2098765432098766</v>
      </c>
      <c r="H98" s="76"/>
      <c r="J98" s="399" t="s">
        <v>723</v>
      </c>
    </row>
    <row r="99" spans="1:10" ht="12.75" customHeight="1">
      <c r="B99" s="195"/>
      <c r="C99" s="195"/>
      <c r="D99" s="195"/>
      <c r="E99" s="195"/>
      <c r="F99" s="195"/>
      <c r="H99" s="76"/>
    </row>
    <row r="100" spans="1:10" ht="12.75" customHeight="1">
      <c r="A100" s="76"/>
      <c r="B100" s="76"/>
      <c r="C100" s="76"/>
      <c r="D100" s="76"/>
      <c r="E100" s="76"/>
      <c r="F100" s="76"/>
    </row>
    <row r="101" spans="1:10" ht="12.75" customHeight="1">
      <c r="A101" s="56" t="s">
        <v>442</v>
      </c>
      <c r="B101" s="56"/>
      <c r="C101" s="56"/>
      <c r="D101" s="56"/>
      <c r="E101" s="56"/>
      <c r="F101" s="56"/>
    </row>
    <row r="102" spans="1:10" ht="12.75" customHeight="1">
      <c r="A102" s="65" t="s">
        <v>443</v>
      </c>
      <c r="B102" s="66">
        <f>IF(ISERROR(Data!C50/Data!C33),"",Data!C50/Data!C33)</f>
        <v>0.65394926789028673</v>
      </c>
      <c r="C102" s="66">
        <f>IF(ISERROR(Data!D50/Data!D33),"",Data!D50/Data!D33)</f>
        <v>0.78835455556929157</v>
      </c>
      <c r="D102" s="66">
        <f>IF(ISERROR(Data!E50/Data!E33),"",Data!E50/Data!E33)</f>
        <v>0.86511462891317914</v>
      </c>
      <c r="E102" s="66">
        <f>IF(ISERROR(Data!F50/Data!F33),"",Data!F50/Data!F33)</f>
        <v>1.0452151573538859</v>
      </c>
      <c r="F102" s="66">
        <f>IF(ISERROR(Data!G50/Data!G33),"",Data!G50/Data!G33)</f>
        <v>1.0638388736585431</v>
      </c>
      <c r="J102" s="17" t="s">
        <v>331</v>
      </c>
    </row>
    <row r="103" spans="1:10" ht="12.75" customHeight="1">
      <c r="A103" s="373" t="s">
        <v>16</v>
      </c>
      <c r="B103" s="66">
        <f>IF(ISERROR(Data!C50/Data!C59),"",Data!C50/Data!C59)</f>
        <v>1.8897497020262219</v>
      </c>
      <c r="C103" s="66">
        <f>IF(ISERROR(Data!D50/Data!D59),"",Data!D50/Data!D59)</f>
        <v>3.724883177570093</v>
      </c>
      <c r="D103" s="66">
        <f>IF(ISERROR(Data!E50/Data!E59),"",Data!E50/Data!E59)</f>
        <v>6.4137024048096203</v>
      </c>
      <c r="E103" s="66">
        <f>IF(ISERROR(Data!F50/Data!F59),"",Data!F50/Data!F59)</f>
        <v>-23.116477272727266</v>
      </c>
      <c r="F103" s="66">
        <f>IF(ISERROR(Data!G50/Data!G59),"",Data!G50/Data!G59)</f>
        <v>-16.664436771687527</v>
      </c>
      <c r="J103" s="17" t="s">
        <v>332</v>
      </c>
    </row>
    <row r="104" spans="1:10" ht="12.75" customHeight="1">
      <c r="A104" s="65" t="s">
        <v>224</v>
      </c>
      <c r="B104" s="66">
        <f>IF(ISERROR(Data!C45/(Data!C45+Data!C59)),"",Data!C45/(Data!C45+Data!C59))</f>
        <v>0</v>
      </c>
      <c r="C104" s="66">
        <f>IF(ISERROR(Data!D45/(Data!D45+Data!D59)),"",Data!D45/(Data!D45+Data!D59))</f>
        <v>0</v>
      </c>
      <c r="D104" s="66">
        <f>IF(ISERROR(Data!E45/(Data!E45+Data!E59)),"",Data!E45/(Data!E45+Data!E59))</f>
        <v>0.55316767405417511</v>
      </c>
      <c r="E104" s="66">
        <f>IF(ISERROR(Data!F45/(Data!F45+Data!F59)),"",Data!F45/(Data!F45+Data!F59))</f>
        <v>1.3972911963882619</v>
      </c>
      <c r="F104" s="66">
        <f>IF(ISERROR(Data!G45/(Data!G45+Data!G59)),"",Data!G45/(Data!G45+Data!G59))</f>
        <v>1.8761580639062205</v>
      </c>
      <c r="J104" s="17" t="s">
        <v>333</v>
      </c>
    </row>
    <row r="105" spans="1:10" ht="12.75" customHeight="1">
      <c r="A105" s="373" t="s">
        <v>647</v>
      </c>
      <c r="B105" s="66">
        <f>IF(ISERROR(Data!C45/Data!C59),"",Data!C45/Data!C59)</f>
        <v>0</v>
      </c>
      <c r="C105" s="66">
        <f>IF(ISERROR(Data!D45/Data!D59),"",Data!D45/Data!D59)</f>
        <v>0</v>
      </c>
      <c r="D105" s="66">
        <f>IF(ISERROR(Data!E45/Data!E59),"",Data!E45/Data!E59)</f>
        <v>1.2379759519038076</v>
      </c>
      <c r="E105" s="66">
        <f>IF(ISERROR(Data!F45/Data!F59),"",Data!F45/Data!F59)</f>
        <v>-3.5170454545454533</v>
      </c>
      <c r="F105" s="66">
        <f>IF(ISERROR(Data!G45/Data!G59),"",Data!G45/Data!G59)</f>
        <v>-2.1413465688390159</v>
      </c>
      <c r="J105" s="17" t="s">
        <v>334</v>
      </c>
    </row>
    <row r="106" spans="1:10" ht="12.75" customHeight="1">
      <c r="A106" s="65" t="s">
        <v>444</v>
      </c>
      <c r="B106" s="66">
        <f>IF(ISERROR(Data!C113/((Data!C50+Data!B50)/2)),"",Data!C113/((Data!C50+Data!B50)/2))</f>
        <v>0.3509533944316553</v>
      </c>
      <c r="C106" s="66">
        <f>IF(ISERROR(Data!D113/((Data!D50+Data!C50)/2)),"",Data!D113/((Data!D50+Data!C50)/2))</f>
        <v>0.37856531535465399</v>
      </c>
      <c r="D106" s="66">
        <f>IF(ISERROR(Data!E113/((Data!E50+Data!D50)/2)),"",Data!E113/((Data!E50+Data!D50)/2))</f>
        <v>0.36097337890530973</v>
      </c>
      <c r="E106" s="66">
        <f>IF(ISERROR(Data!F113/((Data!F50+Data!E50)/2)),"",Data!F113/((Data!F50+Data!E50)/2))</f>
        <v>0.29760195351796598</v>
      </c>
      <c r="F106" s="66">
        <f>IF(ISERROR(Data!G113/((Data!G50+Data!F50)/2)),"",Data!G113/((Data!G50+Data!F50)/2))</f>
        <v>0.2719946036720326</v>
      </c>
      <c r="J106" s="17" t="s">
        <v>335</v>
      </c>
    </row>
    <row r="107" spans="1:10" ht="12.75" customHeight="1">
      <c r="A107" s="65" t="s">
        <v>227</v>
      </c>
      <c r="B107" s="67">
        <f>IF(ISERROR((Data!C81-Data!C78)/(-Data!C78)),"",(Data!C81-Data!C78)/(-Data!C78))</f>
        <v>52.466666666666661</v>
      </c>
      <c r="C107" s="67">
        <f>IF(ISERROR((Data!D81-Data!D78)/(-Data!D78)),"",(Data!D81-Data!D78)/(-Data!D78))</f>
        <v>70.44871794871797</v>
      </c>
      <c r="D107" s="67">
        <f>IF(ISERROR((Data!E81-Data!E78)/(-Data!E78)),"",(Data!E81-Data!E78)/(-Data!E78))</f>
        <v>55.172413793103452</v>
      </c>
      <c r="E107" s="67">
        <f>IF(ISERROR((Data!F81-Data!F78)/(-Data!F78)),"",(Data!F81-Data!F78)/(-Data!F78))</f>
        <v>71.777777777777757</v>
      </c>
      <c r="F107" s="67">
        <f>IF(ISERROR((Data!G81-Data!G78)/(-Data!G78)),"",(Data!G81-Data!G78)/(-Data!G78))</f>
        <v>219.63934426229511</v>
      </c>
      <c r="J107" s="17" t="s">
        <v>336</v>
      </c>
    </row>
    <row r="108" spans="1:10" ht="12.75" customHeight="1">
      <c r="A108" s="65" t="s">
        <v>228</v>
      </c>
      <c r="B108" s="67">
        <f>IF(ISERROR((Data!C81-Data!C78-Data!C75-Data!C80)/-Data!C78),"",(Data!C81-Data!C78-Data!C75-Data!C80)/-Data!C78)</f>
        <v>52.466666666666661</v>
      </c>
      <c r="C108" s="67">
        <f>IF(ISERROR((Data!D81-Data!D78-Data!D75-Data!D80)/-Data!D78),"",(Data!D81-Data!D78-Data!D75-Data!D80)/-Data!D78)</f>
        <v>65.29487179487181</v>
      </c>
      <c r="D108" s="67">
        <f>IF(ISERROR((Data!E81-Data!E78-Data!E75-Data!E80)/-Data!E78),"",(Data!E81-Data!E78-Data!E75-Data!E80)/-Data!E78)</f>
        <v>54.775862068965516</v>
      </c>
      <c r="E108" s="67">
        <f>IF(ISERROR((Data!F81-Data!F78-Data!F75-Data!F80)/-Data!F78),"",(Data!F81-Data!F78-Data!F75-Data!F80)/-Data!F78)</f>
        <v>71.437037037037015</v>
      </c>
      <c r="F108" s="67">
        <f>IF(ISERROR((Data!G81-Data!G78-Data!G75-Data!G80)/-Data!G78),"",(Data!G81-Data!G78-Data!G75-Data!G80)/-Data!G78)</f>
        <v>218.88524590163939</v>
      </c>
      <c r="J108" s="17" t="s">
        <v>337</v>
      </c>
    </row>
    <row r="109" spans="1:10" ht="12.75" customHeight="1">
      <c r="B109" s="61"/>
      <c r="C109" s="61"/>
      <c r="D109" s="61"/>
      <c r="E109" s="61"/>
      <c r="F109" s="61"/>
    </row>
    <row r="110" spans="1:10" ht="12.75" customHeight="1">
      <c r="A110" s="61" t="s">
        <v>437</v>
      </c>
      <c r="B110" s="61"/>
      <c r="C110" s="61"/>
      <c r="D110" s="61"/>
      <c r="E110" s="61"/>
      <c r="F110" s="61"/>
    </row>
    <row r="111" spans="1:10" ht="12.75" customHeight="1">
      <c r="A111" s="65" t="s">
        <v>105</v>
      </c>
      <c r="B111" s="77"/>
      <c r="C111" s="77"/>
      <c r="D111" s="77"/>
      <c r="E111" s="77"/>
      <c r="F111" s="77"/>
    </row>
    <row r="112" spans="1:10" ht="12.75" customHeight="1">
      <c r="A112" s="65" t="s">
        <v>106</v>
      </c>
      <c r="B112" s="81">
        <f>IF(ISERROR(1.2*(Data!C24-Data!C44)/Data!C33+1.4*(Data!C54/Data!C33)+3.3*((Data!C81-Data!C78)/Data!C33)+0.6*((Data!C147*Data!C150)/Data!C50)+1*(Data!C65/Data!C33)),"",1.2*(Data!C24-Data!C44)/Data!C33+1.4*(Data!C54/Data!C33)+3.3*((Data!C81-Data!C78)/Data!C33)+0.6*((Data!C147*Data!C150)/Data!C50)+1*(Data!C65/Data!C33))</f>
        <v>2.55562851614842</v>
      </c>
      <c r="C112" s="81">
        <f>IF(ISERROR(1.2*(Data!D24-Data!D44)/Data!D33+1.4*(Data!D54/Data!D33)+3.3*((Data!D81-Data!D78)/Data!D33)+0.6*((Data!D147*Data!D150)/Data!D50)+1*(Data!D65/Data!D33)),"",1.2*(Data!D24-Data!D44)/Data!D33+1.4*(Data!D54/Data!D33)+3.3*((Data!D81-Data!D78)/Data!D33)+0.6*((Data!D147*Data!D150)/Data!D50)+1*(Data!D65/Data!D33))</f>
        <v>2.8253155312184099</v>
      </c>
      <c r="D112" s="81">
        <f>IF(ISERROR(1.2*(Data!E24-Data!E44)/Data!E33+1.4*(Data!E54/Data!E33)+3.3*((Data!E81-Data!E78)/Data!E33)+0.6*((Data!E147*Data!E150)/Data!E50)+1*(Data!E65/Data!E33)),"",1.2*(Data!E24-Data!E44)/Data!E33+1.4*(Data!E54/Data!E33)+3.3*((Data!E81-Data!E78)/Data!E33)+0.6*((Data!E147*Data!E150)/Data!E50)+1*(Data!E65/Data!E33))</f>
        <v>2.4452274013513335</v>
      </c>
      <c r="E112" s="81">
        <f>IF(ISERROR(1.2*(Data!F24-Data!F44)/Data!F33+1.4*(Data!F54/Data!F33)+3.3*((Data!F81-Data!F78)/Data!F33)+0.6*((Data!F147*Data!F150)/Data!F50)+1*(Data!F65/Data!F33)),"",1.2*(Data!F24-Data!F44)/Data!F33+1.4*(Data!F54/Data!F33)+3.3*((Data!F81-Data!F78)/Data!F33)+0.6*((Data!F147*Data!F150)/Data!F50)+1*(Data!F65/Data!F33))</f>
        <v>5.2460236757896581</v>
      </c>
      <c r="F112" s="81">
        <f>IF(ISERROR(1.2*(Data!G24-Data!G44)/Data!G33+1.4*(Data!G54/Data!G33)+3.3*((Data!G81-Data!G78)/Data!G33)+0.6*((Data!G147*Data!G150)/Data!G50)+1*(Data!G65/Data!G33)),"",1.2*(Data!G24-Data!G44)/Data!G33+1.4*(Data!G54/Data!G33)+3.3*((Data!G81-Data!G78)/Data!G33)+0.6*((Data!G147*Data!G150)/Data!G50)+1*(Data!G65/Data!G33))</f>
        <v>5.6903198315038725</v>
      </c>
      <c r="J112" s="17" t="s">
        <v>338</v>
      </c>
    </row>
    <row r="113" spans="1:13" ht="12.75" customHeight="1">
      <c r="A113" s="65" t="s">
        <v>108</v>
      </c>
      <c r="B113" s="83">
        <f>IF(ISERROR(NORMSDIST(1-B112)),"",NORMSDIST(1-B112))</f>
        <v>5.9898226876055539E-2</v>
      </c>
      <c r="C113" s="83">
        <f>IF(ISERROR(NORMSDIST(1-C112)),"",NORMSDIST(1-C112))</f>
        <v>3.3976713882334177E-2</v>
      </c>
      <c r="D113" s="83">
        <f>IF(ISERROR(NORMSDIST(1-D112)),"",NORMSDIST(1-D112))</f>
        <v>7.4197011056673756E-2</v>
      </c>
      <c r="E113" s="83">
        <f>IF(ISERROR(NORMSDIST(1-E112)),"",NORMSDIST(1-E112))</f>
        <v>1.0879882392376622E-5</v>
      </c>
      <c r="F113" s="83">
        <f>IF(ISERROR(NORMSDIST(1-F112)),"",NORMSDIST(1-F112))</f>
        <v>1.3638916436877449E-6</v>
      </c>
      <c r="J113" s="17" t="s">
        <v>339</v>
      </c>
    </row>
    <row r="114" spans="1:13" ht="12.75" customHeight="1">
      <c r="A114" s="65" t="s">
        <v>107</v>
      </c>
      <c r="B114" s="83"/>
      <c r="C114" s="83"/>
      <c r="D114" s="83"/>
      <c r="E114" s="83"/>
      <c r="F114" s="83"/>
    </row>
    <row r="115" spans="1:13" ht="12.75" customHeight="1">
      <c r="A115" s="65" t="s">
        <v>104</v>
      </c>
      <c r="B115" s="81">
        <f>IF(ISERROR(-4.84+0.92*((Data!C18/Data!C65)/(Data!B18/Data!B65))+0.528*((Data!B67/Data!B65)/(Data!C67/Data!C65))+0.404*(((Data!C31+Data!C32+Data!C30)/Data!C33)/((Data!B31+Data!B32+Data!B30)/Data!B33))+0.892*(Data!C65/Data!B65)+0.115*((Data!B98/(Data!B25+Data!B28+Data!B98))/(Data!C98/(Data!C27+Data!C28+Data!C98)))-0.172*((-Data!C68/Data!C65)/(-Data!B68/Data!B65))-0.327*(((Data!C44+Data!C45)/Data!C60)/((Data!B44+Data!B45)/Data!B60))+4.67*((Data!C81+Data!C82-Data!C113)/Data!C33)),"",-4.84+0.92*((Data!C18/Data!C65)/(Data!B18/Data!B65))+0.528*((Data!B67/Data!B65)/(Data!C67/Data!C65))+0.404*(((Data!C31+Data!C32+Data!C30)/Data!C33)/((Data!B31+Data!B32+Data!B30)/Data!B33))+0.892*(Data!C65/Data!B65)+0.115*((Data!B98/(Data!B25+Data!B28+Data!B98))/(Data!C98/(Data!C27+Data!C28+Data!C98)))-0.172*((-Data!C68/Data!C65)/(-Data!B68/Data!B65))-0.327*(((Data!C44+Data!C45)/Data!C60)/((Data!B44+Data!B45)/Data!B60))+4.67*((Data!C81+Data!C82-Data!C113)/Data!C33))</f>
        <v>0.67663330440884406</v>
      </c>
      <c r="C115" s="81">
        <f>IF(ISERROR(-4.84+0.92*((Data!D18/Data!D65)/(Data!C18/Data!C65))+0.528*((Data!C67/Data!C65)/(Data!D67/Data!D65))+0.404*(((Data!D31+Data!D32+Data!D30)/Data!D33)/((Data!C31+Data!C32+Data!C30)/Data!C33))+0.892*(Data!D65/Data!C65)+0.115*((Data!C98/(Data!C27+Data!C28+Data!C98))/(Data!D98/(Data!D27+Data!D28+Data!D98)))-0.172*((-Data!D68/Data!D65)/(-Data!C68/Data!C65))-0.327*(((Data!D44+Data!D45)/Data!D60)/((Data!C44+Data!C45)/Data!C60))+4.67*((Data!D81+Data!D82-Data!D113)/Data!D33)),"",-4.84+0.92*((Data!D18/Data!D65)/(Data!C18/Data!C65))+0.528*((Data!C67/Data!C65)/(Data!D67/Data!D65))+0.404*(((Data!D31+Data!D32+Data!D30)/Data!D33)/((Data!C31+Data!C32+Data!C30)/Data!C33))+0.892*(Data!D65/Data!C65)+0.115*((Data!C98/(Data!C27+Data!C28+Data!C98))/(Data!D98/(Data!D27+Data!D28+Data!D98)))-0.172*((-Data!D68/Data!D65)/(-Data!C68/Data!C65))-0.327*(((Data!D44+Data!D45)/Data!D60)/((Data!C44+Data!C45)/Data!C60))+4.67*((Data!D81+Data!D82-Data!D113)/Data!D33))</f>
        <v>-2.8825059918697997</v>
      </c>
      <c r="D115" s="81">
        <f>IF(ISERROR(-4.84+0.92*((Data!E19/Data!E65)/(Data!D18/Data!D65))+0.528*((Data!D67/Data!D65)/(Data!E67/Data!E65))+0.404*(((Data!E31+Data!E32+Data!E30)/Data!E33)/((Data!D31+Data!D32+Data!D30)/Data!D33))+0.892*(Data!E65/Data!D65)+0.115*((Data!D98/(Data!D27+Data!D28+Data!D98))/(Data!E98/(Data!E27+Data!E28+Data!E98)))-0.172*((-Data!E68/Data!E65)/(-Data!D68/Data!D65))-0.327*(((Data!E44+Data!E45)/Data!E60)/((Data!D44+Data!D45)/Data!D60))+4.67*((Data!E81+Data!E82-Data!E113)/Data!E33)),"",-4.84+0.92*((Data!E19/Data!E65)/(Data!D18/Data!D65))+0.528*((Data!D67/Data!D65)/(Data!E67/Data!E65))+0.404*(((Data!E31+Data!E32+Data!E30)/Data!E33)/((Data!D31+Data!D32+Data!D30)/Data!D33))+0.892*(Data!E65/Data!D65)+0.115*((Data!D98/(Data!D27+Data!D28+Data!D98))/(Data!E98/(Data!E27+Data!E28+Data!E98)))-0.172*((-Data!E68/Data!E65)/(-Data!D68/Data!D65))-0.327*(((Data!E44+Data!E45)/Data!E60)/((Data!D44+Data!D45)/Data!D60))+4.67*((Data!E81+Data!E82-Data!E113)/Data!E33))</f>
        <v>-3.6317607271636243</v>
      </c>
      <c r="E115" s="81">
        <f>IF(ISERROR(-4.84+0.92*((Data!F19/Data!F65)/(Data!E19/Data!E65))+0.528*((Data!E67/Data!E65)/(Data!F67/Data!F65))+0.404*(((Data!F31+Data!F32+Data!F30)/Data!F33)/((Data!E31+Data!E32+Data!E30)/Data!E33))+0.892*(Data!F65/Data!E65)+0.115*((Data!E98/(Data!E27+Data!E28+Data!E98))/(Data!F98/(Data!F27+Data!F28+Data!F98)))-0.172*((-Data!F68/Data!F65)/(-Data!E68/Data!E65))-0.327*(((Data!F44+Data!F45)/Data!F60)/((Data!E44+Data!E45)/Data!E60))+4.67*((Data!F81+Data!F82-Data!F113)/Data!F33)),"",-4.84+0.92*((Data!F19/Data!F65)/(Data!E19/Data!E65))+0.528*((Data!E67/Data!E65)/(Data!F67/Data!F65))+0.404*(((Data!F31+Data!F32+Data!F30)/Data!F33)/((Data!E31+Data!E32+Data!E30)/Data!E33))+0.892*(Data!F65/Data!E65)+0.115*((Data!E98/(Data!E27+Data!E28+Data!E98))/(Data!F98/(Data!F27+Data!F28+Data!F98)))-0.172*((-Data!F68/Data!F65)/(-Data!E68/Data!E65))-0.327*(((Data!F44+Data!F45)/Data!F60)/((Data!E44+Data!E45)/Data!E60))+4.67*((Data!F81+Data!F82-Data!F113)/Data!F33))</f>
        <v>-2.690723494210808</v>
      </c>
      <c r="F115" s="81">
        <f>IF(ISERROR(-4.84+0.92*((Data!G18/Data!G65)/(Data!F19/Data!F65))+0.528*((Data!F67/Data!F65)/(Data!G67/Data!G65))+0.404*(((Data!G31+Data!G32+Data!G30)/Data!G33)/((Data!F31+Data!F32+Data!F30)/Data!F33))+0.892*(Data!G65/Data!F65)+0.115*((Data!F98/(Data!F27+Data!F28+Data!F98))/(Data!G98/(Data!G27+Data!G28+Data!G98)))-0.172*((-Data!G68/Data!G65)/(-Data!F68/Data!F65))-0.327*(((Data!G44+Data!G45)/Data!G60)/((Data!F44+Data!F45)/Data!F60))+4.67*((Data!G81+Data!G82-Data!G113)/Data!G33)),"",-4.84+0.92*((Data!G18/Data!G65)/(Data!F19/Data!F65))+0.528*((Data!F67/Data!F65)/(Data!G67/Data!G65))+0.404*(((Data!G31+Data!G32+Data!G30)/Data!G33)/((Data!F31+Data!F32+Data!F30)/Data!F33))+0.892*(Data!G65/Data!F65)+0.115*((Data!F98/(Data!F27+Data!F28+Data!F98))/(Data!G98/(Data!G27+Data!G28+Data!G98)))-0.172*((-Data!G68/Data!G65)/(-Data!F68/Data!F65))-0.327*(((Data!G44+Data!G45)/Data!G60)/((Data!F44+Data!F45)/Data!F60))+4.67*((Data!G81+Data!G82-Data!G113)/Data!G33))</f>
        <v>0.30643857556560677</v>
      </c>
      <c r="J115" s="17" t="s">
        <v>340</v>
      </c>
    </row>
    <row r="116" spans="1:13" ht="12.75" customHeight="1">
      <c r="A116" s="65" t="s">
        <v>109</v>
      </c>
      <c r="B116" s="83">
        <f t="shared" ref="B116:E116" si="0">IF(ISERROR(NORMSDIST(B115)),"",NORMSDIST(B115))</f>
        <v>0.75068067860668375</v>
      </c>
      <c r="C116" s="83">
        <f t="shared" si="0"/>
        <v>1.9726281622581675E-3</v>
      </c>
      <c r="D116" s="83">
        <f t="shared" si="0"/>
        <v>1.4074703097329656E-4</v>
      </c>
      <c r="E116" s="83">
        <f t="shared" si="0"/>
        <v>3.5648630473767797E-3</v>
      </c>
      <c r="F116" s="83">
        <f>IF(ISERROR(NORMSDIST(F115)),"",NORMSDIST(F115))</f>
        <v>0.62036462946388005</v>
      </c>
      <c r="J116" s="17" t="s">
        <v>341</v>
      </c>
    </row>
    <row r="117" spans="1:13" ht="12.75" customHeight="1">
      <c r="B117" s="61"/>
      <c r="C117" s="61"/>
      <c r="D117" s="61"/>
      <c r="E117" s="61"/>
      <c r="F117" s="61"/>
    </row>
    <row r="118" spans="1:13" ht="12.75" customHeight="1">
      <c r="A118" s="61" t="s">
        <v>667</v>
      </c>
      <c r="B118" s="61"/>
      <c r="C118" s="61"/>
      <c r="D118" s="61"/>
      <c r="E118" s="61"/>
      <c r="F118" s="61"/>
    </row>
    <row r="119" spans="1:13" ht="12.75" customHeight="1">
      <c r="A119" s="65" t="s">
        <v>35</v>
      </c>
      <c r="B119" s="84">
        <f>IF(ISERROR((Data!C150+Data!C149)/Data!B150-1),"",(Data!C150+Data!C149)/Data!B150-1)</f>
        <v>0.39156908665105372</v>
      </c>
      <c r="C119" s="84">
        <f>IF(ISERROR((Data!D150+Data!D149)/Data!C150-1),"",(Data!D150+Data!D149)/Data!C150-1)</f>
        <v>0.64557388084819922</v>
      </c>
      <c r="D119" s="84">
        <f>IF(ISERROR((Data!E150+Data!E149)/Data!D150-1),"",(Data!E150+Data!E149)/Data!D150-1)</f>
        <v>0.4702393127428921</v>
      </c>
      <c r="E119" s="84">
        <f>IF(ISERROR((Data!F150+Data!F149)/Data!E150-1),"",(Data!F150+Data!F149)/Data!E150-1)</f>
        <v>-0.18572621035058423</v>
      </c>
      <c r="F119" s="84">
        <f>IF(ISERROR((Data!G150+Data!G149)/Data!F150-1),"",(Data!G150+Data!G149)/Data!F150-1)</f>
        <v>0.32342388518708343</v>
      </c>
      <c r="J119" s="17" t="s">
        <v>342</v>
      </c>
    </row>
    <row r="120" spans="1:13" ht="12.75" customHeight="1">
      <c r="A120" s="65" t="s">
        <v>229</v>
      </c>
      <c r="B120" s="67">
        <f>IF(ISERROR(Data!C150/Data!C148),"",Data!C150/Data!C148)</f>
        <v>15.314432989690722</v>
      </c>
      <c r="C120" s="67">
        <f>IF(ISERROR(Data!D150/Data!D148),"",Data!D150/Data!D148)</f>
        <v>16.406040268456376</v>
      </c>
      <c r="D120" s="67">
        <f>IF(ISERROR(Data!E150/Data!E148),"",Data!E150/Data!E148)</f>
        <v>97.13513513513513</v>
      </c>
      <c r="E120" s="67">
        <f>IF(ISERROR(Data!F150/Data!F148),"",Data!F150/Data!F148)</f>
        <v>54.194444444444443</v>
      </c>
      <c r="F120" s="67">
        <f>IF(ISERROR(Data!G150/Data!G148),"",Data!G150/Data!G148)</f>
        <v>52.693877551020407</v>
      </c>
      <c r="J120" s="17" t="s">
        <v>343</v>
      </c>
    </row>
    <row r="121" spans="1:13" ht="12.75" customHeight="1">
      <c r="A121" s="65" t="s">
        <v>230</v>
      </c>
      <c r="B121" s="67">
        <f>IF(ISERROR(Data!C150/(Data!C148-Data!C144/Data!C147)),"",Data!C150/(Data!C148-Data!C144/Data!C147))</f>
        <v>15.314432989690722</v>
      </c>
      <c r="C121" s="67">
        <f>IF(ISERROR(Data!D150/(Data!D148-Data!D144/Data!D147)),"",Data!D150/(Data!D148-Data!D144/Data!D147))</f>
        <v>17.284571953718011</v>
      </c>
      <c r="D121" s="67">
        <f>IF(ISERROR(Data!E150/(Data!E148-Data!E144/Data!E147)),"",Data!E150/(Data!E148-Data!E144/Data!E147))</f>
        <v>93.563380888342238</v>
      </c>
      <c r="E121" s="67">
        <f>IF(ISERROR(Data!F150/(Data!F148-Data!F144/Data!F147)),"",Data!F150/(Data!F148-Data!F144/Data!F147))</f>
        <v>50.324946336296406</v>
      </c>
      <c r="F121" s="67">
        <f>IF(ISERROR(Data!G150/(Data!G148-Data!G144/Data!G147)),"",Data!G150/(Data!G148-Data!G144/Data!G147))</f>
        <v>50.918445703136406</v>
      </c>
      <c r="J121" s="17" t="s">
        <v>344</v>
      </c>
    </row>
    <row r="122" spans="1:13" ht="12.75" customHeight="1">
      <c r="A122" s="65" t="s">
        <v>110</v>
      </c>
      <c r="B122" s="67">
        <f>IF(ISERROR((Data!C147*Data!C150)/Data!C57),"",(Data!C147*Data!C150)/Data!C57)</f>
        <v>3.7764499627532784</v>
      </c>
      <c r="C122" s="67">
        <f>IF(ISERROR((Data!D147*Data!D150)/Data!D57),"",(Data!D147*Data!D150)/Data!D57)</f>
        <v>9.8530484345794385</v>
      </c>
      <c r="D122" s="67">
        <f>IF(ISERROR((Data!E147*Data!E150)/Data!E57),"",(Data!E147*Data!E150)/Data!E57)</f>
        <v>15.005881028527567</v>
      </c>
      <c r="E122" s="67">
        <f>IF(ISERROR((Data!F147*Data!F150)/Data!F57),"",(Data!F147*Data!F150)/Data!F57)</f>
        <v>-162.96655887784087</v>
      </c>
      <c r="F122" s="67">
        <f>IF(ISERROR((Data!G147*Data!G150)/Data!G57),"",(Data!G147*Data!G150)/Data!G57)</f>
        <v>-127.54489382822615</v>
      </c>
      <c r="J122" s="17" t="s">
        <v>345</v>
      </c>
    </row>
    <row r="123" spans="1:13" ht="12.75" customHeight="1">
      <c r="A123" s="373" t="s">
        <v>668</v>
      </c>
      <c r="B123" s="404">
        <f>Data!C149</f>
        <v>0</v>
      </c>
      <c r="C123" s="404">
        <f>Data!D149</f>
        <v>0</v>
      </c>
      <c r="D123" s="404">
        <f>Data!E149</f>
        <v>0</v>
      </c>
      <c r="E123" s="404">
        <f>Data!F149</f>
        <v>0</v>
      </c>
      <c r="F123" s="404">
        <f>Data!G149</f>
        <v>0</v>
      </c>
    </row>
    <row r="124" spans="1:13" ht="12.75" customHeight="1">
      <c r="A124" s="373" t="s">
        <v>669</v>
      </c>
      <c r="B124" s="84">
        <f>Data!C129/Data!C88</f>
        <v>0</v>
      </c>
      <c r="C124" s="84">
        <f>Data!D129/Data!D88</f>
        <v>0</v>
      </c>
      <c r="D124" s="84">
        <f>Data!E129/Data!E88</f>
        <v>0</v>
      </c>
      <c r="E124" s="84">
        <f>Data!F129/Data!F88</f>
        <v>0</v>
      </c>
      <c r="F124" s="84">
        <f>Data!G129/Data!G88</f>
        <v>0</v>
      </c>
    </row>
    <row r="125" spans="1:13" ht="12.75" customHeight="1">
      <c r="A125" s="373" t="s">
        <v>670</v>
      </c>
      <c r="B125" s="84">
        <f>Data!C149/Data!C150</f>
        <v>0</v>
      </c>
      <c r="C125" s="84">
        <f>Data!D149/Data!D150</f>
        <v>0</v>
      </c>
      <c r="D125" s="84">
        <f>Data!E149/Data!E150</f>
        <v>0</v>
      </c>
      <c r="E125" s="84">
        <f>Data!F149/Data!F150</f>
        <v>0</v>
      </c>
      <c r="F125" s="84">
        <f>Data!G149/Data!G150</f>
        <v>0</v>
      </c>
    </row>
    <row r="126" spans="1:13" ht="12.75" customHeight="1">
      <c r="A126" s="48"/>
      <c r="B126" s="48"/>
      <c r="C126" s="48"/>
      <c r="D126" s="48"/>
      <c r="E126" s="48"/>
      <c r="F126" s="48"/>
    </row>
    <row r="127" spans="1:13" ht="12.75" customHeight="1" thickBot="1">
      <c r="B127" s="48"/>
      <c r="C127" s="48"/>
      <c r="D127" s="48"/>
      <c r="E127" s="48"/>
      <c r="F127" s="48"/>
      <c r="L127" s="85"/>
      <c r="M127" s="85"/>
    </row>
    <row r="128" spans="1:13" ht="12.75" customHeight="1" thickBot="1">
      <c r="A128" s="78" t="s">
        <v>33</v>
      </c>
      <c r="B128" s="79"/>
      <c r="C128" s="79"/>
      <c r="D128" s="79"/>
      <c r="E128" s="79"/>
      <c r="F128" s="80"/>
      <c r="J128" s="61" t="s">
        <v>490</v>
      </c>
    </row>
    <row r="129" spans="1:13" ht="12.75" customHeight="1" thickBot="1">
      <c r="A129" s="62" t="s">
        <v>18</v>
      </c>
      <c r="B129" s="63">
        <f>Data!$C$11</f>
        <v>2019</v>
      </c>
      <c r="C129" s="63">
        <f>Data!$D$11</f>
        <v>2020</v>
      </c>
      <c r="D129" s="63">
        <f>Data!$E$11</f>
        <v>2021</v>
      </c>
      <c r="E129" s="63">
        <f>Data!$F$11</f>
        <v>2022</v>
      </c>
      <c r="F129" s="63">
        <f>Data!$G$11</f>
        <v>2023</v>
      </c>
    </row>
    <row r="130" spans="1:13" ht="12.75" customHeight="1">
      <c r="A130" s="56"/>
      <c r="B130" s="48"/>
      <c r="C130" s="48"/>
      <c r="D130" s="48"/>
      <c r="E130" s="48"/>
      <c r="F130" s="48"/>
    </row>
    <row r="131" spans="1:13" ht="12.75" customHeight="1">
      <c r="A131" s="386" t="str">
        <f>Data!A65</f>
        <v>Revenues</v>
      </c>
      <c r="B131" s="387">
        <f>IF(Data!C65/Data!C$65=0,"",Data!C65/Data!C$65)</f>
        <v>1</v>
      </c>
      <c r="C131" s="387">
        <f>IF(Data!D65/Data!D$65=0,"",Data!D65/Data!D$65)</f>
        <v>1</v>
      </c>
      <c r="D131" s="387">
        <f>IF(Data!E65/Data!E$65=0,"",Data!E65/Data!E$65)</f>
        <v>1</v>
      </c>
      <c r="E131" s="387">
        <f>IF(Data!F65/Data!F$65=0,"",Data!F65/Data!F$65)</f>
        <v>1</v>
      </c>
      <c r="F131" s="387">
        <f>IF(Data!G65/Data!G$65=0,"",Data!G65/Data!G$65)</f>
        <v>1</v>
      </c>
      <c r="J131" s="17" t="s">
        <v>346</v>
      </c>
      <c r="L131" s="85"/>
      <c r="M131" s="85"/>
    </row>
    <row r="132" spans="1:13" ht="12.75" customHeight="1">
      <c r="A132" s="65" t="str">
        <f>Data!A66</f>
        <v>&lt;Cost of goods sold&gt;</v>
      </c>
      <c r="B132" s="86">
        <f>IF(Data!C66/Data!C$65=0,"",Data!C66/Data!C$65)</f>
        <v>-0.23388811835413775</v>
      </c>
      <c r="C132" s="86">
        <f>IF(Data!D66/Data!D$65=0,"",Data!D66/Data!D$65)</f>
        <v>-0.21970397779833487</v>
      </c>
      <c r="D132" s="86">
        <f>IF(Data!E66/Data!E$65=0,"",Data!E66/Data!E$65)</f>
        <v>-0.23427682364909341</v>
      </c>
      <c r="E132" s="86">
        <f>IF(Data!F66/Data!F$65=0,"",Data!F66/Data!F$65)</f>
        <v>-0.2455969574863042</v>
      </c>
      <c r="F132" s="86">
        <f>IF(Data!G66/Data!G$65=0,"",Data!G66/Data!G$65)</f>
        <v>-0.23322274166792339</v>
      </c>
    </row>
    <row r="133" spans="1:13" ht="12.75" customHeight="1">
      <c r="A133" s="386" t="str">
        <f>Data!A67</f>
        <v xml:space="preserve">  Gross Profit</v>
      </c>
      <c r="B133" s="387">
        <f>IF(Data!C67/Data!C$65=0,"",Data!C67/Data!C$65)</f>
        <v>0.76611188164586219</v>
      </c>
      <c r="C133" s="387">
        <f>IF(Data!D67/Data!D$65=0,"",Data!D67/Data!D$65)</f>
        <v>0.78029602220166516</v>
      </c>
      <c r="D133" s="387">
        <f>IF(Data!E67/Data!E$65=0,"",Data!E67/Data!E$65)</f>
        <v>0.76572317635090659</v>
      </c>
      <c r="E133" s="387">
        <f>IF(Data!F67/Data!F$65=0,"",Data!F67/Data!F$65)</f>
        <v>0.75440304251369583</v>
      </c>
      <c r="F133" s="387">
        <f>IF(Data!G67/Data!G$65=0,"",Data!G67/Data!G$65)</f>
        <v>0.76677725833207666</v>
      </c>
    </row>
    <row r="134" spans="1:13" ht="12.75" customHeight="1">
      <c r="A134" s="65" t="str">
        <f>Data!A68</f>
        <v>&lt;Research and Development&gt;</v>
      </c>
      <c r="B134" s="86">
        <f>IF(Data!C68/Data!C$65=0,"",Data!C68/Data!C$65)</f>
        <v>-0.11861611958699338</v>
      </c>
      <c r="C134" s="86">
        <f>IF(Data!D68/Data!D$65=0,"",Data!D68/Data!D$65)</f>
        <v>-0.122751567478672</v>
      </c>
      <c r="D134" s="86">
        <f>IF(Data!E68/Data!E$65=0,"",Data!E68/Data!E$65)</f>
        <v>-0.11850477729240222</v>
      </c>
      <c r="E134" s="86">
        <f>IF(Data!F68/Data!F$65=0,"",Data!F68/Data!F$65)</f>
        <v>-0.10812544332261814</v>
      </c>
      <c r="F134" s="86">
        <f>IF(Data!G68/Data!G$65=0,"",Data!G68/Data!G$65)</f>
        <v>-0.10858090785703513</v>
      </c>
    </row>
    <row r="135" spans="1:13" ht="12.75" customHeight="1">
      <c r="A135" s="65" t="str">
        <f>Data!A69</f>
        <v>&lt;Sles and Marketing&gt;</v>
      </c>
      <c r="B135" s="86">
        <f>IF(Data!C69/Data!C$65=0,"",Data!C69/Data!C$65)</f>
        <v>-0.41903220835259669</v>
      </c>
      <c r="C135" s="86">
        <f>IF(Data!D69/Data!D$65=0,"",Data!D69/Data!D$65)</f>
        <v>-0.40431956007811698</v>
      </c>
      <c r="D135" s="86">
        <f>IF(Data!E69/Data!E$65=0,"",Data!E69/Data!E$65)</f>
        <v>-0.39422137115273376</v>
      </c>
      <c r="E135" s="86">
        <f>IF(Data!F69/Data!F$65=0,"",Data!F69/Data!F$65)</f>
        <v>-0.37382472344214546</v>
      </c>
      <c r="F135" s="86">
        <f>IF(Data!G69/Data!G$65=0,"",Data!G69/Data!G$65)</f>
        <v>-0.37102247021565377</v>
      </c>
    </row>
    <row r="136" spans="1:13" ht="12.75" customHeight="1">
      <c r="A136" s="65" t="str">
        <f>Data!A70</f>
        <v>&lt;Depreciation and Amortization&gt;</v>
      </c>
      <c r="B136" s="86">
        <f>IF(Data!C70/Data!C$65=0,"",Data!C70/Data!C$65)</f>
        <v>-2.84789644012945E-2</v>
      </c>
      <c r="C136" s="86">
        <f>IF(Data!D70/Data!D$65=0,"",Data!D70/Data!D$65)</f>
        <v>-2.6518655565834104E-2</v>
      </c>
      <c r="D136" s="86">
        <f>IF(Data!E70/Data!E$65=0,"",Data!E70/Data!E$65)</f>
        <v>-2.5252827478906111E-2</v>
      </c>
      <c r="E136" s="86">
        <f>IF(Data!F70/Data!F$65=0,"",Data!F70/Data!F$65)</f>
        <v>-2.3611173993751983E-2</v>
      </c>
      <c r="F136" s="86">
        <f>IF(Data!G70/Data!G$65=0,"",Data!G70/Data!G$65)</f>
        <v>-2.1376866234353795E-2</v>
      </c>
    </row>
    <row r="137" spans="1:13" ht="12.75" customHeight="1">
      <c r="A137" s="65" t="str">
        <f>Data!A71</f>
        <v>&lt;Selling, General and Administrative Expenses&gt;</v>
      </c>
      <c r="B137" s="86">
        <f>IF(Data!C71/Data!C$65=0,"",Data!C71/Data!C$65)</f>
        <v>-3.7709970719679457E-2</v>
      </c>
      <c r="C137" s="86">
        <f>IF(Data!D71/Data!D$65=0,"",Data!D71/Data!D$65)</f>
        <v>-3.7221194367355326E-2</v>
      </c>
      <c r="D137" s="86">
        <f>IF(Data!E71/Data!E$65=0,"",Data!E71/Data!E$65)</f>
        <v>-3.4518181636845988E-2</v>
      </c>
      <c r="E137" s="86">
        <f>IF(Data!F71/Data!F$65=0,"",Data!F71/Data!F$65)</f>
        <v>-3.0387407373870006E-2</v>
      </c>
      <c r="F137" s="86">
        <f>IF(Data!G71/Data!G$65=0,"",Data!G71/Data!G$65)</f>
        <v>-3.2706228321520134E-2</v>
      </c>
    </row>
    <row r="138" spans="1:13" ht="12.75" customHeight="1">
      <c r="A138" s="65" t="str">
        <f>Data!A72</f>
        <v>Other operating expenses (1)</v>
      </c>
      <c r="B138" s="86" t="str">
        <f>IF(Data!C72/Data!C$65=0,"",Data!C72/Data!C$65)</f>
        <v/>
      </c>
      <c r="C138" s="86" t="str">
        <f>IF(Data!D72/Data!D$65=0,"",Data!D72/Data!D$65)</f>
        <v/>
      </c>
      <c r="D138" s="86" t="str">
        <f>IF(Data!E72/Data!E$65=0,"",Data!E72/Data!E$65)</f>
        <v/>
      </c>
      <c r="E138" s="86" t="str">
        <f>IF(Data!F72/Data!F$65=0,"",Data!F72/Data!F$65)</f>
        <v/>
      </c>
      <c r="F138" s="86" t="str">
        <f>IF(Data!G72/Data!G$65=0,"",Data!G72/Data!G$65)</f>
        <v/>
      </c>
    </row>
    <row r="139" spans="1:13" ht="12.75" customHeight="1">
      <c r="A139" s="65" t="str">
        <f>Data!A73</f>
        <v>Other operating expenses (2)</v>
      </c>
      <c r="B139" s="86" t="str">
        <f>IF(Data!C73/Data!C$65=0,"",Data!C73/Data!C$65)</f>
        <v/>
      </c>
      <c r="C139" s="86" t="str">
        <f>IF(Data!D73/Data!D$65=0,"",Data!D73/Data!D$65)</f>
        <v/>
      </c>
      <c r="D139" s="86" t="str">
        <f>IF(Data!E73/Data!E$65=0,"",Data!E73/Data!E$65)</f>
        <v/>
      </c>
      <c r="E139" s="86" t="str">
        <f>IF(Data!F73/Data!F$65=0,"",Data!F73/Data!F$65)</f>
        <v/>
      </c>
      <c r="F139" s="86" t="str">
        <f>IF(Data!G73/Data!G$65=0,"",Data!G73/Data!G$65)</f>
        <v/>
      </c>
    </row>
    <row r="140" spans="1:13" ht="12.75" customHeight="1">
      <c r="A140" s="65" t="str">
        <f>Data!A74</f>
        <v>Income from equity investees</v>
      </c>
      <c r="B140" s="86" t="str">
        <f>IF(Data!C74/Data!C$65=0,"",Data!C74/Data!C$65)</f>
        <v/>
      </c>
      <c r="C140" s="86" t="str">
        <f>IF(Data!D74/Data!D$65=0,"",Data!D74/Data!D$65)</f>
        <v/>
      </c>
      <c r="D140" s="86" t="str">
        <f>IF(Data!E74/Data!E$65=0,"",Data!E74/Data!E$65)</f>
        <v/>
      </c>
      <c r="E140" s="86" t="str">
        <f>IF(Data!F74/Data!F$65=0,"",Data!F74/Data!F$65)</f>
        <v/>
      </c>
      <c r="F140" s="86" t="str">
        <f>IF(Data!G74/Data!G$65=0,"",Data!G74/Data!G$65)</f>
        <v/>
      </c>
    </row>
    <row r="141" spans="1:13" ht="12.75" customHeight="1">
      <c r="A141" s="65" t="str">
        <f>Data!A75</f>
        <v>Gain on intellectual property matter</v>
      </c>
      <c r="B141" s="86" t="str">
        <f>IF(Data!C75/Data!C$65=0,"",Data!C75/Data!C$65)</f>
        <v/>
      </c>
      <c r="C141" s="86">
        <f>IF(Data!D75/Data!D$65=0,"",Data!D75/Data!D$65)</f>
        <v>1.5494912118408881E-2</v>
      </c>
      <c r="D141" s="86">
        <f>IF(Data!E75/Data!E$65=0,"",Data!E75/Data!E$65)</f>
        <v>1.3763389384237926E-3</v>
      </c>
      <c r="E141" s="86">
        <f>IF(Data!F75/Data!F$65=0,"",Data!F75/Data!F$65)</f>
        <v>1.0413365328021007E-3</v>
      </c>
      <c r="F141" s="86">
        <f>IF(Data!G75/Data!G$65=0,"",Data!G75/Data!G$65)</f>
        <v>8.6713919469159993E-4</v>
      </c>
    </row>
    <row r="142" spans="1:13" ht="12.75" customHeight="1">
      <c r="A142" s="386" t="str">
        <f>Data!A76</f>
        <v xml:space="preserve">  Operating Income</v>
      </c>
      <c r="B142" s="387">
        <f>IF(Data!C76/Data!C$65=0,"",Data!C76/Data!C$65)</f>
        <v>0.16227461858529818</v>
      </c>
      <c r="C142" s="387">
        <f>IF(Data!D76/Data!D$65=0,"",Data!D76/Data!D$65)</f>
        <v>0.20497995683009562</v>
      </c>
      <c r="D142" s="387">
        <f>IF(Data!E76/Data!E$65=0,"",Data!E76/Data!E$65)</f>
        <v>0.19460235772844234</v>
      </c>
      <c r="E142" s="387">
        <f>IF(Data!F76/Data!F$65=0,"",Data!F76/Data!F$65)</f>
        <v>0.21949563091411234</v>
      </c>
      <c r="F142" s="387">
        <f>IF(Data!G76/Data!G$65=0,"",Data!G76/Data!G$65)</f>
        <v>0.23395792489820541</v>
      </c>
    </row>
    <row r="143" spans="1:13" ht="12.75" customHeight="1">
      <c r="A143" s="65" t="str">
        <f>Data!A77</f>
        <v>Interest income - NET</v>
      </c>
      <c r="B143" s="86">
        <f>IF(Data!C77/Data!C$65=0,"",Data!C77/Data!C$65)</f>
        <v>1.9648636153490523E-2</v>
      </c>
      <c r="C143" s="86">
        <f>IF(Data!D77/Data!D$65=0,"",Data!D77/Data!D$65)</f>
        <v>6.8223866790009247E-3</v>
      </c>
      <c r="D143" s="86">
        <f>IF(Data!E77/Data!E$65=0,"",Data!E77/Data!E$65)</f>
        <v>-3.1117228173059663E-3</v>
      </c>
      <c r="E143" s="86">
        <f>IF(Data!F77/Data!F$65=0,"",Data!F77/Data!F$65)</f>
        <v>-1.3582650427853489E-4</v>
      </c>
      <c r="F143" s="86">
        <f>IF(Data!G77/Data!G$65=0,"",Data!G77/Data!G$65)</f>
        <v>1.8605790981752374E-2</v>
      </c>
    </row>
    <row r="144" spans="1:13" ht="12.75" customHeight="1">
      <c r="A144" s="65" t="str">
        <f>Data!A78</f>
        <v>Other expense - NET</v>
      </c>
      <c r="B144" s="86">
        <f>IF(Data!C78/Data!C$65=0,"",Data!C78/Data!C$65)</f>
        <v>-3.4674063800277394E-3</v>
      </c>
      <c r="C144" s="86">
        <f>IF(Data!D78/Data!D$65=0,"",Data!D78/Data!D$65)</f>
        <v>-3.0064754856614245E-3</v>
      </c>
      <c r="D144" s="86">
        <f>IF(Data!E78/Data!E$65=0,"",Data!E78/Data!E$65)</f>
        <v>-3.470767757764347E-3</v>
      </c>
      <c r="E144" s="86">
        <f>IF(Data!F78/Data!F$65=0,"",Data!F78/Data!F$65)</f>
        <v>-3.0560963462670353E-3</v>
      </c>
      <c r="F144" s="86">
        <f>IF(Data!G78/Data!G$65=0,"",Data!G78/Data!G$65)</f>
        <v>-1.1499019755692955E-3</v>
      </c>
    </row>
    <row r="145" spans="1:10" ht="12.75" customHeight="1">
      <c r="A145" s="65" t="str">
        <f>Data!A79</f>
        <v>Income &lt;Loss&gt; from equity affiliates</v>
      </c>
      <c r="B145" s="86" t="str">
        <f>IF(Data!C79/Data!C$65=0,"",Data!C79/Data!C$65)</f>
        <v/>
      </c>
      <c r="C145" s="86" t="str">
        <f>IF(Data!D79/Data!D$65=0,"",Data!D79/Data!D$65)</f>
        <v/>
      </c>
      <c r="D145" s="86" t="str">
        <f>IF(Data!E79/Data!E$65=0,"",Data!E79/Data!E$65)</f>
        <v/>
      </c>
      <c r="E145" s="86" t="str">
        <f>IF(Data!F79/Data!F$65=0,"",Data!F79/Data!F$65)</f>
        <v/>
      </c>
      <c r="F145" s="86" t="str">
        <f>IF(Data!G79/Data!G$65=0,"",Data!G79/Data!G$65)</f>
        <v/>
      </c>
    </row>
    <row r="146" spans="1:10" ht="12.75" customHeight="1">
      <c r="A146" s="65" t="str">
        <f>Data!A80</f>
        <v>Other income or gains &lt;Other expenses or losses&gt;</v>
      </c>
      <c r="B146" s="86" t="str">
        <f>IF(Data!C80/Data!C$65=0,"",Data!C80/Data!C$65)</f>
        <v/>
      </c>
      <c r="C146" s="86" t="str">
        <f>IF(Data!D80/Data!D$65=0,"",Data!D80/Data!D$65)</f>
        <v/>
      </c>
      <c r="D146" s="86" t="str">
        <f>IF(Data!E80/Data!E$65=0,"",Data!E80/Data!E$65)</f>
        <v/>
      </c>
      <c r="E146" s="86" t="str">
        <f>IF(Data!F80/Data!F$65=0,"",Data!F80/Data!F$65)</f>
        <v/>
      </c>
      <c r="F146" s="86" t="str">
        <f>IF(Data!G80/Data!G$65=0,"",Data!G80/Data!G$65)</f>
        <v/>
      </c>
    </row>
    <row r="147" spans="1:10" ht="12.75" customHeight="1">
      <c r="A147" s="386" t="str">
        <f>Data!A81</f>
        <v xml:space="preserve">  Income before Tax</v>
      </c>
      <c r="B147" s="387">
        <f>IF(Data!C81/Data!C$65=0,"",Data!C81/Data!C$65)</f>
        <v>0.17845584835876097</v>
      </c>
      <c r="C147" s="387">
        <f>IF(Data!D81/Data!D$65=0,"",Data!D81/Data!D$65)</f>
        <v>0.20879586802343514</v>
      </c>
      <c r="D147" s="387">
        <f>IF(Data!E81/Data!E$65=0,"",Data!E81/Data!E$65)</f>
        <v>0.18801986715337204</v>
      </c>
      <c r="E147" s="387">
        <f>IF(Data!F81/Data!F$65=0,"",Data!F81/Data!F$65)</f>
        <v>0.21630370806356677</v>
      </c>
      <c r="F147" s="387">
        <f>IF(Data!G81/Data!G$65=0,"",Data!G81/Data!G$65)</f>
        <v>0.25141381390438849</v>
      </c>
    </row>
    <row r="148" spans="1:10" ht="12.75" customHeight="1">
      <c r="A148" s="65" t="str">
        <f>Data!A82</f>
        <v>Provision for (Benefit from) Income Taxes (+Benefit, - Provision)</v>
      </c>
      <c r="B148" s="86">
        <f>IF(Data!C82/Data!C$65=0,"",Data!C82/Data!C$65)</f>
        <v>-2.5104022191400829E-2</v>
      </c>
      <c r="C148" s="86">
        <f>IF(Data!D82/Data!D$65=0,"",Data!D82/Data!D$65)</f>
        <v>-2.0505704594511256E-2</v>
      </c>
      <c r="D148" s="86">
        <f>IF(Data!E82/Data!E$65=0,"",Data!E82/Data!E$65)</f>
        <v>-4.2187780503859735E-3</v>
      </c>
      <c r="E148" s="86">
        <f>IF(Data!F82/Data!F$65=0,"",Data!F82/Data!F$65)</f>
        <v>-6.9724272196314578E-3</v>
      </c>
      <c r="F148" s="86">
        <f>IF(Data!G82/Data!G$65=0,"",Data!G82/Data!G$65)</f>
        <v>-2.7107525260141759E-2</v>
      </c>
    </row>
    <row r="149" spans="1:10" ht="12.75" customHeight="1">
      <c r="A149" s="65" t="str">
        <f>Data!A83</f>
        <v>Income &lt;Loss&gt; from discontinued operations (+Income, - Loss)</v>
      </c>
      <c r="B149" s="86" t="str">
        <f>IF(Data!C83/Data!C$65=0,"",Data!C83/Data!C$65)</f>
        <v/>
      </c>
      <c r="C149" s="86" t="str">
        <f>IF(Data!D83/Data!D$65=0,"",Data!D83/Data!D$65)</f>
        <v/>
      </c>
      <c r="D149" s="86">
        <f>IF(Data!E83/Data!E$65=0,"",Data!E83/Data!E$65)</f>
        <v>-2.2739512895697447E-3</v>
      </c>
      <c r="E149" s="86">
        <f>IF(Data!F83/Data!F$65=0,"",Data!F83/Data!F$65)</f>
        <v>-1.5416308235613709E-2</v>
      </c>
      <c r="F149" s="86">
        <f>IF(Data!G83/Data!G$65=0,"",Data!G83/Data!G$65)</f>
        <v>-7.9362087166339919E-3</v>
      </c>
    </row>
    <row r="150" spans="1:10" ht="12.75" customHeight="1">
      <c r="A150" s="65" t="str">
        <f>Data!A84</f>
        <v>Extraordinary gains &lt;losses&gt;</v>
      </c>
      <c r="B150" s="86" t="str">
        <f>IF(Data!C84/Data!C$65=0,"",Data!C84/Data!C$65)</f>
        <v/>
      </c>
      <c r="C150" s="86" t="str">
        <f>IF(Data!D84/Data!D$65=0,"",Data!D84/Data!D$65)</f>
        <v/>
      </c>
      <c r="D150" s="86" t="str">
        <f>IF(Data!E84/Data!E$65=0,"",Data!E84/Data!E$65)</f>
        <v/>
      </c>
      <c r="E150" s="86" t="str">
        <f>IF(Data!F84/Data!F$65=0,"",Data!F84/Data!F$65)</f>
        <v/>
      </c>
      <c r="F150" s="86" t="str">
        <f>IF(Data!G84/Data!G$65=0,"",Data!G84/Data!G$65)</f>
        <v/>
      </c>
    </row>
    <row r="151" spans="1:10" ht="12.75" customHeight="1">
      <c r="A151" s="65" t="str">
        <f>Data!A85</f>
        <v>Changes in accounting principles</v>
      </c>
      <c r="B151" s="86" t="str">
        <f>IF(Data!C85/Data!C$65=0,"",Data!C85/Data!C$65)</f>
        <v/>
      </c>
      <c r="C151" s="86" t="str">
        <f>IF(Data!D85/Data!D$65=0,"",Data!D85/Data!D$65)</f>
        <v/>
      </c>
      <c r="D151" s="86" t="str">
        <f>IF(Data!E85/Data!E$65=0,"",Data!E85/Data!E$65)</f>
        <v/>
      </c>
      <c r="E151" s="86" t="str">
        <f>IF(Data!F85/Data!F$65=0,"",Data!F85/Data!F$65)</f>
        <v/>
      </c>
      <c r="F151" s="86" t="str">
        <f>IF(Data!G85/Data!G$65=0,"",Data!G85/Data!G$65)</f>
        <v/>
      </c>
    </row>
    <row r="152" spans="1:10" ht="12.75" customHeight="1">
      <c r="A152" s="386" t="str">
        <f>Data!A86</f>
        <v xml:space="preserve">  Net Income </v>
      </c>
      <c r="B152" s="387">
        <f>IF(Data!C86/Data!C$65=0,"",Data!C86/Data!C$65)</f>
        <v>0.15335182616736012</v>
      </c>
      <c r="C152" s="387">
        <f>IF(Data!D86/Data!D$65=0,"",Data!D86/Data!D$65)</f>
        <v>0.18829016342892391</v>
      </c>
      <c r="D152" s="387">
        <f>IF(Data!E86/Data!E$65=0,"",Data!E86/Data!E$65)</f>
        <v>0.18152713781341631</v>
      </c>
      <c r="E152" s="387">
        <f>IF(Data!F86/Data!F$65=0,"",Data!F86/Data!F$65)</f>
        <v>0.19391497260832161</v>
      </c>
      <c r="F152" s="387">
        <f>IF(Data!G86/Data!G$65=0,"",Data!G86/Data!G$65)</f>
        <v>0.21637007992761279</v>
      </c>
    </row>
    <row r="153" spans="1:10" ht="12.75" customHeight="1">
      <c r="A153" s="373" t="str">
        <f>Data!A87</f>
        <v>Less: Net loss attributable to non-controlling interestsm net of tax (- and loss = +)</v>
      </c>
      <c r="B153" s="385" t="str">
        <f>IF(Data!C87/Data!C$65=0,"",Data!C87/Data!C$65)</f>
        <v/>
      </c>
      <c r="C153" s="385" t="str">
        <f>IF(Data!D87/Data!D$65=0,"",Data!D87/Data!D$65)</f>
        <v/>
      </c>
      <c r="D153" s="385">
        <f>IF(Data!E87/Data!E$65=0,"",Data!E87/Data!E$65)</f>
        <v>2.9920411704865063E-5</v>
      </c>
      <c r="E153" s="385">
        <f>IF(Data!F87/Data!F$65=0,"",Data!F87/Data!F$65)</f>
        <v>1.5846425499162404E-4</v>
      </c>
      <c r="F153" s="385" t="str">
        <f>IF(Data!G87/Data!G$65=0,"",Data!G87/Data!G$65)</f>
        <v/>
      </c>
      <c r="G153" s="87"/>
    </row>
    <row r="154" spans="1:10" ht="12.75" customHeight="1">
      <c r="A154" s="386" t="str">
        <f>Data!A88</f>
        <v xml:space="preserve">  Net Income attributable to common shareholders</v>
      </c>
      <c r="B154" s="387">
        <f>IF(Data!C88/Data!C$65=0,"",Data!C88/Data!C$65)</f>
        <v>0.15335182616736012</v>
      </c>
      <c r="C154" s="387">
        <f>IF(Data!D88/Data!D$65=0,"",Data!D88/Data!D$65)</f>
        <v>0.18829016342892391</v>
      </c>
      <c r="D154" s="387">
        <f>IF(Data!E88/Data!E$65=0,"",Data!E88/Data!E$65)</f>
        <v>0.18155705822512117</v>
      </c>
      <c r="E154" s="387">
        <f>IF(Data!F88/Data!F$65=0,"",Data!F88/Data!F$65)</f>
        <v>0.19407343686331324</v>
      </c>
      <c r="F154" s="387">
        <f>IF(Data!G88/Data!G$65=0,"",Data!G88/Data!G$65)</f>
        <v>0.21637007992761279</v>
      </c>
      <c r="H154" s="87"/>
    </row>
    <row r="155" spans="1:10" ht="12.75" customHeight="1">
      <c r="A155" s="77"/>
      <c r="B155" s="66"/>
      <c r="C155" s="66"/>
      <c r="D155" s="66"/>
      <c r="E155" s="66"/>
      <c r="F155" s="66"/>
    </row>
    <row r="156" spans="1:10" ht="12.75" customHeight="1">
      <c r="A156" s="373" t="e">
        <f>Data!#REF!</f>
        <v>#REF!</v>
      </c>
      <c r="B156" s="385" t="e">
        <f>IF(Data!#REF!/Data!C$65=0,"",Data!#REF!/Data!C$65)</f>
        <v>#REF!</v>
      </c>
      <c r="C156" s="385" t="e">
        <f>IF(Data!#REF!/Data!D$65=0,"",Data!#REF!/Data!D$65)</f>
        <v>#REF!</v>
      </c>
      <c r="D156" s="385" t="e">
        <f>IF(Data!#REF!/Data!E$65=0,"",Data!#REF!/Data!E$65)</f>
        <v>#REF!</v>
      </c>
      <c r="E156" s="385" t="e">
        <f>IF(Data!#REF!/Data!F$65=0,"",Data!#REF!/Data!F$65)</f>
        <v>#REF!</v>
      </c>
      <c r="F156" s="385" t="e">
        <f>IF(Data!#REF!/Data!G$65=0,"",Data!#REF!/Data!G$65)</f>
        <v>#REF!</v>
      </c>
    </row>
    <row r="157" spans="1:10" ht="12.75" customHeight="1">
      <c r="A157" s="386" t="str">
        <f>Data!A92</f>
        <v>Comprehensive Income</v>
      </c>
      <c r="B157" s="387">
        <f>IF(Data!C92/Data!C$65=0,"",Data!C92/Data!C$65)</f>
        <v>0.15427646786870083</v>
      </c>
      <c r="C157" s="387">
        <f>IF(Data!D92/Data!D$65=0,"",Data!D92/Data!D$65)</f>
        <v>0.18813598519888999</v>
      </c>
      <c r="D157" s="387">
        <f>IF(Data!E92/Data!E$65=0,"",Data!E92/Data!E$65)</f>
        <v>0.17991143558135358</v>
      </c>
      <c r="E157" s="387">
        <f>IF(Data!F92/Data!F$65=0,"",Data!F92/Data!F$65)</f>
        <v>0.1905872232534975</v>
      </c>
      <c r="F157" s="387">
        <f>IF(Data!G92/Data!G$65=0,"",Data!G92/Data!G$65)</f>
        <v>0.21661514100437346</v>
      </c>
    </row>
    <row r="158" spans="1:10" ht="12.75" customHeight="1">
      <c r="A158" s="381"/>
      <c r="B158" s="382"/>
      <c r="C158" s="382"/>
      <c r="D158" s="382"/>
      <c r="E158" s="382"/>
      <c r="F158" s="382"/>
    </row>
    <row r="159" spans="1:10" ht="12.75" customHeight="1" thickBot="1">
      <c r="A159" s="383"/>
      <c r="B159" s="384"/>
      <c r="C159" s="384"/>
      <c r="D159" s="384"/>
      <c r="E159" s="384"/>
      <c r="F159" s="384"/>
    </row>
    <row r="160" spans="1:10" ht="12.75" customHeight="1" thickBot="1">
      <c r="A160" s="78" t="s">
        <v>20</v>
      </c>
      <c r="B160" s="79"/>
      <c r="C160" s="79"/>
      <c r="D160" s="79"/>
      <c r="E160" s="79"/>
      <c r="F160" s="79"/>
      <c r="G160" s="80"/>
      <c r="J160" s="61" t="s">
        <v>491</v>
      </c>
    </row>
    <row r="161" spans="1:10" ht="12.75" customHeight="1" thickBot="1">
      <c r="A161" s="62" t="s">
        <v>18</v>
      </c>
      <c r="B161" s="63">
        <f>Data!$C$11</f>
        <v>2019</v>
      </c>
      <c r="C161" s="63">
        <f>Data!$D$11</f>
        <v>2020</v>
      </c>
      <c r="D161" s="63">
        <f>Data!$E$11</f>
        <v>2021</v>
      </c>
      <c r="E161" s="63">
        <f>Data!$F$11</f>
        <v>2022</v>
      </c>
      <c r="F161" s="63">
        <f>Data!$G$11</f>
        <v>2023</v>
      </c>
      <c r="G161" s="63"/>
    </row>
    <row r="162" spans="1:10" ht="12.75" customHeight="1">
      <c r="B162" s="48"/>
      <c r="C162" s="48"/>
      <c r="D162" s="48"/>
      <c r="E162" s="48"/>
      <c r="F162" s="48"/>
      <c r="G162" s="88" t="s">
        <v>446</v>
      </c>
    </row>
    <row r="163" spans="1:10" ht="12.75" customHeight="1">
      <c r="A163" s="56"/>
      <c r="B163" s="89"/>
      <c r="C163" s="90"/>
      <c r="D163" s="90"/>
      <c r="E163" s="48"/>
      <c r="F163" s="48"/>
      <c r="G163" s="88" t="s">
        <v>447</v>
      </c>
    </row>
    <row r="164" spans="1:10" ht="12.75" customHeight="1">
      <c r="A164" s="48"/>
      <c r="B164" s="91" t="s">
        <v>352</v>
      </c>
      <c r="C164" s="92"/>
      <c r="D164" s="89"/>
      <c r="E164" s="48"/>
      <c r="F164" s="48"/>
      <c r="G164" s="88" t="s">
        <v>448</v>
      </c>
    </row>
    <row r="165" spans="1:10" ht="12.75" customHeight="1">
      <c r="A165" s="386" t="str">
        <f>Data!A65</f>
        <v>Revenues</v>
      </c>
      <c r="B165" s="389">
        <f>IF(ISERROR(Data!C65/Data!B65-1),"",Data!C65/Data!B65-1)</f>
        <v>0.19860356865787443</v>
      </c>
      <c r="C165" s="389">
        <f>IF(ISERROR(Data!D65/Data!C65-1),"",Data!D65/Data!C65-1)</f>
        <v>0.19944521497919565</v>
      </c>
      <c r="D165" s="389">
        <f>IF(ISERROR(Data!E65/Data!D65-1),"",Data!E65/Data!D65-1)</f>
        <v>0.28823620104841186</v>
      </c>
      <c r="E165" s="389">
        <f>IF(ISERROR(Data!F65/Data!E65-1),"",Data!F65/Data!E65-1)</f>
        <v>0.32170426665070906</v>
      </c>
      <c r="F165" s="389">
        <f>IF(ISERROR(Data!G65/Data!F65-1),"",Data!G65/Data!F65-1)</f>
        <v>0.20088739982795323</v>
      </c>
      <c r="G165" s="389">
        <f>IF(ISERROR((Data!G65/Data!B65)^(1/5)-1),"",(Data!G65/Data!B65)^(1/5)-1)</f>
        <v>0.2406738036803846</v>
      </c>
      <c r="J165" s="17" t="s">
        <v>347</v>
      </c>
    </row>
    <row r="166" spans="1:10" ht="12.75" customHeight="1">
      <c r="A166" s="65" t="str">
        <f>Data!A66</f>
        <v>&lt;Cost of goods sold&gt;</v>
      </c>
      <c r="B166" s="26">
        <f>IF(ISERROR(Data!C66/Data!B66-1),"",Data!C66/Data!B66-1)</f>
        <v>0.1232238010657194</v>
      </c>
      <c r="C166" s="26">
        <f>IF(ISERROR(Data!D66/Data!C66-1),"",Data!D66/Data!C66-1)</f>
        <v>0.12670488238782363</v>
      </c>
      <c r="D166" s="26">
        <f>IF(ISERROR(Data!E66/Data!D66-1),"",Data!E66/Data!D66-1)</f>
        <v>0.37368421052631584</v>
      </c>
      <c r="E166" s="26">
        <f>IF(ISERROR(Data!F66/Data!E66-1),"",Data!F66/Data!E66-1)</f>
        <v>0.38556832694763732</v>
      </c>
      <c r="F166" s="26">
        <f>IF(ISERROR(Data!G66/Data!F66-1),"",Data!G66/Data!F66-1)</f>
        <v>0.14038160199096694</v>
      </c>
      <c r="G166" s="26">
        <f>IF(ISERROR((Data!G66/Data!B66)^(1/5)-1),"",(Data!G66/Data!B66)^(1/5)-1)</f>
        <v>0.22396304641515097</v>
      </c>
      <c r="J166" s="17" t="s">
        <v>348</v>
      </c>
    </row>
    <row r="167" spans="1:10" ht="12.75" customHeight="1">
      <c r="A167" s="386" t="str">
        <f>Data!A67</f>
        <v xml:space="preserve">  Gross Profit</v>
      </c>
      <c r="B167" s="389">
        <f>IF(ISERROR(Data!C67/Data!B67-1),"",Data!C67/Data!B67-1)</f>
        <v>0.22367449416629759</v>
      </c>
      <c r="C167" s="389">
        <f>IF(ISERROR(Data!D67/Data!C67-1),"",Data!D67/Data!C67-1)</f>
        <v>0.22165228411079618</v>
      </c>
      <c r="D167" s="389">
        <f>IF(ISERROR(Data!E67/Data!D67-1),"",Data!E67/Data!D67-1)</f>
        <v>0.26417704011065002</v>
      </c>
      <c r="E167" s="389">
        <f>IF(ISERROR(Data!F67/Data!E67-1),"",Data!F67/Data!E67-1)</f>
        <v>0.30216473898093144</v>
      </c>
      <c r="F167" s="389">
        <f>IF(ISERROR(Data!G67/Data!F67-1),"",Data!G67/Data!F67-1)</f>
        <v>0.220585146286572</v>
      </c>
      <c r="G167" s="389">
        <f>IF(ISERROR((Data!G67/Data!B67)^(1/5)-1),"",(Data!G67/Data!B67)^(1/5)-1)</f>
        <v>0.2460374226865214</v>
      </c>
    </row>
    <row r="168" spans="1:10" ht="12.75" customHeight="1">
      <c r="A168" s="65" t="str">
        <f>Data!A68</f>
        <v>&lt;Research and Development&gt;</v>
      </c>
      <c r="B168" s="26">
        <f>IF(ISERROR(Data!C68/Data!B68-1),"",Data!C68/Data!B68-1)</f>
        <v>0.13558571850103274</v>
      </c>
      <c r="C168" s="26">
        <f>IF(ISERROR(Data!D68/Data!C68-1),"",Data!D68/Data!C68-1)</f>
        <v>0.24126282967389878</v>
      </c>
      <c r="D168" s="26">
        <f>IF(ISERROR(Data!E68/Data!D68-1),"",Data!E68/Data!D68-1)</f>
        <v>0.24366757379108228</v>
      </c>
      <c r="E168" s="26">
        <f>IF(ISERROR(Data!F68/Data!E68-1),"",Data!F68/Data!E68-1)</f>
        <v>0.20594176064635583</v>
      </c>
      <c r="F168" s="26">
        <f>IF(ISERROR(Data!G68/Data!F68-1),"",Data!G68/Data!F68-1)</f>
        <v>0.20594598366948147</v>
      </c>
      <c r="G168" s="26">
        <f>IF(ISERROR((Data!G68/Data!B68)^(1/5)-1),"",(Data!G68/Data!B68)^(1/5)-1)</f>
        <v>0.20583652539883945</v>
      </c>
    </row>
    <row r="169" spans="1:10" ht="12.75" customHeight="1">
      <c r="A169" s="65" t="str">
        <f>Data!A69</f>
        <v>&lt;Sles and Marketing&gt;</v>
      </c>
      <c r="B169" s="26">
        <f>IF(ISERROR(Data!C69/Data!B69-1),"",Data!C69/Data!B69-1)</f>
        <v>0.18675803072625707</v>
      </c>
      <c r="C169" s="26">
        <f>IF(ISERROR(Data!D69/Data!C69-1),"",Data!D69/Data!C69-1)</f>
        <v>0.1573314699716819</v>
      </c>
      <c r="D169" s="26">
        <f>IF(ISERROR(Data!E69/Data!D69-1),"",Data!E69/Data!D69-1)</f>
        <v>0.25606152086180045</v>
      </c>
      <c r="E169" s="26">
        <f>IF(ISERROR(Data!F69/Data!E69-1),"",Data!F69/Data!E69-1)</f>
        <v>0.25332051509095055</v>
      </c>
      <c r="F169" s="26">
        <f>IF(ISERROR(Data!G69/Data!F69-1),"",Data!G69/Data!F69-1)</f>
        <v>0.19188534517561573</v>
      </c>
      <c r="G169" s="26">
        <f>IF(ISERROR((Data!G69/Data!B69)^(1/5)-1),"",(Data!G69/Data!B69)^(1/5)-1)</f>
        <v>0.20844112441626517</v>
      </c>
    </row>
    <row r="170" spans="1:10" ht="12.75" customHeight="1">
      <c r="A170" s="65" t="str">
        <f>Data!A70</f>
        <v>&lt;Depreciation and Amortization&gt;</v>
      </c>
      <c r="B170" s="26">
        <f>IF(ISERROR(Data!C70/Data!B70-1),"",Data!C70/Data!B70-1)</f>
        <v>0.10592459605026927</v>
      </c>
      <c r="C170" s="26">
        <f>IF(ISERROR(Data!D70/Data!C70-1),"",Data!D70/Data!C70-1)</f>
        <v>0.11688311688311681</v>
      </c>
      <c r="D170" s="26">
        <f>IF(ISERROR(Data!E70/Data!D70-1),"",Data!E70/Data!D70-1)</f>
        <v>0.22674418604651181</v>
      </c>
      <c r="E170" s="26">
        <f>IF(ISERROR(Data!F70/Data!E70-1),"",Data!F70/Data!E70-1)</f>
        <v>0.23578199052132698</v>
      </c>
      <c r="F170" s="26">
        <f>IF(ISERROR(Data!G70/Data!F70-1),"",Data!G70/Data!F70-1)</f>
        <v>8.7248322147650992E-2</v>
      </c>
      <c r="G170" s="26">
        <f>IF(ISERROR((Data!G70/Data!B70)^(1/5)-1),"",(Data!G70/Data!B70)^(1/5)-1)</f>
        <v>0.15279364021465947</v>
      </c>
    </row>
    <row r="171" spans="1:10" ht="12.75" customHeight="1">
      <c r="A171" s="65" t="str">
        <f>Data!A71</f>
        <v>&lt;Selling, General and Administrative Expenses&gt;</v>
      </c>
      <c r="B171" s="26">
        <f>IF(ISERROR(Data!C71/Data!B71-1),"",Data!C71/Data!B71-1)</f>
        <v>9.5835199283474948E-2</v>
      </c>
      <c r="C171" s="26">
        <f>IF(ISERROR(Data!D71/Data!C71-1),"",Data!D71/Data!C71-1)</f>
        <v>0.1838986514098897</v>
      </c>
      <c r="D171" s="26">
        <f>IF(ISERROR(Data!E71/Data!D71-1),"",Data!E71/Data!D71-1)</f>
        <v>0.19468415602347244</v>
      </c>
      <c r="E171" s="26">
        <f>IF(ISERROR(Data!F71/Data!E71-1),"",Data!F71/Data!E71-1)</f>
        <v>0.16353655013002033</v>
      </c>
      <c r="F171" s="26">
        <f>IF(ISERROR(Data!G71/Data!F71-1),"",Data!G71/Data!F71-1)</f>
        <v>0.2925254531909609</v>
      </c>
      <c r="G171" s="26">
        <f>IF(ISERROR((Data!G71/Data!B71)^(1/5)-1),"",(Data!G71/Data!B71)^(1/5)-1)</f>
        <v>0.18442182703079468</v>
      </c>
    </row>
    <row r="172" spans="1:10" ht="12.75" customHeight="1">
      <c r="A172" s="65" t="str">
        <f>Data!A72</f>
        <v>Other operating expenses (1)</v>
      </c>
      <c r="B172" s="26" t="str">
        <f>IF(ISERROR(Data!C72/Data!B72-1),"",Data!C72/Data!B72-1)</f>
        <v/>
      </c>
      <c r="C172" s="26" t="str">
        <f>IF(ISERROR(Data!D72/Data!C72-1),"",Data!D72/Data!C72-1)</f>
        <v/>
      </c>
      <c r="D172" s="26" t="str">
        <f>IF(ISERROR(Data!E72/Data!D72-1),"",Data!E72/Data!D72-1)</f>
        <v/>
      </c>
      <c r="E172" s="26" t="str">
        <f>IF(ISERROR(Data!F72/Data!E72-1),"",Data!F72/Data!E72-1)</f>
        <v/>
      </c>
      <c r="F172" s="26" t="str">
        <f>IF(ISERROR(Data!G72/Data!F72-1),"",Data!G72/Data!F72-1)</f>
        <v/>
      </c>
      <c r="G172" s="26" t="str">
        <f>IF(ISERROR((Data!G72/Data!B72)^(1/5)-1),"",(Data!G72/Data!B72)^(1/5)-1)</f>
        <v/>
      </c>
    </row>
    <row r="173" spans="1:10" ht="12.75" customHeight="1">
      <c r="A173" s="65" t="str">
        <f>Data!A73</f>
        <v>Other operating expenses (2)</v>
      </c>
      <c r="B173" s="26" t="str">
        <f>IF(ISERROR(Data!C73/Data!B73-1),"",Data!C73/Data!B73-1)</f>
        <v/>
      </c>
      <c r="C173" s="26" t="str">
        <f>IF(ISERROR(Data!D73/Data!C73-1),"",Data!D73/Data!C73-1)</f>
        <v/>
      </c>
      <c r="D173" s="26" t="str">
        <f>IF(ISERROR(Data!E73/Data!D73-1),"",Data!E73/Data!D73-1)</f>
        <v/>
      </c>
      <c r="E173" s="26" t="str">
        <f>IF(ISERROR(Data!F73/Data!E73-1),"",Data!F73/Data!E73-1)</f>
        <v/>
      </c>
      <c r="F173" s="26" t="str">
        <f>IF(ISERROR(Data!G73/Data!F73-1),"",Data!G73/Data!F73-1)</f>
        <v/>
      </c>
      <c r="G173" s="26" t="str">
        <f>IF(ISERROR((Data!G73/Data!B73)^(1/5)-1),"",(Data!G73/Data!B73)^(1/5)-1)</f>
        <v/>
      </c>
    </row>
    <row r="174" spans="1:10" ht="12.75" customHeight="1">
      <c r="A174" s="65" t="str">
        <f>Data!A74</f>
        <v>Income from equity investees</v>
      </c>
      <c r="B174" s="26">
        <f>IF(ISERROR(Data!C74/Data!B77-1),"",Data!C74/Data!B77-1)</f>
        <v>-1</v>
      </c>
      <c r="C174" s="26" t="str">
        <f>IF(ISERROR(Data!D74/Data!C74-1),"",Data!D74/Data!C74-1)</f>
        <v/>
      </c>
      <c r="D174" s="26" t="str">
        <f>IF(ISERROR(Data!E74/Data!D74-1),"",Data!E74/Data!D74-1)</f>
        <v/>
      </c>
      <c r="E174" s="26" t="str">
        <f>IF(ISERROR(Data!F74/Data!E74-1),"",Data!F74/Data!E74-1)</f>
        <v/>
      </c>
      <c r="F174" s="26" t="str">
        <f>IF(ISERROR(Data!G74/Data!F74-1),"",Data!G74/Data!F74-1)</f>
        <v/>
      </c>
      <c r="G174" s="26">
        <f>IF(ISERROR((Data!G74/Data!B77)^(1/5)-1),"",(Data!G74/Data!B77)^(1/5)-1)</f>
        <v>-1</v>
      </c>
    </row>
    <row r="175" spans="1:10" ht="12.75" customHeight="1">
      <c r="A175" s="65" t="str">
        <f>Data!A75</f>
        <v>Gain on intellectual property matter</v>
      </c>
      <c r="B175" s="26">
        <f>IF(ISERROR(Data!C75/Data!B78-1),"",Data!C75/Data!B78-1)</f>
        <v>-1</v>
      </c>
      <c r="C175" s="26" t="str">
        <f>IF(ISERROR(Data!D75/Data!C75-1),"",Data!D75/Data!C75-1)</f>
        <v/>
      </c>
      <c r="D175" s="26">
        <f>IF(ISERROR(Data!E75/Data!D75-1),"",Data!E75/Data!D75-1)</f>
        <v>-0.88557213930348255</v>
      </c>
      <c r="E175" s="26">
        <f>IF(ISERROR(Data!F75/Data!E75-1),"",Data!F75/Data!E75-1)</f>
        <v>0</v>
      </c>
      <c r="F175" s="26">
        <f>IF(ISERROR(Data!G75/Data!F75-1),"",Data!G75/Data!F75-1)</f>
        <v>0</v>
      </c>
      <c r="G175" s="26">
        <f>IF(ISERROR((Data!G75/Data!B78)^(1/5)-1),"",(Data!G75/Data!B78)^(1/5)-1)</f>
        <v>-1.9303423250544609</v>
      </c>
    </row>
    <row r="176" spans="1:10" ht="12.75" customHeight="1">
      <c r="A176" s="386" t="str">
        <f>Data!A76</f>
        <v xml:space="preserve">  Operating Income</v>
      </c>
      <c r="B176" s="389">
        <f>IF(ISERROR(Data!C76/Data!B76-1),"",Data!C76/Data!B76-1)</f>
        <v>0.49744027303754335</v>
      </c>
      <c r="C176" s="389">
        <f>IF(ISERROR(Data!D76/Data!C76-1),"",Data!D76/Data!C76-1)</f>
        <v>0.51509971509971564</v>
      </c>
      <c r="D176" s="389">
        <f>IF(ISERROR(Data!E76/Data!D76-1),"",Data!E76/Data!D76-1)</f>
        <v>0.22301617149304231</v>
      </c>
      <c r="E176" s="389">
        <f>IF(ISERROR(Data!F76/Data!E76-1),"",Data!F76/Data!E76-1)</f>
        <v>0.49077490774907728</v>
      </c>
      <c r="F176" s="389">
        <f>IF(ISERROR(Data!G76/Data!F76-1),"",Data!G76/Data!F76-1)</f>
        <v>0.28001237623762409</v>
      </c>
      <c r="G176" s="389">
        <f>IF(ISERROR((Data!G76/Data!B76)^(1/5)-1),"",(Data!G76/Data!B76)^(1/5)-1)</f>
        <v>0.3956285131752808</v>
      </c>
    </row>
    <row r="177" spans="1:7" ht="12.75" customHeight="1">
      <c r="A177" s="65" t="str">
        <f>Data!A77</f>
        <v>Interest income - NET</v>
      </c>
      <c r="B177" s="26" t="str">
        <f>IF(ISERROR(Data!C77/Data!#REF!-1),"",Data!C77/Data!#REF!-1)</f>
        <v/>
      </c>
      <c r="C177" s="26">
        <f>IF(ISERROR(Data!D77/Data!C77-1),"",Data!D77/Data!C77-1)</f>
        <v>-0.58352941176470585</v>
      </c>
      <c r="D177" s="26">
        <f>IF(ISERROR(Data!E77/Data!D77-1),"",Data!E77/Data!D77-1)</f>
        <v>-1.5875706214689265</v>
      </c>
      <c r="E177" s="26">
        <f>IF(ISERROR(Data!F77/Data!E77-1),"",Data!F77/Data!E77-1)</f>
        <v>-0.94230769230769229</v>
      </c>
      <c r="F177" s="26">
        <f>IF(ISERROR(Data!G77/Data!F77-1),"",Data!G77/Data!F77-1)</f>
        <v>-165.5</v>
      </c>
      <c r="G177" s="26" t="str">
        <f>IF(ISERROR((Data!G77/Data!#REF!)^(1/5)-1),"",(Data!G77/Data!#REF!)^(1/5)-1)</f>
        <v/>
      </c>
    </row>
    <row r="178" spans="1:7" ht="12.75" customHeight="1">
      <c r="A178" s="65" t="str">
        <f>Data!A78</f>
        <v>Other expense - NET</v>
      </c>
      <c r="B178" s="26" t="str">
        <f>IF(ISERROR(Data!C78/Data!#REF!-1),"",Data!C78/Data!#REF!-1)</f>
        <v/>
      </c>
      <c r="C178" s="26">
        <f>IF(ISERROR(Data!D78/Data!C78-1),"",Data!D78/Data!C78-1)</f>
        <v>4.0000000000000036E-2</v>
      </c>
      <c r="D178" s="26">
        <f>IF(ISERROR(Data!E78/Data!D78-1),"",Data!E78/Data!D78-1)</f>
        <v>0.48717948717948723</v>
      </c>
      <c r="E178" s="26">
        <f>IF(ISERROR(Data!F78/Data!E78-1),"",Data!F78/Data!E78-1)</f>
        <v>0.1637931034482758</v>
      </c>
      <c r="F178" s="26">
        <f>IF(ISERROR(Data!G78/Data!F78-1),"",Data!G78/Data!F78-1)</f>
        <v>-0.54814814814814816</v>
      </c>
      <c r="G178" s="26" t="str">
        <f>IF(ISERROR((Data!G78/Data!#REF!)^(1/5)-1),"",(Data!G78/Data!#REF!)^(1/5)-1)</f>
        <v/>
      </c>
    </row>
    <row r="179" spans="1:7" ht="12.75" customHeight="1">
      <c r="A179" s="65" t="str">
        <f>Data!A79</f>
        <v>Income &lt;Loss&gt; from equity affiliates</v>
      </c>
      <c r="B179" s="26" t="str">
        <f>IF(ISERROR(Data!C79/Data!B79-1),"",Data!C79/Data!B79-1)</f>
        <v/>
      </c>
      <c r="C179" s="26" t="str">
        <f>IF(ISERROR(Data!D79/Data!C79-1),"",Data!D79/Data!C79-1)</f>
        <v/>
      </c>
      <c r="D179" s="26" t="str">
        <f>IF(ISERROR(Data!E79/Data!D79-1),"",Data!E79/Data!D79-1)</f>
        <v/>
      </c>
      <c r="E179" s="26" t="str">
        <f>IF(ISERROR(Data!F79/Data!E79-1),"",Data!F79/Data!E79-1)</f>
        <v/>
      </c>
      <c r="F179" s="26" t="str">
        <f>IF(ISERROR(Data!G79/Data!F79-1),"",Data!G79/Data!F79-1)</f>
        <v/>
      </c>
      <c r="G179" s="26" t="str">
        <f>IF(ISERROR((Data!G79/Data!B79)^(1/5)-1),"",(Data!G79/Data!B79)^(1/5)-1)</f>
        <v/>
      </c>
    </row>
    <row r="180" spans="1:7" ht="12.75" customHeight="1">
      <c r="A180" s="65" t="str">
        <f>Data!A80</f>
        <v>Other income or gains &lt;Other expenses or losses&gt;</v>
      </c>
      <c r="B180" s="26" t="str">
        <f>IF(ISERROR(Data!C80/Data!B80-1),"",Data!C80/Data!B80-1)</f>
        <v/>
      </c>
      <c r="C180" s="26" t="str">
        <f>IF(ISERROR(Data!D80/Data!C80-1),"",Data!D80/Data!C80-1)</f>
        <v/>
      </c>
      <c r="D180" s="26" t="str">
        <f>IF(ISERROR(Data!E80/Data!D80-1),"",Data!E80/Data!D80-1)</f>
        <v/>
      </c>
      <c r="E180" s="26" t="str">
        <f>IF(ISERROR(Data!F80/Data!E80-1),"",Data!F80/Data!E80-1)</f>
        <v/>
      </c>
      <c r="F180" s="26" t="str">
        <f>IF(ISERROR(Data!G80/Data!F80-1),"",Data!G80/Data!F80-1)</f>
        <v/>
      </c>
      <c r="G180" s="26" t="str">
        <f>IF(ISERROR((Data!G80/Data!B80)^(1/5)-1),"",(Data!G80/Data!B80)^(1/5)-1)</f>
        <v/>
      </c>
    </row>
    <row r="181" spans="1:7" ht="12.75" customHeight="1">
      <c r="A181" s="386" t="str">
        <f>Data!A81</f>
        <v xml:space="preserve">  Income before Tax</v>
      </c>
      <c r="B181" s="389">
        <f>IF(ISERROR(Data!C81/Data!B81-1),"",Data!C81/Data!B81-1)</f>
        <v>0.5178922532442003</v>
      </c>
      <c r="C181" s="389">
        <f>IF(ISERROR(Data!D81/Data!C81-1),"",Data!D81/Data!C81-1)</f>
        <v>0.40336787564766907</v>
      </c>
      <c r="D181" s="389">
        <f>IF(ISERROR(Data!E81/Data!D81-1),"",Data!E81/Data!D81-1)</f>
        <v>0.16005168912682266</v>
      </c>
      <c r="E181" s="389">
        <f>IF(ISERROR(Data!F81/Data!E81-1),"",Data!F81/Data!E81-1)</f>
        <v>0.52052832590706521</v>
      </c>
      <c r="F181" s="389">
        <f>IF(ISERROR(Data!G81/Data!F81-1),"",Data!G81/Data!F81-1)</f>
        <v>0.39581371009942501</v>
      </c>
      <c r="G181" s="389">
        <f>IF(ISERROR((Data!G81/Data!B81)^(1/5)-1),"",(Data!G81/Data!B81)^(1/5)-1)</f>
        <v>0.39297190826850215</v>
      </c>
    </row>
    <row r="182" spans="1:7" ht="12.75" customHeight="1">
      <c r="A182" s="65" t="str">
        <f>Data!A82</f>
        <v>Provision for (Benefit from) Income Taxes (+Benefit, - Provision)</v>
      </c>
      <c r="B182" s="26">
        <f>IF(ISERROR(Data!C82/Data!B82-1),"",Data!C82/Data!B82-1)</f>
        <v>-1.6736972704714641</v>
      </c>
      <c r="C182" s="26">
        <f>IF(ISERROR(Data!D82/Data!C82-1),"",Data!D82/Data!C82-1)</f>
        <v>-2.025782688766109E-2</v>
      </c>
      <c r="D182" s="26">
        <f>IF(ISERROR(Data!E82/Data!D82-1),"",Data!E82/Data!D82-1)</f>
        <v>-0.73496240601503759</v>
      </c>
      <c r="E182" s="26">
        <f>IF(ISERROR(Data!F82/Data!E82-1),"",Data!F82/Data!E82-1)</f>
        <v>1.1843971631205674</v>
      </c>
      <c r="F182" s="26">
        <f>IF(ISERROR(Data!G82/Data!F82-1),"",Data!G82/Data!F82-1)</f>
        <v>3.6688311688311694</v>
      </c>
      <c r="G182" s="26">
        <f>IF(ISERROR((Data!G82/Data!B82)^(1/5)-1),"",(Data!G82/Data!B82)^(1/5)-1)</f>
        <v>-2.1227544081150809</v>
      </c>
    </row>
    <row r="183" spans="1:7" ht="12.75" customHeight="1">
      <c r="A183" s="65" t="str">
        <f>Data!A83</f>
        <v>Income &lt;Loss&gt; from discontinued operations (+Income, - Loss)</v>
      </c>
      <c r="B183" s="26" t="str">
        <f>IF(ISERROR(Data!C83/Data!B83-1),"",Data!C83/Data!B83-1)</f>
        <v/>
      </c>
      <c r="C183" s="26" t="str">
        <f>IF(ISERROR(Data!D83/Data!C83-1),"",Data!D83/Data!C83-1)</f>
        <v/>
      </c>
      <c r="D183" s="26" t="str">
        <f>IF(ISERROR(Data!E83/Data!D83-1),"",Data!E83/Data!D83-1)</f>
        <v/>
      </c>
      <c r="E183" s="26">
        <f>IF(ISERROR(Data!F83/Data!E83-1),"",Data!F83/Data!E83-1)</f>
        <v>7.9605263157894726</v>
      </c>
      <c r="F183" s="26">
        <f>IF(ISERROR(Data!G83/Data!F83-1),"",Data!G83/Data!F83-1)</f>
        <v>-0.38179148311306899</v>
      </c>
      <c r="G183" s="26" t="str">
        <f>IF(ISERROR((Data!G83/Data!B83)^(1/5)-1),"",(Data!G83/Data!B83)^(1/5)-1)</f>
        <v/>
      </c>
    </row>
    <row r="184" spans="1:7" ht="12.75" customHeight="1">
      <c r="A184" s="65" t="str">
        <f>Data!A84</f>
        <v>Extraordinary gains &lt;losses&gt;</v>
      </c>
      <c r="B184" s="26" t="str">
        <f>IF(ISERROR(Data!C84/Data!B84-1),"",Data!C84/Data!B84-1)</f>
        <v/>
      </c>
      <c r="C184" s="26" t="str">
        <f>IF(ISERROR(Data!D84/Data!C84-1),"",Data!D84/Data!C84-1)</f>
        <v/>
      </c>
      <c r="D184" s="26" t="str">
        <f>IF(ISERROR(Data!E84/Data!D84-1),"",Data!E84/Data!D84-1)</f>
        <v/>
      </c>
      <c r="E184" s="26" t="str">
        <f>IF(ISERROR(Data!F84/Data!E84-1),"",Data!F84/Data!E84-1)</f>
        <v/>
      </c>
      <c r="F184" s="26" t="str">
        <f>IF(ISERROR(Data!G84/Data!F84-1),"",Data!G84/Data!F84-1)</f>
        <v/>
      </c>
      <c r="G184" s="26" t="str">
        <f>IF(ISERROR((Data!G84/Data!B84)^(1/5)-1),"",(Data!G84/Data!B84)^(1/5)-1)</f>
        <v/>
      </c>
    </row>
    <row r="185" spans="1:7" ht="12.75" customHeight="1">
      <c r="A185" s="65" t="str">
        <f>Data!A85</f>
        <v>Changes in accounting principles</v>
      </c>
      <c r="B185" s="26" t="str">
        <f>IF(ISERROR(Data!C85/Data!B85-1),"",Data!C85/Data!B85-1)</f>
        <v/>
      </c>
      <c r="C185" s="26" t="str">
        <f>IF(ISERROR(Data!D85/Data!C85-1),"",Data!D85/Data!C85-1)</f>
        <v/>
      </c>
      <c r="D185" s="26" t="str">
        <f>IF(ISERROR(Data!E85/Data!D85-1),"",Data!E85/Data!D85-1)</f>
        <v/>
      </c>
      <c r="E185" s="26" t="str">
        <f>IF(ISERROR(Data!F85/Data!E85-1),"",Data!F85/Data!E85-1)</f>
        <v/>
      </c>
      <c r="F185" s="26" t="str">
        <f>IF(ISERROR(Data!G85/Data!F85-1),"",Data!G85/Data!F85-1)</f>
        <v/>
      </c>
      <c r="G185" s="26" t="str">
        <f>IF(ISERROR((Data!G85/Data!B85)^(1/5)-1),"",(Data!G85/Data!B85)^(1/5)-1)</f>
        <v/>
      </c>
    </row>
    <row r="186" spans="1:7" ht="12.75" customHeight="1">
      <c r="A186" s="386" t="str">
        <f>Data!A86</f>
        <v xml:space="preserve">  Net Income </v>
      </c>
      <c r="B186" s="389">
        <f>IF(ISERROR(Data!C86/Data!B86-1),"",Data!C86/Data!B86-1)</f>
        <v>-9.5550910719616189E-3</v>
      </c>
      <c r="C186" s="389">
        <f>IF(ISERROR(Data!D86/Data!C86-1),"",Data!D86/Data!C86-1)</f>
        <v>0.47271630991860203</v>
      </c>
      <c r="D186" s="389">
        <f>IF(ISERROR(Data!E86/Data!D86-1),"",Data!E86/Data!D86-1)</f>
        <v>0.24196519959058294</v>
      </c>
      <c r="E186" s="389">
        <f>IF(ISERROR(Data!F86/Data!E86-1),"",Data!F86/Data!E86-1)</f>
        <v>0.41190044503049261</v>
      </c>
      <c r="F186" s="389">
        <f>IF(ISERROR(Data!G86/Data!F86-1),"",Data!G86/Data!F86-1)</f>
        <v>0.33994863413495291</v>
      </c>
      <c r="G186" s="389">
        <f>IF(ISERROR((Data!G86/Data!B86)^(1/5)-1),"",(Data!G86/Data!B86)^(1/5)-1)</f>
        <v>0.27935247774990302</v>
      </c>
    </row>
    <row r="187" spans="1:7" ht="12.75" customHeight="1">
      <c r="A187" s="373" t="str">
        <f>Data!A87</f>
        <v>Less: Net loss attributable to non-controlling interestsm net of tax (- and loss = +)</v>
      </c>
      <c r="B187" s="388" t="str">
        <f>IF(ISERROR(Data!C87/Data!B87-1),"",Data!C87/Data!B87-1)</f>
        <v/>
      </c>
      <c r="C187" s="388" t="str">
        <f>IF(ISERROR(Data!D87/Data!C87-1),"",Data!D87/Data!C87-1)</f>
        <v/>
      </c>
      <c r="D187" s="388" t="str">
        <f>IF(ISERROR(Data!E87/Data!D87-1),"",Data!E87/Data!D87-1)</f>
        <v/>
      </c>
      <c r="E187" s="388">
        <f>IF(ISERROR(Data!F87/Data!E87-1),"",Data!F87/Data!E87-1)</f>
        <v>5.9999999999999991</v>
      </c>
      <c r="F187" s="388">
        <f>IF(ISERROR(Data!G87/Data!F87-1),"",Data!G87/Data!F87-1)</f>
        <v>-1</v>
      </c>
      <c r="G187" s="388" t="str">
        <f>IF(ISERROR((Data!G87/Data!B87)^(1/5)-1),"",(Data!G87/Data!B87)^(1/5)-1)</f>
        <v/>
      </c>
    </row>
    <row r="188" spans="1:7" ht="12.75" customHeight="1">
      <c r="A188" s="386" t="str">
        <f>Data!A88</f>
        <v xml:space="preserve">  Net Income attributable to common shareholders</v>
      </c>
      <c r="B188" s="389">
        <f>IF(ISERROR(Data!C88/Data!B88-1),"",Data!C88/Data!B88-1)</f>
        <v>-9.5550910719616189E-3</v>
      </c>
      <c r="C188" s="389">
        <f>IF(ISERROR(Data!D88/Data!C88-1),"",Data!D88/Data!C88-1)</f>
        <v>0.47271630991860203</v>
      </c>
      <c r="D188" s="389">
        <f>IF(ISERROR(Data!E88/Data!D88-1),"",Data!E88/Data!D88-1)</f>
        <v>0.24216990788126869</v>
      </c>
      <c r="E188" s="389">
        <f>IF(ISERROR(Data!F88/Data!E88-1),"",Data!F88/Data!E88-1)</f>
        <v>0.4128213579433091</v>
      </c>
      <c r="F188" s="389">
        <f>IF(ISERROR(Data!G88/Data!F88-1),"",Data!G88/Data!F88-1)</f>
        <v>0.33885454333372289</v>
      </c>
      <c r="G188" s="389">
        <f>IF(ISERROR((Data!G88/Data!B88)^(1/5)-1),"",(Data!G88/Data!B88)^(1/5)-1)</f>
        <v>0.27935247774990302</v>
      </c>
    </row>
    <row r="189" spans="1:7" ht="12.75" customHeight="1">
      <c r="A189" s="77"/>
      <c r="B189" s="610"/>
      <c r="C189" s="610"/>
      <c r="D189" s="610"/>
      <c r="E189" s="610"/>
      <c r="F189" s="610"/>
      <c r="G189" s="610"/>
    </row>
    <row r="190" spans="1:7" ht="12.75" customHeight="1">
      <c r="A190" s="386" t="str">
        <f>Data!A91</f>
        <v>Other comprehensive income (loss)</v>
      </c>
      <c r="B190" s="389" t="str">
        <f>IF(ISERROR(Data!B91/Data!A91-1),"",Data!B91/Data!A91-1)</f>
        <v/>
      </c>
      <c r="C190" s="389">
        <v>2</v>
      </c>
      <c r="D190" s="389">
        <f>IF(ISERROR(Data!D91/Data!C91-1),"",Data!D91/Data!C91-1)</f>
        <v>-1.2</v>
      </c>
      <c r="E190" s="389">
        <f>IF(ISERROR(Data!E91/Data!D91-1),"",Data!E91/Data!D91-1)</f>
        <v>12.5</v>
      </c>
      <c r="F190" s="389">
        <f>IF(ISERROR(Data!F91/Data!E91-1),"",Data!F91/Data!E91-1)</f>
        <v>1.7222222222222219</v>
      </c>
      <c r="G190" s="389">
        <f>IF(ISERROR(Data!G91/Data!F91-1),"",Data!G91/Data!F91-1)</f>
        <v>-1.08843537414966</v>
      </c>
    </row>
    <row r="191" spans="1:7" ht="12.75" customHeight="1">
      <c r="A191" s="386" t="str">
        <f>Data!A92</f>
        <v>Comprehensive Income</v>
      </c>
      <c r="B191" s="389">
        <f>IF(ISERROR(Data!C92/Data!B92-1),"",Data!C92/Data!B92-1)</f>
        <v>-3.5831591519854822E-3</v>
      </c>
      <c r="C191" s="389">
        <f>IF(ISERROR(Data!D92/Data!C92-1),"",Data!D92/Data!C92-1)</f>
        <v>0.462691039856159</v>
      </c>
      <c r="D191" s="389">
        <f>IF(ISERROR(Data!E92/Data!D92-1),"",Data!E92/Data!D92-1)</f>
        <v>0.23191968858840339</v>
      </c>
      <c r="E191" s="389">
        <f>IF(ISERROR(Data!F92/Data!E92-1),"",Data!F92/Data!E92-1)</f>
        <v>0.40013304506901681</v>
      </c>
      <c r="F191" s="389">
        <f>IF(ISERROR(Data!G92/Data!F92-1),"",Data!G92/Data!F92-1)</f>
        <v>0.36488894167953512</v>
      </c>
      <c r="G191" s="389">
        <f>IF(ISERROR((Data!G92/Data!B92)^(1/5)-1),"",(Data!G92/Data!B92)^(1/5)-1)</f>
        <v>0.27964214585488745</v>
      </c>
    </row>
    <row r="192" spans="1:7" ht="12.75" customHeight="1">
      <c r="B192" s="93"/>
      <c r="C192" s="93"/>
      <c r="D192" s="93"/>
      <c r="E192" s="93"/>
      <c r="F192" s="93"/>
      <c r="G192" s="93"/>
    </row>
    <row r="193" spans="1:14" ht="12.75" customHeight="1">
      <c r="B193" s="93"/>
      <c r="C193" s="93"/>
      <c r="D193" s="93"/>
      <c r="E193" s="93"/>
      <c r="F193" s="93"/>
      <c r="G193" s="93"/>
    </row>
    <row r="194" spans="1:14" ht="12.75" customHeight="1" thickBot="1">
      <c r="A194" s="94"/>
      <c r="B194" s="95"/>
      <c r="C194" s="95"/>
      <c r="D194" s="95"/>
      <c r="E194" s="95"/>
      <c r="F194" s="95"/>
      <c r="G194" s="93"/>
    </row>
    <row r="195" spans="1:14" ht="12.75" customHeight="1" thickBot="1">
      <c r="A195" s="96" t="s">
        <v>19</v>
      </c>
      <c r="B195" s="97"/>
      <c r="C195" s="97"/>
      <c r="D195" s="97"/>
      <c r="E195" s="97"/>
      <c r="F195" s="98"/>
      <c r="J195" s="61" t="s">
        <v>492</v>
      </c>
    </row>
    <row r="196" spans="1:14" ht="12.75" customHeight="1" thickBot="1">
      <c r="A196" s="62" t="s">
        <v>18</v>
      </c>
      <c r="B196" s="63">
        <f>Data!$C$11</f>
        <v>2019</v>
      </c>
      <c r="C196" s="63">
        <f>Data!$D$11</f>
        <v>2020</v>
      </c>
      <c r="D196" s="63">
        <f>Data!$E$11</f>
        <v>2021</v>
      </c>
      <c r="E196" s="63">
        <f>Data!$F$11</f>
        <v>2022</v>
      </c>
      <c r="F196" s="63">
        <f>Data!$G$11</f>
        <v>2023</v>
      </c>
    </row>
    <row r="197" spans="1:14" ht="12.75" customHeight="1">
      <c r="B197" s="56"/>
      <c r="C197" s="56"/>
      <c r="D197" s="56"/>
      <c r="E197" s="56"/>
      <c r="F197" s="56"/>
    </row>
    <row r="198" spans="1:14" ht="12.75" customHeight="1">
      <c r="A198" s="25" t="str">
        <f>Data!A15</f>
        <v>Assets:</v>
      </c>
      <c r="B198" s="396"/>
      <c r="C198" s="116"/>
      <c r="D198" s="116"/>
      <c r="E198" s="116"/>
      <c r="F198" s="116"/>
    </row>
    <row r="199" spans="1:14" ht="12.75" customHeight="1">
      <c r="A199" s="65" t="str">
        <f>Data!A16</f>
        <v>Cash and cash equivalents</v>
      </c>
      <c r="B199" s="99">
        <f>IF(Data!C16/Data!C$33=0,"",Data!C16/Data!C$33)</f>
        <v>0.31514229738090327</v>
      </c>
      <c r="C199" s="99">
        <f>IF(Data!D16/Data!D$33=0,"",Data!D16/Data!D$33)</f>
        <v>0.26252936086042772</v>
      </c>
      <c r="D199" s="99">
        <f>IF(Data!E16/Data!E$33=0,"",Data!E16/Data!E$33)</f>
        <v>0.22285482590258646</v>
      </c>
      <c r="E199" s="99">
        <f>IF(Data!F16/Data!F$33=0,"",Data!F16/Data!F$33)</f>
        <v>0.27021515735388574</v>
      </c>
      <c r="F199" s="99">
        <f>IF(Data!G16/Data!G$33=0,"",Data!G16/Data!G$33)</f>
        <v>0.19257738775847577</v>
      </c>
      <c r="J199" s="17" t="s">
        <v>351</v>
      </c>
    </row>
    <row r="200" spans="1:14" ht="12.75" customHeight="1">
      <c r="A200" s="65" t="str">
        <f>Data!A17</f>
        <v>Short-term investments</v>
      </c>
      <c r="B200" s="99">
        <f>IF(Data!C17/Data!C$33=0,"",Data!C17/Data!C$33)</f>
        <v>0.21733862652093217</v>
      </c>
      <c r="C200" s="99">
        <f>IF(Data!D17/Data!D$33=0,"",Data!D17/Data!D$33)</f>
        <v>0.19174187167758683</v>
      </c>
      <c r="D200" s="99">
        <f>IF(Data!E17/Data!E$33=0,"",Data!E17/Data!E$33)</f>
        <v>0.20171985605919812</v>
      </c>
      <c r="E200" s="99">
        <f>IF(Data!F17/Data!F$33=0,"",Data!F17/Data!F$33)</f>
        <v>8.0700064226075799E-2</v>
      </c>
      <c r="F200" s="99">
        <f>IF(Data!G17/Data!G$33=0,"",Data!G17/Data!G$33)</f>
        <v>0.14072380112689248</v>
      </c>
      <c r="J200" s="87"/>
      <c r="K200" s="87"/>
      <c r="L200" s="87"/>
      <c r="M200" s="87"/>
      <c r="N200" s="87"/>
    </row>
    <row r="201" spans="1:14" ht="12.75" customHeight="1">
      <c r="A201" s="65" t="str">
        <f>Data!A18</f>
        <v>Accounts and notes receivable - net</v>
      </c>
      <c r="B201" s="99">
        <f>IF(Data!C18/Data!C$33=0,"",Data!C18/Data!C$33)</f>
        <v>0.14031243555372241</v>
      </c>
      <c r="C201" s="99">
        <f>IF(Data!D18/Data!D$33=0,"",Data!D18/Data!D$33)</f>
        <v>0.17801953269872664</v>
      </c>
      <c r="D201" s="99">
        <f>IF(Data!E19/Data!E$33=0,"",Data!E19/Data!E$33)</f>
        <v>2.9700461218766357E-2</v>
      </c>
      <c r="E201" s="99">
        <f>IF(Data!F19/Data!F$33=0,"",Data!F19/Data!F$33)</f>
        <v>4.2485549132947983E-2</v>
      </c>
      <c r="F201" s="99">
        <f>IF(Data!G18/Data!G$33=0,"",Data!G18/Data!G$33)</f>
        <v>0.19314221162986123</v>
      </c>
      <c r="J201" s="87"/>
      <c r="K201" s="87"/>
      <c r="L201" s="87"/>
      <c r="M201" s="87"/>
      <c r="N201" s="87"/>
    </row>
    <row r="202" spans="1:14" ht="12.75" customHeight="1">
      <c r="A202" s="65" t="str">
        <f>Data!A19</f>
        <v>Inventories</v>
      </c>
      <c r="B202" s="99">
        <f>IF(Data!C19/Data!C$33=0,"",Data!C19/Data!C$33)</f>
        <v>3.0392864508146013E-2</v>
      </c>
      <c r="C202" s="99">
        <f>IF(Data!D19/Data!D$33=0,"",Data!D19/Data!D$33)</f>
        <v>3.4565459265669424E-2</v>
      </c>
      <c r="D202" s="99" t="e">
        <f>IF(Data!#REF!/Data!E$33=0,"",Data!#REF!/Data!E$33)</f>
        <v>#REF!</v>
      </c>
      <c r="E202" s="99" t="e">
        <f>IF(Data!#REF!/Data!F$33=0,"",Data!#REF!/Data!F$33)</f>
        <v>#REF!</v>
      </c>
      <c r="F202" s="99">
        <f>IF(Data!G19/Data!G$33=0,"",Data!G19/Data!G$33)</f>
        <v>6.6786978743335751E-2</v>
      </c>
      <c r="J202" s="87"/>
      <c r="K202" s="87"/>
      <c r="L202" s="87"/>
      <c r="M202" s="87"/>
      <c r="N202" s="87"/>
    </row>
    <row r="203" spans="1:14" ht="12.75" customHeight="1">
      <c r="A203" s="65" t="str">
        <f>Data!A20</f>
        <v>Prepaid expenses and other current assets</v>
      </c>
      <c r="B203" s="99">
        <f>IF(Data!C20/Data!C$33=0,"",Data!C20/Data!C$33)</f>
        <v>1.0620746545679523E-2</v>
      </c>
      <c r="C203" s="99">
        <f>IF(Data!D20/Data!D$33=0,"",Data!D20/Data!D$33)</f>
        <v>1.0705896897020643E-2</v>
      </c>
      <c r="D203" s="99">
        <f>IF(Data!E20/Data!E$33=0,"",Data!E20/Data!E$33)</f>
        <v>1.104897704042844E-2</v>
      </c>
      <c r="E203" s="99">
        <f>IF(Data!F20/Data!F$33=0,"",Data!F20/Data!F$33)</f>
        <v>1.1737315350032114E-2</v>
      </c>
      <c r="F203" s="99">
        <f>IF(Data!G20/Data!G$33=0,"",Data!G20/Data!G$33)</f>
        <v>1.3927730096846625E-2</v>
      </c>
      <c r="J203" s="76"/>
      <c r="K203" s="76"/>
      <c r="L203" s="76"/>
    </row>
    <row r="204" spans="1:14" ht="12.75" customHeight="1">
      <c r="A204" s="65" t="str">
        <f>Data!A21</f>
        <v>Marketable equity securities</v>
      </c>
      <c r="B204" s="99" t="str">
        <f>IF(Data!C21/Data!C$33=0,"",Data!C21/Data!C$33)</f>
        <v/>
      </c>
      <c r="C204" s="99" t="str">
        <f>IF(Data!D21/Data!D$33=0,"",Data!D21/Data!D$33)</f>
        <v/>
      </c>
      <c r="D204" s="99">
        <f>IF(Data!E21/Data!E$33=0,"",Data!E21/Data!E$33)</f>
        <v>6.5212616782956848E-3</v>
      </c>
      <c r="E204" s="99">
        <f>IF(Data!F21/Data!F$33=0,"",Data!F21/Data!F$33)</f>
        <v>4.0944123314065519E-3</v>
      </c>
      <c r="F204" s="99">
        <f>IF(Data!G21/Data!G$33=0,"",Data!G21/Data!G$33)</f>
        <v>2.8930003168524151E-3</v>
      </c>
      <c r="J204" s="100"/>
      <c r="K204" s="100"/>
      <c r="L204" s="100"/>
      <c r="M204" s="100"/>
    </row>
    <row r="205" spans="1:14" ht="12.75" customHeight="1">
      <c r="A205" s="65" t="str">
        <f>Data!A22</f>
        <v>Other current assets (2)</v>
      </c>
      <c r="B205" s="99" t="str">
        <f>IF(Data!C22/Data!C$33=0,"",Data!C22/Data!C$33)</f>
        <v/>
      </c>
      <c r="C205" s="99" t="str">
        <f>IF(Data!D22/Data!D$33=0,"",Data!D22/Data!D$33)</f>
        <v/>
      </c>
      <c r="D205" s="99" t="str">
        <f>IF(Data!E22/Data!E$33=0,"",Data!E22/Data!E$33)</f>
        <v/>
      </c>
      <c r="E205" s="99" t="str">
        <f>IF(Data!F22/Data!F$33=0,"",Data!F22/Data!F$33)</f>
        <v/>
      </c>
      <c r="F205" s="99" t="str">
        <f>IF(Data!G22/Data!G$33=0,"",Data!G22/Data!G$33)</f>
        <v/>
      </c>
    </row>
    <row r="206" spans="1:14" ht="12.75" customHeight="1">
      <c r="A206" s="65" t="str">
        <f>Data!A23</f>
        <v>Other current assets (3)</v>
      </c>
      <c r="B206" s="99" t="str">
        <f>IF(Data!C23/Data!C$33=0,"",Data!C23/Data!C$33)</f>
        <v/>
      </c>
      <c r="C206" s="99" t="str">
        <f>IF(Data!D23/Data!D$33=0,"",Data!D23/Data!D$33)</f>
        <v/>
      </c>
      <c r="D206" s="99" t="str">
        <f>IF(Data!E23/Data!E$33=0,"",Data!E23/Data!E$33)</f>
        <v/>
      </c>
      <c r="E206" s="99" t="str">
        <f>IF(Data!F23/Data!F$33=0,"",Data!F23/Data!F$33)</f>
        <v/>
      </c>
      <c r="F206" s="99" t="str">
        <f>IF(Data!G23/Data!G$33=0,"",Data!G23/Data!G$33)</f>
        <v/>
      </c>
      <c r="J206" s="76"/>
      <c r="K206" s="76"/>
      <c r="L206" s="76"/>
    </row>
    <row r="207" spans="1:14" ht="12.75" customHeight="1">
      <c r="A207" s="386" t="str">
        <f>Data!A24</f>
        <v xml:space="preserve">  Current Assets</v>
      </c>
      <c r="B207" s="390">
        <f>IF(Data!C24/Data!C$33=0,"",Data!C24/Data!C$33)</f>
        <v>0.71380697050938324</v>
      </c>
      <c r="C207" s="390">
        <f>IF(Data!D24/Data!D$33=0,"",Data!D24/Data!D$33)</f>
        <v>0.67756212139943139</v>
      </c>
      <c r="D207" s="390">
        <f>IF(Data!E24/Data!E$33=0,"",Data!E24/Data!E$33)</f>
        <v>0.60830193779459696</v>
      </c>
      <c r="E207" s="390">
        <f>IF(Data!F24/Data!F$33=0,"",Data!F24/Data!F$33)</f>
        <v>0.61181759794476565</v>
      </c>
      <c r="F207" s="390">
        <f>IF(Data!G24/Data!G$33=0,"",Data!G24/Data!G$33)</f>
        <v>0.61005110967226428</v>
      </c>
    </row>
    <row r="208" spans="1:14" ht="12.75" customHeight="1">
      <c r="A208" s="4" t="str">
        <f>Data!A25</f>
        <v>Long-term investments</v>
      </c>
      <c r="B208" s="99">
        <f>IF(Data!C25/Data!C$33=0,"",Data!C25/Data!C$33)</f>
        <v>3.7198391420911532E-2</v>
      </c>
      <c r="C208" s="99">
        <f>IF(Data!D25/Data!D$33=0,"",Data!D25/Data!D$33)</f>
        <v>2.9249598219804669E-2</v>
      </c>
      <c r="D208" s="99">
        <f>IF(Data!E25/Data!E$33=0,"",Data!E25/Data!E$33)</f>
        <v>7.4470781030899949E-2</v>
      </c>
      <c r="E208" s="99">
        <f>IF(Data!F25/Data!F$33=0,"",Data!F25/Data!F$33)</f>
        <v>7.3057161207450236E-3</v>
      </c>
      <c r="F208" s="99" t="str">
        <f>IF(Data!G25/Data!G$33=0,"",Data!G25/Data!G$33)</f>
        <v/>
      </c>
    </row>
    <row r="209" spans="1:6" ht="12.75" customHeight="1">
      <c r="A209" s="4" t="str">
        <f>Data!A26</f>
        <v xml:space="preserve">Equity and cost investments </v>
      </c>
      <c r="B209" s="99" t="str">
        <f>IF(Data!C26/Data!C$33=0,"",Data!C26/Data!C$33)</f>
        <v/>
      </c>
      <c r="C209" s="99" t="str">
        <f>IF(Data!D26/Data!D$33=0,"",Data!D26/Data!D$33)</f>
        <v/>
      </c>
      <c r="D209" s="99" t="str">
        <f>IF(Data!E26/Data!E$33=0,"",Data!E26/Data!E$33)</f>
        <v/>
      </c>
      <c r="E209" s="99" t="str">
        <f>IF(Data!F26/Data!F$33=0,"",Data!F26/Data!F$33)</f>
        <v/>
      </c>
      <c r="F209" s="99" t="str">
        <f>IF(Data!G26/Data!G$33=0,"",Data!G26/Data!G$33)</f>
        <v/>
      </c>
    </row>
    <row r="210" spans="1:6" ht="12.75" customHeight="1">
      <c r="A210" s="4" t="str">
        <f>Data!A27</f>
        <v>Property, plant, and equipment - at cost</v>
      </c>
      <c r="B210" s="99">
        <f>IF(Data!C27/Data!C$33=0,"",Data!C27/Data!C$33)</f>
        <v>0.12407197360280471</v>
      </c>
      <c r="C210" s="99">
        <f>IF(Data!D27/Data!D$33=0,"",Data!D27/Data!D$33)</f>
        <v>0.1534182222771665</v>
      </c>
      <c r="D210" s="99">
        <f>IF(Data!E27/Data!E$33=0,"",Data!E27/Data!E$33)</f>
        <v>0.15193188153604426</v>
      </c>
      <c r="E210" s="99">
        <f>IF(Data!F27/Data!F$33=0,"",Data!F27/Data!F$33)</f>
        <v>0.18925818882466286</v>
      </c>
      <c r="F210" s="99">
        <f>IF(Data!G27/Data!G$33=0,"",Data!G27/Data!G$33)</f>
        <v>0.19250850679855072</v>
      </c>
    </row>
    <row r="211" spans="1:6" ht="12.75" customHeight="1">
      <c r="A211" s="4" t="str">
        <f>Data!A28</f>
        <v>&lt;Accumulated depreciation&gt;</v>
      </c>
      <c r="B211" s="99">
        <f>IF(Data!C28/Data!C$33=0,"",Data!C28/Data!C$33)</f>
        <v>-3.5316560115487734E-2</v>
      </c>
      <c r="C211" s="99">
        <f>IF(Data!D28/Data!D$33=0,"",Data!D28/Data!D$33)</f>
        <v>-4.2650513042403256E-2</v>
      </c>
      <c r="D211" s="99">
        <f>IF(Data!E28/Data!E$33=0,"",Data!E28/Data!E$33)</f>
        <v>-3.576557246878747E-2</v>
      </c>
      <c r="E211" s="99">
        <f>IF(Data!F28/Data!F$33=0,"",Data!F28/Data!F$33)</f>
        <v>-4.4990366088631988E-2</v>
      </c>
      <c r="F211" s="99">
        <f>IF(Data!G28/Data!G$33=0,"",Data!G28/Data!G$33)</f>
        <v>-4.8629957707090596E-2</v>
      </c>
    </row>
    <row r="212" spans="1:6" ht="12.75" customHeight="1">
      <c r="A212" s="4" t="str">
        <f>Data!A29</f>
        <v>Deferred Tax assets</v>
      </c>
      <c r="B212" s="99">
        <f>IF(Data!C29/Data!C$33=0,"",Data!C29/Data!C$33)</f>
        <v>5.8336770468137768E-2</v>
      </c>
      <c r="C212" s="99">
        <f>IF(Data!D29/Data!D$33=0,"",Data!D29/Data!D$33)</f>
        <v>6.062554085795524E-2</v>
      </c>
      <c r="D212" s="99">
        <f>IF(Data!E29/Data!E$33=0,"",Data!E29/Data!E$33)</f>
        <v>5.7829737629031423E-2</v>
      </c>
      <c r="E212" s="99">
        <f>IF(Data!F29/Data!F$33=0,"",Data!F29/Data!F$33)</f>
        <v>9.1425818882466287E-2</v>
      </c>
      <c r="F212" s="99">
        <f>IF(Data!G29/Data!G$33=0,"",Data!G29/Data!G$33)</f>
        <v>0.11968755596577992</v>
      </c>
    </row>
    <row r="213" spans="1:6" ht="12.75" customHeight="1">
      <c r="A213" s="4" t="str">
        <f>Data!A30</f>
        <v>Other assets</v>
      </c>
      <c r="B213" s="99">
        <f>IF(Data!C30/Data!C$33=0,"",Data!C30/Data!C$33)</f>
        <v>7.6562177768612086E-2</v>
      </c>
      <c r="C213" s="99">
        <f>IF(Data!D30/Data!D$33=0,"",Data!D30/Data!D$33)</f>
        <v>9.0987761157126951E-2</v>
      </c>
      <c r="D213" s="99">
        <f>IF(Data!E30/Data!E$33=0,"",Data!E30/Data!E$33)</f>
        <v>0.11135138787991414</v>
      </c>
      <c r="E213" s="99">
        <f>IF(Data!F30/Data!F$33=0,"",Data!F30/Data!F$33)</f>
        <v>0.11563904945407838</v>
      </c>
      <c r="F213" s="99">
        <f>IF(Data!G30/Data!G$33=0,"",Data!G30/Data!G$33)</f>
        <v>0.1040929066387469</v>
      </c>
    </row>
    <row r="214" spans="1:6" ht="12.75" customHeight="1">
      <c r="A214" s="4" t="str">
        <f>Data!A31</f>
        <v>Other intangible assets - Net</v>
      </c>
      <c r="B214" s="99">
        <f>IF(Data!C31/Data!C$33=0,"",Data!C31/Data!C$33)</f>
        <v>8.017116931326047E-3</v>
      </c>
      <c r="C214" s="99">
        <f>IF(Data!D31/Data!D$33=0,"",Data!D31/Data!D$33)</f>
        <v>7.8130794906663362E-3</v>
      </c>
      <c r="D214" s="99">
        <f>IF(Data!E31/Data!E$33=0,"",Data!E31/Data!E$33)</f>
        <v>1.074487675491206E-2</v>
      </c>
      <c r="E214" s="99">
        <f>IF(Data!F31/Data!F$33=0,"",Data!F31/Data!F$33)</f>
        <v>8.9916506101477209E-3</v>
      </c>
      <c r="F214" s="99">
        <f>IF(Data!G31/Data!G$33=0,"",Data!G31/Data!G$33)</f>
        <v>4.8629957707090592E-3</v>
      </c>
    </row>
    <row r="215" spans="1:6" ht="12.75" customHeight="1">
      <c r="A215" s="4" t="str">
        <f>Data!A32</f>
        <v xml:space="preserve">Goodwill </v>
      </c>
      <c r="B215" s="99">
        <f>IF(Data!C32/Data!C$33=0,"",Data!C32/Data!C$33)</f>
        <v>1.7323159414312232E-2</v>
      </c>
      <c r="C215" s="99">
        <f>IF(Data!D32/Data!D$33=0,"",Data!D32/Data!D$33)</f>
        <v>2.2994189640252193E-2</v>
      </c>
      <c r="D215" s="99">
        <f>IF(Data!E32/Data!E$33=0,"",Data!E32/Data!E$33)</f>
        <v>2.1134969843388345E-2</v>
      </c>
      <c r="E215" s="99">
        <f>IF(Data!F32/Data!F$33=0,"",Data!F32/Data!F$33)</f>
        <v>2.0552344251766219E-2</v>
      </c>
      <c r="F215" s="99">
        <f>IF(Data!G32/Data!G$33=0,"",Data!G32/Data!G$33)</f>
        <v>1.7426882861039546E-2</v>
      </c>
    </row>
    <row r="216" spans="1:6" ht="12.75" customHeight="1">
      <c r="A216" s="386" t="str">
        <f>Data!A33</f>
        <v xml:space="preserve">   Total Assets</v>
      </c>
      <c r="B216" s="390">
        <f>IF(Data!C33/Data!C$33=0,"",Data!C33/Data!C$33)</f>
        <v>1</v>
      </c>
      <c r="C216" s="390">
        <f>IF(Data!D33/Data!D$33=0,"",Data!D33/Data!D$33)</f>
        <v>1</v>
      </c>
      <c r="D216" s="390">
        <f>IF(Data!E33/Data!E$33=0,"",Data!E33/Data!E$33)</f>
        <v>1</v>
      </c>
      <c r="E216" s="390">
        <f>IF(Data!F33/Data!F$33=0,"",Data!F33/Data!F$33)</f>
        <v>1</v>
      </c>
      <c r="F216" s="390">
        <f>IF(Data!G33/Data!G$33=0,"",Data!G33/Data!G$33)</f>
        <v>1</v>
      </c>
    </row>
    <row r="217" spans="1:6" customFormat="1" ht="12.75" customHeight="1"/>
    <row r="218" spans="1:6" ht="12.75" customHeight="1">
      <c r="A218" s="386" t="str">
        <f>Data!A35</f>
        <v>Liabilities and Equities:</v>
      </c>
      <c r="B218" s="394" t="str">
        <f>IF(Data!C35/Data!C$33=0,"",Data!C35/Data!C$33)</f>
        <v/>
      </c>
      <c r="C218" s="395" t="str">
        <f>IF(Data!D35/Data!D$33=0,"",Data!D35/Data!D$33)</f>
        <v/>
      </c>
      <c r="D218" s="395" t="str">
        <f>IF(Data!E35/Data!E$33=0,"",Data!E35/Data!E$33)</f>
        <v/>
      </c>
      <c r="E218" s="395" t="str">
        <f>IF(Data!F35/Data!F$33=0,"",Data!F35/Data!F$33)</f>
        <v/>
      </c>
      <c r="F218" s="395" t="str">
        <f>IF(Data!G35/Data!G$33=0,"",Data!G35/Data!G$33)</f>
        <v/>
      </c>
    </row>
    <row r="219" spans="1:6" ht="12.75" customHeight="1">
      <c r="A219" s="373" t="str">
        <f>Data!A36</f>
        <v>Accounts payable</v>
      </c>
      <c r="B219" s="99">
        <f>IF(Data!C36/Data!C$33=0,"",Data!C36/Data!C$33)</f>
        <v>2.4850484636007426E-2</v>
      </c>
      <c r="C219" s="99">
        <f>IF(Data!D36/Data!D$33=0,"",Data!D36/Data!D$33)</f>
        <v>3.5010508097416237E-2</v>
      </c>
      <c r="D219" s="99">
        <f>IF(Data!E36/Data!E$33=0,"",Data!E36/Data!E$33)</f>
        <v>2.5071379094794809E-2</v>
      </c>
      <c r="E219" s="99">
        <f>IF(Data!F36/Data!F$33=0,"",Data!F36/Data!F$33)</f>
        <v>3.9081567116249202E-2</v>
      </c>
      <c r="F219" s="99">
        <f>IF(Data!G36/Data!G$33=0,"",Data!G36/Data!G$33)</f>
        <v>2.8144760225378498E-2</v>
      </c>
    </row>
    <row r="220" spans="1:6" ht="12.75" customHeight="1">
      <c r="A220" s="373" t="str">
        <f>Data!A37</f>
        <v>Accrued liabilities</v>
      </c>
      <c r="B220" s="99">
        <f>IF(Data!C37/Data!C$33=0,"",Data!C37/Data!C$33)</f>
        <v>2.624252423180037E-2</v>
      </c>
      <c r="C220" s="99">
        <f>IF(Data!D37/Data!D$33=0,"",Data!D37/Data!D$33)</f>
        <v>3.6889603164791687E-2</v>
      </c>
      <c r="D220" s="99">
        <f>IF(Data!E37/Data!E$33=0,"",Data!E37/Data!E$33)</f>
        <v>3.3332770184656441E-2</v>
      </c>
      <c r="E220" s="99">
        <f>IF(Data!F37/Data!F$33=0,"",Data!F37/Data!F$33)</f>
        <v>4.2758509955041754E-2</v>
      </c>
      <c r="F220" s="99">
        <f>IF(Data!G37/Data!G$33=0,"",Data!G37/Data!G$33)</f>
        <v>5.8369725440493722E-2</v>
      </c>
    </row>
    <row r="221" spans="1:6" ht="12.75" customHeight="1">
      <c r="A221" s="373" t="str">
        <f>Data!A38</f>
        <v>Notes payable and short-term debt</v>
      </c>
      <c r="B221" s="99" t="str">
        <f>IF(Data!C38/Data!C$33=0,"",Data!C38/Data!C$33)</f>
        <v/>
      </c>
      <c r="C221" s="99" t="str">
        <f>IF(Data!D38/Data!D$33=0,"",Data!D38/Data!D$33)</f>
        <v/>
      </c>
      <c r="D221" s="99" t="str">
        <f>IF(Data!E38/Data!E$33=0,"",Data!E38/Data!E$33)</f>
        <v/>
      </c>
      <c r="E221" s="99" t="str">
        <f>IF(Data!F38/Data!F$33=0,"",Data!F38/Data!F$33)</f>
        <v/>
      </c>
      <c r="F221" s="99" t="str">
        <f>IF(Data!G38/Data!G$33=0,"",Data!G38/Data!G$33)</f>
        <v/>
      </c>
    </row>
    <row r="222" spans="1:6" ht="12.75" customHeight="1">
      <c r="A222" s="373" t="str">
        <f>Data!A39</f>
        <v>Current maturities of long-term debt</v>
      </c>
      <c r="B222" s="99" t="str">
        <f>IF(Data!C39/Data!C$33=0,"",Data!C39/Data!C$33)</f>
        <v/>
      </c>
      <c r="C222" s="99" t="str">
        <f>IF(Data!D39/Data!D$33=0,"",Data!D39/Data!D$33)</f>
        <v/>
      </c>
      <c r="D222" s="99" t="str">
        <f>IF(Data!E39/Data!E$33=0,"",Data!E39/Data!E$33)</f>
        <v/>
      </c>
      <c r="E222" s="99" t="str">
        <f>IF(Data!F39/Data!F$33=0,"",Data!F39/Data!F$33)</f>
        <v/>
      </c>
      <c r="F222" s="99" t="str">
        <f>IF(Data!G39/Data!G$33=0,"",Data!G39/Data!G$33)</f>
        <v/>
      </c>
    </row>
    <row r="223" spans="1:6" ht="12.75" customHeight="1">
      <c r="A223" s="373" t="str">
        <f>Data!A40</f>
        <v>Deferred tax liabilities - current</v>
      </c>
      <c r="B223" s="99" t="str">
        <f>IF(Data!C40/Data!C$33=0,"",Data!C40/Data!C$33)</f>
        <v/>
      </c>
      <c r="C223" s="99" t="str">
        <f>IF(Data!D40/Data!D$33=0,"",Data!D40/Data!D$33)</f>
        <v/>
      </c>
      <c r="D223" s="99" t="str">
        <f>IF(Data!E40/Data!E$33=0,"",Data!E40/Data!E$33)</f>
        <v/>
      </c>
      <c r="E223" s="99" t="str">
        <f>IF(Data!F40/Data!F$33=0,"",Data!F40/Data!F$33)</f>
        <v/>
      </c>
      <c r="F223" s="99" t="str">
        <f>IF(Data!G40/Data!G$33=0,"",Data!G40/Data!G$33)</f>
        <v/>
      </c>
    </row>
    <row r="224" spans="1:6" ht="12.75" customHeight="1">
      <c r="A224" s="373" t="str">
        <f>Data!A41</f>
        <v>Accrued payroll and compensation</v>
      </c>
      <c r="B224" s="99">
        <f>IF(Data!C41/Data!C$33=0,"",Data!C41/Data!C$33)</f>
        <v>2.624252423180037E-2</v>
      </c>
      <c r="C224" s="99">
        <f>IF(Data!D41/Data!D$33=0,"",Data!D41/Data!D$33)</f>
        <v>3.6073680306589195E-2</v>
      </c>
      <c r="D224" s="99">
        <f>IF(Data!E41/Data!E$33=0,"",Data!E41/Data!E$33)</f>
        <v>3.2944197597607736E-2</v>
      </c>
      <c r="E224" s="99">
        <f>IF(Data!F41/Data!F$33=0,"",Data!F41/Data!F$33)</f>
        <v>3.5228002569043036E-2</v>
      </c>
      <c r="F224" s="99">
        <f>IF(Data!G41/Data!G$33=0,"",Data!G41/Data!G$33)</f>
        <v>3.3379713179682864E-2</v>
      </c>
    </row>
    <row r="225" spans="1:8" ht="12.75" customHeight="1">
      <c r="A225" s="373" t="str">
        <f>Data!A42</f>
        <v>Income taxes payable</v>
      </c>
      <c r="B225" s="99" t="str">
        <f>IF(Data!C42/Data!C$33=0,"",Data!C42/Data!C$33)</f>
        <v/>
      </c>
      <c r="C225" s="99" t="str">
        <f>IF(Data!D42/Data!D$33=0,"",Data!D42/Data!D$33)</f>
        <v/>
      </c>
      <c r="D225" s="99" t="str">
        <f>IF(Data!E42/Data!E$33=0,"",Data!E42/Data!E$33)</f>
        <v/>
      </c>
      <c r="E225" s="99" t="str">
        <f>IF(Data!F42/Data!F$33=0,"",Data!F42/Data!F$33)</f>
        <v/>
      </c>
      <c r="F225" s="99" t="str">
        <f>IF(Data!G42/Data!G$33=0,"",Data!G42/Data!G$33)</f>
        <v/>
      </c>
    </row>
    <row r="226" spans="1:8" ht="12.75" customHeight="1">
      <c r="A226" s="373" t="str">
        <f>Data!A43</f>
        <v>Deferred revenue - current</v>
      </c>
      <c r="B226" s="99">
        <f>IF(Data!C43/Data!C$33=0,"",Data!C43/Data!C$33)</f>
        <v>0.29794803052175706</v>
      </c>
      <c r="C226" s="99">
        <f>IF(Data!D43/Data!D$33=0,"",Data!D43/Data!D$33)</f>
        <v>0.34436889603164789</v>
      </c>
      <c r="D226" s="99">
        <f>IF(Data!E43/Data!E$33=0,"",Data!E43/Data!E$33)</f>
        <v>0.30028213748711791</v>
      </c>
      <c r="E226" s="99">
        <f>IF(Data!F43/Data!F$33=0,"",Data!F43/Data!F$33)</f>
        <v>0.37721579961464363</v>
      </c>
      <c r="F226" s="99">
        <f>IF(Data!G43/Data!G$33=0,"",Data!G43/Data!G$33)</f>
        <v>0.39244238107702256</v>
      </c>
    </row>
    <row r="227" spans="1:8" ht="12.75" customHeight="1">
      <c r="A227" s="386" t="str">
        <f>Data!A44</f>
        <v xml:space="preserve">  Current Liabilities</v>
      </c>
      <c r="B227" s="390">
        <f>IF(Data!C44/Data!C$33=0,"",Data!C44/Data!C$33)</f>
        <v>0.37528356362136522</v>
      </c>
      <c r="C227" s="390">
        <f>IF(Data!D44/Data!D$33=0,"",Data!D44/Data!D$33)</f>
        <v>0.45234268760044499</v>
      </c>
      <c r="D227" s="390">
        <f>IF(Data!E44/Data!E$33=0,"",Data!E44/Data!E$33)</f>
        <v>0.39163048436417691</v>
      </c>
      <c r="E227" s="390">
        <f>IF(Data!F44/Data!F$33=0,"",Data!F44/Data!F$33)</f>
        <v>0.49428387925497763</v>
      </c>
      <c r="F227" s="390">
        <f>IF(Data!G44/Data!G$33=0,"",Data!G44/Data!G$33)</f>
        <v>0.51233657992257775</v>
      </c>
    </row>
    <row r="228" spans="1:8" ht="12.75" customHeight="1">
      <c r="A228" s="373" t="str">
        <f>Data!A45</f>
        <v xml:space="preserve">Long-term debt </v>
      </c>
      <c r="B228" s="391" t="str">
        <f>IF(Data!C45/Data!C$33=0,"",Data!C45/Data!C$33)</f>
        <v/>
      </c>
      <c r="C228" s="391" t="str">
        <f>IF(Data!D45/Data!D$33=0,"",Data!D45/Data!D$33)</f>
        <v/>
      </c>
      <c r="D228" s="391">
        <f>IF(Data!E45/Data!E$33=0,"",Data!E45/Data!E$33)</f>
        <v>0.16698484566910504</v>
      </c>
      <c r="E228" s="391">
        <f>IF(Data!F45/Data!F$33=0,"",Data!F45/Data!F$33)</f>
        <v>0.15902376364804113</v>
      </c>
      <c r="F228" s="391">
        <f>IF(Data!G45/Data!G$33=0,"",Data!G45/Data!G$33)</f>
        <v>0.1367011530672691</v>
      </c>
    </row>
    <row r="229" spans="1:8" ht="12.75" customHeight="1">
      <c r="A229" s="65" t="str">
        <f>Data!A46</f>
        <v>Long-term accrued liabilities</v>
      </c>
      <c r="B229" s="99" t="str">
        <f>IF(Data!C46/Data!C$33=0,"",Data!C46/Data!C$33)</f>
        <v/>
      </c>
      <c r="C229" s="99" t="str">
        <f>IF(Data!D46/Data!D$33=0,"",Data!D46/Data!D$33)</f>
        <v/>
      </c>
      <c r="D229" s="99" t="str">
        <f>IF(Data!E46/Data!E$33=0,"",Data!E46/Data!E$33)</f>
        <v/>
      </c>
      <c r="E229" s="99" t="str">
        <f>IF(Data!F46/Data!F$33=0,"",Data!F46/Data!F$33)</f>
        <v/>
      </c>
      <c r="F229" s="99" t="str">
        <f>IF(Data!G46/Data!G$33=0,"",Data!G46/Data!G$33)</f>
        <v/>
      </c>
    </row>
    <row r="230" spans="1:8" ht="12.75" customHeight="1">
      <c r="A230" s="65" t="str">
        <f>Data!A47</f>
        <v>Income taxes liabilities</v>
      </c>
      <c r="B230" s="99">
        <f>IF(Data!C47/Data!C$33=0,"",Data!C47/Data!C$33)</f>
        <v>2.1344607135491855E-2</v>
      </c>
      <c r="C230" s="99">
        <f>IF(Data!D47/Data!D$33=0,"",Data!D47/Data!D$33)</f>
        <v>2.2326616392631966E-2</v>
      </c>
      <c r="D230" s="99">
        <f>IF(Data!E47/Data!E$33=0,"",Data!E47/Data!E$33)</f>
        <v>1.3431095943640075E-2</v>
      </c>
      <c r="E230" s="99">
        <f>IF(Data!F47/Data!F$33=0,"",Data!F47/Data!F$33)</f>
        <v>1.0886319845857419E-2</v>
      </c>
      <c r="F230" s="99" t="str">
        <f>IF(Data!G47/Data!G$33=0,"",Data!G47/Data!G$33)</f>
        <v/>
      </c>
    </row>
    <row r="231" spans="1:8" ht="12.75" customHeight="1">
      <c r="A231" s="65" t="str">
        <f>Data!A48</f>
        <v>Other noncurrent liabilities (1)</v>
      </c>
      <c r="B231" s="99">
        <f>IF(Data!C48/Data!C$33=0,"",Data!C48/Data!C$33)</f>
        <v>1.1574551453908023E-2</v>
      </c>
      <c r="C231" s="99">
        <f>IF(Data!D48/Data!D$33=0,"",Data!D48/Data!D$33)</f>
        <v>1.3895413524539497E-2</v>
      </c>
      <c r="D231" s="99">
        <f>IF(Data!E48/Data!E$33=0,"",Data!E48/Data!E$33)</f>
        <v>1.0001520501427578E-2</v>
      </c>
      <c r="E231" s="99">
        <f>IF(Data!F48/Data!F$33=0,"",Data!F48/Data!F$33)</f>
        <v>1.3166345536287734E-2</v>
      </c>
      <c r="F231" s="99">
        <f>IF(Data!G48/Data!G$33=0,"",Data!G48/Data!G$33)</f>
        <v>1.717891140530934E-2</v>
      </c>
    </row>
    <row r="232" spans="1:8" ht="12.75" customHeight="1">
      <c r="A232" s="65" t="str">
        <f>Data!A49</f>
        <v>Deferred revenue - noncurrent</v>
      </c>
      <c r="B232" s="99">
        <f>IF(Data!C49/Data!C$33=0,"",Data!C49/Data!C$33)</f>
        <v>0.24574654567952156</v>
      </c>
      <c r="C232" s="99">
        <f>IF(Data!D49/Data!D$33=0,"",Data!D49/Data!D$33)</f>
        <v>0.29978983805167508</v>
      </c>
      <c r="D232" s="99">
        <f>IF(Data!E49/Data!E$33=0,"",Data!E49/Data!E$33)</f>
        <v>0.28306668243482952</v>
      </c>
      <c r="E232" s="99">
        <f>IF(Data!F49/Data!F$33=0,"",Data!F49/Data!F$33)</f>
        <v>0.36785484906872196</v>
      </c>
      <c r="F232" s="99">
        <f>IF(Data!G49/Data!G$33=0,"",Data!G49/Data!G$33)</f>
        <v>0.39762222926338697</v>
      </c>
    </row>
    <row r="233" spans="1:8" ht="12.75" customHeight="1">
      <c r="A233" s="386" t="str">
        <f>Data!A50</f>
        <v xml:space="preserve">  Total Liabilities</v>
      </c>
      <c r="B233" s="390">
        <f>IF(Data!C50/Data!C$33=0,"",Data!C50/Data!C$33)</f>
        <v>0.65394926789028673</v>
      </c>
      <c r="C233" s="390">
        <f>IF(Data!D50/Data!D$33=0,"",Data!D50/Data!D$33)</f>
        <v>0.78835455556929157</v>
      </c>
      <c r="D233" s="390">
        <f>IF(Data!E50/Data!E$33=0,"",Data!E50/Data!E$33)</f>
        <v>0.86511462891317914</v>
      </c>
      <c r="E233" s="390">
        <f>IF(Data!F50/Data!F$33=0,"",Data!F50/Data!F$33)</f>
        <v>1.0452151573538859</v>
      </c>
      <c r="F233" s="390">
        <f>IF(Data!G50/Data!G$33=0,"",Data!G50/Data!G$33)</f>
        <v>1.0638388736585431</v>
      </c>
      <c r="H233" s="87"/>
    </row>
    <row r="234" spans="1:8" ht="12.75" customHeight="1">
      <c r="A234" s="77"/>
      <c r="B234" s="101" t="str">
        <f>IF(Data!C51/Data!C$33=0,"",Data!C51/Data!C$33)</f>
        <v/>
      </c>
      <c r="C234" s="101" t="str">
        <f>IF(Data!D51/Data!D$33=0,"",Data!D51/Data!D$33)</f>
        <v/>
      </c>
      <c r="D234" s="101" t="str">
        <f>IF(Data!E51/Data!E$33=0,"",Data!E51/Data!E$33)</f>
        <v/>
      </c>
      <c r="E234" s="101" t="str">
        <f>IF(Data!F51/Data!F$33=0,"",Data!F51/Data!F$33)</f>
        <v/>
      </c>
      <c r="F234" s="101" t="str">
        <f>IF(Data!G51/Data!G$33=0,"",Data!G51/Data!G$33)</f>
        <v/>
      </c>
    </row>
    <row r="235" spans="1:8" ht="12.75" customHeight="1">
      <c r="A235" s="65" t="str">
        <f>Data!A52</f>
        <v>Preferred stock</v>
      </c>
      <c r="B235" s="99" t="str">
        <f>IF(Data!C52/Data!C$33=0,"",Data!C52/Data!C$33)</f>
        <v/>
      </c>
      <c r="C235" s="99" t="str">
        <f>IF(Data!D52/Data!D$33=0,"",Data!D52/Data!D$33)</f>
        <v/>
      </c>
      <c r="D235" s="99" t="str">
        <f>IF(Data!E52/Data!E$33=0,"",Data!E52/Data!E$33)</f>
        <v/>
      </c>
      <c r="E235" s="99" t="str">
        <f>IF(Data!F52/Data!F$33=0,"",Data!F52/Data!F$33)</f>
        <v/>
      </c>
      <c r="F235" s="99" t="str">
        <f>IF(Data!G52/Data!G$33=0,"",Data!G52/Data!G$33)</f>
        <v/>
      </c>
    </row>
    <row r="236" spans="1:8" ht="12.75" customHeight="1">
      <c r="A236" s="65" t="str">
        <f>Data!A53</f>
        <v>Common stock + Additional paid in capital</v>
      </c>
      <c r="B236" s="99">
        <f>IF(Data!C53/Data!C$33=0,"",Data!C53/Data!C$33)</f>
        <v>0.30431532274695816</v>
      </c>
      <c r="C236" s="99">
        <f>IF(Data!D53/Data!D$33=0,"",Data!D53/Data!D$33)</f>
        <v>0.29852886636172576</v>
      </c>
      <c r="D236" s="99">
        <f>IF(Data!E53/Data!E$33=0,"",Data!E53/Data!E$33)</f>
        <v>0.21192411008430326</v>
      </c>
      <c r="E236" s="99">
        <f>IF(Data!F53/Data!F$33=0,"",Data!F53/Data!F$33)</f>
        <v>0.20632626846499683</v>
      </c>
      <c r="F236" s="99">
        <f>IF(Data!G53/Data!G$33=0,"",Data!G53/Data!G$33)</f>
        <v>0.195236192811583</v>
      </c>
    </row>
    <row r="237" spans="1:8" ht="12.75" customHeight="1">
      <c r="A237" s="65" t="str">
        <f>Data!A54</f>
        <v>Accumulated retained earnings &lt;deficit&gt;</v>
      </c>
      <c r="B237" s="99">
        <f>IF(Data!C54/Data!C$33=0,"",Data!C54/Data!C$33)</f>
        <v>4.1451845741389985E-2</v>
      </c>
      <c r="C237" s="99">
        <f>IF(Data!D54/Data!D$33=0,"",Data!D54/Data!D$33)</f>
        <v>-8.7056496476696749E-2</v>
      </c>
      <c r="D237" s="99">
        <f>IF(Data!E54/Data!E$33=0,"",Data!E54/Data!E$33)</f>
        <v>-7.9049179773952094E-2</v>
      </c>
      <c r="E237" s="99">
        <f>IF(Data!F54/Data!F$33=0,"",Data!F54/Data!F$33)</f>
        <v>-0.24829800899165066</v>
      </c>
      <c r="F237" s="99">
        <f>IF(Data!G54/Data!G$33=0,"",Data!G54/Data!G$33)</f>
        <v>-0.25647136618495908</v>
      </c>
    </row>
    <row r="238" spans="1:8" ht="12.75" customHeight="1">
      <c r="A238" s="65" t="str">
        <f>Data!A55</f>
        <v>Accum. other comprehensive income &lt;loss&gt;</v>
      </c>
      <c r="B238" s="99">
        <f>IF(Data!C55/Data!C$33=0,"",Data!C55/Data!C$33)</f>
        <v>2.8356362136522996E-4</v>
      </c>
      <c r="C238" s="99">
        <f>IF(Data!D55/Data!D$33=0,"",Data!D55/Data!D$33)</f>
        <v>1.7307454567931757E-4</v>
      </c>
      <c r="D238" s="99">
        <f>IF(Data!E55/Data!E$33=0,"",Data!E55/Data!E$33)</f>
        <v>-8.1093409471034419E-4</v>
      </c>
      <c r="E238" s="99">
        <f>IF(Data!F55/Data!F$33=0,"",Data!F55/Data!F$33)</f>
        <v>-3.2434168272318566E-3</v>
      </c>
      <c r="F238" s="99">
        <f>IF(Data!G55/Data!G$33=0,"",Data!G55/Data!G$33)</f>
        <v>-2.6037002851671733E-3</v>
      </c>
    </row>
    <row r="239" spans="1:8" ht="12.75" customHeight="1">
      <c r="A239" s="65" t="str">
        <f>Data!A56</f>
        <v>&lt;Treasury stock&gt; and other equity adjustments</v>
      </c>
      <c r="B239" s="99" t="str">
        <f>IF(Data!C56/Data!C$33=0,"",Data!C56/Data!C$33)</f>
        <v/>
      </c>
      <c r="C239" s="99" t="str">
        <f>IF(Data!D56/Data!D$33=0,"",Data!D56/Data!D$33)</f>
        <v/>
      </c>
      <c r="D239" s="99" t="str">
        <f>IF(Data!E56/Data!E$33=0,"",Data!E56/Data!E$33)</f>
        <v/>
      </c>
      <c r="E239" s="99" t="str">
        <f>IF(Data!F56/Data!F$33=0,"",Data!F56/Data!F$33)</f>
        <v/>
      </c>
      <c r="F239" s="99" t="str">
        <f>IF(Data!G56/Data!G$33=0,"",Data!G56/Data!G$33)</f>
        <v/>
      </c>
    </row>
    <row r="240" spans="1:8" ht="12.75" customHeight="1">
      <c r="A240" s="386" t="str">
        <f>Data!A57</f>
        <v xml:space="preserve"> Total Common Shareholders' Equity</v>
      </c>
      <c r="B240" s="390">
        <f>IF(Data!C57/Data!C$33=0,"",Data!C57/Data!C$33)</f>
        <v>0.34605073210971332</v>
      </c>
      <c r="C240" s="390">
        <f>IF(Data!D57/Data!D$33=0,"",Data!D57/Data!D$33)</f>
        <v>0.21164544443070837</v>
      </c>
      <c r="D240" s="390">
        <f>IF(Data!E57/Data!E$33=0,"",Data!E57/Data!E$33)</f>
        <v>0.13206399621564083</v>
      </c>
      <c r="E240" s="390">
        <f>IF(Data!F57/Data!F$33=0,"",Data!F57/Data!F$33)</f>
        <v>-4.5215157353885697E-2</v>
      </c>
      <c r="F240" s="390">
        <f>IF(Data!G57/Data!G$33=0,"",Data!G57/Data!G$33)</f>
        <v>-6.3838873658543294E-2</v>
      </c>
    </row>
    <row r="241" spans="1:10" ht="12.75" customHeight="1">
      <c r="A241" s="373" t="str">
        <f>Data!A58</f>
        <v>Noncontrolling interests</v>
      </c>
      <c r="B241" s="391" t="str">
        <f>IF(Data!C58/Data!C$33=0,"",Data!C58/Data!C$33)</f>
        <v/>
      </c>
      <c r="C241" s="391" t="str">
        <f>IF(Data!D58/Data!D$33=0,"",Data!D58/Data!D$33)</f>
        <v/>
      </c>
      <c r="D241" s="391">
        <f>IF(Data!E58/Data!E$33=0,"",Data!E58/Data!E$33)</f>
        <v>2.8213748711797392E-3</v>
      </c>
      <c r="E241" s="391" t="str">
        <f>IF(Data!F58/Data!F$33=0,"",Data!F58/Data!F$33)</f>
        <v/>
      </c>
      <c r="F241" s="391" t="str">
        <f>IF(Data!G58/Data!G$33=0,"",Data!G58/Data!G$33)</f>
        <v/>
      </c>
    </row>
    <row r="242" spans="1:10" ht="12.75" customHeight="1">
      <c r="A242" s="386" t="str">
        <f>Data!A59</f>
        <v xml:space="preserve">  Total Equity</v>
      </c>
      <c r="B242" s="390">
        <f>IF(Data!C59/Data!C$33=0,"",Data!C59/Data!C$33)</f>
        <v>0.34605073210971332</v>
      </c>
      <c r="C242" s="390">
        <f>IF(Data!D59/Data!D$33=0,"",Data!D59/Data!D$33)</f>
        <v>0.21164544443070837</v>
      </c>
      <c r="D242" s="390">
        <f>IF(Data!E59/Data!E$33=0,"",Data!E59/Data!E$33)</f>
        <v>0.13488537108682058</v>
      </c>
      <c r="E242" s="390">
        <f>IF(Data!F59/Data!F$33=0,"",Data!F59/Data!F$33)</f>
        <v>-4.5215157353885697E-2</v>
      </c>
      <c r="F242" s="390">
        <f>IF(Data!G59/Data!G$33=0,"",Data!G59/Data!G$33)</f>
        <v>-6.3838873658543294E-2</v>
      </c>
    </row>
    <row r="243" spans="1:10" ht="12.75" customHeight="1">
      <c r="A243" s="386" t="str">
        <f>Data!A60</f>
        <v xml:space="preserve">  Total Liabilities and Equities</v>
      </c>
      <c r="B243" s="390">
        <f>IF(Data!C60/Data!C$33=0,"",Data!C60/Data!C$33)</f>
        <v>1</v>
      </c>
      <c r="C243" s="390">
        <f>IF(Data!D60/Data!D$33=0,"",Data!D60/Data!D$33)</f>
        <v>0.99999999999999989</v>
      </c>
      <c r="D243" s="390">
        <f>IF(Data!E60/Data!E$33=0,"",Data!E60/Data!E$33)</f>
        <v>0.99999999999999967</v>
      </c>
      <c r="E243" s="390">
        <f>IF(Data!F60/Data!F$33=0,"",Data!F60/Data!F$33)</f>
        <v>1.0000000000000002</v>
      </c>
      <c r="F243" s="390">
        <f>IF(Data!G60/Data!G$33=0,"",Data!G60/Data!G$33)</f>
        <v>0.99999999999999989</v>
      </c>
    </row>
    <row r="244" spans="1:10" ht="12.75" customHeight="1">
      <c r="A244" s="61"/>
      <c r="B244" s="102"/>
      <c r="C244" s="102"/>
      <c r="D244" s="102"/>
      <c r="E244" s="102"/>
      <c r="F244" s="102"/>
    </row>
    <row r="245" spans="1:10" ht="12.75" customHeight="1" thickBot="1">
      <c r="B245" s="102"/>
      <c r="C245" s="102"/>
      <c r="D245" s="102"/>
      <c r="E245" s="102"/>
      <c r="F245" s="102"/>
    </row>
    <row r="246" spans="1:10" ht="12.75" customHeight="1" thickBot="1">
      <c r="A246" s="78" t="s">
        <v>21</v>
      </c>
      <c r="B246" s="103"/>
      <c r="C246" s="103"/>
      <c r="D246" s="103"/>
      <c r="E246" s="103"/>
      <c r="F246" s="103"/>
      <c r="G246" s="104"/>
      <c r="J246" s="61" t="s">
        <v>493</v>
      </c>
    </row>
    <row r="247" spans="1:10" ht="12.75" customHeight="1" thickBot="1">
      <c r="A247" s="62" t="s">
        <v>18</v>
      </c>
      <c r="B247" s="63">
        <f>Data!$C$11</f>
        <v>2019</v>
      </c>
      <c r="C247" s="63">
        <f>Data!$D$11</f>
        <v>2020</v>
      </c>
      <c r="D247" s="63">
        <f>Data!$E$11</f>
        <v>2021</v>
      </c>
      <c r="E247" s="63">
        <f>Data!$F$11</f>
        <v>2022</v>
      </c>
      <c r="F247" s="63">
        <f>Data!$G$11</f>
        <v>2023</v>
      </c>
      <c r="G247" s="63"/>
    </row>
    <row r="248" spans="1:10" ht="12.75" customHeight="1">
      <c r="A248" s="56"/>
      <c r="B248" s="105"/>
      <c r="C248" s="106"/>
      <c r="D248" s="105"/>
      <c r="E248" s="106"/>
      <c r="F248" s="106"/>
      <c r="G248" s="107" t="s">
        <v>446</v>
      </c>
    </row>
    <row r="249" spans="1:10" ht="12.75" customHeight="1">
      <c r="A249" s="48"/>
      <c r="B249" s="105"/>
      <c r="C249" s="106"/>
      <c r="D249" s="106"/>
      <c r="E249" s="106"/>
      <c r="F249" s="106"/>
      <c r="G249" s="107" t="s">
        <v>447</v>
      </c>
    </row>
    <row r="250" spans="1:10" ht="12.75" customHeight="1">
      <c r="A250" s="25" t="str">
        <f>Data!A15</f>
        <v>Assets:</v>
      </c>
      <c r="B250" s="91" t="s">
        <v>352</v>
      </c>
      <c r="C250" s="107"/>
      <c r="D250" s="107"/>
      <c r="E250" s="106"/>
      <c r="F250" s="106"/>
      <c r="G250" s="107" t="s">
        <v>448</v>
      </c>
    </row>
    <row r="251" spans="1:10" ht="12.75" customHeight="1">
      <c r="A251" s="65" t="str">
        <f>Data!A16</f>
        <v>Cash and cash equivalents</v>
      </c>
      <c r="B251" s="99">
        <f>IF(ISERROR(Data!C16/Data!B16-1),"",Data!C16/Data!B16-1)</f>
        <v>9.8975188781013967E-2</v>
      </c>
      <c r="C251" s="99">
        <f>IF(ISERROR(Data!D16/Data!C16-1),"",Data!D16/Data!C16-1)</f>
        <v>-0.13145194274028638</v>
      </c>
      <c r="D251" s="99">
        <f>IF(ISERROR(Data!E16/Data!D16-1),"",Data!E16/Data!D16-1)</f>
        <v>0.2423243548690901</v>
      </c>
      <c r="E251" s="99">
        <f>IF(ISERROR(Data!F16/Data!E16-1),"",Data!F16/Data!E16-1)</f>
        <v>0.27579410203926935</v>
      </c>
      <c r="F251" s="99">
        <f>IF(ISERROR(Data!G16/Data!F16-1),"",Data!G16/Data!F16-1)</f>
        <v>-0.16935052587794874</v>
      </c>
      <c r="G251" s="99">
        <f>IF(ISERROR((Data!G16/Data!B16)^(1/5)-1),"",(Data!G16/Data!B16)^(1/5)-1)</f>
        <v>4.6750133467268862E-2</v>
      </c>
      <c r="J251" s="17" t="s">
        <v>353</v>
      </c>
    </row>
    <row r="252" spans="1:10" ht="12.75" customHeight="1">
      <c r="A252" s="65" t="str">
        <f>Data!A17</f>
        <v>Short-term investments</v>
      </c>
      <c r="B252" s="99">
        <f>IF(ISERROR(Data!C17/Data!B17-1),"",Data!C17/Data!B17-1)</f>
        <v>0.56943410275502604</v>
      </c>
      <c r="C252" s="99">
        <f>IF(ISERROR(Data!D17/Data!C17-1),"",Data!D17/Data!C17-1)</f>
        <v>-8.0180287035938824E-2</v>
      </c>
      <c r="D252" s="99">
        <f>IF(ISERROR(Data!E17/Data!D17-1),"",Data!E17/Data!D17-1)</f>
        <v>0.53965183752417789</v>
      </c>
      <c r="E252" s="99">
        <f>IF(ISERROR(Data!F17/Data!E17-1),"",Data!F17/Data!E17-1)</f>
        <v>-0.57906197654941371</v>
      </c>
      <c r="F252" s="99">
        <f>IF(ISERROR(Data!G17/Data!F17-1),"",Data!G17/Data!F17-1)</f>
        <v>1.0324313569438917</v>
      </c>
      <c r="G252" s="99">
        <f>IF(ISERROR((Data!G17/Data!B17)^(1/5)-1),"",(Data!G17/Data!B17)^(1/5)-1)</f>
        <v>0.13715711600383873</v>
      </c>
      <c r="J252" s="17" t="s">
        <v>354</v>
      </c>
    </row>
    <row r="253" spans="1:10" ht="12.75" customHeight="1">
      <c r="A253" s="65" t="str">
        <f>Data!A18</f>
        <v>Accounts and notes receivable - net</v>
      </c>
      <c r="B253" s="99">
        <f>IF(ISERROR(Data!C18/Data!B18-1),"",Data!C18/Data!B18-1)</f>
        <v>0.22452193475815507</v>
      </c>
      <c r="C253" s="99">
        <f>IF(ISERROR(Data!D18/Data!C18-1),"",Data!D18/Data!C18-1)</f>
        <v>0.32279992651111522</v>
      </c>
      <c r="D253" s="99">
        <f>IF(ISERROR(Data!E19/Data!D18-1),"",Data!E19/Data!D18-1)</f>
        <v>-0.75583333333333336</v>
      </c>
      <c r="E253" s="99">
        <f>IF(ISERROR(Data!F19/Data!E19-1),"",Data!F19/Data!E19-1)</f>
        <v>0.50511945392491464</v>
      </c>
      <c r="F253" s="99">
        <f>IF(ISERROR(Data!G18/Data!F19-1),"",Data!G18/Data!F19-1)</f>
        <v>4.2985638699924413</v>
      </c>
      <c r="G253" s="99">
        <f>IF(ISERROR((Data!G18/Data!B18)^(1/5)-1),"",(Data!G18/Data!B18)^(1/5)-1)</f>
        <v>0.2582740779183974</v>
      </c>
    </row>
    <row r="254" spans="1:10" ht="12.75" customHeight="1">
      <c r="A254" s="65" t="str">
        <f>Data!A19</f>
        <v>Inventories</v>
      </c>
      <c r="B254" s="99">
        <f>IF(ISERROR(Data!C19/Data!B19-1),"",Data!C19/Data!B19-1)</f>
        <v>0.31000000000000005</v>
      </c>
      <c r="C254" s="99">
        <f>IF(ISERROR(Data!D19/Data!C19-1),"",Data!D19/Data!C19-1)</f>
        <v>0.18575063613231557</v>
      </c>
      <c r="D254" s="99" t="str">
        <f>IF(ISERROR(Data!#REF!/Data!D19-1),"",Data!#REF!/Data!D19-1)</f>
        <v/>
      </c>
      <c r="E254" s="99" t="str">
        <f>IF(ISERROR(Data!#REF!/Data!#REF!-1),"",Data!#REF!/Data!#REF!-1)</f>
        <v/>
      </c>
      <c r="F254" s="99" t="str">
        <f>IF(ISERROR(Data!G19/Data!#REF!-1),"",Data!G19/Data!#REF!-1)</f>
        <v/>
      </c>
      <c r="G254" s="99">
        <f>IF(ISERROR((Data!G19/Data!B19)^(1/5)-1),"",(Data!G19/Data!B19)^(1/5)-1)</f>
        <v>0.40043843140567681</v>
      </c>
    </row>
    <row r="255" spans="1:10" ht="12.75" customHeight="1">
      <c r="A255" s="65" t="str">
        <f>Data!A20</f>
        <v>Prepaid expenses and other current assets</v>
      </c>
      <c r="B255" s="99">
        <f>IF(ISERROR(Data!C20/Data!B20-1),"",Data!C20/Data!B20-1)</f>
        <v>0.11956521739130443</v>
      </c>
      <c r="C255" s="99">
        <f>IF(ISERROR(Data!D20/Data!C20-1),"",Data!D20/Data!C20-1)</f>
        <v>5.0970873786407633E-2</v>
      </c>
      <c r="D255" s="99">
        <f>IF(ISERROR(Data!E20/Data!D20-1),"",Data!E20/Data!D20-1)</f>
        <v>0.5103926096997693</v>
      </c>
      <c r="E255" s="99">
        <f>IF(ISERROR(Data!F20/Data!E20-1),"",Data!F20/Data!E20-1)</f>
        <v>0.11773700305810375</v>
      </c>
      <c r="F255" s="99">
        <f>IF(ISERROR(Data!G20/Data!F20-1),"",Data!G20/Data!F20-1)</f>
        <v>0.38303693570451447</v>
      </c>
      <c r="G255" s="99">
        <f>IF(ISERROR((Data!G20/Data!B20)^(1/5)-1),"",(Data!G20/Data!B20)^(1/5)-1)</f>
        <v>0.22399788502796003</v>
      </c>
    </row>
    <row r="256" spans="1:10" ht="12.75" customHeight="1">
      <c r="A256" s="65" t="str">
        <f>Data!A21</f>
        <v>Marketable equity securities</v>
      </c>
      <c r="B256" s="99" t="str">
        <f>IF(ISERROR(Data!C21/Data!B21-1),"",Data!C21/Data!B21-1)</f>
        <v/>
      </c>
      <c r="C256" s="99" t="str">
        <f>IF(ISERROR(Data!D21/Data!C21-1),"",Data!D21/Data!C21-1)</f>
        <v/>
      </c>
      <c r="D256" s="99" t="str">
        <f>IF(ISERROR(Data!E21/Data!D21-1),"",Data!E21/Data!D21-1)</f>
        <v/>
      </c>
      <c r="E256" s="99">
        <f>IF(ISERROR(Data!F21/Data!E21-1),"",Data!F21/Data!E21-1)</f>
        <v>-0.3393782383419689</v>
      </c>
      <c r="F256" s="99">
        <f>IF(ISERROR(Data!G21/Data!F21-1),"",Data!G21/Data!F21-1)</f>
        <v>-0.17647058823529416</v>
      </c>
      <c r="G256" s="99" t="str">
        <f>IF(ISERROR((Data!G21/Data!B21)^(1/5)-1),"",(Data!G21/Data!B21)^(1/5)-1)</f>
        <v/>
      </c>
    </row>
    <row r="257" spans="1:7" ht="12.75" customHeight="1">
      <c r="A257" s="65" t="str">
        <f>Data!A22</f>
        <v>Other current assets (2)</v>
      </c>
      <c r="B257" s="99" t="str">
        <f>IF(ISERROR(Data!C22/Data!B22-1),"",Data!C22/Data!B22-1)</f>
        <v/>
      </c>
      <c r="C257" s="99" t="str">
        <f>IF(ISERROR(Data!D22/Data!C22-1),"",Data!D22/Data!C22-1)</f>
        <v/>
      </c>
      <c r="D257" s="99" t="str">
        <f>IF(ISERROR(Data!E22/Data!D22-1),"",Data!E22/Data!D22-1)</f>
        <v/>
      </c>
      <c r="E257" s="99" t="str">
        <f>IF(ISERROR(Data!F22/Data!E22-1),"",Data!F22/Data!E22-1)</f>
        <v/>
      </c>
      <c r="F257" s="99" t="str">
        <f>IF(ISERROR(Data!G22/Data!F22-1),"",Data!G22/Data!F22-1)</f>
        <v/>
      </c>
      <c r="G257" s="99" t="str">
        <f>IF(ISERROR((Data!G22/Data!B22)^(1/5)-1),"",(Data!G22/Data!B22)^(1/5)-1)</f>
        <v/>
      </c>
    </row>
    <row r="258" spans="1:7" ht="12.75" customHeight="1">
      <c r="A258" s="65" t="str">
        <f>Data!A23</f>
        <v>Other current assets (3)</v>
      </c>
      <c r="B258" s="99" t="str">
        <f>IF(ISERROR(Data!C23/Data!B23-1),"",Data!C23/Data!B23-1)</f>
        <v/>
      </c>
      <c r="C258" s="99" t="str">
        <f>IF(ISERROR(Data!D23/Data!C23-1),"",Data!D23/Data!C23-1)</f>
        <v/>
      </c>
      <c r="D258" s="99" t="str">
        <f>IF(ISERROR(Data!E23/Data!D23-1),"",Data!E23/Data!D23-1)</f>
        <v/>
      </c>
      <c r="E258" s="99" t="str">
        <f>IF(ISERROR(Data!F23/Data!E23-1),"",Data!F23/Data!E23-1)</f>
        <v/>
      </c>
      <c r="F258" s="99" t="str">
        <f>IF(ISERROR(Data!G23/Data!F23-1),"",Data!G23/Data!F23-1)</f>
        <v/>
      </c>
      <c r="G258" s="99" t="str">
        <f>IF(ISERROR((Data!G23/Data!B23)^(1/5)-1),"",(Data!G23/Data!B23)^(1/5)-1)</f>
        <v/>
      </c>
    </row>
    <row r="259" spans="1:7" ht="12.75" customHeight="1">
      <c r="A259" s="386" t="str">
        <f>Data!A24</f>
        <v xml:space="preserve">  Current Assets</v>
      </c>
      <c r="B259" s="390">
        <f>IF(ISERROR(Data!C24/Data!B24-1),"",Data!C24/Data!B24-1)</f>
        <v>0.24679184114548103</v>
      </c>
      <c r="C259" s="390">
        <f>IF(ISERROR(Data!D24/Data!C24-1),"",Data!D24/Data!C24-1)</f>
        <v>-1.0328638497652198E-2</v>
      </c>
      <c r="D259" s="390">
        <f>IF(ISERROR(Data!E24/Data!D24-1),"",Data!E24/Data!D24-1)</f>
        <v>0.31389578163771703</v>
      </c>
      <c r="E259" s="390">
        <f>IF(ISERROR(Data!F24/Data!E24-1),"",Data!F24/Data!E24-1)</f>
        <v>5.8268066433371901E-2</v>
      </c>
      <c r="F259" s="390">
        <f>IF(ISERROR(Data!G24/Data!F24-1),"",Data!G24/Data!F24-1)</f>
        <v>0.16216145286584105</v>
      </c>
      <c r="G259" s="390">
        <f>IF(ISERROR((Data!G24/Data!B24)^(1/5)-1),"",(Data!G24/Data!B24)^(1/5)-1)</f>
        <v>0.14799925485801468</v>
      </c>
    </row>
    <row r="260" spans="1:7" ht="12.75" customHeight="1">
      <c r="A260" s="4" t="str">
        <f>Data!A25</f>
        <v>Long-term investments</v>
      </c>
      <c r="B260" s="99" t="str">
        <f>IF(ISERROR(Data!C25/Data!#REF!-1),"",Data!C25/Data!#REF!-1)</f>
        <v/>
      </c>
      <c r="C260" s="99">
        <f>IF(ISERROR(Data!D25/Data!C25-1),"",Data!D25/Data!C25-1)</f>
        <v>-0.18018018018018023</v>
      </c>
      <c r="D260" s="99">
        <f>IF(ISERROR(Data!E25/Data!D25-1),"",Data!E25/Data!D25-1)</f>
        <v>2.7261200338123417</v>
      </c>
      <c r="E260" s="99">
        <f>IF(ISERROR(Data!F25/Data!E25-1),"",Data!F25/Data!E25-1)</f>
        <v>-0.89677858439201452</v>
      </c>
      <c r="F260" s="99">
        <f>IF(ISERROR(Data!G25/Data!F25-1),"",Data!G25/Data!F25-1)</f>
        <v>-1</v>
      </c>
      <c r="G260" s="99" t="str">
        <f>IF(ISERROR((Data!G25/Data!#REF!)^(1/5)-1),"",(Data!G25/Data!B26)^(1/5)-1)</f>
        <v/>
      </c>
    </row>
    <row r="261" spans="1:7" ht="12.75" customHeight="1">
      <c r="A261" s="4" t="str">
        <f>Data!A26</f>
        <v xml:space="preserve">Equity and cost investments </v>
      </c>
      <c r="B261" s="99" t="str">
        <f>IF(ISERROR(Data!C26/Data!B26-1),"",Data!C26/Data!B26-1)</f>
        <v/>
      </c>
      <c r="C261" s="99" t="str">
        <f>IF(ISERROR(Data!D26/Data!C26-1),"",Data!D26/Data!C26-1)</f>
        <v/>
      </c>
      <c r="D261" s="99" t="str">
        <f>IF(ISERROR(Data!E26/Data!D26-1),"",Data!E26/Data!D26-1)</f>
        <v/>
      </c>
      <c r="E261" s="99" t="str">
        <f>IF(ISERROR(Data!F26/Data!E26-1),"",Data!F26/Data!E26-1)</f>
        <v/>
      </c>
      <c r="F261" s="99" t="str">
        <f>IF(ISERROR(Data!G26/Data!F26-1),"",Data!G26/Data!F26-1)</f>
        <v/>
      </c>
      <c r="G261" s="99" t="str">
        <f>IF(ISERROR((Data!G26/Data!B26)^(1/5)-1),"",(Data!G26/Data!B25)^(1/5)-1)</f>
        <v/>
      </c>
    </row>
    <row r="262" spans="1:7" ht="12.75" customHeight="1">
      <c r="A262" s="4" t="str">
        <f>Data!A27</f>
        <v>Property, plant, and equipment - at cost</v>
      </c>
      <c r="B262" s="99">
        <f>IF(ISERROR(Data!C27/Data!B25-1),"",Data!C27/Data!B25-1)</f>
        <v>6.1835820895522389</v>
      </c>
      <c r="C262" s="99">
        <f>IF(ISERROR(Data!D27/Data!C27-1),"",Data!D27/Data!C27-1)</f>
        <v>0.28921670475794725</v>
      </c>
      <c r="D262" s="99">
        <f>IF(ISERROR(Data!E27/Data!D27-1),"",Data!E27/Data!D27-1)</f>
        <v>0.44931506849315062</v>
      </c>
      <c r="E262" s="99">
        <f>IF(ISERROR(Data!F27/Data!E27-1),"",Data!F27/Data!E27-1)</f>
        <v>0.31068608918047391</v>
      </c>
      <c r="F262" s="99">
        <f>IF(ISERROR(Data!G27/Data!F27-1),"",Data!G27/Data!F27-1)</f>
        <v>0.18554339526597108</v>
      </c>
      <c r="G262" s="99">
        <f>IF(ISERROR((Data!G27/Data!B25)^(1/5)-1),"",(Data!G27/Data!B28)^(1/5)-1)</f>
        <v>-2.660183891692522</v>
      </c>
    </row>
    <row r="263" spans="1:7" ht="12.75" customHeight="1">
      <c r="A263" s="4" t="str">
        <f>Data!A28</f>
        <v>&lt;Accumulated depreciation&gt;</v>
      </c>
      <c r="B263" s="99">
        <f>IF(ISERROR(Data!C28/Data!B28-1),"",Data!C28/Data!B28-1)</f>
        <v>0.23646209386281591</v>
      </c>
      <c r="C263" s="99">
        <f>IF(ISERROR(Data!D28/Data!C28-1),"",Data!D28/Data!C28-1)</f>
        <v>0.25912408759124084</v>
      </c>
      <c r="D263" s="99">
        <f>IF(ISERROR(Data!E28/Data!D28-1),"",Data!E28/Data!D28-1)</f>
        <v>0.22724637681159421</v>
      </c>
      <c r="E263" s="99">
        <f>IF(ISERROR(Data!F28/Data!E28-1),"",Data!F28/Data!E28-1)</f>
        <v>0.32357109116674532</v>
      </c>
      <c r="F263" s="99">
        <f>IF(ISERROR(Data!G28/Data!F28-1),"",Data!G28/Data!F28-1)</f>
        <v>0.2598144182726625</v>
      </c>
      <c r="G263" s="99">
        <f>IF(ISERROR((Data!G28/Data!B28)^(1/5)-1),"",(Data!G28/Data!B29)^(1/5)-1)</f>
        <v>-2.0672026745941139</v>
      </c>
    </row>
    <row r="264" spans="1:7" ht="12.75" customHeight="1">
      <c r="A264" s="4" t="str">
        <f>Data!A29</f>
        <v>Deferred Tax assets</v>
      </c>
      <c r="B264" s="99">
        <f>IF(ISERROR(Data!C29/Data!B29-1),"",Data!C29/Data!B29-1)</f>
        <v>-0.11254901960784314</v>
      </c>
      <c r="C264" s="99">
        <f>IF(ISERROR(Data!D29/Data!C29-1),"",Data!D29/Data!C29-1)</f>
        <v>8.3517454706142136E-2</v>
      </c>
      <c r="D264" s="99">
        <f>IF(ISERROR(Data!E29/Data!D29-1),"",Data!E29/Data!D29-1)</f>
        <v>0.39600326264274077</v>
      </c>
      <c r="E264" s="99">
        <f>IF(ISERROR(Data!F29/Data!E29-1),"",Data!F29/Data!E29-1)</f>
        <v>0.66345311130587192</v>
      </c>
      <c r="F264" s="99">
        <f>IF(ISERROR(Data!G29/Data!F29-1),"",Data!G29/Data!F29-1)</f>
        <v>0.52581664910432035</v>
      </c>
      <c r="G264" s="99">
        <f>IF(ISERROR((Data!G29/Data!B29)^(1/5)-1),"",(Data!G29/Data!B30)^(1/5)-1)</f>
        <v>0.33694571220814229</v>
      </c>
    </row>
    <row r="265" spans="1:7" ht="12.75" customHeight="1">
      <c r="A265" s="4" t="str">
        <f>Data!A30</f>
        <v>Other assets</v>
      </c>
      <c r="B265" s="99">
        <f>IF(ISERROR(Data!C30/Data!B30-1),"",Data!C30/Data!B30-1)</f>
        <v>0.46017699115044253</v>
      </c>
      <c r="C265" s="99">
        <f>IF(ISERROR(Data!D30/Data!C30-1),"",Data!D30/Data!C30-1)</f>
        <v>0.23905723905723897</v>
      </c>
      <c r="D265" s="99">
        <f>IF(ISERROR(Data!E30/Data!D30-1),"",Data!E30/Data!D30-1)</f>
        <v>0.79103260869565228</v>
      </c>
      <c r="E265" s="99">
        <f>IF(ISERROR(Data!F30/Data!E30-1),"",Data!F30/Data!E30-1)</f>
        <v>9.2702169625246578E-2</v>
      </c>
      <c r="F265" s="99">
        <f>IF(ISERROR(Data!G30/Data!F30-1),"",Data!G30/Data!F30-1)</f>
        <v>4.9153013051929983E-2</v>
      </c>
      <c r="G265" s="99">
        <f>IF(ISERROR((Data!G30/Data!B30)^(1/5)-1),"",(Data!G30/Data!B31)^(1/5)-1)</f>
        <v>1.026655516201822</v>
      </c>
    </row>
    <row r="266" spans="1:7" ht="12.75" customHeight="1">
      <c r="A266" s="4" t="str">
        <f>Data!A31</f>
        <v>Other intangible assets - Net</v>
      </c>
      <c r="B266" s="99">
        <f>IF(ISERROR(Data!C31/Data!B31-1),"",Data!C31/Data!B31-1)</f>
        <v>0.40723981900452477</v>
      </c>
      <c r="C266" s="99">
        <f>IF(ISERROR(Data!D31/Data!C31-1),"",Data!D31/Data!C31-1)</f>
        <v>1.6077170418006492E-2</v>
      </c>
      <c r="D266" s="99">
        <f>IF(ISERROR(Data!E31/Data!D31-1),"",Data!E31/Data!D31-1)</f>
        <v>1.0126582278481013</v>
      </c>
      <c r="E266" s="99">
        <f>IF(ISERROR(Data!F31/Data!E31-1),"",Data!F31/Data!E31-1)</f>
        <v>-0.11949685534591192</v>
      </c>
      <c r="F266" s="99">
        <f>IF(ISERROR(Data!G31/Data!F31-1),"",Data!G31/Data!F31-1)</f>
        <v>-0.36964285714285716</v>
      </c>
      <c r="G266" s="99">
        <f>IF(ISERROR((Data!G31/Data!B31)^(1/5)-1),"",(Data!G31/Data!B32)^(1/5)-1)</f>
        <v>-1.5666493845605922E-2</v>
      </c>
    </row>
    <row r="267" spans="1:7" ht="12.75" customHeight="1">
      <c r="A267" s="4" t="str">
        <f>Data!A32</f>
        <v xml:space="preserve">Goodwill </v>
      </c>
      <c r="B267" s="99">
        <f>IF(ISERROR(Data!C32/Data!B32-1),"",Data!C32/Data!B32-1)</f>
        <v>0.75916230366492132</v>
      </c>
      <c r="C267" s="99">
        <f>IF(ISERROR(Data!D32/Data!C32-1),"",Data!D32/Data!C32-1)</f>
        <v>0.3839285714285714</v>
      </c>
      <c r="D267" s="99">
        <f>IF(ISERROR(Data!E32/Data!D32-1),"",Data!E32/Data!D32-1)</f>
        <v>0.34516129032258069</v>
      </c>
      <c r="E267" s="99">
        <f>IF(ISERROR(Data!F32/Data!E32-1),"",Data!F32/Data!E32-1)</f>
        <v>2.3181454836131099E-2</v>
      </c>
      <c r="F267" s="99">
        <f>IF(ISERROR(Data!G32/Data!F32-1),"",Data!G32/Data!F32-1)</f>
        <v>-1.171875E-2</v>
      </c>
      <c r="G267" s="99">
        <f>IF(ISERROR((Data!G32/Data!B32)^(1/5)-1),"",(Data!G32/Data!B33)^(1/5)-1)</f>
        <v>-0.47184136812751687</v>
      </c>
    </row>
    <row r="268" spans="1:7" ht="12.75" customHeight="1">
      <c r="A268" s="392" t="str">
        <f>Data!A33</f>
        <v xml:space="preserve">   Total Assets</v>
      </c>
      <c r="B268" s="390">
        <f>IF(ISERROR(Data!C33/Data!B33-1),"",Data!C33/Data!B33-1)</f>
        <v>0.26029889538661455</v>
      </c>
      <c r="C268" s="390">
        <f>IF(ISERROR(Data!D33/Data!C33-1),"",Data!D33/Data!C33-1)</f>
        <v>4.261187873788419E-2</v>
      </c>
      <c r="D268" s="390">
        <f>IF(ISERROR(Data!E33/Data!D33-1),"",Data!E33/Data!D33-1)</f>
        <v>0.46349363332921278</v>
      </c>
      <c r="E268" s="390">
        <f>IF(ISERROR(Data!F33/Data!E33-1),"",Data!F33/Data!E33-1)</f>
        <v>5.2186987886671421E-2</v>
      </c>
      <c r="F268" s="390">
        <f>IF(ISERROR(Data!G33/Data!F33-1),"",Data!G33/Data!F33-1)</f>
        <v>0.16552665382145193</v>
      </c>
      <c r="G268" s="390">
        <f>IF(ISERROR((Data!G33/Data!B33)^(1/5)-1),"",(Data!G33/Data!B33)^(1/5)-1)</f>
        <v>0.18719057358252678</v>
      </c>
    </row>
    <row r="269" spans="1:7" customFormat="1" ht="12.75" customHeight="1"/>
    <row r="270" spans="1:7" ht="12.75" customHeight="1">
      <c r="A270" s="386" t="str">
        <f>Data!A35</f>
        <v>Liabilities and Equities:</v>
      </c>
      <c r="B270" s="142" t="str">
        <f>IF(ISERROR(Data!C35/Data!B35-1),"",Data!C35/Data!B35-1)</f>
        <v/>
      </c>
      <c r="C270" s="142" t="str">
        <f>IF(ISERROR(Data!D35/Data!C35-1),"",Data!D35/Data!C35-1)</f>
        <v/>
      </c>
      <c r="D270" s="142" t="str">
        <f>IF(ISERROR(Data!E35/Data!D35-1),"",Data!E35/Data!D35-1)</f>
        <v/>
      </c>
      <c r="E270" s="142" t="str">
        <f>IF(ISERROR(Data!F35/Data!E35-1),"",Data!F35/Data!E35-1)</f>
        <v/>
      </c>
      <c r="F270" s="142" t="str">
        <f>IF(ISERROR(Data!G35/Data!F35-1),"",Data!G35/Data!F35-1)</f>
        <v/>
      </c>
      <c r="G270" s="142" t="str">
        <f>IF(ISERROR((Data!G35/Data!B35)^(1/5)-1),"",(Data!G35/Data!B35)^(1/5)-1)</f>
        <v/>
      </c>
    </row>
    <row r="271" spans="1:7" ht="12.75" customHeight="1">
      <c r="A271" s="393" t="str">
        <f>Data!A36</f>
        <v>Accounts payable</v>
      </c>
      <c r="B271" s="99">
        <f>IF(ISERROR(Data!C36/Data!B36-1),"",Data!C36/Data!B36-1)</f>
        <v>0.1157407407407407</v>
      </c>
      <c r="C271" s="99">
        <f>IF(ISERROR(Data!D36/Data!C36-1),"",Data!D36/Data!C36-1)</f>
        <v>0.46887966804979242</v>
      </c>
      <c r="D271" s="99">
        <f>IF(ISERROR(Data!E36/Data!D36-1),"",Data!E36/Data!D36-1)</f>
        <v>4.8022598870056665E-2</v>
      </c>
      <c r="E271" s="99">
        <f>IF(ISERROR(Data!F36/Data!E36-1),"",Data!F36/Data!E36-1)</f>
        <v>0.64016172506738545</v>
      </c>
      <c r="F271" s="99">
        <f>IF(ISERROR(Data!G36/Data!F36-1),"",Data!G36/Data!F36-1)</f>
        <v>-0.16064092029580934</v>
      </c>
      <c r="G271" s="99">
        <f>IF(ISERROR((Data!G36/Data!B36)^(1/5)-1),"",(Data!G36/Data!B36)^(1/5)-1)</f>
        <v>0.18782079690081277</v>
      </c>
    </row>
    <row r="272" spans="1:7" ht="12.75" customHeight="1">
      <c r="A272" s="393" t="str">
        <f>Data!A37</f>
        <v>Accrued liabilities</v>
      </c>
      <c r="B272" s="99">
        <f>IF(ISERROR(Data!C37/Data!B37-1),"",Data!C37/Data!B37-1)</f>
        <v>0.31354838709677413</v>
      </c>
      <c r="C272" s="99">
        <f>IF(ISERROR(Data!D37/Data!C37-1),"",Data!D37/Data!C37-1)</f>
        <v>0.46561886051080537</v>
      </c>
      <c r="D272" s="99">
        <f>IF(ISERROR(Data!E37/Data!D37-1),"",Data!E37/Data!D37-1)</f>
        <v>0.32238605898123351</v>
      </c>
      <c r="E272" s="99">
        <f>IF(ISERROR(Data!F37/Data!E37-1),"",Data!F37/Data!E37-1)</f>
        <v>0.34972123669538768</v>
      </c>
      <c r="F272" s="99">
        <f>IF(ISERROR(Data!G37/Data!F37-1),"",Data!G37/Data!F37-1)</f>
        <v>0.5910627112279383</v>
      </c>
      <c r="G272" s="99">
        <f>IF(ISERROR((Data!G37/Data!B37)^(1/5)-1),"",(Data!G37/Data!B37)^(1/5)-1)</f>
        <v>0.40459575742876508</v>
      </c>
    </row>
    <row r="273" spans="1:7" ht="12.75" customHeight="1">
      <c r="A273" s="393" t="str">
        <f>Data!A38</f>
        <v>Notes payable and short-term debt</v>
      </c>
      <c r="B273" s="99" t="str">
        <f>IF(ISERROR(Data!C38/Data!B38-1),"",Data!C38/Data!B38-1)</f>
        <v/>
      </c>
      <c r="C273" s="99" t="str">
        <f>IF(ISERROR(Data!D38/Data!C38-1),"",Data!D38/Data!C38-1)</f>
        <v/>
      </c>
      <c r="D273" s="99" t="str">
        <f>IF(ISERROR(Data!E38/Data!D38-1),"",Data!E38/Data!D38-1)</f>
        <v/>
      </c>
      <c r="E273" s="99" t="str">
        <f>IF(ISERROR(Data!F38/Data!E38-1),"",Data!F38/Data!E38-1)</f>
        <v/>
      </c>
      <c r="F273" s="99" t="str">
        <f>IF(ISERROR(Data!G38/Data!F38-1),"",Data!G38/Data!F38-1)</f>
        <v/>
      </c>
      <c r="G273" s="99" t="str">
        <f>IF(ISERROR((Data!G38/Data!B38)^(1/5)-1),"",(Data!G38/Data!B38)^(1/5)-1)</f>
        <v/>
      </c>
    </row>
    <row r="274" spans="1:7" ht="12.75" customHeight="1">
      <c r="A274" s="393" t="str">
        <f>Data!A39</f>
        <v>Current maturities of long-term debt</v>
      </c>
      <c r="B274" s="99" t="str">
        <f>IF(ISERROR(Data!C39/Data!B39-1),"",Data!C39/Data!B39-1)</f>
        <v/>
      </c>
      <c r="C274" s="99" t="str">
        <f>IF(ISERROR(Data!D39/Data!C39-1),"",Data!D39/Data!C39-1)</f>
        <v/>
      </c>
      <c r="D274" s="99" t="str">
        <f>IF(ISERROR(Data!E39/Data!D39-1),"",Data!E39/Data!D39-1)</f>
        <v/>
      </c>
      <c r="E274" s="99" t="str">
        <f>IF(ISERROR(Data!F39/Data!E39-1),"",Data!F39/Data!E39-1)</f>
        <v/>
      </c>
      <c r="F274" s="99" t="str">
        <f>IF(ISERROR(Data!G39/Data!F39-1),"",Data!G39/Data!F39-1)</f>
        <v/>
      </c>
      <c r="G274" s="99" t="str">
        <f>IF(ISERROR((Data!G39/Data!B39)^(1/5)-1),"",(Data!G39/Data!B39)^(1/5)-1)</f>
        <v/>
      </c>
    </row>
    <row r="275" spans="1:7" ht="12.75" customHeight="1">
      <c r="A275" s="393" t="str">
        <f>Data!A40</f>
        <v>Deferred tax liabilities - current</v>
      </c>
      <c r="B275" s="99" t="str">
        <f>IF(ISERROR(Data!C40/Data!B40-1),"",Data!C40/Data!B40-1)</f>
        <v/>
      </c>
      <c r="C275" s="99" t="str">
        <f>IF(ISERROR(Data!D40/Data!C40-1),"",Data!D40/Data!C40-1)</f>
        <v/>
      </c>
      <c r="D275" s="99" t="str">
        <f>IF(ISERROR(Data!E40/Data!D40-1),"",Data!E40/Data!D40-1)</f>
        <v/>
      </c>
      <c r="E275" s="99" t="str">
        <f>IF(ISERROR(Data!F40/Data!E40-1),"",Data!F40/Data!E40-1)</f>
        <v/>
      </c>
      <c r="F275" s="99" t="str">
        <f>IF(ISERROR(Data!G40/Data!F40-1),"",Data!G40/Data!F40-1)</f>
        <v/>
      </c>
      <c r="G275" s="99" t="str">
        <f>IF(ISERROR((Data!G40/Data!B40)^(1/5)-1),"",(Data!G40/Data!B40)^(1/5)-1)</f>
        <v/>
      </c>
    </row>
    <row r="276" spans="1:7" ht="12.75" customHeight="1">
      <c r="A276" s="393" t="str">
        <f>Data!A41</f>
        <v>Accrued payroll and compensation</v>
      </c>
      <c r="B276" s="99">
        <f>IF(ISERROR(Data!C41/Data!B41-1),"",Data!C41/Data!B41-1)</f>
        <v>3.4552845528455167E-2</v>
      </c>
      <c r="C276" s="99">
        <f>IF(ISERROR(Data!D41/Data!C41-1),"",Data!D41/Data!C41-1)</f>
        <v>0.43320235756385084</v>
      </c>
      <c r="D276" s="99">
        <f>IF(ISERROR(Data!E41/Data!D41-1),"",Data!E41/Data!D41-1)</f>
        <v>0.33653187114461947</v>
      </c>
      <c r="E276" s="99">
        <f>IF(ISERROR(Data!F41/Data!E41-1),"",Data!F41/Data!E41-1)</f>
        <v>0.12512820512820522</v>
      </c>
      <c r="F276" s="99">
        <f>IF(ISERROR(Data!G41/Data!F41-1),"",Data!G41/Data!F41-1)</f>
        <v>0.10437556973564277</v>
      </c>
      <c r="G276" s="99">
        <f>IF(ISERROR((Data!G41/Data!B41)^(1/5)-1),"",(Data!G41/Data!B41)^(1/5)-1)</f>
        <v>0.19748935960105363</v>
      </c>
    </row>
    <row r="277" spans="1:7" ht="12.75" customHeight="1">
      <c r="A277" s="393" t="str">
        <f>Data!A42</f>
        <v>Income taxes payable</v>
      </c>
      <c r="B277" s="99">
        <f>IF(ISERROR(Data!C42/Data!B42-1),"",Data!C42/Data!B42-1)</f>
        <v>-1</v>
      </c>
      <c r="C277" s="99" t="str">
        <f>IF(ISERROR(Data!D42/Data!C42-1),"",Data!D42/Data!C42-1)</f>
        <v/>
      </c>
      <c r="D277" s="99" t="str">
        <f>IF(ISERROR(Data!E42/Data!D42-1),"",Data!E42/Data!D42-1)</f>
        <v/>
      </c>
      <c r="E277" s="99" t="str">
        <f>IF(ISERROR(Data!F42/Data!E42-1),"",Data!F42/Data!E42-1)</f>
        <v/>
      </c>
      <c r="F277" s="99" t="str">
        <f>IF(ISERROR(Data!G42/Data!F42-1),"",Data!G42/Data!F42-1)</f>
        <v/>
      </c>
      <c r="G277" s="99">
        <f>IF(ISERROR((Data!G42/Data!B42)^(1/5)-1),"",(Data!G42/Data!B42)^(1/5)-1)</f>
        <v>-1</v>
      </c>
    </row>
    <row r="278" spans="1:7" ht="12.75" customHeight="1">
      <c r="A278" s="393" t="str">
        <f>Data!A43</f>
        <v>Deferred revenue - current</v>
      </c>
      <c r="B278" s="99">
        <f>IF(ISERROR(Data!C43/Data!B43-1),"",Data!C43/Data!B43-1)</f>
        <v>0.19660420333367834</v>
      </c>
      <c r="C278" s="99">
        <f>IF(ISERROR(Data!D43/Data!C43-1),"",Data!D43/Data!C43-1)</f>
        <v>0.20505277729711024</v>
      </c>
      <c r="D278" s="99">
        <f>IF(ISERROR(Data!E43/Data!D43-1),"",Data!E43/Data!D43-1)</f>
        <v>0.27613440551407242</v>
      </c>
      <c r="E278" s="99">
        <f>IF(ISERROR(Data!F43/Data!E43-1),"",Data!F43/Data!E43-1)</f>
        <v>0.32176212445144592</v>
      </c>
      <c r="F278" s="99">
        <f>IF(ISERROR(Data!G43/Data!F43-1),"",Data!G43/Data!F43-1)</f>
        <v>0.21257395820031477</v>
      </c>
      <c r="G278" s="99">
        <f>IF(ISERROR((Data!G43/Data!B43)^(1/5)-1),"",(Data!G43/Data!B43)^(1/5)-1)</f>
        <v>0.24148909715328237</v>
      </c>
    </row>
    <row r="279" spans="1:7" ht="12.75" customHeight="1">
      <c r="A279" s="386" t="str">
        <f>Data!A44</f>
        <v xml:space="preserve">  Current Liabilities</v>
      </c>
      <c r="B279" s="390">
        <f>IF(ISERROR(Data!C44/Data!B44-1),"",Data!C44/Data!B44-1)</f>
        <v>0.15870741801973876</v>
      </c>
      <c r="C279" s="390">
        <f>IF(ISERROR(Data!D44/Data!C44-1),"",Data!D44/Data!C44-1)</f>
        <v>0.25669734853688708</v>
      </c>
      <c r="D279" s="390">
        <f>IF(ISERROR(Data!E44/Data!D44-1),"",Data!E44/Data!D44-1)</f>
        <v>0.26706750478272778</v>
      </c>
      <c r="E279" s="390">
        <f>IF(ISERROR(Data!F44/Data!E44-1),"",Data!F44/Data!E44-1)</f>
        <v>0.32798412492989937</v>
      </c>
      <c r="F279" s="390">
        <f>IF(ISERROR(Data!G44/Data!F44-1),"",Data!G44/Data!F44-1)</f>
        <v>0.20809511434511441</v>
      </c>
      <c r="G279" s="390">
        <f>IF(ISERROR((Data!G44/Data!B44)^(1/5)-1),"",(Data!G44/Data!B44)^(1/5)-1)</f>
        <v>0.24239487188006459</v>
      </c>
    </row>
    <row r="280" spans="1:7" ht="12.75" customHeight="1">
      <c r="A280" s="373" t="str">
        <f>Data!A45</f>
        <v xml:space="preserve">Long-term debt </v>
      </c>
      <c r="B280" s="391" t="str">
        <f>IF(ISERROR(Data!C45/Data!B45-1),"",Data!C45/Data!B45-1)</f>
        <v/>
      </c>
      <c r="C280" s="391" t="str">
        <f>IF(ISERROR(Data!D45/Data!C45-1),"",Data!D45/Data!C45-1)</f>
        <v/>
      </c>
      <c r="D280" s="391" t="str">
        <f>IF(ISERROR(Data!E45/Data!D45-1),"",Data!E45/Data!D45-1)</f>
        <v/>
      </c>
      <c r="E280" s="391">
        <f>IF(ISERROR(Data!F45/Data!E45-1),"",Data!F45/Data!E45-1)</f>
        <v>2.0234722784298054E-3</v>
      </c>
      <c r="F280" s="391">
        <f>IF(ISERROR(Data!G45/Data!F45-1),"",Data!G45/Data!F45-1)</f>
        <v>1.9184168012924552E-3</v>
      </c>
      <c r="G280" s="391" t="str">
        <f>IF(ISERROR((Data!G45/Data!B45)^(1/5)-1),"",(Data!G45/Data!B45)^(1/5)-1)</f>
        <v/>
      </c>
    </row>
    <row r="281" spans="1:7" ht="12.75" customHeight="1">
      <c r="A281" s="65" t="str">
        <f>Data!A46</f>
        <v>Long-term accrued liabilities</v>
      </c>
      <c r="B281" s="99" t="str">
        <f>IF(ISERROR(Data!C46/Data!B46-1),"",Data!C46/Data!B46-1)</f>
        <v/>
      </c>
      <c r="C281" s="99" t="str">
        <f>IF(ISERROR(Data!D46/Data!C46-1),"",Data!D46/Data!C46-1)</f>
        <v/>
      </c>
      <c r="D281" s="99" t="str">
        <f>IF(ISERROR(Data!E46/Data!D46-1),"",Data!E46/Data!D46-1)</f>
        <v/>
      </c>
      <c r="E281" s="99" t="str">
        <f>IF(ISERROR(Data!F46/Data!E46-1),"",Data!F46/Data!E46-1)</f>
        <v/>
      </c>
      <c r="F281" s="99" t="str">
        <f>IF(ISERROR(Data!G46/Data!F46-1),"",Data!G46/Data!F46-1)</f>
        <v/>
      </c>
      <c r="G281" s="99" t="str">
        <f>IF(ISERROR((Data!G46/Data!B46)^(1/5)-1),"",(Data!G46/Data!B46)^(1/5)-1)</f>
        <v/>
      </c>
    </row>
    <row r="282" spans="1:7" ht="12.75" customHeight="1">
      <c r="A282" s="65" t="str">
        <f>Data!A47</f>
        <v>Income taxes liabilities</v>
      </c>
      <c r="B282" s="99">
        <f>IF(ISERROR(Data!C47/Data!B47-1),"",Data!C47/Data!B47-1)</f>
        <v>6.8387096774193523E-2</v>
      </c>
      <c r="C282" s="99">
        <f>IF(ISERROR(Data!D47/Data!C47-1),"",Data!D47/Data!C47-1)</f>
        <v>9.0579710144927494E-2</v>
      </c>
      <c r="D282" s="99">
        <f>IF(ISERROR(Data!E47/Data!D47-1),"",Data!E47/Data!D47-1)</f>
        <v>-0.11960132890365449</v>
      </c>
      <c r="E282" s="99">
        <f>IF(ISERROR(Data!F47/Data!E47-1),"",Data!F47/Data!E47-1)</f>
        <v>-0.1471698113207548</v>
      </c>
      <c r="F282" s="99">
        <f>IF(ISERROR(Data!G47/Data!F47-1),"",Data!G47/Data!F47-1)</f>
        <v>-1</v>
      </c>
      <c r="G282" s="99">
        <f>IF(ISERROR((Data!G47/Data!B47)^(1/5)-1),"",(Data!G47/Data!B47)^(1/5)-1)</f>
        <v>-1</v>
      </c>
    </row>
    <row r="283" spans="1:7" ht="12.75" customHeight="1">
      <c r="A283" s="65" t="str">
        <f>Data!A48</f>
        <v>Other noncurrent liabilities (1)</v>
      </c>
      <c r="B283" s="99">
        <f>IF(ISERROR(Data!C48/Data!B48-1),"",Data!C48/Data!B48-1)</f>
        <v>2.4538461538461536</v>
      </c>
      <c r="C283" s="99">
        <f>IF(ISERROR(Data!D48/Data!C48-1),"",Data!D48/Data!C48-1)</f>
        <v>0.25167037861915387</v>
      </c>
      <c r="D283" s="99">
        <f>IF(ISERROR(Data!E48/Data!D48-1),"",Data!E48/Data!D48-1)</f>
        <v>5.3380782918149405E-2</v>
      </c>
      <c r="E283" s="99">
        <f>IF(ISERROR(Data!F48/Data!E48-1),"",Data!F48/Data!E48-1)</f>
        <v>0.38513513513513509</v>
      </c>
      <c r="F283" s="99">
        <f>IF(ISERROR(Data!G48/Data!F48-1),"",Data!G48/Data!F48-1)</f>
        <v>0.52073170731707319</v>
      </c>
      <c r="G283" s="99">
        <f>IF(ISERROR((Data!G48/Data!B48)^(1/5)-1),"",(Data!G48/Data!B48)^(1/5)-1)</f>
        <v>0.57175416634361476</v>
      </c>
    </row>
    <row r="284" spans="1:7" ht="12.75" customHeight="1">
      <c r="A284" s="65" t="str">
        <f>Data!A49</f>
        <v>Deferred revenue - noncurrent</v>
      </c>
      <c r="B284" s="99">
        <f>IF(ISERROR(Data!C49/Data!B49-1),"",Data!C49/Data!B49-1)</f>
        <v>0.32237480926619511</v>
      </c>
      <c r="C284" s="99">
        <f>IF(ISERROR(Data!D49/Data!C49-1),"",Data!D49/Data!C49-1)</f>
        <v>0.27189761879786012</v>
      </c>
      <c r="D284" s="99">
        <f>IF(ISERROR(Data!E49/Data!D49-1),"",Data!E49/Data!D49-1)</f>
        <v>0.38185567010309285</v>
      </c>
      <c r="E284" s="99">
        <f>IF(ISERROR(Data!F49/Data!E49-1),"",Data!F49/Data!E49-1)</f>
        <v>0.36735302894658317</v>
      </c>
      <c r="F284" s="99">
        <f>IF(ISERROR(Data!G49/Data!F49-1),"",Data!G49/Data!F49-1)</f>
        <v>0.25984286337843754</v>
      </c>
      <c r="G284" s="99">
        <f>IF(ISERROR((Data!G49/Data!B49)^(1/5)-1),"",(Data!G49/Data!B49)^(1/5)-1)</f>
        <v>0.31975491713815862</v>
      </c>
    </row>
    <row r="285" spans="1:7" ht="12.75" customHeight="1">
      <c r="A285" s="386" t="str">
        <f>Data!A50</f>
        <v xml:space="preserve">  Total Liabilities</v>
      </c>
      <c r="B285" s="390">
        <f>IF(ISERROR(Data!C50/Data!B50-1),"",Data!C50/Data!B50-1)</f>
        <v>0.22681110358835466</v>
      </c>
      <c r="C285" s="390">
        <f>IF(ISERROR(Data!D50/Data!C50-1),"",Data!D50/Data!C50-1)</f>
        <v>0.25689845474613682</v>
      </c>
      <c r="D285" s="390">
        <f>IF(ISERROR(Data!E50/Data!D50-1),"",Data!E50/Data!D50-1)</f>
        <v>0.60599027755998147</v>
      </c>
      <c r="E285" s="390">
        <f>IF(ISERROR(Data!F50/Data!E50-1),"",Data!F50/Data!E50-1)</f>
        <v>0.2712324486886557</v>
      </c>
      <c r="F285" s="390">
        <f>IF(ISERROR(Data!G50/Data!F50-1),"",Data!G50/Data!F50-1)</f>
        <v>0.18629408873049025</v>
      </c>
      <c r="G285" s="390">
        <f>IF(ISERROR((Data!G50/Data!B50)^(1/5)-1),"",(Data!G50/Data!B50)^(1/5)-1)</f>
        <v>0.30151035469537768</v>
      </c>
    </row>
    <row r="286" spans="1:7" ht="12.75" customHeight="1">
      <c r="A286" s="77"/>
      <c r="B286" s="101"/>
      <c r="C286" s="101"/>
      <c r="D286" s="101"/>
      <c r="E286" s="101"/>
      <c r="F286" s="101"/>
      <c r="G286" s="101"/>
    </row>
    <row r="287" spans="1:7" ht="12.75" customHeight="1">
      <c r="A287" s="65" t="str">
        <f>Data!A52</f>
        <v>Preferred stock</v>
      </c>
      <c r="B287" s="99" t="str">
        <f>IF(ISERROR(Data!C52/Data!B52-1),"",Data!C52/Data!B52-1)</f>
        <v/>
      </c>
      <c r="C287" s="99" t="str">
        <f>IF(ISERROR(Data!D52/Data!C52-1),"",Data!D52/Data!C52-1)</f>
        <v/>
      </c>
      <c r="D287" s="99" t="str">
        <f>IF(ISERROR(Data!E52/Data!D52-1),"",Data!E52/Data!D52-1)</f>
        <v/>
      </c>
      <c r="E287" s="99" t="str">
        <f>IF(ISERROR(Data!F52/Data!E52-1),"",Data!F52/Data!E52-1)</f>
        <v/>
      </c>
      <c r="F287" s="99" t="str">
        <f>IF(ISERROR(Data!G52/Data!F52-1),"",Data!G52/Data!F52-1)</f>
        <v/>
      </c>
      <c r="G287" s="99" t="str">
        <f>IF(ISERROR((Data!G52/Data!B52)^(1/5)-1),"",(Data!G52/Data!B52)^(1/5)-1)</f>
        <v/>
      </c>
    </row>
    <row r="288" spans="1:7" ht="12.75" customHeight="1">
      <c r="A288" s="65" t="str">
        <f>Data!A53</f>
        <v>Common stock + Additional paid in capital</v>
      </c>
      <c r="B288" s="99">
        <f>IF(ISERROR(Data!C53/Data!B53-1),"",Data!C53/Data!B53-1)</f>
        <v>0.10481984089845575</v>
      </c>
      <c r="C288" s="99">
        <f>IF(ISERROR(Data!D53/Data!C53-1),"",Data!D53/Data!C53-1)</f>
        <v>2.2786954680220406E-2</v>
      </c>
      <c r="D288" s="99">
        <f>IF(ISERROR(Data!E53/Data!D53-1),"",Data!E53/Data!D53-1)</f>
        <v>3.8926619181712585E-2</v>
      </c>
      <c r="E288" s="99">
        <f>IF(ISERROR(Data!F53/Data!E53-1),"",Data!F53/Data!E53-1)</f>
        <v>2.4394132653061229E-2</v>
      </c>
      <c r="F288" s="99">
        <f>IF(ISERROR(Data!G53/Data!F53-1),"",Data!G53/Data!F53-1)</f>
        <v>0.10287937743190656</v>
      </c>
      <c r="G288" s="99">
        <f>IF(ISERROR((Data!G53/Data!B53)^(1/5)-1),"",(Data!G53/Data!B53)^(1/5)-1)</f>
        <v>5.8111229376972551E-2</v>
      </c>
    </row>
    <row r="289" spans="1:10" ht="12.75" customHeight="1">
      <c r="A289" s="109" t="str">
        <f>Data!A54</f>
        <v>Accumulated retained earnings &lt;deficit&gt;</v>
      </c>
      <c r="B289" s="99">
        <f>IF(ISERROR(Data!C54/Data!B54-1),"",Data!C54/Data!B54-1)</f>
        <v>-3.7965217391304349</v>
      </c>
      <c r="C289" s="99">
        <f>IF(ISERROR(Data!D54/Data!C54-1),"",Data!D54/Data!C54-1)</f>
        <v>-3.1896766169154227</v>
      </c>
      <c r="D289" s="99">
        <f>IF(ISERROR(Data!E54/Data!D54-1),"",Data!E54/Data!D54-1)</f>
        <v>0.32888383981823321</v>
      </c>
      <c r="E289" s="99">
        <f>IF(ISERROR(Data!F54/Data!E54-1),"",Data!F54/Data!E54-1)</f>
        <v>2.3049796965163498</v>
      </c>
      <c r="F289" s="99">
        <f>IF(ISERROR(Data!G54/Data!F54-1),"",Data!G54/Data!F54-1)</f>
        <v>0.20389291257113284</v>
      </c>
      <c r="G289" s="99">
        <f>IF(ISERROR((Data!G54/Data!B54)^(1/5)-1),"",(Data!G54/Data!B54)^(1/5)-1)</f>
        <v>1.004695293704879</v>
      </c>
    </row>
    <row r="290" spans="1:10" ht="12.75" customHeight="1">
      <c r="A290" s="65" t="str">
        <f>Data!A55</f>
        <v>Accum. other comprehensive income &lt;loss&gt;</v>
      </c>
      <c r="B290" s="99">
        <f>IF(ISERROR(Data!C55/Data!B55-1),"",Data!C55/Data!B55-1)</f>
        <v>-2.375</v>
      </c>
      <c r="C290" s="99">
        <f>IF(ISERROR(Data!D55/Data!C55-1),"",Data!D55/Data!C55-1)</f>
        <v>-0.36363636363636376</v>
      </c>
      <c r="D290" s="99">
        <f>IF(ISERROR(Data!E55/Data!D55-1),"",Data!E55/Data!D55-1)</f>
        <v>-7.8571428571428577</v>
      </c>
      <c r="E290" s="99">
        <f>IF(ISERROR(Data!F55/Data!E55-1),"",Data!F55/Data!E55-1)</f>
        <v>3.208333333333333</v>
      </c>
      <c r="F290" s="99">
        <f>IF(ISERROR(Data!G55/Data!F55-1),"",Data!G55/Data!F55-1)</f>
        <v>-6.4356435643564414E-2</v>
      </c>
      <c r="G290" s="99">
        <f>IF(ISERROR((Data!G55/Data!B55)^(1/5)-1),"",(Data!G55/Data!B55)^(1/5)-1)</f>
        <v>0.88223724766367617</v>
      </c>
    </row>
    <row r="291" spans="1:10" ht="12.75" customHeight="1">
      <c r="A291" s="65" t="str">
        <f>Data!A56</f>
        <v>&lt;Treasury stock&gt; and other equity adjustments</v>
      </c>
      <c r="B291" s="99" t="str">
        <f>IF(ISERROR(Data!C56/Data!B56-1),"",Data!C56/Data!B56-1)</f>
        <v/>
      </c>
      <c r="C291" s="99" t="str">
        <f>IF(ISERROR(Data!D56/Data!C56-1),"",Data!D56/Data!C56-1)</f>
        <v/>
      </c>
      <c r="D291" s="99" t="str">
        <f>IF(ISERROR(Data!E56/Data!D56-1),"",Data!E56/Data!D56-1)</f>
        <v/>
      </c>
      <c r="E291" s="99" t="str">
        <f>IF(ISERROR(Data!F56/Data!E56-1),"",Data!F56/Data!E56-1)</f>
        <v/>
      </c>
      <c r="F291" s="99" t="str">
        <f>IF(ISERROR(Data!G56/Data!F56-1),"",Data!G56/Data!F56-1)</f>
        <v/>
      </c>
      <c r="G291" s="99" t="str">
        <f>IF(ISERROR((Data!G56/Data!B56)^(1/5)-1),"",(Data!G56/Data!B56)^(1/5)-1)</f>
        <v/>
      </c>
    </row>
    <row r="292" spans="1:10" ht="12.75" customHeight="1">
      <c r="A292" s="386" t="str">
        <f>Data!A57</f>
        <v xml:space="preserve"> Total Common Shareholders' Equity</v>
      </c>
      <c r="B292" s="390">
        <f>IF(ISERROR(Data!C57/Data!B57-1),"",Data!C57/Data!B57-1)</f>
        <v>0.32884577311423469</v>
      </c>
      <c r="C292" s="390">
        <f>IF(ISERROR(Data!D57/Data!C57-1),"",Data!D57/Data!C57-1)</f>
        <v>-0.3623361144219307</v>
      </c>
      <c r="D292" s="390">
        <f>IF(ISERROR(Data!E57/Data!D57-1),"",Data!E57/Data!D57-1)</f>
        <v>-8.6799065420560928E-2</v>
      </c>
      <c r="E292" s="390">
        <f>IF(ISERROR(Data!F57/Data!E57-1),"",Data!F57/Data!E57-1)</f>
        <v>-1.3602405014711527</v>
      </c>
      <c r="F292" s="390">
        <f>IF(ISERROR(Data!G57/Data!F57-1),"",Data!G57/Data!F57-1)</f>
        <v>0.64559659090909038</v>
      </c>
      <c r="G292" s="390">
        <f>IF(ISERROR((Data!G57/Data!B57)^(1/5)-1),"",(Data!G57/Data!B57)^(1/5)-1)</f>
        <v>-1.855676752616259</v>
      </c>
    </row>
    <row r="293" spans="1:10" ht="12.75" customHeight="1">
      <c r="A293" s="373" t="str">
        <f>Data!A58</f>
        <v>Noncontrolling interests</v>
      </c>
      <c r="B293" s="391" t="str">
        <f>IF(ISERROR(Data!C58/Data!B58-1),"",Data!C58/Data!B58-1)</f>
        <v/>
      </c>
      <c r="C293" s="391" t="str">
        <f>IF(ISERROR(Data!D58/Data!C58-1),"",Data!D58/Data!C58-1)</f>
        <v/>
      </c>
      <c r="D293" s="391" t="str">
        <f>IF(ISERROR(Data!E58/Data!D58-1),"",Data!E58/Data!D58-1)</f>
        <v/>
      </c>
      <c r="E293" s="391">
        <f>IF(ISERROR(Data!F58/Data!E58-1),"",Data!F58/Data!E58-1)</f>
        <v>-1</v>
      </c>
      <c r="F293" s="391" t="str">
        <f>IF(ISERROR(Data!G58/Data!F58-1),"",Data!G58/Data!F58-1)</f>
        <v/>
      </c>
      <c r="G293" s="391" t="str">
        <f>IF(ISERROR((Data!G58/Data!B58)^(1/5)-1),"",(Data!G58/Data!B58)^(1/5)-1)</f>
        <v/>
      </c>
    </row>
    <row r="294" spans="1:10" ht="12.75" customHeight="1">
      <c r="A294" s="386" t="str">
        <f>Data!A59</f>
        <v xml:space="preserve">  Total Equity</v>
      </c>
      <c r="B294" s="390">
        <f>IF(ISERROR(Data!C59/Data!B59-1),"",Data!C59/Data!B59-1)</f>
        <v>0.32884577311423469</v>
      </c>
      <c r="C294" s="390">
        <f>IF(ISERROR(Data!D59/Data!C59-1),"",Data!D59/Data!C59-1)</f>
        <v>-0.3623361144219307</v>
      </c>
      <c r="D294" s="390">
        <f>IF(ISERROR(Data!E59/Data!D59-1),"",Data!E59/Data!D59-1)</f>
        <v>-6.7289719626168365E-2</v>
      </c>
      <c r="E294" s="390">
        <f>IF(ISERROR(Data!F59/Data!E59-1),"",Data!F59/Data!E59-1)</f>
        <v>-1.3527054108216434</v>
      </c>
      <c r="F294" s="390">
        <f>IF(ISERROR(Data!G59/Data!F59-1),"",Data!G59/Data!F59-1)</f>
        <v>0.64559659090909038</v>
      </c>
      <c r="G294" s="390">
        <f>IF(ISERROR((Data!G59/Data!B59)^(1/5)-1),"",(Data!G59/Data!B59)^(1/5)-1)</f>
        <v>-1.855676752616259</v>
      </c>
    </row>
    <row r="295" spans="1:10" ht="12.75" customHeight="1">
      <c r="A295" s="386" t="str">
        <f>Data!A60</f>
        <v xml:space="preserve">  Total Liabilities and Equities</v>
      </c>
      <c r="B295" s="389">
        <f>IF(ISERROR(Data!C60/Data!B60-1),"",Data!C60/Data!B60-1)</f>
        <v>0.26029889538661455</v>
      </c>
      <c r="C295" s="389">
        <f>IF(ISERROR(Data!D60/Data!C60-1),"",Data!D60/Data!C60-1)</f>
        <v>4.261187873788419E-2</v>
      </c>
      <c r="D295" s="389">
        <f>IF(ISERROR(Data!E60/Data!D60-1),"",Data!E60/Data!D60-1)</f>
        <v>0.46349363332921256</v>
      </c>
      <c r="E295" s="389">
        <f>IF(ISERROR(Data!F60/Data!E60-1),"",Data!F60/Data!E60-1)</f>
        <v>5.2186987886671865E-2</v>
      </c>
      <c r="F295" s="389">
        <f>IF(ISERROR(Data!G60/Data!F60-1),"",Data!G60/Data!F60-1)</f>
        <v>0.16552665382145149</v>
      </c>
      <c r="G295" s="389">
        <f>IF(ISERROR((Data!G60/Data!B60)^(1/5)-1),"",(Data!G60/Data!B60)^(1/5)-1)</f>
        <v>0.18719057358252678</v>
      </c>
    </row>
    <row r="296" spans="1:10" ht="12.75" customHeight="1">
      <c r="A296" s="61"/>
      <c r="B296" s="48"/>
      <c r="C296" s="48"/>
      <c r="D296" s="48"/>
      <c r="E296" s="48"/>
      <c r="F296" s="48"/>
      <c r="G296" s="110"/>
    </row>
    <row r="297" spans="1:10" ht="12.75" customHeight="1" thickBot="1">
      <c r="A297" s="48"/>
      <c r="B297" s="48"/>
      <c r="C297" s="48"/>
      <c r="D297" s="48"/>
      <c r="E297" s="48"/>
      <c r="F297" s="48"/>
      <c r="G297" s="48"/>
    </row>
    <row r="298" spans="1:10" ht="12.75" customHeight="1" thickBot="1">
      <c r="A298" s="78" t="s">
        <v>231</v>
      </c>
      <c r="B298" s="79"/>
      <c r="C298" s="79"/>
      <c r="D298" s="79"/>
      <c r="E298" s="79"/>
      <c r="F298" s="79"/>
      <c r="G298" s="79"/>
      <c r="H298" s="80"/>
      <c r="J298" s="61" t="s">
        <v>494</v>
      </c>
    </row>
    <row r="299" spans="1:10" ht="12.75" customHeight="1">
      <c r="A299" s="111"/>
      <c r="B299" s="48"/>
      <c r="C299" s="48"/>
      <c r="D299" s="48"/>
      <c r="E299" s="48"/>
      <c r="F299" s="48"/>
      <c r="G299" s="48"/>
      <c r="H299" s="112"/>
      <c r="J299" s="17" t="s">
        <v>362</v>
      </c>
    </row>
    <row r="300" spans="1:10" ht="12.75" customHeight="1">
      <c r="A300" s="113"/>
      <c r="B300" s="48"/>
      <c r="C300" s="48"/>
      <c r="D300" s="48"/>
      <c r="E300" s="48"/>
      <c r="F300" s="48"/>
      <c r="G300" s="48"/>
      <c r="H300" s="112"/>
    </row>
    <row r="301" spans="1:10" ht="12.75" customHeight="1">
      <c r="A301" s="114" t="s">
        <v>452</v>
      </c>
      <c r="C301" s="115"/>
      <c r="D301" s="115" t="s">
        <v>451</v>
      </c>
      <c r="E301" s="116"/>
      <c r="G301" s="48"/>
      <c r="H301" s="112"/>
    </row>
    <row r="302" spans="1:10" ht="12.75" customHeight="1">
      <c r="A302" s="117"/>
      <c r="B302" s="48"/>
      <c r="C302" s="118">
        <f>Data!$E$11</f>
        <v>2021</v>
      </c>
      <c r="D302" s="118">
        <f>Data!$F$11</f>
        <v>2022</v>
      </c>
      <c r="E302" s="118">
        <f>Data!$G$11</f>
        <v>2023</v>
      </c>
      <c r="F302" s="48"/>
      <c r="G302" s="48"/>
      <c r="H302" s="112"/>
    </row>
    <row r="303" spans="1:10" ht="12.75" customHeight="1">
      <c r="A303" s="119"/>
      <c r="B303" s="48"/>
      <c r="C303" s="102">
        <f>IF(ISERROR(D31),"",D31)</f>
        <v>0.12422216869404629</v>
      </c>
      <c r="D303" s="609">
        <f>IF(ISERROR(E31),"",E31)</f>
        <v>0.15320282207275804</v>
      </c>
      <c r="E303" s="102">
        <f>IF(ISERROR(F31),"",F31)</f>
        <v>0.1765972907043131</v>
      </c>
      <c r="F303" s="48"/>
      <c r="G303" s="48"/>
      <c r="H303" s="112"/>
    </row>
    <row r="304" spans="1:10" ht="12.75" customHeight="1">
      <c r="A304" s="117"/>
      <c r="B304" s="48"/>
      <c r="C304" s="48"/>
      <c r="D304" s="48"/>
      <c r="E304" s="48"/>
      <c r="F304" s="48"/>
      <c r="G304" s="48"/>
      <c r="H304" s="112"/>
    </row>
    <row r="305" spans="1:10" ht="12.75" customHeight="1">
      <c r="A305" s="114" t="s">
        <v>453</v>
      </c>
      <c r="B305" s="115"/>
      <c r="C305" s="115" t="s">
        <v>454</v>
      </c>
      <c r="D305" s="115"/>
      <c r="E305" s="115"/>
      <c r="F305" s="115" t="s">
        <v>455</v>
      </c>
      <c r="G305" s="116"/>
      <c r="H305" s="112"/>
    </row>
    <row r="306" spans="1:10" ht="12.75" customHeight="1">
      <c r="A306" s="119"/>
      <c r="B306" s="120">
        <f>C302</f>
        <v>2021</v>
      </c>
      <c r="C306" s="120">
        <f>D302</f>
        <v>2022</v>
      </c>
      <c r="D306" s="120">
        <f>E302</f>
        <v>2023</v>
      </c>
      <c r="E306" s="120">
        <f>C302</f>
        <v>2021</v>
      </c>
      <c r="F306" s="120">
        <f>D302</f>
        <v>2022</v>
      </c>
      <c r="G306" s="120">
        <f>E302</f>
        <v>2023</v>
      </c>
      <c r="H306" s="112"/>
    </row>
    <row r="307" spans="1:10" ht="12.75" customHeight="1">
      <c r="A307" s="119"/>
      <c r="B307" s="124">
        <f>IF(ISERROR(D29),"",D29)</f>
        <v>0.1851624678355574</v>
      </c>
      <c r="C307" s="124">
        <f>IF(ISERROR(E29),"",E29)</f>
        <v>0.21064087472268753</v>
      </c>
      <c r="D307" s="124">
        <f>IF(ISERROR(F29),"",F29)</f>
        <v>0.22449008445181726</v>
      </c>
      <c r="E307" s="121">
        <f>IF(ISERROR(D30),"",D30)</f>
        <v>0.67088201051828633</v>
      </c>
      <c r="F307" s="121">
        <f>IF(ISERROR(E30),"",E30)</f>
        <v>0.7273176313688039</v>
      </c>
      <c r="G307" s="121">
        <f>IF(ISERROR(F30),"",F30)</f>
        <v>0.78665964750980577</v>
      </c>
      <c r="H307" s="112"/>
    </row>
    <row r="308" spans="1:10" ht="12.75" customHeight="1">
      <c r="A308" s="119"/>
      <c r="B308" s="106"/>
      <c r="C308" s="106"/>
      <c r="D308" s="106"/>
      <c r="E308" s="106"/>
      <c r="F308" s="106"/>
      <c r="G308" s="106"/>
      <c r="H308" s="112"/>
    </row>
    <row r="309" spans="1:10" ht="12.75" customHeight="1">
      <c r="A309" s="114" t="s">
        <v>456</v>
      </c>
      <c r="B309" s="120">
        <f t="shared" ref="B309:G309" si="1">B306</f>
        <v>2021</v>
      </c>
      <c r="C309" s="120">
        <f t="shared" si="1"/>
        <v>2022</v>
      </c>
      <c r="D309" s="120">
        <f t="shared" si="1"/>
        <v>2023</v>
      </c>
      <c r="E309" s="120">
        <f t="shared" si="1"/>
        <v>2021</v>
      </c>
      <c r="F309" s="120">
        <f t="shared" si="1"/>
        <v>2022</v>
      </c>
      <c r="G309" s="120">
        <f t="shared" si="1"/>
        <v>2023</v>
      </c>
      <c r="H309" s="122" t="s">
        <v>355</v>
      </c>
      <c r="J309" s="17" t="s">
        <v>363</v>
      </c>
    </row>
    <row r="310" spans="1:10" ht="12.75" customHeight="1">
      <c r="A310" s="123" t="str">
        <f>A131</f>
        <v>Revenues</v>
      </c>
      <c r="B310" s="124">
        <f t="shared" ref="B310:D313" si="2">IF(ISERROR(D131),"",D131)</f>
        <v>1</v>
      </c>
      <c r="C310" s="124">
        <f t="shared" si="2"/>
        <v>1</v>
      </c>
      <c r="D310" s="124">
        <f t="shared" si="2"/>
        <v>1</v>
      </c>
      <c r="E310" s="121">
        <f>IF(ISERROR(D88),"",D88)</f>
        <v>4.3754663873797206</v>
      </c>
      <c r="F310" s="121">
        <f>IF(ISERROR(E88),"",E88)</f>
        <v>4.2692567894075575</v>
      </c>
      <c r="G310" s="121">
        <f>IF(ISERROR(F88),"",F88)</f>
        <v>3.9830311221233625</v>
      </c>
      <c r="H310" s="122" t="s">
        <v>255</v>
      </c>
    </row>
    <row r="311" spans="1:10" ht="12.75" customHeight="1">
      <c r="A311" s="123" t="str">
        <f>A132</f>
        <v>&lt;Cost of goods sold&gt;</v>
      </c>
      <c r="B311" s="124">
        <f t="shared" si="2"/>
        <v>-0.23427682364909341</v>
      </c>
      <c r="C311" s="124">
        <f t="shared" si="2"/>
        <v>-0.2455969574863042</v>
      </c>
      <c r="D311" s="124">
        <f t="shared" si="2"/>
        <v>-0.23322274166792339</v>
      </c>
      <c r="E311" s="121">
        <f>IF(ISERROR(D90),"",D90)</f>
        <v>4.9619771863117865</v>
      </c>
      <c r="F311" s="121">
        <f>IF(ISERROR(E90),"",E90)</f>
        <v>4.9268846503178931</v>
      </c>
      <c r="G311" s="121">
        <f>IF(ISERROR(F90),"",F90)</f>
        <v>3.3018414731785426</v>
      </c>
      <c r="H311" s="122" t="s">
        <v>256</v>
      </c>
    </row>
    <row r="312" spans="1:10" ht="12.75" customHeight="1">
      <c r="A312" s="123" t="str">
        <f>A133</f>
        <v xml:space="preserve">  Gross Profit</v>
      </c>
      <c r="B312" s="124">
        <f t="shared" si="2"/>
        <v>0.76572317635090659</v>
      </c>
      <c r="C312" s="124">
        <f t="shared" si="2"/>
        <v>0.75440304251369583</v>
      </c>
      <c r="D312" s="124">
        <f t="shared" si="2"/>
        <v>0.76677725833207666</v>
      </c>
      <c r="E312" s="121">
        <f>IF(ISERROR(D95),"",D95)</f>
        <v>5.88622754491018</v>
      </c>
      <c r="F312" s="121">
        <f>IF(ISERROR(E95),"",E95)</f>
        <v>5.5701405964314983</v>
      </c>
      <c r="G312" s="121">
        <f>IF(ISERROR(F95),"",F95)</f>
        <v>5.4607030727263366</v>
      </c>
      <c r="H312" s="122" t="s">
        <v>257</v>
      </c>
    </row>
    <row r="313" spans="1:10" ht="12.75" customHeight="1">
      <c r="A313" s="123" t="str">
        <f>A134</f>
        <v>&lt;Research and Development&gt;</v>
      </c>
      <c r="B313" s="124">
        <f t="shared" si="2"/>
        <v>-0.11850477729240222</v>
      </c>
      <c r="C313" s="124">
        <f t="shared" si="2"/>
        <v>-0.10812544332261814</v>
      </c>
      <c r="D313" s="124">
        <f t="shared" si="2"/>
        <v>-0.10858090785703513</v>
      </c>
      <c r="E313" s="121"/>
      <c r="F313" s="121"/>
      <c r="G313" s="121"/>
      <c r="H313" s="122"/>
    </row>
    <row r="314" spans="1:10" ht="12.75" customHeight="1">
      <c r="A314" s="123" t="str">
        <f>A142</f>
        <v xml:space="preserve">  Operating Income</v>
      </c>
      <c r="B314" s="124">
        <f>IF(ISERROR(D142),"",D142)</f>
        <v>0.19460235772844234</v>
      </c>
      <c r="C314" s="124">
        <f>IF(ISERROR(E142),"",E142)</f>
        <v>0.21949563091411234</v>
      </c>
      <c r="D314" s="124">
        <f>IF(ISERROR(F142),"",F142)</f>
        <v>0.23395792489820541</v>
      </c>
      <c r="E314" s="121"/>
      <c r="F314" s="121"/>
      <c r="G314" s="121"/>
      <c r="H314" s="122"/>
    </row>
    <row r="315" spans="1:10" ht="12.75" customHeight="1">
      <c r="A315" s="123" t="str">
        <f>A147</f>
        <v xml:space="preserve">  Income before Tax</v>
      </c>
      <c r="B315" s="124">
        <f t="shared" ref="B315:D316" si="3">IF(ISERROR(D147),"",D147)</f>
        <v>0.18801986715337204</v>
      </c>
      <c r="C315" s="124">
        <f t="shared" si="3"/>
        <v>0.21630370806356677</v>
      </c>
      <c r="D315" s="124">
        <f t="shared" si="3"/>
        <v>0.25141381390438849</v>
      </c>
      <c r="E315" s="121"/>
      <c r="F315" s="121"/>
      <c r="G315" s="121"/>
      <c r="H315" s="125"/>
    </row>
    <row r="316" spans="1:10" ht="12.75" customHeight="1">
      <c r="A316" s="126" t="str">
        <f>A148</f>
        <v>Provision for (Benefit from) Income Taxes (+Benefit, - Provision)</v>
      </c>
      <c r="B316" s="124">
        <f t="shared" si="3"/>
        <v>-4.2187780503859735E-3</v>
      </c>
      <c r="C316" s="124">
        <f t="shared" si="3"/>
        <v>-6.9724272196314578E-3</v>
      </c>
      <c r="D316" s="102">
        <f t="shared" si="3"/>
        <v>-2.7107525260141759E-2</v>
      </c>
      <c r="E316" s="106"/>
      <c r="F316" s="106"/>
      <c r="G316" s="106"/>
      <c r="H316" s="112"/>
    </row>
    <row r="317" spans="1:10" ht="12.75" customHeight="1">
      <c r="A317" s="123" t="s">
        <v>520</v>
      </c>
      <c r="B317" s="124">
        <f>IF(ISERROR(D29),"",D29)</f>
        <v>0.1851624678355574</v>
      </c>
      <c r="C317" s="124">
        <f>IF(ISERROR(E29),"",E29)</f>
        <v>0.21064087472268753</v>
      </c>
      <c r="D317" s="124">
        <f>IF(ISERROR(F29),"",F29)</f>
        <v>0.22449008445181726</v>
      </c>
      <c r="E317" s="106"/>
      <c r="F317" s="106"/>
      <c r="G317" s="106"/>
      <c r="H317" s="112"/>
    </row>
    <row r="318" spans="1:10" ht="12.75" customHeight="1">
      <c r="A318" s="127" t="s">
        <v>521</v>
      </c>
      <c r="B318" s="124"/>
      <c r="C318" s="124"/>
      <c r="D318" s="124"/>
      <c r="E318" s="106"/>
      <c r="F318" s="106"/>
      <c r="G318" s="106"/>
      <c r="H318" s="112"/>
    </row>
    <row r="319" spans="1:10" ht="12.75" customHeight="1">
      <c r="A319" s="128"/>
      <c r="B319" s="124"/>
      <c r="C319" s="124"/>
      <c r="D319" s="124"/>
      <c r="E319" s="129"/>
      <c r="F319" s="130"/>
      <c r="G319" s="48"/>
      <c r="H319" s="112"/>
    </row>
    <row r="320" spans="1:10" ht="12.75" customHeight="1" thickBot="1">
      <c r="A320" s="131"/>
      <c r="B320" s="48"/>
      <c r="C320" s="48"/>
      <c r="D320" s="48"/>
      <c r="E320" s="48"/>
      <c r="F320" s="48"/>
      <c r="G320" s="48"/>
      <c r="H320" s="112"/>
    </row>
    <row r="321" spans="1:8" ht="12.75" customHeight="1" thickBot="1">
      <c r="A321" s="78" t="s">
        <v>226</v>
      </c>
      <c r="B321" s="79"/>
      <c r="C321" s="79"/>
      <c r="D321" s="79"/>
      <c r="E321" s="79"/>
      <c r="F321" s="79"/>
      <c r="G321" s="79"/>
      <c r="H321" s="80"/>
    </row>
    <row r="322" spans="1:8" ht="12.75" customHeight="1">
      <c r="A322" s="131"/>
      <c r="B322" s="48"/>
      <c r="C322" s="48"/>
      <c r="D322" s="48"/>
      <c r="E322" s="48"/>
      <c r="F322" s="48"/>
      <c r="G322" s="48"/>
      <c r="H322" s="112"/>
    </row>
    <row r="323" spans="1:8" ht="12.75" customHeight="1">
      <c r="A323" s="131"/>
      <c r="B323" s="46"/>
      <c r="C323" s="115" t="s">
        <v>458</v>
      </c>
      <c r="D323" s="46"/>
      <c r="E323" s="48"/>
      <c r="G323" s="48"/>
      <c r="H323" s="112"/>
    </row>
    <row r="324" spans="1:8" ht="12.75" customHeight="1">
      <c r="A324" s="131"/>
      <c r="B324" s="120">
        <f>C302</f>
        <v>2021</v>
      </c>
      <c r="C324" s="120">
        <f>D302</f>
        <v>2022</v>
      </c>
      <c r="D324" s="120">
        <f>E302</f>
        <v>2023</v>
      </c>
      <c r="E324" s="48"/>
      <c r="F324" s="48"/>
      <c r="G324" s="48"/>
      <c r="H324" s="112"/>
    </row>
    <row r="325" spans="1:8" ht="12.75" customHeight="1">
      <c r="A325" s="131"/>
      <c r="B325" s="130">
        <f>IF(ISERROR(D43),"",D43)</f>
        <v>0.74666910911644369</v>
      </c>
      <c r="C325" s="130">
        <f>IF(ISERROR(E43),"",E43)</f>
        <v>3.6889022195560894</v>
      </c>
      <c r="D325" s="130">
        <f>IF(ISERROR(F43),"",F43)</f>
        <v>-3.1863355704697995</v>
      </c>
      <c r="E325" s="48"/>
      <c r="F325" s="48"/>
      <c r="G325" s="48"/>
      <c r="H325" s="112"/>
    </row>
    <row r="326" spans="1:8" ht="12.75" customHeight="1">
      <c r="A326" s="131"/>
      <c r="B326" s="106"/>
      <c r="C326" s="106"/>
      <c r="D326" s="106"/>
      <c r="E326" s="48"/>
      <c r="F326" s="48"/>
      <c r="G326" s="48"/>
      <c r="H326" s="112"/>
    </row>
    <row r="327" spans="1:8" ht="12.75" customHeight="1">
      <c r="A327" s="131"/>
      <c r="B327" s="120">
        <f>B324</f>
        <v>2021</v>
      </c>
      <c r="C327" s="120">
        <f>C324</f>
        <v>2022</v>
      </c>
      <c r="D327" s="120">
        <f>D324</f>
        <v>2023</v>
      </c>
      <c r="E327" s="48"/>
      <c r="F327" s="48"/>
      <c r="G327" s="48"/>
      <c r="H327" s="112"/>
    </row>
    <row r="328" spans="1:8" ht="12.75" customHeight="1">
      <c r="A328" s="114" t="s">
        <v>459</v>
      </c>
      <c r="B328" s="130">
        <f t="shared" ref="B328:D330" si="4">IF(ISERROR(D40),"",D40)</f>
        <v>0.18293638920471544</v>
      </c>
      <c r="C328" s="130">
        <f t="shared" si="4"/>
        <v>0.20881287635260559</v>
      </c>
      <c r="D328" s="102">
        <f t="shared" si="4"/>
        <v>0.22374264816769723</v>
      </c>
      <c r="E328" s="48"/>
      <c r="F328" s="48"/>
      <c r="G328" s="48"/>
      <c r="H328" s="112"/>
    </row>
    <row r="329" spans="1:8" ht="12.75" customHeight="1">
      <c r="A329" s="114" t="s">
        <v>455</v>
      </c>
      <c r="B329" s="132">
        <f t="shared" si="4"/>
        <v>0.67088201051828633</v>
      </c>
      <c r="C329" s="132">
        <f t="shared" si="4"/>
        <v>0.7273176313688039</v>
      </c>
      <c r="D329" s="132">
        <f t="shared" si="4"/>
        <v>0.78665964750980577</v>
      </c>
      <c r="E329" s="48"/>
      <c r="F329" s="48"/>
      <c r="G329" s="48"/>
      <c r="H329" s="112"/>
    </row>
    <row r="330" spans="1:8" ht="12.75" customHeight="1">
      <c r="A330" s="114" t="s">
        <v>460</v>
      </c>
      <c r="B330" s="121">
        <f t="shared" si="4"/>
        <v>6.0838981498442948</v>
      </c>
      <c r="C330" s="121">
        <f t="shared" si="4"/>
        <v>24.289342131573697</v>
      </c>
      <c r="D330" s="121">
        <f t="shared" si="4"/>
        <v>-18.103221476510068</v>
      </c>
      <c r="E330" s="48"/>
      <c r="F330" s="48"/>
      <c r="G330" s="48"/>
      <c r="H330" s="112"/>
    </row>
    <row r="331" spans="1:8" ht="12.75" customHeight="1">
      <c r="A331" s="114"/>
      <c r="B331" s="121"/>
      <c r="C331" s="121"/>
      <c r="D331" s="121"/>
      <c r="E331" s="48"/>
      <c r="F331" s="48"/>
      <c r="G331" s="48"/>
      <c r="H331" s="112"/>
    </row>
    <row r="332" spans="1:8" ht="12.75" customHeight="1">
      <c r="A332" s="114"/>
      <c r="B332" s="121"/>
      <c r="C332" s="121"/>
      <c r="D332" s="121"/>
      <c r="E332" s="48"/>
      <c r="F332" s="48"/>
      <c r="G332" s="48"/>
      <c r="H332" s="112"/>
    </row>
    <row r="333" spans="1:8" ht="12.75" customHeight="1" thickBot="1">
      <c r="A333" s="114"/>
      <c r="B333" s="121"/>
      <c r="C333" s="121"/>
      <c r="D333" s="121"/>
      <c r="E333" s="48"/>
      <c r="F333" s="48"/>
      <c r="G333" s="48"/>
      <c r="H333" s="112"/>
    </row>
    <row r="334" spans="1:8" ht="12.75" customHeight="1" thickBot="1">
      <c r="A334" s="78" t="s">
        <v>648</v>
      </c>
      <c r="B334" s="79"/>
      <c r="C334" s="79"/>
      <c r="D334" s="79"/>
      <c r="E334" s="79"/>
      <c r="F334" s="79"/>
      <c r="G334" s="79"/>
      <c r="H334" s="80"/>
    </row>
    <row r="335" spans="1:8" ht="12.75" customHeight="1">
      <c r="A335" s="114"/>
      <c r="B335" s="121"/>
      <c r="C335" s="121"/>
      <c r="D335" s="121"/>
      <c r="E335" s="48"/>
      <c r="F335" s="48"/>
      <c r="G335" s="48"/>
      <c r="H335" s="112"/>
    </row>
    <row r="336" spans="1:8" ht="12.75" customHeight="1">
      <c r="A336" s="131"/>
      <c r="B336" s="46"/>
      <c r="C336" s="115" t="s">
        <v>458</v>
      </c>
      <c r="D336" s="46"/>
      <c r="E336" s="48"/>
      <c r="F336" s="48"/>
      <c r="G336" s="48"/>
      <c r="H336" s="112"/>
    </row>
    <row r="337" spans="1:14" ht="12.75" customHeight="1">
      <c r="A337" s="131"/>
      <c r="B337" s="118">
        <f>C302</f>
        <v>2021</v>
      </c>
      <c r="C337" s="118">
        <f>D302</f>
        <v>2022</v>
      </c>
      <c r="D337" s="118">
        <f>E302</f>
        <v>2023</v>
      </c>
      <c r="E337" s="48"/>
      <c r="F337" s="48"/>
      <c r="G337" s="48"/>
      <c r="H337" s="112"/>
    </row>
    <row r="338" spans="1:14" ht="12.75" customHeight="1">
      <c r="A338" s="114" t="s">
        <v>656</v>
      </c>
      <c r="B338" s="130">
        <f>B325</f>
        <v>0.74666910911644369</v>
      </c>
      <c r="C338" s="130">
        <f>C325</f>
        <v>3.6889022195560894</v>
      </c>
      <c r="D338" s="130">
        <f>D325</f>
        <v>-3.1863355704697995</v>
      </c>
      <c r="E338" s="48"/>
      <c r="F338" s="48"/>
      <c r="G338" s="48"/>
      <c r="H338" s="112"/>
    </row>
    <row r="339" spans="1:14" ht="12.75" customHeight="1">
      <c r="A339" s="131"/>
      <c r="B339" s="106"/>
      <c r="C339" s="106"/>
      <c r="D339" s="106"/>
      <c r="E339" s="48"/>
      <c r="F339" s="48"/>
      <c r="G339" s="48"/>
      <c r="H339" s="112"/>
    </row>
    <row r="340" spans="1:14" ht="12.75" customHeight="1">
      <c r="A340" s="114" t="s">
        <v>649</v>
      </c>
      <c r="B340" s="120"/>
      <c r="C340" s="120"/>
      <c r="D340" s="120"/>
      <c r="E340" s="48"/>
      <c r="F340" s="48"/>
      <c r="G340" s="48"/>
      <c r="H340" s="112"/>
    </row>
    <row r="341" spans="1:14" ht="12.75" customHeight="1">
      <c r="A341" s="114" t="s">
        <v>652</v>
      </c>
      <c r="B341" s="401">
        <f>Data!E65</f>
        <v>3342.2</v>
      </c>
      <c r="C341" s="401">
        <f>Data!F65</f>
        <v>4417.3999999999996</v>
      </c>
      <c r="D341" s="401">
        <f>Data!G65</f>
        <v>5304.8</v>
      </c>
      <c r="E341" s="48"/>
      <c r="F341" s="48"/>
      <c r="G341" s="48"/>
      <c r="H341" s="112"/>
      <c r="J341" s="399"/>
      <c r="K341" s="16"/>
      <c r="L341" s="16"/>
      <c r="M341" s="16"/>
      <c r="N341" s="16"/>
    </row>
    <row r="342" spans="1:14" ht="12.75" customHeight="1">
      <c r="A342" s="114" t="s">
        <v>650</v>
      </c>
      <c r="B342" s="401">
        <f>Data!E86-Data!E78*(1+Data!E82/Data!E81)-Data!E146-Data!E144</f>
        <v>622.64971992361552</v>
      </c>
      <c r="C342" s="401">
        <f>Data!F86-Data!F78*(1+Data!F82/Data!F81)-Data!F146-Data!F144</f>
        <v>934.77483516483494</v>
      </c>
      <c r="D342" s="401">
        <f>Data!G86-Data!G78*(1+Data!G82/Data!G81)-Data!G146-Data!G144</f>
        <v>1192.3522958686365</v>
      </c>
      <c r="E342" s="401"/>
      <c r="F342" s="401"/>
      <c r="G342" s="129"/>
      <c r="H342" s="112"/>
      <c r="J342" s="399"/>
      <c r="K342" s="16"/>
      <c r="L342" s="16"/>
      <c r="M342" s="16"/>
      <c r="N342" s="16"/>
    </row>
    <row r="343" spans="1:14" ht="12.75" customHeight="1">
      <c r="A343" s="114" t="s">
        <v>651</v>
      </c>
      <c r="B343" s="401">
        <f>(-Data!E78*(1+Data!E82/Data!E81)-Data!E87+Data!E146)</f>
        <v>11.239719923615532</v>
      </c>
      <c r="C343" s="401">
        <f>(-Data!F78*(1+Data!F82/Data!F81)-Data!F87+Data!F146)</f>
        <v>12.364835164835165</v>
      </c>
      <c r="D343" s="401">
        <f>(-Data!G78*(1+Data!G82/Data!G81)-Data!G87+Data!G146)</f>
        <v>5.4422958686361245</v>
      </c>
      <c r="E343" s="401"/>
      <c r="F343" s="401"/>
      <c r="H343" s="112"/>
      <c r="J343" s="399"/>
      <c r="K343" s="16"/>
      <c r="L343" s="16"/>
      <c r="M343" s="16"/>
      <c r="N343" s="16"/>
    </row>
    <row r="344" spans="1:14" ht="12.75" customHeight="1">
      <c r="A344" s="114" t="s">
        <v>653</v>
      </c>
      <c r="B344" s="397">
        <f>((Data!E33-Data!E36-Data!E37-Data!E40-Data!E41-Data!E42-Data!E43-Data!E46-Data!E47-Data!E48-Data!E49)+(Data!D33-Data!D36-Data!D37-Data!D40-Data!D41-Data!D42-Data!D43-Data!D46-Data!D47-Data!D48-Data!D49))/2</f>
        <v>1321.4000000000017</v>
      </c>
      <c r="C344" s="397">
        <f>((Data!F33-Data!F36-Data!F37-Data!F40-Data!F41-Data!F42-Data!F43-Data!F46-Data!F47-Data!F48-Data!F49)+(Data!E33-Data!E36-Data!E37-Data!E40-Data!E41-Data!E42-Data!E43-Data!E46-Data!E47-Data!E48-Data!E49))/2</f>
        <v>1247.8000000000009</v>
      </c>
      <c r="D344" s="397">
        <f>((Data!G33-Data!G36-Data!G37-Data!G40-Data!G41-Data!G42-Data!G43-Data!G46-Data!G47-Data!G48-Data!G49)+(Data!F33-Data!F36-Data!F37-Data!F40-Data!F41-Data!F42-Data!F43-Data!F46-Data!F47-Data!F48-Data!F49))/2</f>
        <v>618.85000000000036</v>
      </c>
      <c r="E344" s="129"/>
      <c r="F344" s="129"/>
      <c r="G344" s="48"/>
      <c r="H344" s="112"/>
      <c r="J344" s="399"/>
    </row>
    <row r="345" spans="1:14" ht="12.75" customHeight="1">
      <c r="A345" s="114" t="s">
        <v>654</v>
      </c>
      <c r="B345" s="397">
        <f>((Data!E38+Data!E39+Data!E45+Data!E52+Data!E58)+(Data!D38+Data!D39+Data!D45+Data!D52+Data!D58))/2</f>
        <v>502.55</v>
      </c>
      <c r="C345" s="397">
        <f>((Data!F38+Data!F39+Data!F45+Data!F52+Data!F58)+(Data!E38+Data!E39+Data!E45+Data!E52+Data!E58))/2</f>
        <v>997.75</v>
      </c>
      <c r="D345" s="397">
        <f>((Data!G38+Data!G39+Data!G45+Data!G52+Data!G58)+(Data!F38+Data!F39+Data!F45+Data!F52+Data!F58))/2</f>
        <v>991.34999999999991</v>
      </c>
      <c r="E345" s="129"/>
      <c r="F345" s="129"/>
      <c r="G345" s="48"/>
      <c r="H345" s="112"/>
    </row>
    <row r="346" spans="1:14" ht="12.75" customHeight="1">
      <c r="A346" s="114" t="s">
        <v>655</v>
      </c>
      <c r="B346" s="397">
        <f>(Data!E57+Data!D57)/2</f>
        <v>818.85</v>
      </c>
      <c r="C346" s="397">
        <f>(Data!F57+Data!E57)/2</f>
        <v>250.04999999999993</v>
      </c>
      <c r="D346" s="397">
        <f>(Data!G57+Data!F57)/2</f>
        <v>-372.5</v>
      </c>
      <c r="E346" s="129"/>
      <c r="F346" s="129"/>
      <c r="G346" s="48"/>
      <c r="H346" s="112"/>
    </row>
    <row r="347" spans="1:14" ht="12.75" customHeight="1">
      <c r="A347" s="114"/>
      <c r="B347" s="397"/>
      <c r="C347" s="397"/>
      <c r="D347" s="397"/>
      <c r="E347" s="129"/>
      <c r="F347" s="129"/>
      <c r="G347" s="48"/>
      <c r="H347" s="112"/>
    </row>
    <row r="348" spans="1:14" ht="12.75" customHeight="1">
      <c r="A348" s="114" t="s">
        <v>662</v>
      </c>
      <c r="B348" s="400">
        <f>B342/B341</f>
        <v>0.18629935968033498</v>
      </c>
      <c r="C348" s="400">
        <f>C342/C341</f>
        <v>0.21161199691330534</v>
      </c>
      <c r="D348" s="400">
        <f>D342/D341</f>
        <v>0.22476856731048039</v>
      </c>
      <c r="E348" s="129"/>
      <c r="F348" s="129"/>
      <c r="G348" s="48"/>
      <c r="H348" s="112"/>
    </row>
    <row r="349" spans="1:14" ht="12.75" customHeight="1">
      <c r="A349" s="114" t="s">
        <v>663</v>
      </c>
      <c r="B349" s="398">
        <f>B341/B344</f>
        <v>2.5292871197215043</v>
      </c>
      <c r="C349" s="398">
        <f>C341/C344</f>
        <v>3.5401506651706978</v>
      </c>
      <c r="D349" s="398">
        <f>D341/D344</f>
        <v>8.5720287630281931</v>
      </c>
      <c r="E349" s="48"/>
      <c r="F349" s="48"/>
      <c r="G349" s="48"/>
      <c r="H349" s="112"/>
    </row>
    <row r="350" spans="1:14" ht="12.75" customHeight="1">
      <c r="A350" s="114" t="s">
        <v>657</v>
      </c>
      <c r="B350" s="398">
        <f>B342/B344</f>
        <v>0.47120457085183498</v>
      </c>
      <c r="C350" s="398">
        <f>C342/C344</f>
        <v>0.7491383516307375</v>
      </c>
      <c r="D350" s="398">
        <f>D342/D344</f>
        <v>1.9267226240100763</v>
      </c>
      <c r="E350" s="48"/>
      <c r="F350" s="402"/>
      <c r="G350" s="402"/>
      <c r="H350" s="112"/>
    </row>
    <row r="351" spans="1:14" ht="12.75" customHeight="1">
      <c r="A351" s="114"/>
      <c r="B351" s="398"/>
      <c r="C351" s="398"/>
      <c r="D351" s="398"/>
      <c r="E351" s="48"/>
      <c r="F351" s="402"/>
      <c r="G351" s="402"/>
      <c r="H351" s="112"/>
    </row>
    <row r="352" spans="1:14" ht="12.75" customHeight="1">
      <c r="A352" s="114" t="s">
        <v>658</v>
      </c>
      <c r="B352" s="398">
        <f>B343/B345</f>
        <v>2.2365376427451063E-2</v>
      </c>
      <c r="C352" s="398">
        <f>C343/C345</f>
        <v>1.2392718782094879E-2</v>
      </c>
      <c r="D352" s="398">
        <f>D343/D345</f>
        <v>5.4897824871499726E-3</v>
      </c>
      <c r="E352" s="48"/>
      <c r="F352" s="48"/>
      <c r="G352" s="48"/>
      <c r="H352" s="112"/>
    </row>
    <row r="353" spans="1:10" ht="12.75" customHeight="1">
      <c r="A353" s="114" t="s">
        <v>659</v>
      </c>
      <c r="B353" s="398">
        <f>B350-B352</f>
        <v>0.44883919442438391</v>
      </c>
      <c r="C353" s="398">
        <f>C350-C352</f>
        <v>0.73674563284864258</v>
      </c>
      <c r="D353" s="398">
        <f>D350-D352</f>
        <v>1.9212328415229263</v>
      </c>
      <c r="E353" s="48"/>
      <c r="F353" s="48"/>
      <c r="G353" s="48"/>
      <c r="H353" s="112"/>
    </row>
    <row r="354" spans="1:10" ht="12.75" customHeight="1">
      <c r="A354" s="114" t="s">
        <v>660</v>
      </c>
      <c r="B354" s="398">
        <f>B345/B346</f>
        <v>0.61372656774745071</v>
      </c>
      <c r="C354" s="398">
        <f>C345/C346</f>
        <v>3.9902019596080796</v>
      </c>
      <c r="D354" s="398">
        <f>D345/D346</f>
        <v>-2.6613422818791945</v>
      </c>
      <c r="E354" s="48"/>
      <c r="F354" s="48"/>
      <c r="G354" s="48"/>
      <c r="H354" s="112"/>
    </row>
    <row r="355" spans="1:10" ht="12.75" customHeight="1">
      <c r="A355" s="114" t="s">
        <v>661</v>
      </c>
      <c r="B355" s="398">
        <f>B353*B354</f>
        <v>0.27546453826460787</v>
      </c>
      <c r="C355" s="398">
        <f>C353*C354</f>
        <v>2.9397638679253482</v>
      </c>
      <c r="D355" s="398">
        <f>D353*D354</f>
        <v>-5.1130581944798736</v>
      </c>
      <c r="E355" s="48"/>
      <c r="F355" s="48"/>
      <c r="G355" s="48"/>
      <c r="H355" s="112"/>
    </row>
    <row r="356" spans="1:10" ht="12.75" customHeight="1">
      <c r="A356" s="114"/>
      <c r="B356" s="398"/>
      <c r="C356" s="398"/>
      <c r="D356" s="398"/>
      <c r="E356" s="48"/>
      <c r="F356" s="48"/>
      <c r="G356" s="48"/>
      <c r="H356" s="112"/>
    </row>
    <row r="357" spans="1:10" ht="12.75" customHeight="1">
      <c r="A357" s="114" t="s">
        <v>664</v>
      </c>
      <c r="B357" s="398">
        <f>B350+B355</f>
        <v>0.7466691091164428</v>
      </c>
      <c r="C357" s="398">
        <f>C350+C355</f>
        <v>3.6889022195560859</v>
      </c>
      <c r="D357" s="398">
        <f>D350+D355</f>
        <v>-3.1863355704697973</v>
      </c>
      <c r="E357" s="48"/>
      <c r="F357" s="48"/>
      <c r="G357" s="48"/>
      <c r="H357" s="112"/>
    </row>
    <row r="358" spans="1:10" ht="12.75" customHeight="1">
      <c r="A358" s="131"/>
      <c r="B358" s="110"/>
      <c r="C358" s="110"/>
      <c r="D358" s="110"/>
      <c r="E358" s="133"/>
      <c r="F358" s="133"/>
      <c r="G358" s="133"/>
      <c r="H358" s="134"/>
    </row>
    <row r="359" spans="1:10" ht="12.75" customHeight="1" thickBot="1">
      <c r="A359" s="135"/>
      <c r="B359" s="57"/>
      <c r="C359" s="57"/>
      <c r="D359" s="57"/>
      <c r="E359" s="57"/>
      <c r="F359" s="57"/>
      <c r="G359" s="57"/>
      <c r="H359" s="136"/>
    </row>
    <row r="360" spans="1:10" ht="12.75" customHeight="1"/>
    <row r="361" spans="1:10" ht="12.75" customHeight="1"/>
    <row r="362" spans="1:10" ht="12.75" customHeight="1" thickBot="1"/>
    <row r="363" spans="1:10" ht="12.75" customHeight="1" thickBot="1">
      <c r="A363" s="78" t="s">
        <v>356</v>
      </c>
      <c r="B363" s="103"/>
      <c r="C363" s="103"/>
      <c r="D363" s="103"/>
      <c r="E363" s="103"/>
      <c r="F363" s="104"/>
      <c r="G363" s="137"/>
      <c r="J363" s="61" t="s">
        <v>495</v>
      </c>
    </row>
    <row r="364" spans="1:10" ht="12.75" customHeight="1" thickBot="1">
      <c r="A364" s="62" t="s">
        <v>18</v>
      </c>
      <c r="B364" s="63">
        <f>Data!$C$11</f>
        <v>2019</v>
      </c>
      <c r="C364" s="63">
        <f>Data!$D$11</f>
        <v>2020</v>
      </c>
      <c r="D364" s="63">
        <f>Data!$E$11</f>
        <v>2021</v>
      </c>
      <c r="E364" s="63">
        <f>Data!$F$11</f>
        <v>2022</v>
      </c>
      <c r="F364" s="63">
        <f>Data!$G$11</f>
        <v>2023</v>
      </c>
      <c r="G364" s="138"/>
      <c r="J364" s="17" t="s">
        <v>496</v>
      </c>
    </row>
    <row r="365" spans="1:10" ht="12.75" customHeight="1">
      <c r="A365" s="56"/>
      <c r="B365" s="105"/>
      <c r="C365" s="106"/>
      <c r="D365" s="105"/>
      <c r="E365" s="106"/>
      <c r="F365" s="106"/>
      <c r="G365" s="139"/>
      <c r="J365" s="17" t="s">
        <v>497</v>
      </c>
    </row>
    <row r="366" spans="1:10" ht="12.75" customHeight="1">
      <c r="A366" s="108" t="s">
        <v>357</v>
      </c>
      <c r="B366" s="91"/>
      <c r="C366" s="107"/>
      <c r="D366" s="107"/>
      <c r="E366" s="106"/>
      <c r="F366" s="106"/>
      <c r="G366" s="139"/>
    </row>
    <row r="367" spans="1:10" ht="12.75" customHeight="1">
      <c r="A367" s="22" t="str">
        <f>Data!A97</f>
        <v>Net Income</v>
      </c>
      <c r="B367" s="22">
        <f>Data!C97</f>
        <v>331.69999999999993</v>
      </c>
      <c r="C367" s="22">
        <f>Data!D97</f>
        <v>488.50000000000017</v>
      </c>
      <c r="D367" s="22">
        <f>Data!E97</f>
        <v>606.69999999999993</v>
      </c>
      <c r="E367" s="22">
        <f>Data!F97</f>
        <v>856.5999999999998</v>
      </c>
      <c r="F367" s="22">
        <f>Data!G97</f>
        <v>1147.8000000000004</v>
      </c>
      <c r="G367" s="102"/>
    </row>
    <row r="368" spans="1:10" ht="12.75" customHeight="1">
      <c r="A368" s="4" t="str">
        <f>Data!A98</f>
        <v>Depreciation and amortization expenses</v>
      </c>
      <c r="B368" s="4">
        <f>Data!C98</f>
        <v>61.6</v>
      </c>
      <c r="C368" s="4">
        <f>Data!D98</f>
        <v>68.8</v>
      </c>
      <c r="D368" s="4">
        <f>Data!E98</f>
        <v>84.4</v>
      </c>
      <c r="E368" s="4">
        <f>Data!F98</f>
        <v>104.3</v>
      </c>
      <c r="F368" s="4">
        <f>Data!G98</f>
        <v>113.4</v>
      </c>
      <c r="G368" s="102"/>
    </row>
    <row r="369" spans="1:7" ht="12.75" customHeight="1">
      <c r="A369" s="373" t="s">
        <v>594</v>
      </c>
      <c r="B369" s="140">
        <f>SUM(Data!C103:C112)</f>
        <v>133</v>
      </c>
      <c r="C369" s="140">
        <f>SUM(Data!D103:D112)</f>
        <v>190</v>
      </c>
      <c r="D369" s="140">
        <f>SUM(Data!E102:E110)</f>
        <v>-465.50000000000006</v>
      </c>
      <c r="E369" s="140">
        <f>SUM(Data!F102:F110)</f>
        <v>-877.8</v>
      </c>
      <c r="F369" s="140">
        <f>SUM(Data!G102:G110)</f>
        <v>-932</v>
      </c>
      <c r="G369" s="102"/>
    </row>
    <row r="370" spans="1:7" ht="12.75" customHeight="1">
      <c r="A370" s="373" t="s">
        <v>595</v>
      </c>
      <c r="B370" s="140">
        <f>SUM(Data!C99:C101)+SUM(Data!C111:C112)</f>
        <v>713.2</v>
      </c>
      <c r="C370" s="140">
        <f>SUM(Data!D99:D101)+SUM(Data!D111:D112)</f>
        <v>869.10000000000014</v>
      </c>
      <c r="D370" s="140">
        <f>SUM(Data!E99:E101)+SUM(Data!E111:E112)</f>
        <v>1274.0999999999999</v>
      </c>
      <c r="E370" s="140">
        <f>SUM(Data!F99:F101)+SUM(Data!F111:F112)</f>
        <v>1647.5</v>
      </c>
      <c r="F370" s="140">
        <f>SUM(Data!G99:G101)+SUM(Data!G111:G112)</f>
        <v>1606.3</v>
      </c>
      <c r="G370" s="102"/>
    </row>
    <row r="371" spans="1:7" ht="12.75" customHeight="1">
      <c r="A371" s="22" t="str">
        <f>Data!A113</f>
        <v xml:space="preserve">  Net CF from Operating Activities</v>
      </c>
      <c r="B371" s="22">
        <f>SUM(B367:B370)</f>
        <v>1239.5</v>
      </c>
      <c r="C371" s="22">
        <f>SUM(C367:C370)</f>
        <v>1616.4000000000003</v>
      </c>
      <c r="D371" s="22">
        <f>SUM(D367:D370)</f>
        <v>1499.6999999999998</v>
      </c>
      <c r="E371" s="22">
        <f>SUM(E367:E370)</f>
        <v>1730.6</v>
      </c>
      <c r="F371" s="22">
        <f>SUM(F367:F370)</f>
        <v>1935.5000000000005</v>
      </c>
      <c r="G371" s="102"/>
    </row>
    <row r="372" spans="1:7" ht="12.75" customHeight="1">
      <c r="A372" s="4"/>
      <c r="B372" s="4"/>
      <c r="C372" s="4"/>
      <c r="D372" s="4"/>
      <c r="E372" s="4"/>
      <c r="F372" s="4"/>
      <c r="G372" s="102"/>
    </row>
    <row r="373" spans="1:7" ht="12.75" customHeight="1">
      <c r="A373" s="22" t="s">
        <v>358</v>
      </c>
      <c r="B373" s="4"/>
      <c r="C373" s="4"/>
      <c r="D373" s="4"/>
      <c r="E373" s="4"/>
      <c r="F373" s="4"/>
      <c r="G373" s="102"/>
    </row>
    <row r="374" spans="1:7" ht="12.75" customHeight="1">
      <c r="A374" s="373" t="s">
        <v>596</v>
      </c>
      <c r="B374" s="140">
        <f>Data!C117+Data!C118</f>
        <v>-1301</v>
      </c>
      <c r="C374" s="140">
        <f>Data!D117+Data!D118</f>
        <v>-926.8</v>
      </c>
      <c r="D374" s="140">
        <f>Data!E114+Data!E115</f>
        <v>-295.89999999999998</v>
      </c>
      <c r="E374" s="140">
        <f>Data!F114+Data!F115</f>
        <v>-281.2</v>
      </c>
      <c r="F374" s="140">
        <f>Data!G114+Data!G115</f>
        <v>-204.1</v>
      </c>
      <c r="G374" s="102"/>
    </row>
    <row r="375" spans="1:7" ht="12.75" customHeight="1">
      <c r="A375" s="65" t="s">
        <v>359</v>
      </c>
      <c r="B375" s="140">
        <f>SUM(Data!C116:C118)</f>
        <v>-375.5</v>
      </c>
      <c r="C375" s="140">
        <f>SUM(Data!D116:D118)</f>
        <v>92</v>
      </c>
      <c r="D375" s="140">
        <f>SUM(Data!E116:E118)</f>
        <v>-912.2</v>
      </c>
      <c r="E375" s="140">
        <f>SUM(Data!F116:F118)</f>
        <v>1075.9000000000001</v>
      </c>
      <c r="F375" s="140">
        <f>SUM(Data!G116:G118)</f>
        <v>-445.5</v>
      </c>
      <c r="G375" s="102"/>
    </row>
    <row r="376" spans="1:7" ht="12.75" customHeight="1">
      <c r="A376" s="373" t="s">
        <v>597</v>
      </c>
      <c r="B376" s="140">
        <f>Data!C119+Data!C120</f>
        <v>-34.6</v>
      </c>
      <c r="C376" s="140">
        <f>Data!D119+Data!D120</f>
        <v>-38.900000000000006</v>
      </c>
      <c r="D376" s="140">
        <f>Data!E119+Data!E120</f>
        <v>-117</v>
      </c>
      <c r="E376" s="140">
        <f>Data!F119+Data!F120</f>
        <v>-30.8</v>
      </c>
      <c r="F376" s="140">
        <f>Data!G119+Data!G120</f>
        <v>0.3</v>
      </c>
      <c r="G376" s="102"/>
    </row>
    <row r="377" spans="1:7" ht="12.75" customHeight="1">
      <c r="A377" s="22" t="str">
        <f>Data!A121</f>
        <v xml:space="preserve">  Net CF from Investing Activities</v>
      </c>
      <c r="B377" s="141">
        <f>SUM(B374:B376)</f>
        <v>-1711.1</v>
      </c>
      <c r="C377" s="141">
        <f>SUM(C374:C376)</f>
        <v>-873.69999999999993</v>
      </c>
      <c r="D377" s="141">
        <f>SUM(D374:D376)</f>
        <v>-1325.1</v>
      </c>
      <c r="E377" s="141">
        <f>SUM(E374:E376)</f>
        <v>763.90000000000009</v>
      </c>
      <c r="F377" s="141">
        <f>SUM(F374:F376)</f>
        <v>-649.30000000000007</v>
      </c>
      <c r="G377" s="142"/>
    </row>
    <row r="378" spans="1:7" ht="12.75" customHeight="1">
      <c r="A378" s="65"/>
      <c r="B378" s="140"/>
      <c r="C378" s="140"/>
      <c r="D378" s="140"/>
      <c r="E378" s="140"/>
      <c r="F378" s="140"/>
      <c r="G378" s="102"/>
    </row>
    <row r="379" spans="1:7" ht="12.75" customHeight="1">
      <c r="A379" s="77" t="s">
        <v>360</v>
      </c>
      <c r="B379" s="140"/>
      <c r="C379" s="140"/>
      <c r="D379" s="140"/>
      <c r="E379" s="140"/>
      <c r="F379" s="140"/>
    </row>
    <row r="380" spans="1:7" ht="12.75" customHeight="1">
      <c r="A380" s="373" t="s">
        <v>598</v>
      </c>
      <c r="B380" s="140">
        <f>Data!C122+Data!C123</f>
        <v>0</v>
      </c>
      <c r="C380" s="140">
        <f>Data!D122+Data!D123</f>
        <v>0</v>
      </c>
      <c r="D380" s="140">
        <f>Data!E122+Data!E123</f>
        <v>0</v>
      </c>
      <c r="E380" s="140">
        <f>Data!F122+Data!F123</f>
        <v>0</v>
      </c>
      <c r="F380" s="140">
        <f>Data!G122+Data!G123</f>
        <v>0</v>
      </c>
    </row>
    <row r="381" spans="1:7" ht="12.75" customHeight="1">
      <c r="A381" s="373" t="s">
        <v>599</v>
      </c>
      <c r="B381" s="140">
        <f>Data!C124+Data!C125</f>
        <v>0</v>
      </c>
      <c r="C381" s="140">
        <f>Data!D124+Data!D125</f>
        <v>0</v>
      </c>
      <c r="D381" s="140">
        <f>Data!E124+Data!E125</f>
        <v>987</v>
      </c>
      <c r="E381" s="140">
        <f>Data!F124+Data!F125</f>
        <v>0</v>
      </c>
      <c r="F381" s="140">
        <f>Data!G124+Data!G125</f>
        <v>0</v>
      </c>
    </row>
    <row r="382" spans="1:7" ht="12.75" customHeight="1">
      <c r="A382" s="373" t="s">
        <v>600</v>
      </c>
      <c r="B382" s="140">
        <f>Data!C126+Data!C127+Data!C128</f>
        <v>-99.3</v>
      </c>
      <c r="C382" s="140">
        <f>Data!D126+Data!D127+Data!D128</f>
        <v>-1062.0999999999999</v>
      </c>
      <c r="D382" s="140">
        <f>Data!E126+Data!E127+Data!E128</f>
        <v>-735.3</v>
      </c>
      <c r="E382" s="140">
        <f>Data!F126+Data!F127+Data!F128</f>
        <v>-1965.1000000000001</v>
      </c>
      <c r="F382" s="140">
        <f>Data!G126+Data!G127+Data!G128</f>
        <v>-1456.7</v>
      </c>
    </row>
    <row r="383" spans="1:7" ht="12.75" customHeight="1">
      <c r="A383" s="65" t="s">
        <v>482</v>
      </c>
      <c r="B383" s="140">
        <f>Data!C129</f>
        <v>0</v>
      </c>
      <c r="C383" s="140">
        <f>Data!D129</f>
        <v>0</v>
      </c>
      <c r="D383" s="140">
        <f>Data!E129</f>
        <v>0</v>
      </c>
      <c r="E383" s="140">
        <f>Data!F129</f>
        <v>0</v>
      </c>
      <c r="F383" s="140">
        <f>Data!G129</f>
        <v>0</v>
      </c>
    </row>
    <row r="384" spans="1:7" ht="12.75" customHeight="1">
      <c r="A384" s="373" t="s">
        <v>601</v>
      </c>
      <c r="B384" s="140">
        <f>Data!C130+Data!C131</f>
        <v>-96.3</v>
      </c>
      <c r="C384" s="140">
        <f>Data!D130+Data!D131</f>
        <v>-109.5</v>
      </c>
      <c r="D384" s="140">
        <f>Data!E130+Data!E131</f>
        <v>-168.9</v>
      </c>
      <c r="E384" s="140">
        <f>Data!F130+Data!F131</f>
        <v>-165.20000000000002</v>
      </c>
      <c r="F384" s="140">
        <f>Data!G130+Data!G131</f>
        <v>-113.7</v>
      </c>
    </row>
    <row r="385" spans="1:6" ht="12.75" customHeight="1">
      <c r="A385" s="22" t="str">
        <f>Data!A132</f>
        <v xml:space="preserve">  Net CF from Financing Activities</v>
      </c>
      <c r="B385" s="141">
        <f>SUM(B380:B384)</f>
        <v>-195.6</v>
      </c>
      <c r="C385" s="141">
        <f>SUM(C380:C384)</f>
        <v>-1171.5999999999999</v>
      </c>
      <c r="D385" s="141">
        <f>SUM(D380:D384)</f>
        <v>82.80000000000004</v>
      </c>
      <c r="E385" s="141">
        <f>SUM(E380:E384)</f>
        <v>-2130.3000000000002</v>
      </c>
      <c r="F385" s="141">
        <f>SUM(F380:F384)</f>
        <v>-1570.4</v>
      </c>
    </row>
    <row r="386" spans="1:6" ht="12.75" customHeight="1">
      <c r="A386" s="65"/>
      <c r="B386" s="140"/>
      <c r="C386" s="140"/>
      <c r="D386" s="140"/>
      <c r="E386" s="140"/>
      <c r="F386" s="140"/>
    </row>
    <row r="387" spans="1:6">
      <c r="A387" s="4" t="str">
        <f>Data!A133</f>
        <v>Effects of exchange rate changes on cash</v>
      </c>
      <c r="B387" s="4">
        <f>Data!C133</f>
        <v>0</v>
      </c>
      <c r="C387" s="4">
        <f>Data!D133</f>
        <v>0</v>
      </c>
      <c r="D387" s="4">
        <f>Data!E133</f>
        <v>-0.1</v>
      </c>
      <c r="E387" s="4">
        <f>Data!F133</f>
        <v>-0.4</v>
      </c>
      <c r="F387" s="4">
        <f>Data!G133</f>
        <v>-0.8</v>
      </c>
    </row>
    <row r="388" spans="1:6">
      <c r="A388" s="22" t="str">
        <f>Data!A134</f>
        <v xml:space="preserve">  Net Change in Cash</v>
      </c>
      <c r="B388" s="22">
        <f>B371+B377+B385+B387</f>
        <v>-667.19999999999993</v>
      </c>
      <c r="C388" s="22">
        <f>C371+C377+C385+C387</f>
        <v>-428.89999999999952</v>
      </c>
      <c r="D388" s="22">
        <f>D371+D377+D385+D387</f>
        <v>257.29999999999995</v>
      </c>
      <c r="E388" s="22">
        <f>E371+E377+E385+E387</f>
        <v>363.79999999999984</v>
      </c>
      <c r="F388" s="22">
        <f>F371+F377+F385+F387</f>
        <v>-284.99999999999983</v>
      </c>
    </row>
    <row r="392" spans="1:6" ht="13.5" thickBot="1"/>
    <row r="393" spans="1:6" ht="13.5" thickBot="1">
      <c r="A393" s="457"/>
      <c r="B393" s="860">
        <v>2021</v>
      </c>
      <c r="C393" s="861">
        <v>2022</v>
      </c>
      <c r="D393" s="862">
        <v>2023</v>
      </c>
    </row>
    <row r="394" spans="1:6" ht="13.5" thickBot="1">
      <c r="A394" s="864" t="s">
        <v>1194</v>
      </c>
      <c r="B394" s="866">
        <v>1358.8</v>
      </c>
      <c r="C394" s="866">
        <v>1785</v>
      </c>
      <c r="D394" s="866">
        <v>2175.1999999999998</v>
      </c>
    </row>
    <row r="395" spans="1:6">
      <c r="A395" s="863" t="s">
        <v>692</v>
      </c>
      <c r="C395" s="869">
        <v>0.31365911098027666</v>
      </c>
      <c r="D395" s="870">
        <v>0.21859943977591034</v>
      </c>
    </row>
    <row r="396" spans="1:6" ht="13.5" thickBot="1">
      <c r="A396" s="863" t="s">
        <v>835</v>
      </c>
      <c r="B396" s="869">
        <v>0.40655855424570642</v>
      </c>
      <c r="C396" s="869">
        <v>0.40415704387990758</v>
      </c>
      <c r="D396" s="870">
        <v>0.41004373397677568</v>
      </c>
    </row>
    <row r="397" spans="1:6" ht="13.5" thickBot="1">
      <c r="A397" s="865" t="s">
        <v>819</v>
      </c>
      <c r="B397" s="866">
        <v>1275.9000000000001</v>
      </c>
      <c r="C397" s="866">
        <v>1691</v>
      </c>
      <c r="D397" s="866">
        <v>2072.9</v>
      </c>
    </row>
    <row r="398" spans="1:6">
      <c r="A398" s="863" t="s">
        <v>692</v>
      </c>
      <c r="C398" s="869">
        <v>0.32533897640880927</v>
      </c>
      <c r="D398" s="870">
        <v>0.22584269662921352</v>
      </c>
    </row>
    <row r="399" spans="1:6" ht="13.5" thickBot="1">
      <c r="A399" s="863" t="s">
        <v>835</v>
      </c>
      <c r="B399" s="869">
        <v>0.38175453294237333</v>
      </c>
      <c r="C399" s="869">
        <v>0.38287370375401891</v>
      </c>
      <c r="D399" s="870">
        <v>0.39075931232091693</v>
      </c>
    </row>
    <row r="400" spans="1:6" ht="13.5" thickBot="1">
      <c r="A400" s="865" t="s">
        <v>820</v>
      </c>
      <c r="B400" s="866">
        <v>707.5</v>
      </c>
      <c r="C400" s="866">
        <v>940.6</v>
      </c>
      <c r="D400" s="866">
        <v>1056.7</v>
      </c>
    </row>
    <row r="401" spans="1:7">
      <c r="A401" s="863" t="s">
        <v>692</v>
      </c>
      <c r="C401" s="869">
        <v>0.32946996466431089</v>
      </c>
      <c r="D401" s="870">
        <v>0.1234318520093558</v>
      </c>
    </row>
    <row r="402" spans="1:7" ht="13.5" thickBot="1">
      <c r="A402" s="117" t="s">
        <v>835</v>
      </c>
      <c r="B402" s="869">
        <v>0.21168691281192031</v>
      </c>
      <c r="C402" s="869">
        <v>0.21296925236607345</v>
      </c>
      <c r="D402" s="870">
        <v>0.19919695370230733</v>
      </c>
    </row>
    <row r="403" spans="1:7" ht="13.5" thickBot="1">
      <c r="A403" s="864" t="s">
        <v>17</v>
      </c>
      <c r="B403" s="859">
        <v>3342.2</v>
      </c>
      <c r="C403" s="859">
        <v>4416.6000000000004</v>
      </c>
      <c r="D403" s="867">
        <v>5304.8</v>
      </c>
    </row>
    <row r="404" spans="1:7" ht="13.5" thickBot="1">
      <c r="A404" s="198" t="s">
        <v>692</v>
      </c>
      <c r="B404" s="94"/>
      <c r="C404" s="872">
        <v>0.32146490335707045</v>
      </c>
      <c r="D404" s="873">
        <v>0.20110492233845023</v>
      </c>
    </row>
    <row r="407" spans="1:7" ht="13.5" thickBot="1">
      <c r="B407" s="17" t="s">
        <v>982</v>
      </c>
    </row>
    <row r="408" spans="1:7" ht="13.5" thickBot="1">
      <c r="B408" s="874" t="s">
        <v>471</v>
      </c>
      <c r="C408" s="874" t="s">
        <v>472</v>
      </c>
      <c r="D408" s="874" t="s">
        <v>473</v>
      </c>
      <c r="E408" s="874" t="s">
        <v>474</v>
      </c>
      <c r="F408" s="874" t="s">
        <v>475</v>
      </c>
      <c r="G408" s="877" t="s">
        <v>978</v>
      </c>
    </row>
    <row r="409" spans="1:7" ht="13.5" thickBot="1">
      <c r="A409" s="878" t="s">
        <v>1194</v>
      </c>
      <c r="B409" s="879">
        <v>2392.7199999999998</v>
      </c>
      <c r="C409" s="879">
        <v>2703.7735999999995</v>
      </c>
      <c r="D409" s="879">
        <v>3109.3396399999992</v>
      </c>
      <c r="E409" s="879">
        <v>3637.9273787999987</v>
      </c>
      <c r="F409" s="879">
        <v>4329.1335807719979</v>
      </c>
      <c r="G409" s="879">
        <v>5238.2516327341173</v>
      </c>
    </row>
    <row r="410" spans="1:7">
      <c r="A410" s="863" t="s">
        <v>692</v>
      </c>
      <c r="B410" s="93">
        <v>0.1</v>
      </c>
      <c r="C410" s="93">
        <v>0.13</v>
      </c>
      <c r="D410" s="93">
        <v>0.15</v>
      </c>
      <c r="E410" s="93">
        <v>0.17</v>
      </c>
      <c r="F410" s="93">
        <v>0.19</v>
      </c>
      <c r="G410" s="868">
        <v>0.21</v>
      </c>
    </row>
    <row r="411" spans="1:7" ht="13.5" thickBot="1">
      <c r="A411" s="863" t="s">
        <v>835</v>
      </c>
      <c r="B411" s="93">
        <v>0.40429887756336558</v>
      </c>
      <c r="C411" s="93">
        <v>0.40074719761468575</v>
      </c>
      <c r="D411" s="93">
        <v>0.39720370273707062</v>
      </c>
      <c r="E411" s="93">
        <v>0.39367064599675367</v>
      </c>
      <c r="F411" s="93">
        <v>0.39015010584872212</v>
      </c>
      <c r="G411" s="868">
        <v>0.38664399709061764</v>
      </c>
    </row>
    <row r="412" spans="1:7" ht="13.5" thickBot="1">
      <c r="A412" s="876" t="s">
        <v>819</v>
      </c>
      <c r="B412" s="879">
        <v>2363.1060000000002</v>
      </c>
      <c r="C412" s="879">
        <v>2741.2029600000001</v>
      </c>
      <c r="D412" s="879">
        <v>3234.6194928</v>
      </c>
      <c r="E412" s="879">
        <v>3881.54339136</v>
      </c>
      <c r="F412" s="879">
        <v>4735.4829374592</v>
      </c>
      <c r="G412" s="879">
        <v>5871.9988424494077</v>
      </c>
    </row>
    <row r="413" spans="1:7">
      <c r="A413" s="863" t="s">
        <v>692</v>
      </c>
      <c r="B413" s="93">
        <v>0.14000000000000001</v>
      </c>
      <c r="C413" s="93">
        <v>0.16</v>
      </c>
      <c r="D413" s="93">
        <v>0.18</v>
      </c>
      <c r="E413" s="93">
        <v>0.2</v>
      </c>
      <c r="F413" s="93">
        <v>0.22</v>
      </c>
      <c r="G413" s="868">
        <v>0.24</v>
      </c>
    </row>
    <row r="414" spans="1:7" ht="13.5" thickBot="1">
      <c r="A414" s="863" t="s">
        <v>835</v>
      </c>
      <c r="B414" s="93">
        <v>0.39929498786454526</v>
      </c>
      <c r="C414" s="93">
        <v>0.40629489255797219</v>
      </c>
      <c r="D414" s="93">
        <v>0.41320762227366892</v>
      </c>
      <c r="E414" s="93">
        <v>0.42003303948446641</v>
      </c>
      <c r="F414" s="93">
        <v>0.42677111593425537</v>
      </c>
      <c r="G414" s="868">
        <v>0.4334219244391459</v>
      </c>
    </row>
    <row r="415" spans="1:7" ht="13.5" thickBot="1">
      <c r="A415" s="876" t="s">
        <v>820</v>
      </c>
      <c r="B415" s="879">
        <v>1162.3700000000001</v>
      </c>
      <c r="C415" s="879">
        <v>1301.8544000000002</v>
      </c>
      <c r="D415" s="879">
        <v>1484.1140160000004</v>
      </c>
      <c r="E415" s="879">
        <v>1721.5722585600004</v>
      </c>
      <c r="F415" s="879">
        <v>2031.4552651008003</v>
      </c>
      <c r="G415" s="879">
        <v>2437.74631812096</v>
      </c>
    </row>
    <row r="416" spans="1:7">
      <c r="A416" s="863" t="s">
        <v>692</v>
      </c>
      <c r="B416" s="93">
        <v>0.1</v>
      </c>
      <c r="C416" s="93">
        <v>0.12</v>
      </c>
      <c r="D416" s="93">
        <v>0.14000000000000001</v>
      </c>
      <c r="E416" s="93">
        <v>0.16</v>
      </c>
      <c r="F416" s="93">
        <v>0.18</v>
      </c>
      <c r="G416" s="868">
        <v>0.2</v>
      </c>
    </row>
    <row r="417" spans="1:7" ht="13.5" thickBot="1">
      <c r="A417" s="117" t="s">
        <v>835</v>
      </c>
      <c r="B417" s="93">
        <v>0.19640613457208922</v>
      </c>
      <c r="C417" s="93">
        <v>0.19295790982734215</v>
      </c>
      <c r="D417" s="93">
        <v>0.18958867498926055</v>
      </c>
      <c r="E417" s="93">
        <v>0.18629631451878004</v>
      </c>
      <c r="F417" s="93">
        <v>0.18307877821702251</v>
      </c>
      <c r="G417" s="868">
        <v>0.17993407847023637</v>
      </c>
    </row>
    <row r="418" spans="1:7" ht="13.5" thickBot="1">
      <c r="A418" s="875" t="s">
        <v>17</v>
      </c>
      <c r="B418" s="879">
        <v>5918.1959999999999</v>
      </c>
      <c r="C418" s="879">
        <v>6746.8309599999993</v>
      </c>
      <c r="D418" s="879">
        <v>7828.0731487999992</v>
      </c>
      <c r="E418" s="879">
        <v>9241.0430287199979</v>
      </c>
      <c r="F418" s="879">
        <v>11096.071783331998</v>
      </c>
      <c r="G418" s="879">
        <v>13547.996793304486</v>
      </c>
    </row>
    <row r="419" spans="1:7" ht="13.5" thickBot="1">
      <c r="A419" s="198" t="s">
        <v>692</v>
      </c>
      <c r="B419" s="95">
        <v>0.1156303724928367</v>
      </c>
      <c r="C419" s="95">
        <v>0.14001478829021541</v>
      </c>
      <c r="D419" s="95">
        <v>0.16025926767846577</v>
      </c>
      <c r="E419" s="95">
        <v>0.18050034191831732</v>
      </c>
      <c r="F419" s="95">
        <v>0.20073802803934626</v>
      </c>
      <c r="G419" s="871">
        <v>0.22097234569585744</v>
      </c>
    </row>
    <row r="421" spans="1:7">
      <c r="B421" s="880">
        <f>((G418/B418)^(1/5))-1</f>
        <v>0.18014983013480679</v>
      </c>
    </row>
    <row r="459" spans="9:21">
      <c r="I459" s="48"/>
      <c r="J459" s="48"/>
      <c r="K459" s="48"/>
      <c r="L459" s="48"/>
      <c r="M459" s="48"/>
      <c r="N459" s="48"/>
      <c r="O459" s="48"/>
      <c r="P459" s="48"/>
      <c r="Q459" s="48"/>
      <c r="R459" s="48"/>
      <c r="S459" s="48"/>
      <c r="T459" s="48"/>
      <c r="U459" s="48"/>
    </row>
    <row r="460" spans="9:21">
      <c r="I460" s="48"/>
      <c r="J460" s="48"/>
      <c r="K460" s="48"/>
      <c r="L460" s="48"/>
      <c r="M460" s="48"/>
      <c r="N460" s="48"/>
      <c r="O460" s="48"/>
      <c r="P460" s="48"/>
      <c r="Q460" s="48"/>
      <c r="R460" s="48"/>
      <c r="S460" s="48"/>
      <c r="T460" s="48"/>
      <c r="U460" s="48"/>
    </row>
    <row r="461" spans="9:21">
      <c r="I461" s="48"/>
      <c r="J461" s="48"/>
      <c r="K461" s="48"/>
      <c r="L461" s="48"/>
      <c r="M461" s="48"/>
      <c r="N461" s="48"/>
      <c r="O461" s="48"/>
      <c r="P461" s="48"/>
      <c r="Q461" s="48"/>
      <c r="R461" s="48"/>
      <c r="S461" s="48"/>
      <c r="T461" s="48"/>
      <c r="U461" s="48"/>
    </row>
    <row r="462" spans="9:21">
      <c r="I462" s="48"/>
      <c r="J462" s="48"/>
      <c r="K462" s="48"/>
      <c r="L462" s="48"/>
      <c r="M462" s="48"/>
      <c r="N462" s="48"/>
      <c r="O462" s="48"/>
      <c r="P462" s="48"/>
      <c r="Q462" s="48"/>
      <c r="R462" s="48"/>
      <c r="S462" s="48"/>
      <c r="T462" s="48"/>
      <c r="U462" s="48"/>
    </row>
    <row r="463" spans="9:21">
      <c r="I463" s="48"/>
      <c r="J463" s="48"/>
      <c r="K463" s="48"/>
      <c r="L463" s="48"/>
      <c r="M463" s="48"/>
      <c r="N463" s="48"/>
      <c r="O463" s="48"/>
      <c r="P463" s="48"/>
      <c r="Q463" s="48"/>
      <c r="R463" s="48"/>
      <c r="S463" s="48"/>
      <c r="T463" s="48"/>
      <c r="U463" s="48"/>
    </row>
    <row r="464" spans="9:21">
      <c r="I464" s="48"/>
      <c r="J464" s="48"/>
      <c r="K464" s="48"/>
      <c r="L464" s="48"/>
      <c r="M464" s="48"/>
      <c r="N464" s="48"/>
      <c r="O464" s="48"/>
      <c r="P464" s="48"/>
      <c r="Q464" s="48"/>
      <c r="R464" s="48"/>
      <c r="S464" s="48"/>
      <c r="T464" s="48"/>
      <c r="U464" s="48"/>
    </row>
    <row r="465" spans="9:21">
      <c r="I465" s="48"/>
      <c r="J465" s="48"/>
      <c r="K465" s="48"/>
      <c r="L465" s="48"/>
      <c r="M465" s="48"/>
      <c r="N465" s="48"/>
      <c r="O465" s="48"/>
      <c r="P465" s="48"/>
      <c r="Q465" s="48"/>
      <c r="R465" s="48"/>
      <c r="S465" s="48"/>
      <c r="T465" s="48"/>
      <c r="U465" s="48"/>
    </row>
    <row r="466" spans="9:21">
      <c r="I466" s="48"/>
      <c r="J466" s="48"/>
      <c r="K466" s="48"/>
      <c r="L466" s="48"/>
      <c r="M466" s="48"/>
      <c r="N466" s="48"/>
      <c r="O466" s="48"/>
      <c r="P466" s="48"/>
      <c r="Q466" s="48"/>
      <c r="R466" s="48"/>
      <c r="S466" s="48"/>
      <c r="T466" s="48"/>
      <c r="U466" s="48"/>
    </row>
    <row r="467" spans="9:21">
      <c r="I467" s="48"/>
      <c r="J467" s="48"/>
      <c r="K467" s="48"/>
      <c r="L467" s="48"/>
      <c r="M467" s="48"/>
      <c r="N467" s="48"/>
      <c r="O467" s="48"/>
      <c r="P467" s="48"/>
      <c r="Q467" s="48"/>
      <c r="R467" s="48"/>
      <c r="S467" s="48"/>
      <c r="T467" s="48"/>
      <c r="U467" s="48"/>
    </row>
    <row r="468" spans="9:21">
      <c r="I468" s="48"/>
      <c r="J468" s="48"/>
      <c r="K468" s="48"/>
      <c r="L468" s="48"/>
      <c r="M468" s="48"/>
      <c r="N468" s="48"/>
      <c r="O468" s="48"/>
      <c r="P468" s="48"/>
      <c r="Q468" s="48"/>
      <c r="R468" s="48"/>
      <c r="S468" s="48"/>
      <c r="T468" s="48"/>
      <c r="U468" s="48"/>
    </row>
    <row r="469" spans="9:21">
      <c r="I469" s="48"/>
      <c r="J469" s="48"/>
      <c r="K469" s="48"/>
      <c r="L469" s="48"/>
      <c r="M469" s="48"/>
      <c r="N469" s="48"/>
      <c r="O469" s="48"/>
      <c r="P469" s="48"/>
      <c r="Q469" s="48"/>
      <c r="R469" s="48"/>
      <c r="S469" s="48"/>
      <c r="T469" s="48"/>
      <c r="U469" s="48"/>
    </row>
    <row r="470" spans="9:21">
      <c r="I470" s="48"/>
      <c r="J470" s="48"/>
      <c r="K470" s="48"/>
      <c r="L470" s="48"/>
      <c r="M470" s="48"/>
      <c r="N470" s="48"/>
      <c r="O470" s="48"/>
      <c r="P470" s="48"/>
      <c r="Q470" s="48"/>
      <c r="R470" s="48"/>
      <c r="S470" s="48"/>
      <c r="T470" s="48"/>
      <c r="U470" s="48"/>
    </row>
    <row r="471" spans="9:21">
      <c r="I471" s="48"/>
      <c r="J471" s="48"/>
      <c r="K471" s="48"/>
      <c r="L471" s="48"/>
      <c r="M471" s="48"/>
      <c r="N471" s="48"/>
      <c r="O471" s="48"/>
      <c r="P471" s="48"/>
      <c r="Q471" s="48"/>
      <c r="R471" s="48"/>
      <c r="S471" s="48"/>
      <c r="T471" s="48"/>
      <c r="U471" s="48"/>
    </row>
    <row r="472" spans="9:21">
      <c r="I472" s="48"/>
      <c r="J472" s="48"/>
      <c r="K472" s="48"/>
      <c r="L472" s="48"/>
      <c r="M472" s="48"/>
      <c r="N472" s="48"/>
      <c r="O472" s="48"/>
      <c r="P472" s="48"/>
      <c r="Q472" s="48"/>
      <c r="R472" s="48"/>
      <c r="S472" s="48"/>
      <c r="T472" s="48"/>
      <c r="U472" s="48"/>
    </row>
    <row r="473" spans="9:21">
      <c r="I473" s="48"/>
      <c r="J473" s="48"/>
      <c r="K473" s="48"/>
      <c r="L473" s="48"/>
      <c r="M473" s="48"/>
      <c r="N473" s="48"/>
      <c r="O473" s="48"/>
      <c r="P473" s="48"/>
      <c r="Q473" s="48"/>
      <c r="R473" s="48"/>
      <c r="S473" s="48"/>
      <c r="T473" s="48"/>
      <c r="U473" s="48"/>
    </row>
    <row r="474" spans="9:21">
      <c r="I474" s="48"/>
      <c r="J474" s="48"/>
      <c r="K474" s="48"/>
      <c r="L474" s="48"/>
      <c r="M474" s="48"/>
      <c r="N474" s="48"/>
      <c r="O474" s="48"/>
      <c r="P474" s="48"/>
      <c r="Q474" s="48"/>
      <c r="R474" s="48"/>
      <c r="S474" s="48"/>
      <c r="T474" s="48"/>
      <c r="U474" s="48"/>
    </row>
    <row r="475" spans="9:21">
      <c r="I475" s="48"/>
      <c r="J475" s="48"/>
      <c r="K475" s="48"/>
      <c r="L475" s="48"/>
      <c r="M475" s="48"/>
      <c r="N475" s="48"/>
      <c r="O475" s="48"/>
      <c r="P475" s="48"/>
      <c r="Q475" s="48"/>
      <c r="R475" s="48"/>
      <c r="S475" s="48"/>
      <c r="T475" s="48"/>
      <c r="U475" s="48"/>
    </row>
    <row r="476" spans="9:21">
      <c r="I476" s="48"/>
      <c r="J476" s="48"/>
      <c r="K476" s="48"/>
      <c r="L476" s="48"/>
      <c r="M476" s="48"/>
      <c r="N476" s="48"/>
      <c r="O476" s="48"/>
      <c r="P476" s="48"/>
      <c r="Q476" s="48"/>
      <c r="R476" s="48"/>
      <c r="S476" s="48"/>
      <c r="T476" s="48"/>
      <c r="U476" s="48"/>
    </row>
    <row r="477" spans="9:21">
      <c r="I477" s="48"/>
      <c r="J477" s="48"/>
      <c r="K477" s="48"/>
      <c r="L477" s="48"/>
      <c r="M477" s="48"/>
      <c r="N477" s="48"/>
      <c r="O477" s="48"/>
      <c r="P477" s="48"/>
      <c r="Q477" s="48"/>
      <c r="R477" s="48"/>
      <c r="S477" s="48"/>
      <c r="T477" s="48"/>
      <c r="U477" s="48"/>
    </row>
    <row r="478" spans="9:21">
      <c r="I478" s="48"/>
      <c r="J478" s="48"/>
      <c r="K478" s="48"/>
      <c r="L478" s="48"/>
      <c r="M478" s="48"/>
      <c r="N478" s="48"/>
      <c r="O478" s="48"/>
      <c r="P478" s="48"/>
      <c r="Q478" s="48"/>
      <c r="R478" s="48"/>
      <c r="S478" s="48"/>
      <c r="T478" s="48"/>
      <c r="U478" s="48"/>
    </row>
    <row r="479" spans="9:21">
      <c r="I479" s="48"/>
      <c r="J479" s="48"/>
      <c r="K479" s="48"/>
      <c r="L479" s="48"/>
      <c r="M479" s="48"/>
      <c r="N479" s="48"/>
      <c r="O479" s="48"/>
      <c r="P479" s="48"/>
      <c r="Q479" s="48"/>
      <c r="R479" s="48"/>
      <c r="S479" s="48"/>
      <c r="T479" s="48"/>
      <c r="U479" s="48"/>
    </row>
    <row r="480" spans="9:21">
      <c r="I480" s="48"/>
      <c r="J480" s="48"/>
      <c r="K480" s="48"/>
      <c r="L480" s="48"/>
      <c r="M480" s="48"/>
      <c r="N480" s="48"/>
      <c r="O480" s="48"/>
      <c r="P480" s="48"/>
      <c r="Q480" s="48"/>
      <c r="R480" s="48"/>
      <c r="S480" s="48"/>
      <c r="T480" s="48"/>
      <c r="U480" s="48"/>
    </row>
    <row r="481" spans="9:21">
      <c r="I481" s="48"/>
      <c r="J481" s="48"/>
      <c r="K481" s="48"/>
      <c r="L481" s="48"/>
      <c r="M481" s="48"/>
      <c r="N481" s="48"/>
      <c r="O481" s="48"/>
      <c r="P481" s="48"/>
      <c r="Q481" s="48"/>
      <c r="R481" s="48"/>
      <c r="S481" s="48"/>
      <c r="T481" s="48"/>
      <c r="U481" s="48"/>
    </row>
    <row r="482" spans="9:21">
      <c r="I482" s="48"/>
      <c r="J482" s="48"/>
      <c r="K482" s="48"/>
      <c r="L482" s="48"/>
      <c r="M482" s="48"/>
      <c r="N482" s="48"/>
      <c r="O482" s="48"/>
      <c r="P482" s="48"/>
      <c r="Q482" s="48"/>
      <c r="R482" s="48"/>
      <c r="S482" s="48"/>
      <c r="T482" s="48"/>
      <c r="U482" s="48"/>
    </row>
    <row r="483" spans="9:21">
      <c r="I483" s="48"/>
      <c r="J483" s="48"/>
      <c r="K483" s="48"/>
      <c r="L483" s="48"/>
      <c r="M483" s="48"/>
      <c r="N483" s="48"/>
      <c r="O483" s="48"/>
      <c r="P483" s="48"/>
      <c r="Q483" s="48"/>
      <c r="R483" s="48"/>
      <c r="S483" s="48"/>
      <c r="T483" s="48"/>
      <c r="U483" s="48"/>
    </row>
    <row r="484" spans="9:21">
      <c r="I484" s="48"/>
      <c r="J484" s="48"/>
      <c r="K484" s="48"/>
      <c r="L484" s="48"/>
      <c r="M484" s="48"/>
      <c r="N484" s="48"/>
      <c r="O484" s="48"/>
      <c r="P484" s="48"/>
      <c r="Q484" s="48"/>
      <c r="R484" s="48"/>
      <c r="S484" s="48"/>
      <c r="T484" s="48"/>
      <c r="U484" s="48"/>
    </row>
    <row r="485" spans="9:21">
      <c r="I485" s="48"/>
      <c r="J485" s="48"/>
      <c r="K485" s="48"/>
      <c r="L485" s="48"/>
      <c r="M485" s="48"/>
      <c r="N485" s="48"/>
      <c r="O485" s="48"/>
      <c r="P485" s="48"/>
      <c r="Q485" s="48"/>
      <c r="R485" s="48"/>
      <c r="S485" s="48"/>
      <c r="T485" s="48"/>
      <c r="U485" s="48"/>
    </row>
    <row r="486" spans="9:21">
      <c r="I486" s="48"/>
      <c r="J486" s="48"/>
      <c r="K486" s="48"/>
      <c r="L486" s="48"/>
      <c r="M486" s="48"/>
      <c r="N486" s="48"/>
      <c r="O486" s="48"/>
      <c r="P486" s="48"/>
      <c r="Q486" s="48"/>
      <c r="R486" s="48"/>
      <c r="S486" s="48"/>
      <c r="T486" s="48"/>
      <c r="U486" s="48"/>
    </row>
    <row r="487" spans="9:21">
      <c r="I487" s="48"/>
      <c r="J487" s="48"/>
      <c r="K487" s="48"/>
      <c r="L487" s="48"/>
      <c r="M487" s="48"/>
      <c r="N487" s="48"/>
      <c r="O487" s="48"/>
      <c r="P487" s="48"/>
      <c r="Q487" s="48"/>
      <c r="R487" s="48"/>
      <c r="S487" s="48"/>
      <c r="T487" s="48"/>
      <c r="U487" s="48"/>
    </row>
    <row r="488" spans="9:21">
      <c r="I488" s="48"/>
      <c r="J488" s="48"/>
      <c r="K488" s="48"/>
      <c r="L488" s="48"/>
      <c r="M488" s="48"/>
      <c r="N488" s="48"/>
      <c r="O488" s="48"/>
      <c r="P488" s="48"/>
      <c r="Q488" s="48"/>
      <c r="R488" s="48"/>
      <c r="S488" s="48"/>
      <c r="T488" s="48"/>
      <c r="U488" s="48"/>
    </row>
    <row r="489" spans="9:21">
      <c r="I489" s="48"/>
      <c r="J489" s="48"/>
      <c r="K489" s="48"/>
      <c r="L489" s="48"/>
      <c r="M489" s="48"/>
      <c r="N489" s="48"/>
      <c r="O489" s="48"/>
      <c r="P489" s="48"/>
      <c r="Q489" s="48"/>
      <c r="R489" s="48"/>
      <c r="S489" s="48"/>
      <c r="T489" s="48"/>
      <c r="U489" s="48"/>
    </row>
    <row r="490" spans="9:21">
      <c r="I490" s="48"/>
      <c r="J490" s="48"/>
      <c r="K490" s="48"/>
      <c r="L490" s="48"/>
      <c r="M490" s="48"/>
      <c r="N490" s="48"/>
      <c r="O490" s="48"/>
      <c r="P490" s="48"/>
      <c r="Q490" s="48"/>
      <c r="R490" s="48"/>
      <c r="S490" s="48"/>
      <c r="T490" s="48"/>
      <c r="U490" s="48"/>
    </row>
    <row r="491" spans="9:21">
      <c r="I491" s="48"/>
      <c r="J491" s="48"/>
      <c r="K491" s="48"/>
      <c r="L491" s="48"/>
      <c r="M491" s="48"/>
      <c r="N491" s="48"/>
      <c r="O491" s="48"/>
      <c r="P491" s="48"/>
      <c r="Q491" s="48"/>
      <c r="R491" s="48"/>
      <c r="S491" s="48"/>
      <c r="T491" s="48"/>
      <c r="U491" s="48"/>
    </row>
    <row r="492" spans="9:21">
      <c r="I492" s="48"/>
      <c r="J492" s="48"/>
      <c r="K492" s="48"/>
      <c r="L492" s="48"/>
      <c r="M492" s="48"/>
      <c r="N492" s="48"/>
      <c r="O492" s="48"/>
      <c r="P492" s="48"/>
      <c r="Q492" s="48"/>
      <c r="R492" s="48"/>
      <c r="S492" s="48"/>
      <c r="T492" s="48"/>
      <c r="U492" s="48"/>
    </row>
    <row r="493" spans="9:21">
      <c r="I493" s="48"/>
      <c r="J493" s="48"/>
      <c r="K493" s="48"/>
      <c r="L493" s="48"/>
      <c r="M493" s="48"/>
      <c r="N493" s="48"/>
      <c r="O493" s="48"/>
      <c r="P493" s="48"/>
      <c r="Q493" s="48"/>
      <c r="R493" s="48"/>
      <c r="S493" s="48"/>
      <c r="T493" s="48"/>
      <c r="U493" s="48"/>
    </row>
    <row r="494" spans="9:21">
      <c r="I494" s="48"/>
      <c r="J494" s="48"/>
      <c r="K494" s="48"/>
      <c r="L494" s="48"/>
      <c r="M494" s="48"/>
      <c r="N494" s="48"/>
      <c r="O494" s="48"/>
      <c r="P494" s="48"/>
      <c r="Q494" s="48"/>
      <c r="R494" s="48"/>
      <c r="S494" s="48"/>
      <c r="T494" s="48"/>
      <c r="U494" s="48"/>
    </row>
    <row r="495" spans="9:21">
      <c r="I495" s="48"/>
      <c r="J495" s="48"/>
      <c r="K495" s="48"/>
      <c r="L495" s="48"/>
      <c r="M495" s="48"/>
      <c r="N495" s="48"/>
      <c r="O495" s="48"/>
      <c r="P495" s="48"/>
      <c r="Q495" s="48"/>
      <c r="R495" s="48"/>
      <c r="S495" s="48"/>
      <c r="T495" s="48"/>
      <c r="U495" s="48"/>
    </row>
    <row r="496" spans="9:21">
      <c r="I496" s="48"/>
      <c r="J496" s="48"/>
      <c r="K496" s="48"/>
      <c r="L496" s="48"/>
      <c r="M496" s="48"/>
      <c r="N496" s="48"/>
      <c r="O496" s="48"/>
      <c r="P496" s="48"/>
      <c r="Q496" s="48"/>
      <c r="R496" s="48"/>
      <c r="S496" s="48"/>
      <c r="T496" s="48"/>
      <c r="U496" s="48"/>
    </row>
    <row r="497" spans="9:21">
      <c r="I497" s="48"/>
      <c r="J497" s="48"/>
      <c r="K497" s="48"/>
      <c r="L497" s="48"/>
      <c r="M497" s="48"/>
      <c r="N497" s="48"/>
      <c r="O497" s="48"/>
      <c r="P497" s="48"/>
      <c r="Q497" s="48"/>
      <c r="R497" s="48"/>
      <c r="S497" s="48"/>
      <c r="T497" s="48"/>
      <c r="U497" s="48"/>
    </row>
    <row r="498" spans="9:21">
      <c r="I498" s="48"/>
      <c r="J498" s="48"/>
      <c r="K498" s="48"/>
      <c r="L498" s="48"/>
      <c r="M498" s="48"/>
      <c r="N498" s="48"/>
      <c r="O498" s="48"/>
      <c r="P498" s="48"/>
      <c r="Q498" s="48"/>
      <c r="R498" s="48"/>
      <c r="S498" s="48"/>
      <c r="T498" s="48"/>
      <c r="U498" s="48"/>
    </row>
    <row r="499" spans="9:21">
      <c r="I499" s="48"/>
      <c r="J499" s="48"/>
      <c r="K499" s="48"/>
      <c r="L499" s="48"/>
      <c r="M499" s="48"/>
      <c r="N499" s="48"/>
      <c r="O499" s="48"/>
      <c r="P499" s="48"/>
      <c r="Q499" s="48"/>
      <c r="R499" s="48"/>
      <c r="S499" s="48"/>
      <c r="T499" s="48"/>
      <c r="U499" s="48"/>
    </row>
    <row r="500" spans="9:21">
      <c r="I500" s="48"/>
      <c r="J500" s="48"/>
      <c r="K500" s="48"/>
      <c r="L500" s="48"/>
      <c r="M500" s="48"/>
      <c r="N500" s="48"/>
      <c r="O500" s="48"/>
      <c r="P500" s="48"/>
      <c r="Q500" s="48"/>
      <c r="R500" s="48"/>
      <c r="S500" s="48"/>
      <c r="T500" s="48"/>
      <c r="U500" s="48"/>
    </row>
    <row r="501" spans="9:21">
      <c r="I501" s="48"/>
      <c r="J501" s="48"/>
      <c r="K501" s="48"/>
      <c r="L501" s="48"/>
      <c r="M501" s="48"/>
      <c r="N501" s="48"/>
      <c r="O501" s="48"/>
      <c r="P501" s="48"/>
      <c r="Q501" s="48"/>
      <c r="R501" s="48"/>
      <c r="S501" s="48"/>
      <c r="T501" s="48"/>
      <c r="U501" s="48"/>
    </row>
    <row r="502" spans="9:21">
      <c r="I502" s="48"/>
      <c r="J502" s="48"/>
      <c r="K502" s="48"/>
      <c r="L502" s="48"/>
      <c r="M502" s="48"/>
      <c r="N502" s="48"/>
      <c r="O502" s="48"/>
      <c r="P502" s="48"/>
      <c r="Q502" s="48"/>
      <c r="R502" s="48"/>
      <c r="S502" s="48"/>
      <c r="T502" s="48"/>
      <c r="U502" s="48"/>
    </row>
    <row r="503" spans="9:21">
      <c r="I503" s="48"/>
      <c r="J503" s="48"/>
      <c r="K503" s="48"/>
      <c r="L503" s="48"/>
      <c r="M503" s="48"/>
      <c r="N503" s="48"/>
      <c r="O503" s="48"/>
      <c r="P503" s="48"/>
      <c r="Q503" s="48"/>
      <c r="R503" s="48"/>
      <c r="S503" s="48"/>
      <c r="T503" s="48"/>
      <c r="U503" s="48"/>
    </row>
    <row r="504" spans="9:21">
      <c r="I504" s="48"/>
      <c r="J504" s="48"/>
      <c r="K504" s="48"/>
      <c r="L504" s="48"/>
      <c r="M504" s="48"/>
      <c r="N504" s="48"/>
      <c r="O504" s="48"/>
      <c r="P504" s="48"/>
      <c r="Q504" s="48"/>
      <c r="R504" s="48"/>
      <c r="S504" s="48"/>
      <c r="T504" s="48"/>
      <c r="U504" s="48"/>
    </row>
    <row r="505" spans="9:21">
      <c r="I505" s="48"/>
      <c r="J505" s="48"/>
      <c r="K505" s="48"/>
      <c r="L505" s="48"/>
      <c r="M505" s="48"/>
      <c r="N505" s="48"/>
      <c r="O505" s="48"/>
      <c r="P505" s="48"/>
      <c r="Q505" s="48"/>
      <c r="R505" s="48"/>
      <c r="S505" s="48"/>
      <c r="T505" s="48"/>
      <c r="U505" s="48"/>
    </row>
    <row r="506" spans="9:21">
      <c r="I506" s="48"/>
      <c r="J506" s="48"/>
      <c r="K506" s="48"/>
      <c r="L506" s="48"/>
      <c r="M506" s="48"/>
      <c r="N506" s="48"/>
      <c r="O506" s="48"/>
      <c r="P506" s="48"/>
      <c r="Q506" s="48"/>
      <c r="R506" s="48"/>
      <c r="S506" s="48"/>
      <c r="T506" s="48"/>
      <c r="U506" s="48"/>
    </row>
    <row r="507" spans="9:21">
      <c r="I507" s="48"/>
      <c r="J507" s="48"/>
      <c r="K507" s="48"/>
      <c r="L507" s="48"/>
      <c r="M507" s="48"/>
      <c r="N507" s="48"/>
      <c r="O507" s="48"/>
      <c r="P507" s="48"/>
      <c r="Q507" s="48"/>
      <c r="R507" s="48"/>
      <c r="S507" s="48"/>
      <c r="T507" s="48"/>
      <c r="U507" s="48"/>
    </row>
  </sheetData>
  <phoneticPr fontId="0" type="noConversion"/>
  <printOptions gridLines="1"/>
  <pageMargins left="0.75" right="0.75" top="1" bottom="1" header="0.5" footer="0.5"/>
  <pageSetup scale="80" orientation="portrait" horizontalDpi="300" verticalDpi="300" r:id="rId1"/>
  <headerFooter alignWithMargins="0"/>
  <rowBreaks count="8" manualBreakCount="8">
    <brk id="44" max="7" man="1"/>
    <brk id="75" max="7" man="1"/>
    <brk id="126" max="7" man="1"/>
    <brk id="158" max="7" man="1"/>
    <brk id="193" max="7" man="1"/>
    <brk id="244" max="7" man="1"/>
    <brk id="296" max="7" man="1"/>
    <brk id="360"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A146"/>
  <sheetViews>
    <sheetView topLeftCell="A94" zoomScale="130" zoomScaleNormal="130" workbookViewId="0">
      <selection activeCell="A109" sqref="A109"/>
    </sheetView>
  </sheetViews>
  <sheetFormatPr defaultColWidth="9.140625" defaultRowHeight="12.75"/>
  <cols>
    <col min="1" max="1" width="25" style="17" customWidth="1"/>
    <col min="2" max="7" width="10.7109375" style="17" customWidth="1"/>
    <col min="8" max="8" width="11.42578125" style="17" customWidth="1"/>
    <col min="9" max="9" width="11.7109375" style="17" customWidth="1"/>
    <col min="10" max="10" width="10.7109375" style="17" customWidth="1"/>
    <col min="11" max="11" width="32.85546875" style="17" customWidth="1"/>
    <col min="12" max="16384" width="9.140625" style="17"/>
  </cols>
  <sheetData>
    <row r="1" spans="1:18">
      <c r="A1" s="1" t="str">
        <f>Data!A1</f>
        <v>Financial Statement Analysis Package (FSAP): Version 9.0</v>
      </c>
      <c r="B1" s="144"/>
      <c r="C1" s="144"/>
      <c r="D1" s="144"/>
      <c r="E1" s="144"/>
      <c r="F1" s="166"/>
      <c r="G1" s="166"/>
      <c r="H1" s="166"/>
      <c r="I1" s="176"/>
      <c r="K1" s="5"/>
      <c r="L1" s="6"/>
      <c r="M1" s="6"/>
      <c r="N1" s="6"/>
      <c r="O1" s="7"/>
    </row>
    <row r="2" spans="1:18">
      <c r="A2" s="9" t="str">
        <f>Data!A2</f>
        <v>Financial Reporting, Financial Statement Analysis, and Valuation: A Strategic Perspective, 9th Edition</v>
      </c>
      <c r="B2" s="146"/>
      <c r="C2" s="146"/>
      <c r="D2" s="146"/>
      <c r="E2" s="146"/>
      <c r="F2" s="146"/>
      <c r="G2" s="146"/>
      <c r="H2" s="146"/>
      <c r="I2" s="213"/>
      <c r="K2" s="9" t="s">
        <v>403</v>
      </c>
      <c r="L2" s="10"/>
      <c r="M2" s="10"/>
      <c r="N2" s="10"/>
      <c r="O2" s="11"/>
    </row>
    <row r="3" spans="1:18" ht="13.5" thickBot="1">
      <c r="A3" s="12" t="s">
        <v>404</v>
      </c>
      <c r="B3" s="97"/>
      <c r="C3" s="97"/>
      <c r="D3" s="97"/>
      <c r="E3" s="97"/>
      <c r="F3" s="97"/>
      <c r="G3" s="97"/>
      <c r="H3" s="97"/>
      <c r="I3" s="214"/>
      <c r="K3" s="15"/>
      <c r="L3" s="13"/>
      <c r="M3" s="13"/>
      <c r="N3" s="13"/>
      <c r="O3" s="14"/>
    </row>
    <row r="4" spans="1:18">
      <c r="K4" s="24" t="s">
        <v>535</v>
      </c>
      <c r="L4" s="24"/>
      <c r="M4" s="24"/>
      <c r="N4" s="24"/>
      <c r="O4" s="24"/>
      <c r="P4" s="24"/>
      <c r="Q4" s="24"/>
      <c r="R4" s="24"/>
    </row>
    <row r="6" spans="1:18">
      <c r="A6" s="18" t="s">
        <v>523</v>
      </c>
      <c r="K6" s="61" t="s">
        <v>10</v>
      </c>
    </row>
    <row r="7" spans="1:18">
      <c r="K7" s="17" t="s">
        <v>225</v>
      </c>
    </row>
    <row r="8" spans="1:18">
      <c r="K8" s="457" t="s">
        <v>762</v>
      </c>
    </row>
    <row r="9" spans="1:18">
      <c r="K9" s="17" t="s">
        <v>9</v>
      </c>
    </row>
    <row r="10" spans="1:18">
      <c r="A10" s="61"/>
      <c r="K10" s="17" t="s">
        <v>117</v>
      </c>
    </row>
    <row r="11" spans="1:18">
      <c r="A11" s="215" t="s">
        <v>414</v>
      </c>
      <c r="B11" s="216" t="str">
        <f>Data!B9</f>
        <v>CAI Zonghuan</v>
      </c>
      <c r="C11" s="149"/>
      <c r="D11" s="149"/>
      <c r="E11" s="149"/>
      <c r="F11" s="149"/>
      <c r="G11" s="149"/>
      <c r="H11" s="149"/>
      <c r="I11" s="149"/>
    </row>
    <row r="12" spans="1:18">
      <c r="A12" s="215" t="s">
        <v>415</v>
      </c>
      <c r="B12" s="216" t="str">
        <f>Data!B10</f>
        <v>FORTINET</v>
      </c>
      <c r="C12" s="166"/>
      <c r="D12" s="166"/>
      <c r="E12" s="166"/>
      <c r="F12" s="166"/>
      <c r="G12" s="166"/>
      <c r="H12" s="166"/>
      <c r="I12" s="166"/>
    </row>
    <row r="13" spans="1:18">
      <c r="A13" s="61"/>
      <c r="K13" s="17" t="s">
        <v>234</v>
      </c>
    </row>
    <row r="14" spans="1:18" s="61" customFormat="1">
      <c r="K14" s="17" t="s">
        <v>235</v>
      </c>
    </row>
    <row r="15" spans="1:18" s="61" customFormat="1">
      <c r="K15" s="17" t="s">
        <v>236</v>
      </c>
    </row>
    <row r="16" spans="1:18">
      <c r="A16" s="217" t="s">
        <v>726</v>
      </c>
      <c r="B16" s="218"/>
      <c r="C16" s="218"/>
      <c r="D16" s="218"/>
      <c r="E16" s="218"/>
      <c r="F16" s="218"/>
      <c r="G16" s="218"/>
      <c r="H16" s="218"/>
      <c r="I16" s="218"/>
    </row>
    <row r="17" spans="1:12">
      <c r="A17" s="61"/>
      <c r="B17" s="219"/>
      <c r="C17" s="219"/>
      <c r="D17" s="219"/>
      <c r="E17" s="219"/>
      <c r="F17" s="219"/>
      <c r="G17" s="219"/>
      <c r="H17" s="219"/>
      <c r="I17" s="219"/>
      <c r="J17" s="219"/>
    </row>
    <row r="18" spans="1:12">
      <c r="A18" s="61"/>
      <c r="B18" s="165" t="s">
        <v>469</v>
      </c>
      <c r="C18" s="166"/>
      <c r="D18" s="166"/>
      <c r="E18" s="167" t="s">
        <v>470</v>
      </c>
      <c r="F18" s="168"/>
      <c r="G18" s="168"/>
      <c r="H18" s="168"/>
      <c r="I18" s="168"/>
      <c r="J18" s="168"/>
    </row>
    <row r="19" spans="1:12">
      <c r="A19" s="61" t="s">
        <v>18</v>
      </c>
      <c r="B19" s="169">
        <f>Forecasts!B19</f>
        <v>2021</v>
      </c>
      <c r="C19" s="169">
        <f>Forecasts!C19</f>
        <v>2022</v>
      </c>
      <c r="D19" s="169">
        <f>Forecasts!D19</f>
        <v>2023</v>
      </c>
      <c r="E19" s="169" t="str">
        <f>Forecasts!E19</f>
        <v>Year +1</v>
      </c>
      <c r="F19" s="169" t="str">
        <f>Forecasts!F19</f>
        <v>Year +2</v>
      </c>
      <c r="G19" s="169" t="str">
        <f>Forecasts!G19</f>
        <v>Year +3</v>
      </c>
      <c r="H19" s="169" t="str">
        <f>Forecasts!H19</f>
        <v>Year +4</v>
      </c>
      <c r="I19" s="169" t="str">
        <f>Forecasts!I19</f>
        <v>Year +5</v>
      </c>
      <c r="J19" s="169" t="s">
        <v>978</v>
      </c>
    </row>
    <row r="20" spans="1:12">
      <c r="A20" s="61"/>
      <c r="B20" s="169"/>
      <c r="C20" s="169"/>
      <c r="D20" s="169"/>
      <c r="E20" s="169"/>
      <c r="F20" s="169"/>
      <c r="G20" s="169"/>
      <c r="H20" s="169"/>
      <c r="I20" s="169"/>
      <c r="J20" s="169"/>
    </row>
    <row r="21" spans="1:12">
      <c r="A21" s="61" t="s">
        <v>821</v>
      </c>
      <c r="B21" s="169"/>
      <c r="C21" s="169"/>
      <c r="D21" s="169"/>
      <c r="E21" s="169"/>
      <c r="F21" s="169"/>
      <c r="G21" s="169"/>
      <c r="H21" s="169"/>
      <c r="I21" s="169"/>
      <c r="J21" s="169"/>
    </row>
    <row r="22" spans="1:12">
      <c r="A22" s="61" t="str">
        <f>A32</f>
        <v>Americas:</v>
      </c>
      <c r="B22" s="433">
        <v>1358.8</v>
      </c>
      <c r="C22" s="433">
        <v>1785</v>
      </c>
      <c r="D22" s="433">
        <v>2175.1999999999998</v>
      </c>
      <c r="E22" s="436">
        <f>E32</f>
        <v>2392.7199999999998</v>
      </c>
      <c r="F22" s="436">
        <f t="shared" ref="F22:I22" si="0">F32</f>
        <v>2703.7735999999995</v>
      </c>
      <c r="G22" s="436">
        <f t="shared" si="0"/>
        <v>3109.3396399999992</v>
      </c>
      <c r="H22" s="436">
        <f t="shared" si="0"/>
        <v>3637.9273787999987</v>
      </c>
      <c r="I22" s="436">
        <f t="shared" si="0"/>
        <v>4329.1335807719979</v>
      </c>
      <c r="J22" s="436">
        <f t="shared" ref="J22" si="1">J32</f>
        <v>5238.2516327341173</v>
      </c>
    </row>
    <row r="23" spans="1:12">
      <c r="A23" s="61" t="str">
        <f>A36</f>
        <v>Europe, Middle East and Africa</v>
      </c>
      <c r="B23" s="433">
        <v>1275.9000000000001</v>
      </c>
      <c r="C23" s="433">
        <v>1691</v>
      </c>
      <c r="D23" s="433">
        <v>2072.9</v>
      </c>
      <c r="E23" s="436">
        <f>E36</f>
        <v>2363.1060000000002</v>
      </c>
      <c r="F23" s="436">
        <f t="shared" ref="F23:I23" si="2">F36</f>
        <v>2741.2029600000001</v>
      </c>
      <c r="G23" s="436">
        <f t="shared" si="2"/>
        <v>3234.6194928</v>
      </c>
      <c r="H23" s="436">
        <f t="shared" si="2"/>
        <v>3881.54339136</v>
      </c>
      <c r="I23" s="436">
        <f t="shared" si="2"/>
        <v>4735.4829374592</v>
      </c>
      <c r="J23" s="436">
        <f t="shared" ref="J23" si="3">J36</f>
        <v>5871.9988424494077</v>
      </c>
    </row>
    <row r="24" spans="1:12">
      <c r="A24" s="61" t="str">
        <f>A40</f>
        <v>Asia Pacific</v>
      </c>
      <c r="B24" s="433">
        <v>707.5</v>
      </c>
      <c r="C24" s="433">
        <v>940.6</v>
      </c>
      <c r="D24" s="433">
        <v>1056.7</v>
      </c>
      <c r="E24" s="436">
        <f>E40</f>
        <v>1162.3700000000001</v>
      </c>
      <c r="F24" s="436">
        <f t="shared" ref="F24:I24" si="4">F40</f>
        <v>1301.8544000000002</v>
      </c>
      <c r="G24" s="436">
        <f t="shared" si="4"/>
        <v>1484.1140160000004</v>
      </c>
      <c r="H24" s="436">
        <f t="shared" si="4"/>
        <v>1721.5722585600004</v>
      </c>
      <c r="I24" s="436">
        <f t="shared" si="4"/>
        <v>2031.4552651008003</v>
      </c>
      <c r="J24" s="436">
        <f t="shared" ref="J24" si="5">J40</f>
        <v>2437.74631812096</v>
      </c>
    </row>
    <row r="25" spans="1:12" ht="13.5" thickBot="1">
      <c r="A25" s="61" t="s">
        <v>822</v>
      </c>
      <c r="B25" s="435">
        <f>SUM(B22:B24)</f>
        <v>3342.2</v>
      </c>
      <c r="C25" s="435">
        <f t="shared" ref="C25:I25" si="6">SUM(C22:C24)</f>
        <v>4416.6000000000004</v>
      </c>
      <c r="D25" s="435">
        <f t="shared" si="6"/>
        <v>5304.8</v>
      </c>
      <c r="E25" s="437">
        <f>SUM(E22:E24)</f>
        <v>5918.1959999999999</v>
      </c>
      <c r="F25" s="437">
        <f>SUM(F22:F24)</f>
        <v>6746.8309599999993</v>
      </c>
      <c r="G25" s="437">
        <f t="shared" si="6"/>
        <v>7828.0731487999992</v>
      </c>
      <c r="H25" s="437">
        <f t="shared" si="6"/>
        <v>9241.0430287199979</v>
      </c>
      <c r="I25" s="437">
        <f t="shared" si="6"/>
        <v>11096.071783331998</v>
      </c>
      <c r="J25" s="437">
        <f t="shared" ref="J25" si="7">SUM(J22:J24)</f>
        <v>13547.996793304486</v>
      </c>
      <c r="L25" s="457" t="s">
        <v>763</v>
      </c>
    </row>
    <row r="26" spans="1:12" ht="13.5" thickTop="1">
      <c r="A26" s="448" t="s">
        <v>765</v>
      </c>
      <c r="B26" s="61"/>
      <c r="C26" s="173">
        <f t="shared" ref="C26:J26" si="8">C25/B25-1</f>
        <v>0.32146490335707045</v>
      </c>
      <c r="D26" s="173">
        <f t="shared" si="8"/>
        <v>0.20110492233845023</v>
      </c>
      <c r="E26" s="432">
        <f t="shared" si="8"/>
        <v>0.1156303724928367</v>
      </c>
      <c r="F26" s="432">
        <f t="shared" si="8"/>
        <v>0.14001478829021541</v>
      </c>
      <c r="G26" s="432">
        <f t="shared" si="8"/>
        <v>0.16025926767846577</v>
      </c>
      <c r="H26" s="432">
        <f t="shared" si="8"/>
        <v>0.18050034191831732</v>
      </c>
      <c r="I26" s="432">
        <f t="shared" si="8"/>
        <v>0.20073802803934626</v>
      </c>
      <c r="J26" s="432">
        <f t="shared" si="8"/>
        <v>0.22097234569585744</v>
      </c>
      <c r="L26" s="457" t="s">
        <v>764</v>
      </c>
    </row>
    <row r="27" spans="1:12">
      <c r="A27" s="61"/>
      <c r="D27" s="173"/>
      <c r="E27" s="188" t="s">
        <v>727</v>
      </c>
    </row>
    <row r="29" spans="1:12">
      <c r="A29" s="558"/>
      <c r="B29" s="421"/>
      <c r="C29" s="422"/>
      <c r="D29" s="421"/>
      <c r="E29" s="918" t="s">
        <v>982</v>
      </c>
      <c r="F29" s="919"/>
      <c r="G29" s="919"/>
      <c r="H29" s="919"/>
      <c r="I29" s="919"/>
      <c r="J29" s="919"/>
      <c r="L29" t="s">
        <v>825</v>
      </c>
    </row>
    <row r="30" spans="1:12" ht="13.5" thickBot="1"/>
    <row r="31" spans="1:12" ht="13.5" thickBot="1">
      <c r="A31" s="933" t="s">
        <v>1205</v>
      </c>
      <c r="B31" s="929">
        <f t="shared" ref="B31:J31" si="9">B19</f>
        <v>2021</v>
      </c>
      <c r="C31" s="929">
        <f t="shared" si="9"/>
        <v>2022</v>
      </c>
      <c r="D31" s="930">
        <f t="shared" si="9"/>
        <v>2023</v>
      </c>
      <c r="E31" s="952" t="str">
        <f t="shared" si="9"/>
        <v>Year +1</v>
      </c>
      <c r="F31" s="920" t="str">
        <f t="shared" si="9"/>
        <v>Year +2</v>
      </c>
      <c r="G31" s="920" t="str">
        <f t="shared" si="9"/>
        <v>Year +3</v>
      </c>
      <c r="H31" s="920" t="str">
        <f t="shared" si="9"/>
        <v>Year +4</v>
      </c>
      <c r="I31" s="920" t="str">
        <f t="shared" si="9"/>
        <v>Year +5</v>
      </c>
      <c r="J31" s="921" t="str">
        <f t="shared" si="9"/>
        <v>Year+6</v>
      </c>
    </row>
    <row r="32" spans="1:12" ht="13.5" thickBot="1">
      <c r="A32" s="943" t="s">
        <v>818</v>
      </c>
      <c r="B32" s="931">
        <f>B22</f>
        <v>1358.8</v>
      </c>
      <c r="C32" s="931">
        <f t="shared" ref="C32:D32" si="10">C22</f>
        <v>1785</v>
      </c>
      <c r="D32" s="932">
        <f t="shared" si="10"/>
        <v>2175.1999999999998</v>
      </c>
      <c r="E32" s="960">
        <f>D32*(1+E33)</f>
        <v>2392.7199999999998</v>
      </c>
      <c r="F32" s="961">
        <f t="shared" ref="F32:J32" si="11">E32*(1+F33)</f>
        <v>2703.7735999999995</v>
      </c>
      <c r="G32" s="961">
        <f t="shared" si="11"/>
        <v>3109.3396399999992</v>
      </c>
      <c r="H32" s="961">
        <f t="shared" si="11"/>
        <v>3637.9273787999987</v>
      </c>
      <c r="I32" s="961">
        <f t="shared" si="11"/>
        <v>4329.1335807719979</v>
      </c>
      <c r="J32" s="962">
        <f t="shared" si="11"/>
        <v>5238.2516327341173</v>
      </c>
      <c r="K32" s="173"/>
      <c r="L32" t="s">
        <v>826</v>
      </c>
    </row>
    <row r="33" spans="1:22">
      <c r="A33" s="944" t="s">
        <v>692</v>
      </c>
      <c r="B33" s="934"/>
      <c r="C33" s="935">
        <f>C32/B32-1</f>
        <v>0.31365911098027666</v>
      </c>
      <c r="D33" s="936">
        <f t="shared" ref="D33" si="12">D32/C32-1</f>
        <v>0.21859943977591034</v>
      </c>
      <c r="E33" s="935">
        <f>10%</f>
        <v>0.1</v>
      </c>
      <c r="F33" s="935">
        <f>13%</f>
        <v>0.13</v>
      </c>
      <c r="G33" s="935">
        <f>15%</f>
        <v>0.15</v>
      </c>
      <c r="H33" s="935">
        <f>17%</f>
        <v>0.17</v>
      </c>
      <c r="I33" s="935">
        <f>19%</f>
        <v>0.19</v>
      </c>
      <c r="J33" s="935">
        <f>21%</f>
        <v>0.21</v>
      </c>
      <c r="K33" s="173"/>
    </row>
    <row r="34" spans="1:22">
      <c r="A34" s="944" t="s">
        <v>835</v>
      </c>
      <c r="B34" s="939">
        <f>B32/B25</f>
        <v>0.40655855424570642</v>
      </c>
      <c r="C34" s="939">
        <f t="shared" ref="C34:D34" si="13">C32/C25</f>
        <v>0.40415704387990758</v>
      </c>
      <c r="D34" s="940">
        <f t="shared" si="13"/>
        <v>0.41004373397677568</v>
      </c>
      <c r="E34" s="935">
        <f>E32/E44</f>
        <v>0.40429887756336558</v>
      </c>
      <c r="F34" s="935">
        <f t="shared" ref="F34:J34" si="14">F32/F44</f>
        <v>0.40074719761468575</v>
      </c>
      <c r="G34" s="935">
        <f t="shared" si="14"/>
        <v>0.39720370273707062</v>
      </c>
      <c r="H34" s="935">
        <f t="shared" si="14"/>
        <v>0.39367064599675367</v>
      </c>
      <c r="I34" s="935">
        <f t="shared" si="14"/>
        <v>0.39015010584872212</v>
      </c>
      <c r="J34" s="935">
        <f t="shared" si="14"/>
        <v>0.38664399709061764</v>
      </c>
      <c r="K34" s="173"/>
    </row>
    <row r="35" spans="1:22" ht="12.95" customHeight="1" thickBot="1">
      <c r="A35" s="945"/>
      <c r="B35" s="423"/>
      <c r="C35" s="423"/>
      <c r="D35" s="923"/>
      <c r="E35" s="953"/>
      <c r="F35" s="954"/>
      <c r="G35" s="954"/>
      <c r="H35" s="954"/>
      <c r="I35" s="954"/>
      <c r="J35" s="125"/>
      <c r="K35" s="173"/>
      <c r="L35" s="1257" t="s">
        <v>983</v>
      </c>
      <c r="M35" s="1257"/>
      <c r="N35" s="1257"/>
      <c r="O35" s="1257"/>
      <c r="P35" s="1257"/>
      <c r="Q35" s="1257"/>
      <c r="R35" s="1257"/>
      <c r="S35" s="1257"/>
      <c r="T35" s="1257"/>
      <c r="U35" s="1257"/>
      <c r="V35" s="1257"/>
    </row>
    <row r="36" spans="1:22" ht="13.5" thickBot="1">
      <c r="A36" s="943" t="s">
        <v>819</v>
      </c>
      <c r="B36" s="931">
        <f>B23</f>
        <v>1275.9000000000001</v>
      </c>
      <c r="C36" s="931">
        <f t="shared" ref="C36:D36" si="15">C23</f>
        <v>1691</v>
      </c>
      <c r="D36" s="932">
        <f t="shared" si="15"/>
        <v>2072.9</v>
      </c>
      <c r="E36" s="960">
        <f>D36*(1+E37)</f>
        <v>2363.1060000000002</v>
      </c>
      <c r="F36" s="961">
        <f t="shared" ref="F36" si="16">E36*(1+F37)</f>
        <v>2741.2029600000001</v>
      </c>
      <c r="G36" s="961">
        <f t="shared" ref="G36" si="17">F36*(1+G37)</f>
        <v>3234.6194928</v>
      </c>
      <c r="H36" s="961">
        <f t="shared" ref="H36" si="18">G36*(1+H37)</f>
        <v>3881.54339136</v>
      </c>
      <c r="I36" s="961">
        <f t="shared" ref="I36:J36" si="19">H36*(1+I37)</f>
        <v>4735.4829374592</v>
      </c>
      <c r="J36" s="962">
        <f t="shared" si="19"/>
        <v>5871.9988424494077</v>
      </c>
      <c r="K36" s="173"/>
      <c r="L36" s="1257"/>
      <c r="M36" s="1257"/>
      <c r="N36" s="1257"/>
      <c r="O36" s="1257"/>
      <c r="P36" s="1257"/>
      <c r="Q36" s="1257"/>
      <c r="R36" s="1257"/>
      <c r="S36" s="1257"/>
      <c r="T36" s="1257"/>
      <c r="U36" s="1257"/>
      <c r="V36" s="1257"/>
    </row>
    <row r="37" spans="1:22">
      <c r="A37" s="944" t="s">
        <v>692</v>
      </c>
      <c r="B37" s="934"/>
      <c r="C37" s="935">
        <f t="shared" ref="C37" si="20">C36/B36-1</f>
        <v>0.32533897640880927</v>
      </c>
      <c r="D37" s="936">
        <f>D36/C36-1</f>
        <v>0.22584269662921352</v>
      </c>
      <c r="E37" s="939">
        <v>0.14000000000000001</v>
      </c>
      <c r="F37" s="939">
        <v>0.16</v>
      </c>
      <c r="G37" s="939">
        <v>0.18</v>
      </c>
      <c r="H37" s="939">
        <v>0.2</v>
      </c>
      <c r="I37" s="939">
        <v>0.22</v>
      </c>
      <c r="J37" s="939">
        <v>0.24</v>
      </c>
      <c r="K37" s="173"/>
    </row>
    <row r="38" spans="1:22">
      <c r="A38" s="944" t="s">
        <v>835</v>
      </c>
      <c r="B38" s="937">
        <f>B36/B25</f>
        <v>0.38175453294237333</v>
      </c>
      <c r="C38" s="937">
        <f t="shared" ref="C38:D38" si="21">C36/C25</f>
        <v>0.38287370375401891</v>
      </c>
      <c r="D38" s="938">
        <f t="shared" si="21"/>
        <v>0.39075931232091693</v>
      </c>
      <c r="E38" s="937">
        <f>E36/E44</f>
        <v>0.39929498786454526</v>
      </c>
      <c r="F38" s="937">
        <f t="shared" ref="F38:J38" si="22">F36/F44</f>
        <v>0.40629489255797219</v>
      </c>
      <c r="G38" s="937">
        <f t="shared" si="22"/>
        <v>0.41320762227366892</v>
      </c>
      <c r="H38" s="937">
        <f t="shared" si="22"/>
        <v>0.42003303948446641</v>
      </c>
      <c r="I38" s="937">
        <f t="shared" si="22"/>
        <v>0.42677111593425537</v>
      </c>
      <c r="J38" s="937">
        <f t="shared" si="22"/>
        <v>0.4334219244391459</v>
      </c>
      <c r="K38" s="173"/>
      <c r="L38" s="1258" t="s">
        <v>984</v>
      </c>
      <c r="M38" s="1259"/>
      <c r="N38" s="1259"/>
      <c r="O38" s="1259"/>
      <c r="P38" s="1259"/>
      <c r="Q38" s="1259"/>
      <c r="R38" s="1259"/>
      <c r="S38" s="1259"/>
      <c r="T38" s="1259"/>
      <c r="U38" s="1259"/>
      <c r="V38" s="1259"/>
    </row>
    <row r="39" spans="1:22" ht="13.5" thickBot="1">
      <c r="A39" s="945"/>
      <c r="B39" s="423"/>
      <c r="C39" s="423"/>
      <c r="D39" s="923"/>
      <c r="E39" s="953"/>
      <c r="F39" s="954"/>
      <c r="G39" s="954"/>
      <c r="H39" s="954"/>
      <c r="I39" s="954"/>
      <c r="J39" s="125"/>
      <c r="K39" s="173"/>
      <c r="L39" s="1259"/>
      <c r="M39" s="1259"/>
      <c r="N39" s="1259"/>
      <c r="O39" s="1259"/>
      <c r="P39" s="1259"/>
      <c r="Q39" s="1259"/>
      <c r="R39" s="1259"/>
      <c r="S39" s="1259"/>
      <c r="T39" s="1259"/>
      <c r="U39" s="1259"/>
      <c r="V39" s="1259"/>
    </row>
    <row r="40" spans="1:22" ht="13.5" thickBot="1">
      <c r="A40" s="943" t="s">
        <v>820</v>
      </c>
      <c r="B40" s="931">
        <f>B24</f>
        <v>707.5</v>
      </c>
      <c r="C40" s="931">
        <f t="shared" ref="C40:D40" si="23">C24</f>
        <v>940.6</v>
      </c>
      <c r="D40" s="932">
        <f t="shared" si="23"/>
        <v>1056.7</v>
      </c>
      <c r="E40" s="960">
        <f>D40*(1+E41)</f>
        <v>1162.3700000000001</v>
      </c>
      <c r="F40" s="961">
        <f t="shared" ref="F40" si="24">E40*(1+F41)</f>
        <v>1301.8544000000002</v>
      </c>
      <c r="G40" s="961">
        <f t="shared" ref="G40" si="25">F40*(1+G41)</f>
        <v>1484.1140160000004</v>
      </c>
      <c r="H40" s="961">
        <f t="shared" ref="H40" si="26">G40*(1+H41)</f>
        <v>1721.5722585600004</v>
      </c>
      <c r="I40" s="961">
        <f t="shared" ref="I40:J40" si="27">H40*(1+I41)</f>
        <v>2031.4552651008003</v>
      </c>
      <c r="J40" s="962">
        <f t="shared" si="27"/>
        <v>2437.74631812096</v>
      </c>
      <c r="K40" s="173"/>
    </row>
    <row r="41" spans="1:22">
      <c r="A41" s="944" t="s">
        <v>692</v>
      </c>
      <c r="B41" s="934"/>
      <c r="C41" s="935">
        <f t="shared" ref="C41:D41" si="28">C40/B40-1</f>
        <v>0.32946996466431089</v>
      </c>
      <c r="D41" s="936">
        <f t="shared" si="28"/>
        <v>0.1234318520093558</v>
      </c>
      <c r="E41" s="939">
        <v>0.1</v>
      </c>
      <c r="F41" s="939">
        <v>0.12</v>
      </c>
      <c r="G41" s="939">
        <v>0.14000000000000001</v>
      </c>
      <c r="H41" s="939">
        <v>0.16</v>
      </c>
      <c r="I41" s="939">
        <v>0.18</v>
      </c>
      <c r="J41" s="939">
        <v>0.2</v>
      </c>
      <c r="L41" s="1258" t="s">
        <v>985</v>
      </c>
      <c r="M41" s="1259"/>
      <c r="N41" s="1259"/>
      <c r="O41" s="1259"/>
      <c r="P41" s="1259"/>
      <c r="Q41" s="1259"/>
      <c r="R41" s="1259"/>
      <c r="S41" s="1259"/>
      <c r="T41" s="1259"/>
      <c r="U41" s="1259"/>
      <c r="V41" s="1259"/>
    </row>
    <row r="42" spans="1:22">
      <c r="A42" s="946" t="s">
        <v>835</v>
      </c>
      <c r="B42" s="941">
        <f>B40/B44</f>
        <v>0.21168691281192031</v>
      </c>
      <c r="C42" s="941">
        <f t="shared" ref="C42:D42" si="29">C40/C44</f>
        <v>0.21296925236607345</v>
      </c>
      <c r="D42" s="942">
        <f t="shared" si="29"/>
        <v>0.19919695370230733</v>
      </c>
      <c r="E42" s="937">
        <f>E40/E44</f>
        <v>0.19640613457208922</v>
      </c>
      <c r="F42" s="937">
        <f t="shared" ref="F42:J42" si="30">F40/F44</f>
        <v>0.19295790982734215</v>
      </c>
      <c r="G42" s="937">
        <f t="shared" si="30"/>
        <v>0.18958867498926055</v>
      </c>
      <c r="H42" s="937">
        <f t="shared" si="30"/>
        <v>0.18629631451878004</v>
      </c>
      <c r="I42" s="937">
        <f t="shared" si="30"/>
        <v>0.18307877821702251</v>
      </c>
      <c r="J42" s="937">
        <f t="shared" si="30"/>
        <v>0.17993407847023637</v>
      </c>
      <c r="L42" s="1259"/>
      <c r="M42" s="1259"/>
      <c r="N42" s="1259"/>
      <c r="O42" s="1259"/>
      <c r="P42" s="1259"/>
      <c r="Q42" s="1259"/>
      <c r="R42" s="1259"/>
      <c r="S42" s="1259"/>
      <c r="T42" s="1259"/>
      <c r="U42" s="1259"/>
      <c r="V42" s="1259"/>
    </row>
    <row r="43" spans="1:22" ht="13.5" thickBot="1">
      <c r="A43" s="947"/>
      <c r="B43" s="922"/>
      <c r="C43" s="924"/>
      <c r="D43" s="925"/>
      <c r="E43" s="955"/>
      <c r="F43" s="956"/>
      <c r="G43" s="956"/>
      <c r="H43" s="956"/>
      <c r="I43" s="956"/>
      <c r="J43" s="125"/>
    </row>
    <row r="44" spans="1:22" ht="13.5" thickBot="1">
      <c r="A44" s="943" t="s">
        <v>17</v>
      </c>
      <c r="B44" s="931">
        <f t="shared" ref="B44:I44" si="31">B32+B36+B40</f>
        <v>3342.2</v>
      </c>
      <c r="C44" s="931">
        <f t="shared" si="31"/>
        <v>4416.6000000000004</v>
      </c>
      <c r="D44" s="932">
        <f t="shared" si="31"/>
        <v>5304.8</v>
      </c>
      <c r="E44" s="960">
        <f t="shared" si="31"/>
        <v>5918.1959999999999</v>
      </c>
      <c r="F44" s="961">
        <f t="shared" si="31"/>
        <v>6746.8309599999993</v>
      </c>
      <c r="G44" s="961">
        <f t="shared" si="31"/>
        <v>7828.0731487999992</v>
      </c>
      <c r="H44" s="961">
        <f t="shared" si="31"/>
        <v>9241.0430287199979</v>
      </c>
      <c r="I44" s="961">
        <f t="shared" si="31"/>
        <v>11096.071783331998</v>
      </c>
      <c r="J44" s="962">
        <f t="shared" ref="J44" si="32">J32+J36+J40</f>
        <v>13547.996793304486</v>
      </c>
    </row>
    <row r="45" spans="1:22" ht="13.5" thickBot="1">
      <c r="A45" s="948" t="s">
        <v>692</v>
      </c>
      <c r="B45" s="926"/>
      <c r="C45" s="927">
        <f>C44/B44-1</f>
        <v>0.32146490335707045</v>
      </c>
      <c r="D45" s="928">
        <f t="shared" ref="D45:J45" si="33">D44/C44-1</f>
        <v>0.20110492233845023</v>
      </c>
      <c r="E45" s="957">
        <f t="shared" si="33"/>
        <v>0.1156303724928367</v>
      </c>
      <c r="F45" s="958">
        <f t="shared" si="33"/>
        <v>0.14001478829021541</v>
      </c>
      <c r="G45" s="958">
        <f t="shared" si="33"/>
        <v>0.16025926767846577</v>
      </c>
      <c r="H45" s="958">
        <f t="shared" si="33"/>
        <v>0.18050034191831732</v>
      </c>
      <c r="I45" s="958">
        <f t="shared" si="33"/>
        <v>0.20073802803934626</v>
      </c>
      <c r="J45" s="959">
        <f t="shared" si="33"/>
        <v>0.22097234569585744</v>
      </c>
    </row>
    <row r="46" spans="1:22">
      <c r="A46" s="417"/>
      <c r="B46" s="418"/>
      <c r="C46" s="419"/>
      <c r="D46" s="419"/>
      <c r="E46" s="420"/>
      <c r="F46" s="420"/>
      <c r="G46" s="420"/>
      <c r="H46" s="420"/>
      <c r="I46" s="420"/>
    </row>
    <row r="47" spans="1:22">
      <c r="A47" s="423"/>
      <c r="B47" s="440"/>
      <c r="C47" s="440"/>
      <c r="D47" s="440"/>
      <c r="E47" s="559"/>
      <c r="F47" s="440"/>
      <c r="G47" s="559"/>
      <c r="H47" s="440"/>
      <c r="I47" s="440"/>
    </row>
    <row r="48" spans="1:22">
      <c r="B48" s="431"/>
      <c r="C48" s="431"/>
      <c r="D48" s="431"/>
      <c r="E48" s="431"/>
      <c r="F48" s="431"/>
      <c r="G48" s="431"/>
      <c r="H48" s="431"/>
      <c r="I48" s="431"/>
    </row>
    <row r="50" spans="1:23">
      <c r="A50" s="217" t="s">
        <v>129</v>
      </c>
      <c r="B50" s="149"/>
      <c r="C50" s="149"/>
      <c r="D50" s="149"/>
      <c r="E50" s="149"/>
      <c r="F50" s="149"/>
      <c r="G50" s="149"/>
      <c r="H50" s="149"/>
      <c r="I50" s="149"/>
    </row>
    <row r="52" spans="1:23">
      <c r="A52" s="217" t="s">
        <v>130</v>
      </c>
      <c r="B52" s="148"/>
      <c r="C52" s="148"/>
      <c r="D52" s="222"/>
      <c r="E52" s="223" t="s">
        <v>119</v>
      </c>
      <c r="F52" s="224"/>
      <c r="G52" s="439"/>
      <c r="H52" s="225"/>
      <c r="I52" s="225"/>
      <c r="J52" s="225"/>
      <c r="K52" s="61"/>
      <c r="L52" s="457" t="s">
        <v>421</v>
      </c>
      <c r="M52" s="61"/>
      <c r="N52" s="61"/>
      <c r="O52" s="61"/>
      <c r="P52" s="61"/>
      <c r="Q52" s="61"/>
      <c r="R52" s="61"/>
      <c r="S52" s="61"/>
      <c r="T52" s="61"/>
      <c r="U52" s="61"/>
      <c r="V52" s="61"/>
      <c r="W52" s="61"/>
    </row>
    <row r="53" spans="1:23">
      <c r="A53" s="226"/>
      <c r="B53" s="226">
        <f t="shared" ref="B53:J53" si="34">B19</f>
        <v>2021</v>
      </c>
      <c r="C53" s="226">
        <f t="shared" si="34"/>
        <v>2022</v>
      </c>
      <c r="D53" s="226">
        <f t="shared" si="34"/>
        <v>2023</v>
      </c>
      <c r="E53" s="375" t="str">
        <f t="shared" si="34"/>
        <v>Year +1</v>
      </c>
      <c r="F53" s="375" t="str">
        <f t="shared" si="34"/>
        <v>Year +2</v>
      </c>
      <c r="G53" s="375" t="str">
        <f t="shared" si="34"/>
        <v>Year +3</v>
      </c>
      <c r="H53" s="375" t="str">
        <f t="shared" si="34"/>
        <v>Year +4</v>
      </c>
      <c r="I53" s="375" t="str">
        <f t="shared" si="34"/>
        <v>Year +5</v>
      </c>
      <c r="J53" s="375" t="str">
        <f t="shared" si="34"/>
        <v>Year+6</v>
      </c>
      <c r="K53" s="61"/>
      <c r="L53" s="227"/>
      <c r="M53" s="227"/>
      <c r="N53" s="227"/>
      <c r="O53" s="61"/>
      <c r="P53" s="61"/>
      <c r="Q53" s="61"/>
      <c r="R53" s="61"/>
      <c r="S53" s="61"/>
      <c r="T53" s="61"/>
      <c r="U53" s="61"/>
      <c r="V53" s="61"/>
      <c r="W53" s="61"/>
    </row>
    <row r="54" spans="1:23">
      <c r="A54" s="169" t="s">
        <v>120</v>
      </c>
      <c r="C54" s="228"/>
      <c r="D54" s="228"/>
      <c r="L54" s="457" t="s">
        <v>833</v>
      </c>
      <c r="M54" s="229"/>
      <c r="N54" s="229"/>
      <c r="O54" s="61"/>
      <c r="P54" s="61"/>
      <c r="Q54" s="61"/>
      <c r="R54" s="61"/>
      <c r="S54" s="61"/>
      <c r="T54" s="61"/>
      <c r="U54" s="61"/>
      <c r="V54" s="61"/>
      <c r="W54" s="61"/>
    </row>
    <row r="55" spans="1:23">
      <c r="A55" s="169" t="s">
        <v>131</v>
      </c>
      <c r="B55" s="440">
        <f>-Data!E115</f>
        <v>295.89999999999998</v>
      </c>
      <c r="C55" s="440">
        <f>-Data!F115</f>
        <v>281.2</v>
      </c>
      <c r="D55" s="440">
        <f>-Data!G115</f>
        <v>204.1</v>
      </c>
      <c r="E55" s="440">
        <f t="shared" ref="E55:J55" si="35">D55*(1+$K$55)</f>
        <v>169.5087122188132</v>
      </c>
      <c r="F55" s="440">
        <f t="shared" si="35"/>
        <v>140.78002703616087</v>
      </c>
      <c r="G55" s="440">
        <f t="shared" si="35"/>
        <v>116.92033850577823</v>
      </c>
      <c r="H55" s="440">
        <f t="shared" si="35"/>
        <v>97.104439060765245</v>
      </c>
      <c r="I55" s="440">
        <f t="shared" si="35"/>
        <v>80.646979009899752</v>
      </c>
      <c r="J55" s="440">
        <f t="shared" si="35"/>
        <v>66.978763137215907</v>
      </c>
      <c r="K55" s="560">
        <f>(D55/B55)^(1/2)-1</f>
        <v>-0.16948205674270844</v>
      </c>
      <c r="L55" s="61" t="s">
        <v>832</v>
      </c>
      <c r="M55" s="61"/>
      <c r="N55" s="61"/>
      <c r="O55" s="61"/>
      <c r="P55" s="61"/>
      <c r="Q55" s="61"/>
      <c r="R55" s="61"/>
      <c r="S55" s="61"/>
      <c r="T55" s="61"/>
      <c r="U55" s="61"/>
      <c r="V55" s="61"/>
      <c r="W55" s="61"/>
    </row>
    <row r="56" spans="1:23">
      <c r="A56" s="169" t="s">
        <v>132</v>
      </c>
      <c r="B56" s="230">
        <f>-Data!E114</f>
        <v>0</v>
      </c>
      <c r="C56" s="230">
        <f>-Data!F114</f>
        <v>0</v>
      </c>
      <c r="D56" s="230">
        <f>-Data!G114</f>
        <v>0</v>
      </c>
      <c r="E56" s="18"/>
      <c r="F56" s="18"/>
      <c r="G56" s="221"/>
      <c r="H56" s="221"/>
      <c r="I56" s="221"/>
      <c r="J56" s="221"/>
      <c r="K56" s="221"/>
      <c r="L56" s="221"/>
      <c r="M56" s="221"/>
      <c r="N56" s="221"/>
      <c r="O56" s="61"/>
      <c r="P56" s="61"/>
      <c r="Q56" s="61"/>
      <c r="R56" s="61"/>
      <c r="S56" s="61"/>
      <c r="T56" s="61"/>
      <c r="U56" s="61"/>
      <c r="V56" s="61"/>
      <c r="W56" s="61"/>
    </row>
    <row r="57" spans="1:23">
      <c r="A57" s="169" t="s">
        <v>133</v>
      </c>
      <c r="B57" s="441">
        <f>B55+B56</f>
        <v>295.89999999999998</v>
      </c>
      <c r="C57" s="441">
        <f>C55+C56</f>
        <v>281.2</v>
      </c>
      <c r="D57" s="441">
        <f>D55+D56</f>
        <v>204.1</v>
      </c>
      <c r="E57" s="441">
        <f>E55+E56</f>
        <v>169.5087122188132</v>
      </c>
      <c r="F57" s="441">
        <f t="shared" ref="F57:J57" si="36">F55+F56</f>
        <v>140.78002703616087</v>
      </c>
      <c r="G57" s="441">
        <f t="shared" si="36"/>
        <v>116.92033850577823</v>
      </c>
      <c r="H57" s="441">
        <f t="shared" si="36"/>
        <v>97.104439060765245</v>
      </c>
      <c r="I57" s="441">
        <f t="shared" si="36"/>
        <v>80.646979009899752</v>
      </c>
      <c r="J57" s="441">
        <f t="shared" si="36"/>
        <v>66.978763137215907</v>
      </c>
      <c r="K57" s="61"/>
      <c r="L57" s="403"/>
      <c r="M57" s="61"/>
      <c r="N57" s="61"/>
      <c r="O57" s="61"/>
      <c r="P57" s="61"/>
      <c r="Q57" s="61"/>
      <c r="R57" s="61"/>
      <c r="S57" s="61"/>
      <c r="T57" s="61"/>
      <c r="U57" s="61"/>
      <c r="V57" s="61"/>
      <c r="W57" s="61"/>
    </row>
    <row r="58" spans="1:23">
      <c r="A58" s="169"/>
      <c r="B58" s="440"/>
      <c r="C58" s="440"/>
      <c r="D58" s="440"/>
      <c r="E58" s="446"/>
      <c r="F58" s="446"/>
      <c r="G58" s="446"/>
      <c r="H58" s="446"/>
      <c r="I58" s="446"/>
      <c r="J58" s="186"/>
      <c r="K58" s="61"/>
      <c r="L58" s="403"/>
      <c r="M58" s="61"/>
      <c r="N58" s="61"/>
      <c r="O58" s="61"/>
      <c r="P58" s="61"/>
      <c r="Q58" s="61"/>
      <c r="R58" s="61"/>
      <c r="S58" s="61"/>
      <c r="T58" s="61"/>
      <c r="U58" s="61"/>
      <c r="V58" s="61"/>
      <c r="W58" s="61"/>
    </row>
    <row r="59" spans="1:23">
      <c r="A59" s="61" t="s">
        <v>134</v>
      </c>
      <c r="B59" s="169"/>
      <c r="C59" s="233"/>
      <c r="D59" s="233"/>
      <c r="E59" s="233"/>
      <c r="F59" s="233"/>
      <c r="G59" s="233"/>
      <c r="H59" s="233"/>
      <c r="I59" s="233"/>
      <c r="J59" s="233"/>
      <c r="K59" s="233"/>
      <c r="L59" s="233"/>
      <c r="M59" s="233"/>
      <c r="N59" s="233"/>
      <c r="O59" s="61"/>
      <c r="P59" s="61"/>
      <c r="Q59" s="61"/>
      <c r="R59" s="61"/>
      <c r="S59" s="61"/>
      <c r="T59" s="61"/>
      <c r="U59" s="61"/>
      <c r="V59" s="61"/>
      <c r="W59" s="61"/>
    </row>
    <row r="60" spans="1:23">
      <c r="A60" s="169" t="s">
        <v>135</v>
      </c>
      <c r="B60" s="192">
        <f>B57/Data!D27</f>
        <v>0.47687348912167604</v>
      </c>
      <c r="C60" s="192">
        <f t="shared" ref="C60:J60" si="37">C57/B69</f>
        <v>0.31268764594684756</v>
      </c>
      <c r="D60" s="192">
        <f t="shared" si="37"/>
        <v>0.17315686773564096</v>
      </c>
      <c r="E60" s="445">
        <f t="shared" si="37"/>
        <v>0.1213029284519917</v>
      </c>
      <c r="F60" s="445">
        <f t="shared" si="37"/>
        <v>8.984571081796465E-2</v>
      </c>
      <c r="G60" s="445">
        <f t="shared" si="37"/>
        <v>6.8467007961174428E-2</v>
      </c>
      <c r="H60" s="445">
        <f t="shared" si="37"/>
        <v>5.3219311601768675E-2</v>
      </c>
      <c r="I60" s="445">
        <f t="shared" si="37"/>
        <v>4.1966181901706409E-2</v>
      </c>
      <c r="J60" s="445">
        <f t="shared" si="37"/>
        <v>3.3449902391030281E-2</v>
      </c>
      <c r="K60" s="61"/>
      <c r="L60" s="61"/>
      <c r="M60" s="61"/>
      <c r="N60" s="61"/>
      <c r="O60" s="61"/>
      <c r="P60" s="61"/>
      <c r="Q60" s="61"/>
      <c r="R60" s="61"/>
      <c r="S60" s="61"/>
      <c r="T60" s="61"/>
      <c r="U60" s="61"/>
      <c r="V60" s="61"/>
      <c r="W60" s="61"/>
    </row>
    <row r="61" spans="1:23">
      <c r="A61" s="169" t="s">
        <v>17</v>
      </c>
      <c r="B61" s="192">
        <f>B57/Data!E65</f>
        <v>8.853449823469571E-2</v>
      </c>
      <c r="C61" s="192">
        <f>C57/Data!F65</f>
        <v>6.3657355005206681E-2</v>
      </c>
      <c r="D61" s="192">
        <f>D57/Data!G65</f>
        <v>3.8474589051425125E-2</v>
      </c>
      <c r="E61" s="445">
        <f t="shared" ref="E61:J61" si="38">E57/E25</f>
        <v>2.8641956470994406E-2</v>
      </c>
      <c r="F61" s="445">
        <f t="shared" si="38"/>
        <v>2.0866096671282378E-2</v>
      </c>
      <c r="G61" s="445">
        <f t="shared" si="38"/>
        <v>1.4936030397684963E-2</v>
      </c>
      <c r="H61" s="445">
        <f t="shared" si="38"/>
        <v>1.0507952268913464E-2</v>
      </c>
      <c r="I61" s="445">
        <f t="shared" si="38"/>
        <v>7.2680657249391527E-3</v>
      </c>
      <c r="J61" s="445">
        <f t="shared" si="38"/>
        <v>4.9438130344345282E-3</v>
      </c>
      <c r="K61" s="234"/>
      <c r="L61" s="234"/>
      <c r="M61" s="234"/>
      <c r="N61" s="234"/>
      <c r="O61" s="61"/>
      <c r="P61" s="61"/>
      <c r="Q61" s="61"/>
      <c r="R61" s="61"/>
      <c r="S61" s="61"/>
      <c r="T61" s="61"/>
      <c r="U61" s="61"/>
      <c r="V61" s="61"/>
      <c r="W61" s="61"/>
    </row>
    <row r="62" spans="1:23">
      <c r="A62" s="61"/>
      <c r="B62" s="61"/>
      <c r="C62" s="61"/>
      <c r="D62" s="70"/>
      <c r="E62" s="231"/>
      <c r="F62" s="232"/>
      <c r="G62" s="234"/>
      <c r="H62" s="234"/>
      <c r="I62" s="234"/>
      <c r="J62" s="234"/>
      <c r="K62" s="234"/>
      <c r="L62" s="234"/>
      <c r="M62" s="234"/>
      <c r="N62" s="234"/>
      <c r="O62" s="61"/>
      <c r="P62" s="61"/>
      <c r="Q62" s="61"/>
      <c r="R62" s="61"/>
      <c r="S62" s="61"/>
      <c r="T62" s="61"/>
      <c r="U62" s="61"/>
      <c r="V62" s="61"/>
      <c r="W62" s="61"/>
    </row>
    <row r="63" spans="1:23">
      <c r="A63" s="61"/>
      <c r="B63" s="61"/>
      <c r="C63" s="61"/>
      <c r="D63" s="231"/>
      <c r="E63" s="231"/>
      <c r="F63" s="231"/>
      <c r="G63" s="231"/>
      <c r="H63" s="231"/>
      <c r="I63" s="61"/>
      <c r="J63" s="61"/>
      <c r="K63" s="61"/>
      <c r="L63" s="61"/>
      <c r="M63" s="61"/>
      <c r="N63" s="61"/>
      <c r="O63" s="61"/>
      <c r="P63" s="61"/>
      <c r="Q63" s="61"/>
      <c r="R63" s="61"/>
      <c r="S63" s="61"/>
      <c r="T63" s="61"/>
      <c r="U63" s="61"/>
      <c r="V63" s="61"/>
      <c r="W63" s="61"/>
    </row>
    <row r="64" spans="1:23">
      <c r="A64" s="217" t="s">
        <v>121</v>
      </c>
      <c r="B64" s="148"/>
      <c r="C64" s="148"/>
      <c r="D64" s="222"/>
      <c r="E64" s="235" t="s">
        <v>122</v>
      </c>
      <c r="F64" s="224"/>
      <c r="G64" s="225"/>
      <c r="H64" s="225"/>
      <c r="I64" s="225"/>
      <c r="J64" s="61"/>
      <c r="K64" s="17" t="s">
        <v>390</v>
      </c>
      <c r="L64" s="61"/>
      <c r="M64" s="61"/>
      <c r="N64" s="61"/>
      <c r="O64" s="61"/>
      <c r="P64" s="61"/>
      <c r="Q64" s="61"/>
      <c r="R64" s="61"/>
      <c r="S64" s="61"/>
      <c r="T64" s="61"/>
      <c r="U64" s="61"/>
      <c r="V64" s="61"/>
      <c r="W64" s="61"/>
    </row>
    <row r="65" spans="1:23">
      <c r="A65" s="61"/>
      <c r="B65" s="61"/>
      <c r="C65" s="61"/>
      <c r="D65" s="231"/>
      <c r="E65" s="231"/>
      <c r="F65" s="231"/>
      <c r="G65" s="231"/>
      <c r="H65" s="231"/>
      <c r="I65" s="61"/>
      <c r="J65" s="61"/>
      <c r="K65" s="17" t="s">
        <v>391</v>
      </c>
      <c r="L65" s="61"/>
      <c r="M65" s="61"/>
      <c r="N65" s="61"/>
      <c r="O65" s="61"/>
      <c r="P65" s="61"/>
      <c r="Q65" s="61"/>
      <c r="R65" s="61"/>
      <c r="S65" s="61"/>
      <c r="T65" s="61"/>
      <c r="U65" s="61"/>
      <c r="V65" s="61"/>
      <c r="W65" s="61"/>
    </row>
    <row r="66" spans="1:23">
      <c r="A66" s="226" t="s">
        <v>151</v>
      </c>
      <c r="B66" s="226">
        <f>B53</f>
        <v>2021</v>
      </c>
      <c r="C66" s="226">
        <f t="shared" ref="C66:I66" si="39">C53</f>
        <v>2022</v>
      </c>
      <c r="D66" s="226">
        <f t="shared" si="39"/>
        <v>2023</v>
      </c>
      <c r="E66" s="375" t="str">
        <f t="shared" si="39"/>
        <v>Year +1</v>
      </c>
      <c r="F66" s="375" t="str">
        <f t="shared" si="39"/>
        <v>Year +2</v>
      </c>
      <c r="G66" s="375" t="str">
        <f t="shared" si="39"/>
        <v>Year +3</v>
      </c>
      <c r="H66" s="375" t="str">
        <f t="shared" si="39"/>
        <v>Year +4</v>
      </c>
      <c r="I66" s="375" t="str">
        <f t="shared" si="39"/>
        <v>Year +5</v>
      </c>
      <c r="J66" s="375" t="str">
        <f t="shared" ref="J66" si="40">J53</f>
        <v>Year+6</v>
      </c>
      <c r="K66" s="236"/>
      <c r="L66" s="236"/>
      <c r="M66" s="236"/>
      <c r="N66" s="236"/>
      <c r="O66" s="236"/>
      <c r="P66" s="236"/>
      <c r="Q66" s="61"/>
      <c r="R66" s="61"/>
      <c r="S66" s="61"/>
      <c r="T66" s="61"/>
      <c r="U66" s="61"/>
      <c r="V66" s="61"/>
      <c r="W66" s="61"/>
    </row>
    <row r="67" spans="1:23">
      <c r="A67" s="220" t="s">
        <v>148</v>
      </c>
      <c r="B67" s="18"/>
      <c r="C67" s="18"/>
      <c r="D67" s="18"/>
      <c r="E67" s="436">
        <f t="shared" ref="E67:J67" si="41">D69</f>
        <v>1397.4</v>
      </c>
      <c r="F67" s="436">
        <f t="shared" si="41"/>
        <v>1566.9087122188132</v>
      </c>
      <c r="G67" s="436">
        <f t="shared" si="41"/>
        <v>1707.6887392549741</v>
      </c>
      <c r="H67" s="436">
        <f t="shared" si="41"/>
        <v>1824.6090777607524</v>
      </c>
      <c r="I67" s="436">
        <f t="shared" si="41"/>
        <v>1921.7135168215177</v>
      </c>
      <c r="J67" s="436">
        <f t="shared" si="41"/>
        <v>2002.3604958314174</v>
      </c>
      <c r="K67" s="236"/>
      <c r="L67" s="236"/>
      <c r="M67" s="236"/>
      <c r="N67" s="236"/>
      <c r="O67" s="236"/>
      <c r="P67" s="236"/>
      <c r="Q67" s="61"/>
      <c r="R67" s="61"/>
      <c r="S67" s="61"/>
      <c r="T67" s="61"/>
      <c r="U67" s="61"/>
      <c r="V67" s="61"/>
      <c r="W67" s="61"/>
    </row>
    <row r="68" spans="1:23">
      <c r="A68" s="220" t="s">
        <v>150</v>
      </c>
      <c r="B68" s="18"/>
      <c r="C68" s="18"/>
      <c r="D68" s="18"/>
      <c r="E68" s="462">
        <f t="shared" ref="E68:J68" si="42">E57</f>
        <v>169.5087122188132</v>
      </c>
      <c r="F68" s="462">
        <f t="shared" si="42"/>
        <v>140.78002703616087</v>
      </c>
      <c r="G68" s="462">
        <f t="shared" si="42"/>
        <v>116.92033850577823</v>
      </c>
      <c r="H68" s="462">
        <f t="shared" si="42"/>
        <v>97.104439060765245</v>
      </c>
      <c r="I68" s="462">
        <f t="shared" si="42"/>
        <v>80.646979009899752</v>
      </c>
      <c r="J68" s="462">
        <f t="shared" si="42"/>
        <v>66.978763137215907</v>
      </c>
      <c r="K68" s="236"/>
      <c r="L68" s="236"/>
      <c r="M68" s="236"/>
      <c r="N68" s="236"/>
      <c r="O68" s="236"/>
      <c r="P68" s="236"/>
      <c r="Q68" s="61"/>
      <c r="R68" s="61"/>
      <c r="S68" s="61"/>
      <c r="T68" s="61"/>
      <c r="U68" s="61"/>
      <c r="V68" s="61"/>
      <c r="W68" s="61"/>
    </row>
    <row r="69" spans="1:23">
      <c r="A69" s="220" t="s">
        <v>149</v>
      </c>
      <c r="B69" s="442">
        <f>Data!E27</f>
        <v>899.3</v>
      </c>
      <c r="C69" s="442">
        <f>Data!F27</f>
        <v>1178.7</v>
      </c>
      <c r="D69" s="442">
        <f>Data!G27</f>
        <v>1397.4</v>
      </c>
      <c r="E69" s="443">
        <f t="shared" ref="E69:J69" si="43">E67+E68</f>
        <v>1566.9087122188132</v>
      </c>
      <c r="F69" s="443">
        <f t="shared" si="43"/>
        <v>1707.6887392549741</v>
      </c>
      <c r="G69" s="443">
        <f t="shared" si="43"/>
        <v>1824.6090777607524</v>
      </c>
      <c r="H69" s="443">
        <f t="shared" si="43"/>
        <v>1921.7135168215177</v>
      </c>
      <c r="I69" s="443">
        <f t="shared" si="43"/>
        <v>2002.3604958314174</v>
      </c>
      <c r="J69" s="443">
        <f t="shared" si="43"/>
        <v>2069.3392589686332</v>
      </c>
      <c r="K69" s="238"/>
      <c r="L69" s="238"/>
      <c r="M69" s="238"/>
      <c r="N69" s="238"/>
      <c r="O69" s="238"/>
      <c r="P69" s="238"/>
      <c r="Q69" s="61"/>
      <c r="R69" s="61"/>
      <c r="S69" s="61"/>
      <c r="T69" s="61"/>
      <c r="U69" s="61"/>
      <c r="V69" s="61"/>
      <c r="W69" s="61"/>
    </row>
    <row r="70" spans="1:23">
      <c r="A70" s="169"/>
      <c r="B70" s="18"/>
      <c r="C70" s="18"/>
      <c r="D70" s="18"/>
      <c r="E70" s="18"/>
      <c r="F70" s="18"/>
      <c r="G70" s="18"/>
      <c r="H70" s="18"/>
      <c r="I70" s="18"/>
      <c r="J70" s="237"/>
      <c r="K70" s="238"/>
      <c r="L70" s="238"/>
      <c r="M70" s="238"/>
      <c r="N70" s="238"/>
      <c r="O70" s="238"/>
      <c r="P70" s="238"/>
      <c r="Q70" s="61"/>
      <c r="R70" s="61"/>
      <c r="S70" s="61"/>
      <c r="T70" s="61"/>
      <c r="U70" s="61"/>
      <c r="V70" s="61"/>
      <c r="W70" s="61"/>
    </row>
    <row r="71" spans="1:23" ht="13.5" thickBot="1">
      <c r="A71" s="61" t="s">
        <v>152</v>
      </c>
      <c r="B71" s="18"/>
      <c r="C71" s="18"/>
      <c r="D71" s="18"/>
      <c r="E71" s="18"/>
      <c r="F71" s="18"/>
      <c r="G71" s="18"/>
      <c r="H71" s="18"/>
      <c r="I71" s="18"/>
      <c r="J71" s="237"/>
      <c r="K71" s="238"/>
      <c r="L71" s="238"/>
      <c r="M71" s="238"/>
      <c r="N71" s="238"/>
      <c r="O71" s="238"/>
      <c r="P71" s="238"/>
      <c r="Q71" s="61"/>
      <c r="R71" s="61"/>
      <c r="S71" s="61"/>
      <c r="T71" s="61"/>
      <c r="U71" s="61"/>
      <c r="V71" s="61"/>
      <c r="W71" s="61"/>
    </row>
    <row r="72" spans="1:23" ht="13.5" thickBot="1">
      <c r="A72" s="61" t="s">
        <v>153</v>
      </c>
      <c r="B72" s="18"/>
      <c r="C72" s="18"/>
      <c r="D72" s="18"/>
      <c r="E72" s="444">
        <f>D74</f>
        <v>-353</v>
      </c>
      <c r="F72" s="444">
        <f>E74</f>
        <v>-490.95073791049526</v>
      </c>
      <c r="G72" s="444">
        <f>F74</f>
        <v>-641.29575792642174</v>
      </c>
      <c r="H72" s="444">
        <f>G74</f>
        <v>-801.93445162470152</v>
      </c>
      <c r="I72" s="444">
        <f>H74</f>
        <v>-971.12222601821122</v>
      </c>
      <c r="J72" s="237"/>
      <c r="K72" s="933" t="s">
        <v>18</v>
      </c>
      <c r="L72" s="967">
        <v>2018</v>
      </c>
      <c r="M72" s="967">
        <v>2019</v>
      </c>
      <c r="N72" s="967">
        <v>2020</v>
      </c>
      <c r="O72" s="967">
        <v>2021</v>
      </c>
      <c r="P72" s="967">
        <v>2022</v>
      </c>
      <c r="Q72" s="972">
        <v>2023</v>
      </c>
      <c r="R72" s="61"/>
      <c r="S72" s="61"/>
      <c r="T72" s="61"/>
      <c r="U72" s="61"/>
      <c r="V72" s="61"/>
      <c r="W72" s="61"/>
    </row>
    <row r="73" spans="1:23" ht="13.5" thickBot="1">
      <c r="A73" s="61" t="s">
        <v>155</v>
      </c>
      <c r="B73" s="18"/>
      <c r="C73" s="18"/>
      <c r="D73" s="18"/>
      <c r="E73" s="508">
        <f>-E89</f>
        <v>-137.95073791049526</v>
      </c>
      <c r="F73" s="508">
        <f>-F89</f>
        <v>-150.34502001592645</v>
      </c>
      <c r="G73" s="508">
        <f>-G89</f>
        <v>-160.63869369827981</v>
      </c>
      <c r="H73" s="508">
        <f>-H89</f>
        <v>-169.18777439350964</v>
      </c>
      <c r="I73" s="508">
        <f>-I89</f>
        <v>-605.55203619990141</v>
      </c>
      <c r="J73" s="237"/>
      <c r="K73" s="997" t="s">
        <v>1211</v>
      </c>
      <c r="L73" s="1001">
        <f>L75/Data!B65</f>
        <v>2.9369389338357532E-2</v>
      </c>
      <c r="M73" s="1001">
        <f>M75/Data!C65</f>
        <v>4.2625982431807673E-2</v>
      </c>
      <c r="N73" s="1001">
        <f>N75/Data!D65</f>
        <v>4.8527597903176074E-2</v>
      </c>
      <c r="O73" s="1001">
        <f>O75/Data!E65</f>
        <v>8.853449823469571E-2</v>
      </c>
      <c r="P73" s="1001">
        <f>P75/Data!F65</f>
        <v>6.3657355005206681E-2</v>
      </c>
      <c r="Q73" s="1002">
        <f>Q75/Data!G65</f>
        <v>3.8474589051425125E-2</v>
      </c>
      <c r="R73" s="61"/>
      <c r="S73" s="61"/>
      <c r="T73" s="61"/>
      <c r="U73" s="61"/>
      <c r="V73" s="61"/>
      <c r="W73" s="61"/>
    </row>
    <row r="74" spans="1:23" ht="13.5" thickBot="1">
      <c r="A74" s="61" t="s">
        <v>154</v>
      </c>
      <c r="B74" s="442">
        <f>Data!E28</f>
        <v>-211.7</v>
      </c>
      <c r="C74" s="442">
        <f>Data!F28</f>
        <v>-280.2</v>
      </c>
      <c r="D74" s="442">
        <f>Data!G28</f>
        <v>-353</v>
      </c>
      <c r="E74" s="443">
        <f>E72+E73</f>
        <v>-490.95073791049526</v>
      </c>
      <c r="F74" s="443">
        <f>F72+F73</f>
        <v>-641.29575792642174</v>
      </c>
      <c r="G74" s="443">
        <f>G72+G73</f>
        <v>-801.93445162470152</v>
      </c>
      <c r="H74" s="443">
        <f>H72+H73</f>
        <v>-971.12222601821122</v>
      </c>
      <c r="I74" s="443">
        <f>I72+I73</f>
        <v>-1576.6742622181127</v>
      </c>
      <c r="J74" s="238"/>
      <c r="K74" s="998" t="s">
        <v>1209</v>
      </c>
      <c r="L74" s="1003"/>
      <c r="M74" s="1004">
        <f>M73/L73-1</f>
        <v>0.45137448861207785</v>
      </c>
      <c r="N74" s="1004">
        <f t="shared" ref="N74:Q74" si="44">N73/M73-1</f>
        <v>0.13845113085216765</v>
      </c>
      <c r="O74" s="1004">
        <f t="shared" si="44"/>
        <v>0.82441542668859835</v>
      </c>
      <c r="P74" s="1004">
        <f t="shared" si="44"/>
        <v>-0.28098813146873347</v>
      </c>
      <c r="Q74" s="1005">
        <f t="shared" si="44"/>
        <v>-0.39559868536356557</v>
      </c>
      <c r="R74" s="61"/>
      <c r="S74" s="61"/>
      <c r="T74" s="61"/>
      <c r="U74" s="61"/>
      <c r="V74" s="61"/>
      <c r="W74" s="61"/>
    </row>
    <row r="75" spans="1:23" ht="13.5" thickBot="1">
      <c r="A75" s="61"/>
      <c r="B75" s="18"/>
      <c r="C75" s="18"/>
      <c r="D75" s="18"/>
      <c r="E75" s="239"/>
      <c r="F75" s="239"/>
      <c r="G75" s="239"/>
      <c r="H75" s="239"/>
      <c r="I75" s="239"/>
      <c r="J75" s="238"/>
      <c r="K75" s="998" t="s">
        <v>133</v>
      </c>
      <c r="L75" s="999">
        <f>-Data!B115</f>
        <v>53</v>
      </c>
      <c r="M75" s="999">
        <f>-Data!C115</f>
        <v>92.2</v>
      </c>
      <c r="N75" s="999">
        <f>-Data!D115</f>
        <v>125.9</v>
      </c>
      <c r="O75" s="999">
        <f>-Data!E115</f>
        <v>295.89999999999998</v>
      </c>
      <c r="P75" s="999">
        <f>-Data!F115</f>
        <v>281.2</v>
      </c>
      <c r="Q75" s="1000">
        <f>-Data!G115</f>
        <v>204.1</v>
      </c>
      <c r="R75" s="61"/>
      <c r="S75" s="61"/>
      <c r="T75" s="61"/>
      <c r="U75" s="61"/>
      <c r="V75" s="61"/>
      <c r="W75" s="61"/>
    </row>
    <row r="76" spans="1:23">
      <c r="A76" s="61" t="s">
        <v>123</v>
      </c>
      <c r="B76" s="442">
        <f t="shared" ref="B76:I76" si="45">B69+B74</f>
        <v>687.59999999999991</v>
      </c>
      <c r="C76" s="442">
        <f t="shared" si="45"/>
        <v>898.5</v>
      </c>
      <c r="D76" s="442">
        <f t="shared" si="45"/>
        <v>1044.4000000000001</v>
      </c>
      <c r="E76" s="443">
        <f t="shared" si="45"/>
        <v>1075.9579743083179</v>
      </c>
      <c r="F76" s="443">
        <f t="shared" si="45"/>
        <v>1066.3929813285522</v>
      </c>
      <c r="G76" s="443">
        <f t="shared" si="45"/>
        <v>1022.6746261360508</v>
      </c>
      <c r="H76" s="443">
        <f t="shared" si="45"/>
        <v>950.59129080330649</v>
      </c>
      <c r="I76" s="443">
        <f t="shared" si="45"/>
        <v>425.68623361330469</v>
      </c>
      <c r="J76" s="238"/>
      <c r="K76" s="238"/>
      <c r="L76" s="238"/>
      <c r="M76" s="238"/>
      <c r="N76" s="238"/>
      <c r="O76" s="238"/>
      <c r="P76" s="238"/>
      <c r="Q76" s="61"/>
      <c r="R76" s="61"/>
      <c r="S76" s="61"/>
      <c r="T76" s="61"/>
      <c r="U76" s="61"/>
      <c r="V76" s="61"/>
      <c r="W76" s="61"/>
    </row>
    <row r="77" spans="1:23">
      <c r="A77" s="61"/>
      <c r="B77" s="61"/>
      <c r="C77" s="61"/>
      <c r="D77" s="61"/>
      <c r="E77" s="61"/>
      <c r="F77" s="61"/>
      <c r="G77" s="238"/>
      <c r="H77" s="238"/>
      <c r="I77" s="238"/>
      <c r="J77" s="238"/>
      <c r="K77" s="238"/>
      <c r="L77" s="238"/>
      <c r="M77" s="238"/>
      <c r="N77" s="238"/>
      <c r="O77" s="238"/>
      <c r="P77" s="61"/>
      <c r="Q77" s="61"/>
      <c r="R77" s="61"/>
      <c r="S77" s="61"/>
      <c r="T77" s="61"/>
      <c r="U77" s="61"/>
      <c r="V77" s="61"/>
      <c r="W77" s="61"/>
    </row>
    <row r="78" spans="1:23">
      <c r="A78" s="61"/>
      <c r="B78" s="237"/>
      <c r="C78" s="237"/>
      <c r="D78" s="237"/>
      <c r="E78" s="195"/>
      <c r="F78" s="195"/>
      <c r="G78" s="61"/>
      <c r="H78" s="238"/>
      <c r="I78" s="238"/>
      <c r="J78" s="238"/>
      <c r="K78" s="61"/>
      <c r="L78" s="61"/>
      <c r="M78" s="61"/>
      <c r="N78" s="61"/>
      <c r="O78" s="61"/>
      <c r="P78" s="61"/>
      <c r="Q78" s="61"/>
      <c r="R78" s="61"/>
      <c r="S78" s="61"/>
      <c r="T78" s="61"/>
      <c r="U78" s="61"/>
      <c r="V78" s="61"/>
      <c r="W78" s="61"/>
    </row>
    <row r="79" spans="1:23">
      <c r="A79" s="61" t="s">
        <v>139</v>
      </c>
      <c r="B79" s="237"/>
      <c r="C79" s="237"/>
      <c r="D79" s="237"/>
      <c r="E79" s="195" t="s">
        <v>141</v>
      </c>
      <c r="F79" s="195"/>
      <c r="G79" s="61"/>
      <c r="H79" s="238"/>
      <c r="I79" s="238"/>
      <c r="J79" s="238"/>
      <c r="K79" s="61"/>
      <c r="L79" s="61"/>
      <c r="M79" s="61"/>
      <c r="N79" s="61"/>
      <c r="O79" s="61"/>
      <c r="P79" s="61"/>
      <c r="Q79" s="61"/>
      <c r="R79" s="61"/>
      <c r="S79" s="61"/>
      <c r="T79" s="61"/>
      <c r="U79" s="61"/>
      <c r="V79" s="61"/>
      <c r="W79" s="61"/>
    </row>
    <row r="80" spans="1:23">
      <c r="B80" s="61"/>
      <c r="C80" s="169" t="s">
        <v>140</v>
      </c>
      <c r="D80" s="434">
        <f>D69</f>
        <v>1397.4</v>
      </c>
      <c r="E80" s="436">
        <f>$D$80/$D$101</f>
        <v>123.02718062187027</v>
      </c>
      <c r="F80" s="436">
        <f>$D$80/$D$101</f>
        <v>123.02718062187027</v>
      </c>
      <c r="G80" s="436">
        <f>$D$80/$D$101</f>
        <v>123.02718062187027</v>
      </c>
      <c r="H80" s="436">
        <f>$D$80/$D$101</f>
        <v>123.02718062187027</v>
      </c>
      <c r="I80" s="436">
        <f>H81</f>
        <v>552.29127751251917</v>
      </c>
      <c r="J80" s="183"/>
      <c r="K80" s="240" t="s">
        <v>204</v>
      </c>
      <c r="L80" s="195"/>
      <c r="M80" s="195"/>
      <c r="N80" s="195"/>
      <c r="O80" s="195"/>
      <c r="P80" s="195"/>
      <c r="Q80" s="195"/>
      <c r="R80" s="195"/>
      <c r="S80" s="61"/>
      <c r="T80" s="61"/>
      <c r="U80" s="61"/>
      <c r="V80" s="61"/>
      <c r="W80" s="61"/>
    </row>
    <row r="81" spans="1:23">
      <c r="B81" s="61"/>
      <c r="C81" s="169" t="s">
        <v>124</v>
      </c>
      <c r="D81" s="434">
        <f>D76</f>
        <v>1044.4000000000001</v>
      </c>
      <c r="E81" s="436">
        <f>$D$76-E80</f>
        <v>921.37281937812986</v>
      </c>
      <c r="F81" s="436">
        <f>E81-F80</f>
        <v>798.34563875625963</v>
      </c>
      <c r="G81" s="436">
        <f>F81-G80</f>
        <v>675.3184581343894</v>
      </c>
      <c r="H81" s="436">
        <f>G81-H80</f>
        <v>552.29127751251917</v>
      </c>
      <c r="I81" s="436">
        <f>H81-I80</f>
        <v>0</v>
      </c>
      <c r="J81" s="241"/>
      <c r="K81" s="17" t="s">
        <v>392</v>
      </c>
      <c r="L81" s="242"/>
      <c r="M81" s="242"/>
      <c r="N81" s="242"/>
      <c r="O81" s="242"/>
      <c r="P81" s="242"/>
      <c r="Q81" s="242"/>
      <c r="R81" s="242"/>
      <c r="S81" s="61"/>
      <c r="T81" s="61"/>
      <c r="U81" s="61"/>
      <c r="V81" s="61"/>
      <c r="W81" s="61"/>
    </row>
    <row r="82" spans="1:23">
      <c r="A82" s="243"/>
      <c r="B82" s="61"/>
      <c r="C82" s="61"/>
      <c r="D82" s="18"/>
      <c r="E82" s="18"/>
      <c r="F82" s="18"/>
      <c r="G82" s="18"/>
      <c r="H82" s="18"/>
      <c r="I82" s="18"/>
      <c r="J82" s="61"/>
      <c r="K82" s="61"/>
      <c r="L82" s="61"/>
      <c r="M82" s="61"/>
      <c r="N82" s="61"/>
      <c r="O82" s="61"/>
      <c r="P82" s="61"/>
      <c r="Q82" s="61"/>
      <c r="R82" s="61"/>
      <c r="S82" s="61"/>
      <c r="T82" s="61"/>
      <c r="U82" s="61"/>
      <c r="V82" s="61"/>
      <c r="W82" s="61"/>
    </row>
    <row r="83" spans="1:23">
      <c r="A83" s="61" t="s">
        <v>125</v>
      </c>
      <c r="B83" s="61"/>
      <c r="C83" s="61"/>
      <c r="D83" s="18"/>
      <c r="E83" s="18" t="s">
        <v>147</v>
      </c>
      <c r="F83" s="18"/>
      <c r="G83" s="18"/>
      <c r="H83" s="18"/>
      <c r="I83" s="18"/>
      <c r="J83" s="61"/>
      <c r="K83" s="61"/>
      <c r="L83" s="61"/>
      <c r="M83" s="61"/>
      <c r="N83" s="61"/>
      <c r="O83" s="61"/>
      <c r="P83" s="61"/>
      <c r="Q83" s="61"/>
      <c r="R83" s="61"/>
      <c r="S83" s="61"/>
      <c r="T83" s="61"/>
      <c r="U83" s="61"/>
      <c r="V83" s="61"/>
      <c r="W83" s="61"/>
    </row>
    <row r="84" spans="1:23">
      <c r="A84" s="61"/>
      <c r="C84" s="169" t="s">
        <v>142</v>
      </c>
      <c r="D84" s="434">
        <f>E57</f>
        <v>169.5087122188132</v>
      </c>
      <c r="E84" s="434">
        <f>$D$84/$D$101</f>
        <v>14.923557288624988</v>
      </c>
      <c r="F84" s="434">
        <f>$D$84/$D$101</f>
        <v>14.923557288624988</v>
      </c>
      <c r="G84" s="434">
        <f>$D$84/$D$101</f>
        <v>14.923557288624988</v>
      </c>
      <c r="H84" s="434">
        <f>$D$84/$D$101</f>
        <v>14.923557288624988</v>
      </c>
      <c r="I84" s="434">
        <f>$D$84/$D$101</f>
        <v>14.923557288624988</v>
      </c>
      <c r="J84" s="185"/>
      <c r="K84" s="76" t="s">
        <v>203</v>
      </c>
      <c r="N84" s="195"/>
      <c r="O84" s="195"/>
      <c r="P84" s="195"/>
      <c r="Q84" s="195"/>
      <c r="R84" s="195"/>
      <c r="S84" s="61"/>
      <c r="T84" s="61"/>
      <c r="U84" s="61"/>
      <c r="V84" s="61"/>
      <c r="W84" s="61"/>
    </row>
    <row r="85" spans="1:23">
      <c r="A85" s="61"/>
      <c r="C85" s="169" t="s">
        <v>143</v>
      </c>
      <c r="D85" s="434">
        <f>F57</f>
        <v>140.78002703616087</v>
      </c>
      <c r="E85" s="434"/>
      <c r="F85" s="434">
        <f>$D$85/$D$101</f>
        <v>12.394282105431188</v>
      </c>
      <c r="G85" s="434">
        <f>$D$85/$D$101</f>
        <v>12.394282105431188</v>
      </c>
      <c r="H85" s="434">
        <f>$D$85/$D$101</f>
        <v>12.394282105431188</v>
      </c>
      <c r="I85" s="434">
        <f>$D$85/$D$101</f>
        <v>12.394282105431188</v>
      </c>
      <c r="J85" s="185"/>
      <c r="K85" s="195"/>
      <c r="N85" s="195"/>
      <c r="O85" s="195"/>
      <c r="P85" s="195"/>
      <c r="Q85" s="195"/>
      <c r="R85" s="195"/>
      <c r="S85" s="61"/>
      <c r="T85" s="61"/>
      <c r="U85" s="61"/>
      <c r="V85" s="61"/>
      <c r="W85" s="61"/>
    </row>
    <row r="86" spans="1:23">
      <c r="A86" s="61"/>
      <c r="C86" s="169" t="s">
        <v>144</v>
      </c>
      <c r="D86" s="434">
        <f>G57</f>
        <v>116.92033850577823</v>
      </c>
      <c r="E86" s="434"/>
      <c r="F86" s="434"/>
      <c r="G86" s="434">
        <f>$D$86/$D$101</f>
        <v>10.293673682353365</v>
      </c>
      <c r="H86" s="434">
        <f>$D$86/$D$101</f>
        <v>10.293673682353365</v>
      </c>
      <c r="I86" s="434">
        <f>$D$86/$D$101</f>
        <v>10.293673682353365</v>
      </c>
      <c r="J86" s="185"/>
      <c r="K86" s="195"/>
      <c r="N86" s="195"/>
      <c r="O86" s="195"/>
      <c r="P86" s="195"/>
      <c r="Q86" s="195"/>
      <c r="R86" s="195"/>
      <c r="S86" s="195"/>
      <c r="T86" s="61"/>
      <c r="U86" s="61"/>
      <c r="V86" s="61"/>
      <c r="W86" s="61"/>
    </row>
    <row r="87" spans="1:23">
      <c r="A87" s="61"/>
      <c r="C87" s="169" t="s">
        <v>145</v>
      </c>
      <c r="D87" s="434">
        <f>H57</f>
        <v>97.104439060765245</v>
      </c>
      <c r="E87" s="434"/>
      <c r="F87" s="434"/>
      <c r="G87" s="434"/>
      <c r="H87" s="434">
        <f>$D$87/$D$101</f>
        <v>8.5490806952298257</v>
      </c>
      <c r="I87" s="434">
        <f>$D$87/$D$101</f>
        <v>8.5490806952298257</v>
      </c>
      <c r="J87" s="185"/>
      <c r="K87" s="195"/>
      <c r="N87" s="195"/>
      <c r="O87" s="195"/>
      <c r="P87" s="195"/>
      <c r="Q87" s="195"/>
      <c r="R87" s="195"/>
      <c r="S87" s="195"/>
      <c r="T87" s="61"/>
      <c r="U87" s="61"/>
      <c r="V87" s="61"/>
      <c r="W87" s="61"/>
    </row>
    <row r="88" spans="1:23">
      <c r="A88" s="61"/>
      <c r="C88" s="169" t="s">
        <v>146</v>
      </c>
      <c r="D88" s="434">
        <f>I57</f>
        <v>80.646979009899752</v>
      </c>
      <c r="E88" s="434"/>
      <c r="F88" s="434"/>
      <c r="G88" s="434"/>
      <c r="H88" s="434"/>
      <c r="I88" s="434">
        <f>$D$88/$D$101</f>
        <v>7.1001649157428917</v>
      </c>
      <c r="J88" s="185"/>
      <c r="K88" s="195"/>
      <c r="N88" s="195"/>
      <c r="O88" s="195"/>
      <c r="P88" s="195"/>
      <c r="Q88" s="195"/>
      <c r="R88" s="195"/>
      <c r="S88" s="195"/>
      <c r="T88" s="61"/>
      <c r="U88" s="61"/>
      <c r="V88" s="61"/>
      <c r="W88" s="61"/>
    </row>
    <row r="89" spans="1:23">
      <c r="A89" s="61" t="s">
        <v>126</v>
      </c>
      <c r="B89" s="61"/>
      <c r="C89" s="61"/>
      <c r="D89" s="434"/>
      <c r="E89" s="438">
        <f>E80+SUM(E84:E88)</f>
        <v>137.95073791049526</v>
      </c>
      <c r="F89" s="438">
        <f>F80+SUM(F84:F88)</f>
        <v>150.34502001592645</v>
      </c>
      <c r="G89" s="438">
        <f>G80+SUM(G84:G88)</f>
        <v>160.63869369827981</v>
      </c>
      <c r="H89" s="438">
        <f>H80+SUM(H84:H88)</f>
        <v>169.18777439350964</v>
      </c>
      <c r="I89" s="438">
        <f>I80+SUM(I84:I88)</f>
        <v>605.55203619990141</v>
      </c>
      <c r="J89" s="185"/>
      <c r="K89" s="195"/>
      <c r="N89" s="195"/>
      <c r="O89" s="195"/>
      <c r="P89" s="195"/>
      <c r="Q89" s="195"/>
      <c r="R89" s="195"/>
      <c r="S89" s="61"/>
      <c r="T89" s="61"/>
      <c r="U89" s="61"/>
      <c r="V89" s="61"/>
      <c r="W89" s="61"/>
    </row>
    <row r="90" spans="1:23">
      <c r="A90" s="61"/>
      <c r="B90" s="61"/>
      <c r="C90" s="61"/>
      <c r="D90" s="61"/>
      <c r="E90" s="61"/>
      <c r="F90" s="61"/>
      <c r="G90" s="61"/>
      <c r="H90" s="61"/>
      <c r="I90" s="61"/>
      <c r="J90" s="61"/>
      <c r="K90" s="61"/>
      <c r="N90" s="61"/>
      <c r="O90" s="61"/>
      <c r="P90" s="61"/>
      <c r="Q90" s="61"/>
      <c r="R90" s="61"/>
      <c r="S90" s="61"/>
      <c r="T90" s="61"/>
      <c r="U90" s="61"/>
      <c r="V90" s="61"/>
      <c r="W90" s="61"/>
    </row>
    <row r="91" spans="1:23">
      <c r="A91" s="61"/>
      <c r="B91" s="61"/>
      <c r="C91" s="61"/>
      <c r="D91" s="169" t="s">
        <v>696</v>
      </c>
      <c r="E91" s="481">
        <f>E89*0.95</f>
        <v>131.05320101497048</v>
      </c>
      <c r="F91" s="481">
        <f>F89*0.95</f>
        <v>142.82776901513012</v>
      </c>
      <c r="G91" s="481">
        <f>G89*0.95</f>
        <v>152.6067590133658</v>
      </c>
      <c r="H91" s="481">
        <f>H89*0.95</f>
        <v>160.72838567383414</v>
      </c>
      <c r="I91" s="481">
        <f>I89*0.95</f>
        <v>575.27443438990633</v>
      </c>
      <c r="J91" s="61"/>
      <c r="K91" s="61"/>
      <c r="N91" s="61"/>
      <c r="O91" s="61"/>
      <c r="P91" s="61"/>
      <c r="Q91" s="61"/>
      <c r="R91" s="61"/>
      <c r="S91" s="61"/>
      <c r="T91" s="61"/>
      <c r="U91" s="61"/>
      <c r="V91" s="61"/>
      <c r="W91" s="61"/>
    </row>
    <row r="92" spans="1:23">
      <c r="A92" s="61"/>
      <c r="B92" s="61"/>
      <c r="C92" s="61"/>
      <c r="D92" s="169" t="s">
        <v>697</v>
      </c>
      <c r="E92" s="481">
        <f>E89*0.05</f>
        <v>6.8975368955247633</v>
      </c>
      <c r="F92" s="481">
        <f>F89*0.05</f>
        <v>7.5172510007963229</v>
      </c>
      <c r="G92" s="481">
        <f>G89*0.05</f>
        <v>8.0319346849139901</v>
      </c>
      <c r="H92" s="481">
        <f>H89*0.05</f>
        <v>8.4593887196754824</v>
      </c>
      <c r="I92" s="481">
        <f>I89*0.05</f>
        <v>30.277601809995073</v>
      </c>
      <c r="J92" s="61"/>
      <c r="K92" s="61"/>
      <c r="N92" s="61"/>
      <c r="O92" s="61"/>
      <c r="P92" s="61"/>
      <c r="Q92" s="61"/>
      <c r="R92" s="61"/>
      <c r="S92" s="61"/>
      <c r="T92" s="61"/>
      <c r="U92" s="61"/>
      <c r="V92" s="61"/>
      <c r="W92" s="61"/>
    </row>
    <row r="93" spans="1:23">
      <c r="A93" s="61"/>
      <c r="B93" s="61"/>
      <c r="C93" s="61"/>
      <c r="D93" s="61"/>
      <c r="E93" s="61"/>
      <c r="F93" s="61"/>
      <c r="G93" s="61"/>
      <c r="H93" s="61"/>
      <c r="I93" s="61"/>
      <c r="J93" s="61"/>
      <c r="K93" s="61"/>
      <c r="N93" s="61"/>
      <c r="O93" s="61"/>
      <c r="P93" s="61"/>
      <c r="Q93" s="61"/>
      <c r="R93" s="61"/>
      <c r="S93" s="61"/>
      <c r="T93" s="61"/>
      <c r="U93" s="61"/>
      <c r="V93" s="61"/>
      <c r="W93" s="61"/>
    </row>
    <row r="94" spans="1:23">
      <c r="A94" s="61"/>
      <c r="B94" s="61"/>
      <c r="C94" s="61"/>
      <c r="D94" s="61"/>
      <c r="E94" s="61"/>
      <c r="F94" s="61"/>
      <c r="G94" s="61"/>
      <c r="H94" s="61"/>
      <c r="I94" s="61"/>
      <c r="J94" s="61"/>
      <c r="K94" s="61"/>
      <c r="N94" s="61"/>
      <c r="O94" s="61"/>
      <c r="P94" s="61"/>
      <c r="Q94" s="61"/>
      <c r="R94" s="61"/>
      <c r="S94" s="61"/>
      <c r="T94" s="61"/>
      <c r="U94" s="61"/>
      <c r="V94" s="61"/>
      <c r="W94" s="61"/>
    </row>
    <row r="95" spans="1:23">
      <c r="A95" s="61" t="s">
        <v>127</v>
      </c>
      <c r="B95" s="236">
        <f>B66</f>
        <v>2021</v>
      </c>
      <c r="C95" s="236">
        <f>C66</f>
        <v>2022</v>
      </c>
      <c r="D95" s="236">
        <f>D66</f>
        <v>2023</v>
      </c>
      <c r="G95" s="61"/>
      <c r="H95" s="61"/>
      <c r="I95" s="61"/>
      <c r="J95" s="61"/>
      <c r="K95" s="61"/>
      <c r="L95" s="61"/>
      <c r="M95" s="61"/>
      <c r="N95" s="61"/>
      <c r="O95" s="195"/>
      <c r="P95" s="61"/>
      <c r="Q95" s="61"/>
      <c r="R95" s="61"/>
      <c r="S95" s="61"/>
      <c r="T95" s="61"/>
      <c r="U95" s="61"/>
      <c r="V95" s="61"/>
      <c r="W95" s="61"/>
    </row>
    <row r="96" spans="1:23">
      <c r="B96" s="61"/>
      <c r="C96" s="61"/>
      <c r="D96" s="61"/>
      <c r="G96" s="61"/>
      <c r="H96" s="61"/>
      <c r="I96" s="61"/>
      <c r="J96" s="61"/>
      <c r="K96" s="61"/>
      <c r="L96" s="61"/>
      <c r="M96" s="61"/>
      <c r="N96" s="61"/>
      <c r="O96" s="234"/>
      <c r="P96" s="61"/>
      <c r="Q96" s="61"/>
      <c r="R96" s="61"/>
      <c r="S96" s="61"/>
      <c r="T96" s="61"/>
      <c r="U96" s="61"/>
      <c r="V96" s="61"/>
      <c r="W96" s="61"/>
    </row>
    <row r="97" spans="1:23">
      <c r="A97" s="61" t="s">
        <v>232</v>
      </c>
      <c r="B97" s="433">
        <f>B69</f>
        <v>899.3</v>
      </c>
      <c r="C97" s="433">
        <f>C69</f>
        <v>1178.7</v>
      </c>
      <c r="D97" s="433">
        <f>D69</f>
        <v>1397.4</v>
      </c>
      <c r="G97" s="61"/>
      <c r="H97" s="61"/>
      <c r="I97" s="61"/>
      <c r="J97" s="61"/>
      <c r="K97" s="17" t="s">
        <v>202</v>
      </c>
      <c r="L97" s="61"/>
      <c r="M97" s="61"/>
      <c r="N97" s="61"/>
      <c r="O97" s="61"/>
      <c r="P97" s="61"/>
      <c r="Q97" s="61"/>
      <c r="R97" s="61"/>
      <c r="S97" s="61"/>
      <c r="T97" s="61"/>
      <c r="U97" s="61"/>
      <c r="V97" s="61"/>
      <c r="W97" s="61"/>
    </row>
    <row r="98" spans="1:23">
      <c r="A98" s="61" t="s">
        <v>136</v>
      </c>
      <c r="B98" s="434"/>
      <c r="C98" s="434">
        <f>(B97+C97)/2</f>
        <v>1039</v>
      </c>
      <c r="D98" s="434">
        <f>(C97+D97)/2</f>
        <v>1288.0500000000002</v>
      </c>
      <c r="G98" s="244"/>
      <c r="H98" s="61"/>
      <c r="I98" s="61"/>
      <c r="J98" s="61"/>
      <c r="K98" s="61"/>
      <c r="L98" s="61"/>
      <c r="M98" s="61"/>
      <c r="N98" s="61"/>
      <c r="O98" s="61"/>
      <c r="P98" s="61"/>
      <c r="Q98" s="61"/>
      <c r="R98" s="61"/>
      <c r="S98" s="61"/>
      <c r="T98" s="61"/>
      <c r="U98" s="61"/>
      <c r="V98" s="61"/>
      <c r="W98" s="61"/>
    </row>
    <row r="99" spans="1:23">
      <c r="A99" s="61" t="s">
        <v>128</v>
      </c>
      <c r="B99" s="434">
        <f>Data!E145</f>
        <v>84.4</v>
      </c>
      <c r="C99" s="434">
        <f>Data!F145</f>
        <v>104.3</v>
      </c>
      <c r="D99" s="434">
        <f>Data!G145</f>
        <v>113.4</v>
      </c>
      <c r="G99" s="61"/>
      <c r="H99" s="61"/>
      <c r="I99" s="61"/>
      <c r="J99" s="61"/>
      <c r="K99" s="61"/>
      <c r="L99" s="61"/>
      <c r="M99" s="61"/>
      <c r="N99" s="61"/>
      <c r="O99" s="61"/>
      <c r="P99" s="61"/>
      <c r="Q99" s="61"/>
      <c r="R99" s="61"/>
      <c r="S99" s="61"/>
      <c r="T99" s="61"/>
      <c r="U99" s="61"/>
      <c r="V99" s="61"/>
      <c r="W99" s="227"/>
    </row>
    <row r="100" spans="1:23">
      <c r="A100" s="61" t="s">
        <v>233</v>
      </c>
      <c r="B100" s="245"/>
      <c r="C100" s="245">
        <f>C98/C99</f>
        <v>9.9616490891658671</v>
      </c>
      <c r="D100" s="245">
        <f>D98/D99</f>
        <v>11.358465608465609</v>
      </c>
      <c r="G100" s="61"/>
      <c r="H100" s="61"/>
      <c r="I100" s="61"/>
      <c r="J100" s="61"/>
      <c r="K100" s="61"/>
      <c r="L100" s="61"/>
      <c r="M100" s="61"/>
      <c r="N100" s="61"/>
      <c r="O100" s="61"/>
      <c r="P100" s="61"/>
      <c r="Q100" s="61"/>
      <c r="R100" s="61"/>
      <c r="S100" s="61"/>
      <c r="T100" s="61"/>
      <c r="U100" s="61"/>
      <c r="V100" s="61"/>
      <c r="W100" s="61"/>
    </row>
    <row r="101" spans="1:23">
      <c r="A101" s="61" t="s">
        <v>138</v>
      </c>
      <c r="B101" s="61"/>
      <c r="C101" s="61" t="s">
        <v>137</v>
      </c>
      <c r="D101" s="246">
        <f>D100</f>
        <v>11.358465608465609</v>
      </c>
      <c r="E101" s="61"/>
      <c r="F101" s="61"/>
      <c r="G101" s="61"/>
      <c r="H101" s="61"/>
      <c r="I101" s="61"/>
      <c r="J101" s="61"/>
      <c r="K101" s="61"/>
      <c r="L101" s="61"/>
      <c r="M101" s="61"/>
      <c r="N101" s="61"/>
      <c r="O101" s="61"/>
      <c r="P101" s="61"/>
      <c r="Q101" s="61"/>
      <c r="R101" s="61"/>
      <c r="S101" s="61"/>
      <c r="T101" s="61"/>
      <c r="U101" s="61"/>
      <c r="V101" s="61"/>
      <c r="W101" s="61"/>
    </row>
    <row r="102" spans="1:23">
      <c r="B102" s="61"/>
      <c r="C102" s="61"/>
      <c r="E102" s="61"/>
      <c r="F102" s="61"/>
      <c r="G102" s="61"/>
      <c r="H102" s="61"/>
      <c r="I102" s="61"/>
      <c r="J102" s="61"/>
      <c r="K102" s="61"/>
      <c r="L102" s="61"/>
      <c r="M102" s="61"/>
      <c r="N102" s="61"/>
      <c r="O102" s="61"/>
      <c r="P102" s="61"/>
      <c r="Q102" s="61"/>
      <c r="R102" s="61"/>
      <c r="S102" s="61"/>
      <c r="T102" s="61"/>
      <c r="U102" s="61"/>
      <c r="V102" s="61"/>
      <c r="W102" s="61"/>
    </row>
    <row r="103" spans="1:23">
      <c r="E103" s="61"/>
      <c r="F103" s="61"/>
      <c r="G103" s="61"/>
      <c r="H103" s="61"/>
      <c r="I103" s="61"/>
      <c r="J103" s="61"/>
      <c r="K103" s="61"/>
      <c r="L103" s="61"/>
      <c r="M103" s="61"/>
      <c r="N103" s="61"/>
      <c r="O103" s="61"/>
      <c r="P103" s="61"/>
      <c r="Q103" s="61"/>
      <c r="R103" s="61"/>
      <c r="S103" s="61"/>
      <c r="T103" s="61"/>
      <c r="U103" s="61"/>
      <c r="V103" s="61"/>
      <c r="W103" s="61"/>
    </row>
    <row r="106" spans="1:23">
      <c r="A106" s="217" t="s">
        <v>733</v>
      </c>
      <c r="B106" s="148"/>
      <c r="C106" s="148"/>
      <c r="D106" s="222"/>
      <c r="E106" s="452"/>
      <c r="F106" s="231"/>
      <c r="G106" s="61"/>
      <c r="H106" s="61"/>
      <c r="I106" s="61"/>
    </row>
    <row r="108" spans="1:23" ht="51">
      <c r="A108" s="450" t="s">
        <v>729</v>
      </c>
      <c r="B108" s="450" t="s">
        <v>728</v>
      </c>
      <c r="C108" s="450" t="s">
        <v>731</v>
      </c>
      <c r="D108" s="450" t="s">
        <v>1052</v>
      </c>
      <c r="E108" s="450" t="s">
        <v>732</v>
      </c>
      <c r="F108" s="450" t="s">
        <v>831</v>
      </c>
      <c r="H108" s="450"/>
    </row>
    <row r="109" spans="1:23">
      <c r="A109" s="448" t="s">
        <v>829</v>
      </c>
      <c r="B109" s="449">
        <v>500</v>
      </c>
      <c r="C109" s="768">
        <f t="shared" ref="C109:C117" si="46">B109/$B$117</f>
        <v>0.50387987503779097</v>
      </c>
      <c r="D109" s="453">
        <v>1.2999999999999999E-2</v>
      </c>
      <c r="E109" s="454">
        <f t="shared" ref="E109:E115" si="47">C109*D109</f>
        <v>6.5504383754912826E-3</v>
      </c>
      <c r="F109" s="563">
        <v>46096</v>
      </c>
    </row>
    <row r="110" spans="1:23">
      <c r="A110" s="448" t="s">
        <v>830</v>
      </c>
      <c r="B110" s="449">
        <v>500</v>
      </c>
      <c r="C110" s="768">
        <f t="shared" si="46"/>
        <v>0.50387987503779097</v>
      </c>
      <c r="D110" s="453">
        <v>2.3E-2</v>
      </c>
      <c r="E110" s="454">
        <f t="shared" si="47"/>
        <v>1.1589237125869192E-2</v>
      </c>
      <c r="F110" s="563">
        <v>47922</v>
      </c>
    </row>
    <row r="111" spans="1:23">
      <c r="A111" s="448" t="s">
        <v>766</v>
      </c>
      <c r="B111" s="449">
        <v>0</v>
      </c>
      <c r="C111" s="447">
        <f t="shared" si="46"/>
        <v>0</v>
      </c>
      <c r="D111" s="453">
        <v>0</v>
      </c>
      <c r="E111" s="454">
        <f t="shared" si="47"/>
        <v>0</v>
      </c>
      <c r="F111"/>
    </row>
    <row r="112" spans="1:23">
      <c r="A112" s="448" t="s">
        <v>767</v>
      </c>
      <c r="B112" s="449">
        <v>0</v>
      </c>
      <c r="C112" s="447">
        <f t="shared" si="46"/>
        <v>0</v>
      </c>
      <c r="D112" s="453">
        <v>0</v>
      </c>
      <c r="E112" s="454">
        <f t="shared" si="47"/>
        <v>0</v>
      </c>
      <c r="F112"/>
    </row>
    <row r="113" spans="1:1021 1025:2045 2049:3069 3073:4093 4097:5117 5121:6141 6145:7165 7169:8189 8193:9213 9217:10237 10241:11261 11265:12285 12289:13309 13313:14333 14337:15357 15361:16381">
      <c r="A113" s="448" t="s">
        <v>768</v>
      </c>
      <c r="B113" s="449">
        <v>0</v>
      </c>
      <c r="C113" s="447">
        <f t="shared" si="46"/>
        <v>0</v>
      </c>
      <c r="D113" s="453">
        <v>0</v>
      </c>
      <c r="E113" s="454">
        <f t="shared" si="47"/>
        <v>0</v>
      </c>
      <c r="F113"/>
    </row>
    <row r="114" spans="1:1021 1025:2045 2049:3069 3073:4093 4097:5117 5121:6141 6145:7165 7169:8189 8193:9213 9217:10237 10241:11261 11265:12285 12289:13309 13313:14333 14337:15357 15361:16381">
      <c r="A114" s="448" t="s">
        <v>769</v>
      </c>
      <c r="B114" s="449">
        <v>0</v>
      </c>
      <c r="C114" s="447">
        <f t="shared" si="46"/>
        <v>0</v>
      </c>
      <c r="D114" s="453">
        <v>0</v>
      </c>
      <c r="E114" s="454">
        <f t="shared" si="47"/>
        <v>0</v>
      </c>
      <c r="F114"/>
    </row>
    <row r="115" spans="1:1021 1025:2045 2049:3069 3073:4093 4097:5117 5121:6141 6145:7165 7169:8189 8193:9213 9217:10237 10241:11261 11265:12285 12289:13309 13313:14333 14337:15357 15361:16381">
      <c r="A115" s="448" t="s">
        <v>770</v>
      </c>
      <c r="B115" s="449">
        <v>0</v>
      </c>
      <c r="C115" s="447">
        <f t="shared" si="46"/>
        <v>0</v>
      </c>
      <c r="D115" s="453">
        <v>0</v>
      </c>
      <c r="E115" s="454">
        <f t="shared" si="47"/>
        <v>0</v>
      </c>
      <c r="F115"/>
    </row>
    <row r="116" spans="1:1021 1025:2045 2049:3069 3073:4093 4097:5117 5121:6141 6145:7165 7169:8189 8193:9213 9217:10237 10241:11261 11265:12285 12289:13309 13313:14333 14337:15357 15361:16381">
      <c r="A116" s="457" t="s">
        <v>1051</v>
      </c>
      <c r="B116" s="449">
        <v>-7.7</v>
      </c>
      <c r="C116" s="447">
        <f t="shared" si="46"/>
        <v>-7.7597500755819818E-3</v>
      </c>
      <c r="F116"/>
    </row>
    <row r="117" spans="1:1021 1025:2045 2049:3069 3073:4093 4097:5117 5121:6141 6145:7165 7169:8189 8193:9213 9217:10237 10241:11261 11265:12285 12289:13309 13313:14333 14337:15357 15361:16381">
      <c r="A117" s="169" t="s">
        <v>730</v>
      </c>
      <c r="B117" s="451">
        <f>SUM(B109:B116)</f>
        <v>992.3</v>
      </c>
      <c r="C117" s="767">
        <f t="shared" si="46"/>
        <v>1</v>
      </c>
      <c r="D117"/>
      <c r="E117" s="455">
        <f>SUM(E109:E115)</f>
        <v>1.8139675501360475E-2</v>
      </c>
    </row>
    <row r="118" spans="1:1021 1025:2045 2049:3069 3073:4093 4097:5117 5121:6141 6145:7165 7169:8189 8193:9213 9217:10237 10241:11261 11265:12285 12289:13309 13313:14333 14337:15357 15361:16381">
      <c r="D118" s="448" t="s">
        <v>734</v>
      </c>
      <c r="E118" s="456">
        <f>E117</f>
        <v>1.8139675501360475E-2</v>
      </c>
    </row>
    <row r="122" spans="1:1021 1025:2045 2049:3069 3073:4093 4097:5117 5121:6141 6145:7165 7169:8189 8193:9213 9217:10237 10241:11261 11265:12285 12289:13309 13313:14333 14337:15357 15361:16381">
      <c r="A122" s="217" t="s">
        <v>735</v>
      </c>
      <c r="B122" s="148"/>
      <c r="C122" s="148"/>
      <c r="D122" s="222"/>
      <c r="E122" s="235" t="s">
        <v>736</v>
      </c>
      <c r="F122" s="224"/>
      <c r="G122" s="225"/>
      <c r="H122" s="225"/>
      <c r="I122" s="225"/>
    </row>
    <row r="124" spans="1:1021 1025:2045 2049:3069 3073:4093 4097:5117 5121:6141 6145:7165 7169:8189 8193:9213 9217:10237 10241:11261 11265:12285 12289:13309 13313:14333 14337:15357 15361:16381" s="18" customFormat="1">
      <c r="A124" s="226"/>
      <c r="B124" s="226">
        <f t="shared" ref="B124:I124" si="48">B66</f>
        <v>2021</v>
      </c>
      <c r="C124" s="226">
        <f t="shared" si="48"/>
        <v>2022</v>
      </c>
      <c r="D124" s="375">
        <f t="shared" si="48"/>
        <v>2023</v>
      </c>
      <c r="E124" s="375" t="str">
        <f t="shared" si="48"/>
        <v>Year +1</v>
      </c>
      <c r="F124" s="375" t="str">
        <f t="shared" si="48"/>
        <v>Year +2</v>
      </c>
      <c r="G124" s="375" t="str">
        <f t="shared" si="48"/>
        <v>Year +3</v>
      </c>
      <c r="H124" s="375" t="str">
        <f t="shared" si="48"/>
        <v>Year +4</v>
      </c>
      <c r="I124" s="375" t="str">
        <f t="shared" si="48"/>
        <v>Year +5</v>
      </c>
      <c r="J124" s="230" t="s">
        <v>978</v>
      </c>
      <c r="M124" s="169"/>
      <c r="Q124" s="169"/>
      <c r="U124" s="169"/>
      <c r="Y124" s="169"/>
      <c r="AC124" s="169"/>
      <c r="AG124" s="169"/>
      <c r="AK124" s="169"/>
      <c r="AO124" s="169"/>
      <c r="AS124" s="169"/>
      <c r="AW124" s="169"/>
      <c r="BA124" s="169"/>
      <c r="BE124" s="169"/>
      <c r="BI124" s="169"/>
      <c r="BM124" s="169"/>
      <c r="BQ124" s="169"/>
      <c r="BU124" s="169"/>
      <c r="BY124" s="169"/>
      <c r="CC124" s="169"/>
      <c r="CG124" s="169"/>
      <c r="CK124" s="169"/>
      <c r="CO124" s="169"/>
      <c r="CS124" s="169"/>
      <c r="CW124" s="169"/>
      <c r="DA124" s="169"/>
      <c r="DE124" s="169"/>
      <c r="DI124" s="169"/>
      <c r="DM124" s="169"/>
      <c r="DQ124" s="169"/>
      <c r="DU124" s="169"/>
      <c r="DY124" s="169"/>
      <c r="EC124" s="169"/>
      <c r="EG124" s="169"/>
      <c r="EK124" s="169"/>
      <c r="EO124" s="169"/>
      <c r="ES124" s="169"/>
      <c r="EW124" s="169"/>
      <c r="FA124" s="169"/>
      <c r="FE124" s="169"/>
      <c r="FI124" s="169"/>
      <c r="FM124" s="169"/>
      <c r="FQ124" s="169"/>
      <c r="FU124" s="169"/>
      <c r="FY124" s="169"/>
      <c r="GC124" s="169"/>
      <c r="GG124" s="169"/>
      <c r="GK124" s="169"/>
      <c r="GO124" s="169"/>
      <c r="GS124" s="169"/>
      <c r="GW124" s="169"/>
      <c r="HA124" s="169"/>
      <c r="HE124" s="169"/>
      <c r="HI124" s="169"/>
      <c r="HM124" s="169"/>
      <c r="HQ124" s="169"/>
      <c r="HU124" s="169"/>
      <c r="HY124" s="169"/>
      <c r="IC124" s="169"/>
      <c r="IG124" s="169"/>
      <c r="IK124" s="169"/>
      <c r="IO124" s="169"/>
      <c r="IS124" s="169"/>
      <c r="IW124" s="169"/>
      <c r="JA124" s="169"/>
      <c r="JE124" s="169"/>
      <c r="JI124" s="169"/>
      <c r="JM124" s="169"/>
      <c r="JQ124" s="169"/>
      <c r="JU124" s="169"/>
      <c r="JY124" s="169"/>
      <c r="KC124" s="169"/>
      <c r="KG124" s="169"/>
      <c r="KK124" s="169"/>
      <c r="KO124" s="169"/>
      <c r="KS124" s="169"/>
      <c r="KW124" s="169"/>
      <c r="LA124" s="169"/>
      <c r="LE124" s="169"/>
      <c r="LI124" s="169"/>
      <c r="LM124" s="169"/>
      <c r="LQ124" s="169"/>
      <c r="LU124" s="169"/>
      <c r="LY124" s="169"/>
      <c r="MC124" s="169"/>
      <c r="MG124" s="169"/>
      <c r="MK124" s="169"/>
      <c r="MO124" s="169"/>
      <c r="MS124" s="169"/>
      <c r="MW124" s="169"/>
      <c r="NA124" s="169"/>
      <c r="NE124" s="169"/>
      <c r="NI124" s="169"/>
      <c r="NM124" s="169"/>
      <c r="NQ124" s="169"/>
      <c r="NU124" s="169"/>
      <c r="NY124" s="169"/>
      <c r="OC124" s="169"/>
      <c r="OG124" s="169"/>
      <c r="OK124" s="169"/>
      <c r="OO124" s="169"/>
      <c r="OS124" s="169"/>
      <c r="OW124" s="169"/>
      <c r="PA124" s="169"/>
      <c r="PE124" s="169"/>
      <c r="PI124" s="169"/>
      <c r="PM124" s="169"/>
      <c r="PQ124" s="169"/>
      <c r="PU124" s="169"/>
      <c r="PY124" s="169"/>
      <c r="QC124" s="169"/>
      <c r="QG124" s="169"/>
      <c r="QK124" s="169"/>
      <c r="QO124" s="169"/>
      <c r="QS124" s="169"/>
      <c r="QW124" s="169"/>
      <c r="RA124" s="169"/>
      <c r="RE124" s="169"/>
      <c r="RI124" s="169"/>
      <c r="RM124" s="169"/>
      <c r="RQ124" s="169"/>
      <c r="RU124" s="169"/>
      <c r="RY124" s="169"/>
      <c r="SC124" s="169"/>
      <c r="SG124" s="169"/>
      <c r="SK124" s="169"/>
      <c r="SO124" s="169"/>
      <c r="SS124" s="169"/>
      <c r="SW124" s="169"/>
      <c r="TA124" s="169"/>
      <c r="TE124" s="169"/>
      <c r="TI124" s="169"/>
      <c r="TM124" s="169"/>
      <c r="TQ124" s="169"/>
      <c r="TU124" s="169"/>
      <c r="TY124" s="169"/>
      <c r="UC124" s="169"/>
      <c r="UG124" s="169"/>
      <c r="UK124" s="169"/>
      <c r="UO124" s="169"/>
      <c r="US124" s="169"/>
      <c r="UW124" s="169"/>
      <c r="VA124" s="169"/>
      <c r="VE124" s="169"/>
      <c r="VI124" s="169"/>
      <c r="VM124" s="169"/>
      <c r="VQ124" s="169"/>
      <c r="VU124" s="169"/>
      <c r="VY124" s="169"/>
      <c r="WC124" s="169"/>
      <c r="WG124" s="169"/>
      <c r="WK124" s="169"/>
      <c r="WO124" s="169"/>
      <c r="WS124" s="169"/>
      <c r="WW124" s="169"/>
      <c r="XA124" s="169"/>
      <c r="XE124" s="169"/>
      <c r="XI124" s="169"/>
      <c r="XM124" s="169"/>
      <c r="XQ124" s="169"/>
      <c r="XU124" s="169"/>
      <c r="XY124" s="169"/>
      <c r="YC124" s="169"/>
      <c r="YG124" s="169"/>
      <c r="YK124" s="169"/>
      <c r="YO124" s="169"/>
      <c r="YS124" s="169"/>
      <c r="YW124" s="169"/>
      <c r="ZA124" s="169"/>
      <c r="ZE124" s="169"/>
      <c r="ZI124" s="169"/>
      <c r="ZM124" s="169"/>
      <c r="ZQ124" s="169"/>
      <c r="ZU124" s="169"/>
      <c r="ZY124" s="169"/>
      <c r="AAC124" s="169"/>
      <c r="AAG124" s="169"/>
      <c r="AAK124" s="169"/>
      <c r="AAO124" s="169"/>
      <c r="AAS124" s="169"/>
      <c r="AAW124" s="169"/>
      <c r="ABA124" s="169"/>
      <c r="ABE124" s="169"/>
      <c r="ABI124" s="169"/>
      <c r="ABM124" s="169"/>
      <c r="ABQ124" s="169"/>
      <c r="ABU124" s="169"/>
      <c r="ABY124" s="169"/>
      <c r="ACC124" s="169"/>
      <c r="ACG124" s="169"/>
      <c r="ACK124" s="169"/>
      <c r="ACO124" s="169"/>
      <c r="ACS124" s="169"/>
      <c r="ACW124" s="169"/>
      <c r="ADA124" s="169"/>
      <c r="ADE124" s="169"/>
      <c r="ADI124" s="169"/>
      <c r="ADM124" s="169"/>
      <c r="ADQ124" s="169"/>
      <c r="ADU124" s="169"/>
      <c r="ADY124" s="169"/>
      <c r="AEC124" s="169"/>
      <c r="AEG124" s="169"/>
      <c r="AEK124" s="169"/>
      <c r="AEO124" s="169"/>
      <c r="AES124" s="169"/>
      <c r="AEW124" s="169"/>
      <c r="AFA124" s="169"/>
      <c r="AFE124" s="169"/>
      <c r="AFI124" s="169"/>
      <c r="AFM124" s="169"/>
      <c r="AFQ124" s="169"/>
      <c r="AFU124" s="169"/>
      <c r="AFY124" s="169"/>
      <c r="AGC124" s="169"/>
      <c r="AGG124" s="169"/>
      <c r="AGK124" s="169"/>
      <c r="AGO124" s="169"/>
      <c r="AGS124" s="169"/>
      <c r="AGW124" s="169"/>
      <c r="AHA124" s="169"/>
      <c r="AHE124" s="169"/>
      <c r="AHI124" s="169"/>
      <c r="AHM124" s="169"/>
      <c r="AHQ124" s="169"/>
      <c r="AHU124" s="169"/>
      <c r="AHY124" s="169"/>
      <c r="AIC124" s="169"/>
      <c r="AIG124" s="169"/>
      <c r="AIK124" s="169"/>
      <c r="AIO124" s="169"/>
      <c r="AIS124" s="169"/>
      <c r="AIW124" s="169"/>
      <c r="AJA124" s="169"/>
      <c r="AJE124" s="169"/>
      <c r="AJI124" s="169"/>
      <c r="AJM124" s="169"/>
      <c r="AJQ124" s="169"/>
      <c r="AJU124" s="169"/>
      <c r="AJY124" s="169"/>
      <c r="AKC124" s="169"/>
      <c r="AKG124" s="169"/>
      <c r="AKK124" s="169"/>
      <c r="AKO124" s="169"/>
      <c r="AKS124" s="169"/>
      <c r="AKW124" s="169"/>
      <c r="ALA124" s="169"/>
      <c r="ALE124" s="169"/>
      <c r="ALI124" s="169"/>
      <c r="ALM124" s="169"/>
      <c r="ALQ124" s="169"/>
      <c r="ALU124" s="169"/>
      <c r="ALY124" s="169"/>
      <c r="AMC124" s="169"/>
      <c r="AMG124" s="169"/>
      <c r="AMK124" s="169"/>
      <c r="AMO124" s="169"/>
      <c r="AMS124" s="169"/>
      <c r="AMW124" s="169"/>
      <c r="ANA124" s="169"/>
      <c r="ANE124" s="169"/>
      <c r="ANI124" s="169"/>
      <c r="ANM124" s="169"/>
      <c r="ANQ124" s="169"/>
      <c r="ANU124" s="169"/>
      <c r="ANY124" s="169"/>
      <c r="AOC124" s="169"/>
      <c r="AOG124" s="169"/>
      <c r="AOK124" s="169"/>
      <c r="AOO124" s="169"/>
      <c r="AOS124" s="169"/>
      <c r="AOW124" s="169"/>
      <c r="APA124" s="169"/>
      <c r="APE124" s="169"/>
      <c r="API124" s="169"/>
      <c r="APM124" s="169"/>
      <c r="APQ124" s="169"/>
      <c r="APU124" s="169"/>
      <c r="APY124" s="169"/>
      <c r="AQC124" s="169"/>
      <c r="AQG124" s="169"/>
      <c r="AQK124" s="169"/>
      <c r="AQO124" s="169"/>
      <c r="AQS124" s="169"/>
      <c r="AQW124" s="169"/>
      <c r="ARA124" s="169"/>
      <c r="ARE124" s="169"/>
      <c r="ARI124" s="169"/>
      <c r="ARM124" s="169"/>
      <c r="ARQ124" s="169"/>
      <c r="ARU124" s="169"/>
      <c r="ARY124" s="169"/>
      <c r="ASC124" s="169"/>
      <c r="ASG124" s="169"/>
      <c r="ASK124" s="169"/>
      <c r="ASO124" s="169"/>
      <c r="ASS124" s="169"/>
      <c r="ASW124" s="169"/>
      <c r="ATA124" s="169"/>
      <c r="ATE124" s="169"/>
      <c r="ATI124" s="169"/>
      <c r="ATM124" s="169"/>
      <c r="ATQ124" s="169"/>
      <c r="ATU124" s="169"/>
      <c r="ATY124" s="169"/>
      <c r="AUC124" s="169"/>
      <c r="AUG124" s="169"/>
      <c r="AUK124" s="169"/>
      <c r="AUO124" s="169"/>
      <c r="AUS124" s="169"/>
      <c r="AUW124" s="169"/>
      <c r="AVA124" s="169"/>
      <c r="AVE124" s="169"/>
      <c r="AVI124" s="169"/>
      <c r="AVM124" s="169"/>
      <c r="AVQ124" s="169"/>
      <c r="AVU124" s="169"/>
      <c r="AVY124" s="169"/>
      <c r="AWC124" s="169"/>
      <c r="AWG124" s="169"/>
      <c r="AWK124" s="169"/>
      <c r="AWO124" s="169"/>
      <c r="AWS124" s="169"/>
      <c r="AWW124" s="169"/>
      <c r="AXA124" s="169"/>
      <c r="AXE124" s="169"/>
      <c r="AXI124" s="169"/>
      <c r="AXM124" s="169"/>
      <c r="AXQ124" s="169"/>
      <c r="AXU124" s="169"/>
      <c r="AXY124" s="169"/>
      <c r="AYC124" s="169"/>
      <c r="AYG124" s="169"/>
      <c r="AYK124" s="169"/>
      <c r="AYO124" s="169"/>
      <c r="AYS124" s="169"/>
      <c r="AYW124" s="169"/>
      <c r="AZA124" s="169"/>
      <c r="AZE124" s="169"/>
      <c r="AZI124" s="169"/>
      <c r="AZM124" s="169"/>
      <c r="AZQ124" s="169"/>
      <c r="AZU124" s="169"/>
      <c r="AZY124" s="169"/>
      <c r="BAC124" s="169"/>
      <c r="BAG124" s="169"/>
      <c r="BAK124" s="169"/>
      <c r="BAO124" s="169"/>
      <c r="BAS124" s="169"/>
      <c r="BAW124" s="169"/>
      <c r="BBA124" s="169"/>
      <c r="BBE124" s="169"/>
      <c r="BBI124" s="169"/>
      <c r="BBM124" s="169"/>
      <c r="BBQ124" s="169"/>
      <c r="BBU124" s="169"/>
      <c r="BBY124" s="169"/>
      <c r="BCC124" s="169"/>
      <c r="BCG124" s="169"/>
      <c r="BCK124" s="169"/>
      <c r="BCO124" s="169"/>
      <c r="BCS124" s="169"/>
      <c r="BCW124" s="169"/>
      <c r="BDA124" s="169"/>
      <c r="BDE124" s="169"/>
      <c r="BDI124" s="169"/>
      <c r="BDM124" s="169"/>
      <c r="BDQ124" s="169"/>
      <c r="BDU124" s="169"/>
      <c r="BDY124" s="169"/>
      <c r="BEC124" s="169"/>
      <c r="BEG124" s="169"/>
      <c r="BEK124" s="169"/>
      <c r="BEO124" s="169"/>
      <c r="BES124" s="169"/>
      <c r="BEW124" s="169"/>
      <c r="BFA124" s="169"/>
      <c r="BFE124" s="169"/>
      <c r="BFI124" s="169"/>
      <c r="BFM124" s="169"/>
      <c r="BFQ124" s="169"/>
      <c r="BFU124" s="169"/>
      <c r="BFY124" s="169"/>
      <c r="BGC124" s="169"/>
      <c r="BGG124" s="169"/>
      <c r="BGK124" s="169"/>
      <c r="BGO124" s="169"/>
      <c r="BGS124" s="169"/>
      <c r="BGW124" s="169"/>
      <c r="BHA124" s="169"/>
      <c r="BHE124" s="169"/>
      <c r="BHI124" s="169"/>
      <c r="BHM124" s="169"/>
      <c r="BHQ124" s="169"/>
      <c r="BHU124" s="169"/>
      <c r="BHY124" s="169"/>
      <c r="BIC124" s="169"/>
      <c r="BIG124" s="169"/>
      <c r="BIK124" s="169"/>
      <c r="BIO124" s="169"/>
      <c r="BIS124" s="169"/>
      <c r="BIW124" s="169"/>
      <c r="BJA124" s="169"/>
      <c r="BJE124" s="169"/>
      <c r="BJI124" s="169"/>
      <c r="BJM124" s="169"/>
      <c r="BJQ124" s="169"/>
      <c r="BJU124" s="169"/>
      <c r="BJY124" s="169"/>
      <c r="BKC124" s="169"/>
      <c r="BKG124" s="169"/>
      <c r="BKK124" s="169"/>
      <c r="BKO124" s="169"/>
      <c r="BKS124" s="169"/>
      <c r="BKW124" s="169"/>
      <c r="BLA124" s="169"/>
      <c r="BLE124" s="169"/>
      <c r="BLI124" s="169"/>
      <c r="BLM124" s="169"/>
      <c r="BLQ124" s="169"/>
      <c r="BLU124" s="169"/>
      <c r="BLY124" s="169"/>
      <c r="BMC124" s="169"/>
      <c r="BMG124" s="169"/>
      <c r="BMK124" s="169"/>
      <c r="BMO124" s="169"/>
      <c r="BMS124" s="169"/>
      <c r="BMW124" s="169"/>
      <c r="BNA124" s="169"/>
      <c r="BNE124" s="169"/>
      <c r="BNI124" s="169"/>
      <c r="BNM124" s="169"/>
      <c r="BNQ124" s="169"/>
      <c r="BNU124" s="169"/>
      <c r="BNY124" s="169"/>
      <c r="BOC124" s="169"/>
      <c r="BOG124" s="169"/>
      <c r="BOK124" s="169"/>
      <c r="BOO124" s="169"/>
      <c r="BOS124" s="169"/>
      <c r="BOW124" s="169"/>
      <c r="BPA124" s="169"/>
      <c r="BPE124" s="169"/>
      <c r="BPI124" s="169"/>
      <c r="BPM124" s="169"/>
      <c r="BPQ124" s="169"/>
      <c r="BPU124" s="169"/>
      <c r="BPY124" s="169"/>
      <c r="BQC124" s="169"/>
      <c r="BQG124" s="169"/>
      <c r="BQK124" s="169"/>
      <c r="BQO124" s="169"/>
      <c r="BQS124" s="169"/>
      <c r="BQW124" s="169"/>
      <c r="BRA124" s="169"/>
      <c r="BRE124" s="169"/>
      <c r="BRI124" s="169"/>
      <c r="BRM124" s="169"/>
      <c r="BRQ124" s="169"/>
      <c r="BRU124" s="169"/>
      <c r="BRY124" s="169"/>
      <c r="BSC124" s="169"/>
      <c r="BSG124" s="169"/>
      <c r="BSK124" s="169"/>
      <c r="BSO124" s="169"/>
      <c r="BSS124" s="169"/>
      <c r="BSW124" s="169"/>
      <c r="BTA124" s="169"/>
      <c r="BTE124" s="169"/>
      <c r="BTI124" s="169"/>
      <c r="BTM124" s="169"/>
      <c r="BTQ124" s="169"/>
      <c r="BTU124" s="169"/>
      <c r="BTY124" s="169"/>
      <c r="BUC124" s="169"/>
      <c r="BUG124" s="169"/>
      <c r="BUK124" s="169"/>
      <c r="BUO124" s="169"/>
      <c r="BUS124" s="169"/>
      <c r="BUW124" s="169"/>
      <c r="BVA124" s="169"/>
      <c r="BVE124" s="169"/>
      <c r="BVI124" s="169"/>
      <c r="BVM124" s="169"/>
      <c r="BVQ124" s="169"/>
      <c r="BVU124" s="169"/>
      <c r="BVY124" s="169"/>
      <c r="BWC124" s="169"/>
      <c r="BWG124" s="169"/>
      <c r="BWK124" s="169"/>
      <c r="BWO124" s="169"/>
      <c r="BWS124" s="169"/>
      <c r="BWW124" s="169"/>
      <c r="BXA124" s="169"/>
      <c r="BXE124" s="169"/>
      <c r="BXI124" s="169"/>
      <c r="BXM124" s="169"/>
      <c r="BXQ124" s="169"/>
      <c r="BXU124" s="169"/>
      <c r="BXY124" s="169"/>
      <c r="BYC124" s="169"/>
      <c r="BYG124" s="169"/>
      <c r="BYK124" s="169"/>
      <c r="BYO124" s="169"/>
      <c r="BYS124" s="169"/>
      <c r="BYW124" s="169"/>
      <c r="BZA124" s="169"/>
      <c r="BZE124" s="169"/>
      <c r="BZI124" s="169"/>
      <c r="BZM124" s="169"/>
      <c r="BZQ124" s="169"/>
      <c r="BZU124" s="169"/>
      <c r="BZY124" s="169"/>
      <c r="CAC124" s="169"/>
      <c r="CAG124" s="169"/>
      <c r="CAK124" s="169"/>
      <c r="CAO124" s="169"/>
      <c r="CAS124" s="169"/>
      <c r="CAW124" s="169"/>
      <c r="CBA124" s="169"/>
      <c r="CBE124" s="169"/>
      <c r="CBI124" s="169"/>
      <c r="CBM124" s="169"/>
      <c r="CBQ124" s="169"/>
      <c r="CBU124" s="169"/>
      <c r="CBY124" s="169"/>
      <c r="CCC124" s="169"/>
      <c r="CCG124" s="169"/>
      <c r="CCK124" s="169"/>
      <c r="CCO124" s="169"/>
      <c r="CCS124" s="169"/>
      <c r="CCW124" s="169"/>
      <c r="CDA124" s="169"/>
      <c r="CDE124" s="169"/>
      <c r="CDI124" s="169"/>
      <c r="CDM124" s="169"/>
      <c r="CDQ124" s="169"/>
      <c r="CDU124" s="169"/>
      <c r="CDY124" s="169"/>
      <c r="CEC124" s="169"/>
      <c r="CEG124" s="169"/>
      <c r="CEK124" s="169"/>
      <c r="CEO124" s="169"/>
      <c r="CES124" s="169"/>
      <c r="CEW124" s="169"/>
      <c r="CFA124" s="169"/>
      <c r="CFE124" s="169"/>
      <c r="CFI124" s="169"/>
      <c r="CFM124" s="169"/>
      <c r="CFQ124" s="169"/>
      <c r="CFU124" s="169"/>
      <c r="CFY124" s="169"/>
      <c r="CGC124" s="169"/>
      <c r="CGG124" s="169"/>
      <c r="CGK124" s="169"/>
      <c r="CGO124" s="169"/>
      <c r="CGS124" s="169"/>
      <c r="CGW124" s="169"/>
      <c r="CHA124" s="169"/>
      <c r="CHE124" s="169"/>
      <c r="CHI124" s="169"/>
      <c r="CHM124" s="169"/>
      <c r="CHQ124" s="169"/>
      <c r="CHU124" s="169"/>
      <c r="CHY124" s="169"/>
      <c r="CIC124" s="169"/>
      <c r="CIG124" s="169"/>
      <c r="CIK124" s="169"/>
      <c r="CIO124" s="169"/>
      <c r="CIS124" s="169"/>
      <c r="CIW124" s="169"/>
      <c r="CJA124" s="169"/>
      <c r="CJE124" s="169"/>
      <c r="CJI124" s="169"/>
      <c r="CJM124" s="169"/>
      <c r="CJQ124" s="169"/>
      <c r="CJU124" s="169"/>
      <c r="CJY124" s="169"/>
      <c r="CKC124" s="169"/>
      <c r="CKG124" s="169"/>
      <c r="CKK124" s="169"/>
      <c r="CKO124" s="169"/>
      <c r="CKS124" s="169"/>
      <c r="CKW124" s="169"/>
      <c r="CLA124" s="169"/>
      <c r="CLE124" s="169"/>
      <c r="CLI124" s="169"/>
      <c r="CLM124" s="169"/>
      <c r="CLQ124" s="169"/>
      <c r="CLU124" s="169"/>
      <c r="CLY124" s="169"/>
      <c r="CMC124" s="169"/>
      <c r="CMG124" s="169"/>
      <c r="CMK124" s="169"/>
      <c r="CMO124" s="169"/>
      <c r="CMS124" s="169"/>
      <c r="CMW124" s="169"/>
      <c r="CNA124" s="169"/>
      <c r="CNE124" s="169"/>
      <c r="CNI124" s="169"/>
      <c r="CNM124" s="169"/>
      <c r="CNQ124" s="169"/>
      <c r="CNU124" s="169"/>
      <c r="CNY124" s="169"/>
      <c r="COC124" s="169"/>
      <c r="COG124" s="169"/>
      <c r="COK124" s="169"/>
      <c r="COO124" s="169"/>
      <c r="COS124" s="169"/>
      <c r="COW124" s="169"/>
      <c r="CPA124" s="169"/>
      <c r="CPE124" s="169"/>
      <c r="CPI124" s="169"/>
      <c r="CPM124" s="169"/>
      <c r="CPQ124" s="169"/>
      <c r="CPU124" s="169"/>
      <c r="CPY124" s="169"/>
      <c r="CQC124" s="169"/>
      <c r="CQG124" s="169"/>
      <c r="CQK124" s="169"/>
      <c r="CQO124" s="169"/>
      <c r="CQS124" s="169"/>
      <c r="CQW124" s="169"/>
      <c r="CRA124" s="169"/>
      <c r="CRE124" s="169"/>
      <c r="CRI124" s="169"/>
      <c r="CRM124" s="169"/>
      <c r="CRQ124" s="169"/>
      <c r="CRU124" s="169"/>
      <c r="CRY124" s="169"/>
      <c r="CSC124" s="169"/>
      <c r="CSG124" s="169"/>
      <c r="CSK124" s="169"/>
      <c r="CSO124" s="169"/>
      <c r="CSS124" s="169"/>
      <c r="CSW124" s="169"/>
      <c r="CTA124" s="169"/>
      <c r="CTE124" s="169"/>
      <c r="CTI124" s="169"/>
      <c r="CTM124" s="169"/>
      <c r="CTQ124" s="169"/>
      <c r="CTU124" s="169"/>
      <c r="CTY124" s="169"/>
      <c r="CUC124" s="169"/>
      <c r="CUG124" s="169"/>
      <c r="CUK124" s="169"/>
      <c r="CUO124" s="169"/>
      <c r="CUS124" s="169"/>
      <c r="CUW124" s="169"/>
      <c r="CVA124" s="169"/>
      <c r="CVE124" s="169"/>
      <c r="CVI124" s="169"/>
      <c r="CVM124" s="169"/>
      <c r="CVQ124" s="169"/>
      <c r="CVU124" s="169"/>
      <c r="CVY124" s="169"/>
      <c r="CWC124" s="169"/>
      <c r="CWG124" s="169"/>
      <c r="CWK124" s="169"/>
      <c r="CWO124" s="169"/>
      <c r="CWS124" s="169"/>
      <c r="CWW124" s="169"/>
      <c r="CXA124" s="169"/>
      <c r="CXE124" s="169"/>
      <c r="CXI124" s="169"/>
      <c r="CXM124" s="169"/>
      <c r="CXQ124" s="169"/>
      <c r="CXU124" s="169"/>
      <c r="CXY124" s="169"/>
      <c r="CYC124" s="169"/>
      <c r="CYG124" s="169"/>
      <c r="CYK124" s="169"/>
      <c r="CYO124" s="169"/>
      <c r="CYS124" s="169"/>
      <c r="CYW124" s="169"/>
      <c r="CZA124" s="169"/>
      <c r="CZE124" s="169"/>
      <c r="CZI124" s="169"/>
      <c r="CZM124" s="169"/>
      <c r="CZQ124" s="169"/>
      <c r="CZU124" s="169"/>
      <c r="CZY124" s="169"/>
      <c r="DAC124" s="169"/>
      <c r="DAG124" s="169"/>
      <c r="DAK124" s="169"/>
      <c r="DAO124" s="169"/>
      <c r="DAS124" s="169"/>
      <c r="DAW124" s="169"/>
      <c r="DBA124" s="169"/>
      <c r="DBE124" s="169"/>
      <c r="DBI124" s="169"/>
      <c r="DBM124" s="169"/>
      <c r="DBQ124" s="169"/>
      <c r="DBU124" s="169"/>
      <c r="DBY124" s="169"/>
      <c r="DCC124" s="169"/>
      <c r="DCG124" s="169"/>
      <c r="DCK124" s="169"/>
      <c r="DCO124" s="169"/>
      <c r="DCS124" s="169"/>
      <c r="DCW124" s="169"/>
      <c r="DDA124" s="169"/>
      <c r="DDE124" s="169"/>
      <c r="DDI124" s="169"/>
      <c r="DDM124" s="169"/>
      <c r="DDQ124" s="169"/>
      <c r="DDU124" s="169"/>
      <c r="DDY124" s="169"/>
      <c r="DEC124" s="169"/>
      <c r="DEG124" s="169"/>
      <c r="DEK124" s="169"/>
      <c r="DEO124" s="169"/>
      <c r="DES124" s="169"/>
      <c r="DEW124" s="169"/>
      <c r="DFA124" s="169"/>
      <c r="DFE124" s="169"/>
      <c r="DFI124" s="169"/>
      <c r="DFM124" s="169"/>
      <c r="DFQ124" s="169"/>
      <c r="DFU124" s="169"/>
      <c r="DFY124" s="169"/>
      <c r="DGC124" s="169"/>
      <c r="DGG124" s="169"/>
      <c r="DGK124" s="169"/>
      <c r="DGO124" s="169"/>
      <c r="DGS124" s="169"/>
      <c r="DGW124" s="169"/>
      <c r="DHA124" s="169"/>
      <c r="DHE124" s="169"/>
      <c r="DHI124" s="169"/>
      <c r="DHM124" s="169"/>
      <c r="DHQ124" s="169"/>
      <c r="DHU124" s="169"/>
      <c r="DHY124" s="169"/>
      <c r="DIC124" s="169"/>
      <c r="DIG124" s="169"/>
      <c r="DIK124" s="169"/>
      <c r="DIO124" s="169"/>
      <c r="DIS124" s="169"/>
      <c r="DIW124" s="169"/>
      <c r="DJA124" s="169"/>
      <c r="DJE124" s="169"/>
      <c r="DJI124" s="169"/>
      <c r="DJM124" s="169"/>
      <c r="DJQ124" s="169"/>
      <c r="DJU124" s="169"/>
      <c r="DJY124" s="169"/>
      <c r="DKC124" s="169"/>
      <c r="DKG124" s="169"/>
      <c r="DKK124" s="169"/>
      <c r="DKO124" s="169"/>
      <c r="DKS124" s="169"/>
      <c r="DKW124" s="169"/>
      <c r="DLA124" s="169"/>
      <c r="DLE124" s="169"/>
      <c r="DLI124" s="169"/>
      <c r="DLM124" s="169"/>
      <c r="DLQ124" s="169"/>
      <c r="DLU124" s="169"/>
      <c r="DLY124" s="169"/>
      <c r="DMC124" s="169"/>
      <c r="DMG124" s="169"/>
      <c r="DMK124" s="169"/>
      <c r="DMO124" s="169"/>
      <c r="DMS124" s="169"/>
      <c r="DMW124" s="169"/>
      <c r="DNA124" s="169"/>
      <c r="DNE124" s="169"/>
      <c r="DNI124" s="169"/>
      <c r="DNM124" s="169"/>
      <c r="DNQ124" s="169"/>
      <c r="DNU124" s="169"/>
      <c r="DNY124" s="169"/>
      <c r="DOC124" s="169"/>
      <c r="DOG124" s="169"/>
      <c r="DOK124" s="169"/>
      <c r="DOO124" s="169"/>
      <c r="DOS124" s="169"/>
      <c r="DOW124" s="169"/>
      <c r="DPA124" s="169"/>
      <c r="DPE124" s="169"/>
      <c r="DPI124" s="169"/>
      <c r="DPM124" s="169"/>
      <c r="DPQ124" s="169"/>
      <c r="DPU124" s="169"/>
      <c r="DPY124" s="169"/>
      <c r="DQC124" s="169"/>
      <c r="DQG124" s="169"/>
      <c r="DQK124" s="169"/>
      <c r="DQO124" s="169"/>
      <c r="DQS124" s="169"/>
      <c r="DQW124" s="169"/>
      <c r="DRA124" s="169"/>
      <c r="DRE124" s="169"/>
      <c r="DRI124" s="169"/>
      <c r="DRM124" s="169"/>
      <c r="DRQ124" s="169"/>
      <c r="DRU124" s="169"/>
      <c r="DRY124" s="169"/>
      <c r="DSC124" s="169"/>
      <c r="DSG124" s="169"/>
      <c r="DSK124" s="169"/>
      <c r="DSO124" s="169"/>
      <c r="DSS124" s="169"/>
      <c r="DSW124" s="169"/>
      <c r="DTA124" s="169"/>
      <c r="DTE124" s="169"/>
      <c r="DTI124" s="169"/>
      <c r="DTM124" s="169"/>
      <c r="DTQ124" s="169"/>
      <c r="DTU124" s="169"/>
      <c r="DTY124" s="169"/>
      <c r="DUC124" s="169"/>
      <c r="DUG124" s="169"/>
      <c r="DUK124" s="169"/>
      <c r="DUO124" s="169"/>
      <c r="DUS124" s="169"/>
      <c r="DUW124" s="169"/>
      <c r="DVA124" s="169"/>
      <c r="DVE124" s="169"/>
      <c r="DVI124" s="169"/>
      <c r="DVM124" s="169"/>
      <c r="DVQ124" s="169"/>
      <c r="DVU124" s="169"/>
      <c r="DVY124" s="169"/>
      <c r="DWC124" s="169"/>
      <c r="DWG124" s="169"/>
      <c r="DWK124" s="169"/>
      <c r="DWO124" s="169"/>
      <c r="DWS124" s="169"/>
      <c r="DWW124" s="169"/>
      <c r="DXA124" s="169"/>
      <c r="DXE124" s="169"/>
      <c r="DXI124" s="169"/>
      <c r="DXM124" s="169"/>
      <c r="DXQ124" s="169"/>
      <c r="DXU124" s="169"/>
      <c r="DXY124" s="169"/>
      <c r="DYC124" s="169"/>
      <c r="DYG124" s="169"/>
      <c r="DYK124" s="169"/>
      <c r="DYO124" s="169"/>
      <c r="DYS124" s="169"/>
      <c r="DYW124" s="169"/>
      <c r="DZA124" s="169"/>
      <c r="DZE124" s="169"/>
      <c r="DZI124" s="169"/>
      <c r="DZM124" s="169"/>
      <c r="DZQ124" s="169"/>
      <c r="DZU124" s="169"/>
      <c r="DZY124" s="169"/>
      <c r="EAC124" s="169"/>
      <c r="EAG124" s="169"/>
      <c r="EAK124" s="169"/>
      <c r="EAO124" s="169"/>
      <c r="EAS124" s="169"/>
      <c r="EAW124" s="169"/>
      <c r="EBA124" s="169"/>
      <c r="EBE124" s="169"/>
      <c r="EBI124" s="169"/>
      <c r="EBM124" s="169"/>
      <c r="EBQ124" s="169"/>
      <c r="EBU124" s="169"/>
      <c r="EBY124" s="169"/>
      <c r="ECC124" s="169"/>
      <c r="ECG124" s="169"/>
      <c r="ECK124" s="169"/>
      <c r="ECO124" s="169"/>
      <c r="ECS124" s="169"/>
      <c r="ECW124" s="169"/>
      <c r="EDA124" s="169"/>
      <c r="EDE124" s="169"/>
      <c r="EDI124" s="169"/>
      <c r="EDM124" s="169"/>
      <c r="EDQ124" s="169"/>
      <c r="EDU124" s="169"/>
      <c r="EDY124" s="169"/>
      <c r="EEC124" s="169"/>
      <c r="EEG124" s="169"/>
      <c r="EEK124" s="169"/>
      <c r="EEO124" s="169"/>
      <c r="EES124" s="169"/>
      <c r="EEW124" s="169"/>
      <c r="EFA124" s="169"/>
      <c r="EFE124" s="169"/>
      <c r="EFI124" s="169"/>
      <c r="EFM124" s="169"/>
      <c r="EFQ124" s="169"/>
      <c r="EFU124" s="169"/>
      <c r="EFY124" s="169"/>
      <c r="EGC124" s="169"/>
      <c r="EGG124" s="169"/>
      <c r="EGK124" s="169"/>
      <c r="EGO124" s="169"/>
      <c r="EGS124" s="169"/>
      <c r="EGW124" s="169"/>
      <c r="EHA124" s="169"/>
      <c r="EHE124" s="169"/>
      <c r="EHI124" s="169"/>
      <c r="EHM124" s="169"/>
      <c r="EHQ124" s="169"/>
      <c r="EHU124" s="169"/>
      <c r="EHY124" s="169"/>
      <c r="EIC124" s="169"/>
      <c r="EIG124" s="169"/>
      <c r="EIK124" s="169"/>
      <c r="EIO124" s="169"/>
      <c r="EIS124" s="169"/>
      <c r="EIW124" s="169"/>
      <c r="EJA124" s="169"/>
      <c r="EJE124" s="169"/>
      <c r="EJI124" s="169"/>
      <c r="EJM124" s="169"/>
      <c r="EJQ124" s="169"/>
      <c r="EJU124" s="169"/>
      <c r="EJY124" s="169"/>
      <c r="EKC124" s="169"/>
      <c r="EKG124" s="169"/>
      <c r="EKK124" s="169"/>
      <c r="EKO124" s="169"/>
      <c r="EKS124" s="169"/>
      <c r="EKW124" s="169"/>
      <c r="ELA124" s="169"/>
      <c r="ELE124" s="169"/>
      <c r="ELI124" s="169"/>
      <c r="ELM124" s="169"/>
      <c r="ELQ124" s="169"/>
      <c r="ELU124" s="169"/>
      <c r="ELY124" s="169"/>
      <c r="EMC124" s="169"/>
      <c r="EMG124" s="169"/>
      <c r="EMK124" s="169"/>
      <c r="EMO124" s="169"/>
      <c r="EMS124" s="169"/>
      <c r="EMW124" s="169"/>
      <c r="ENA124" s="169"/>
      <c r="ENE124" s="169"/>
      <c r="ENI124" s="169"/>
      <c r="ENM124" s="169"/>
      <c r="ENQ124" s="169"/>
      <c r="ENU124" s="169"/>
      <c r="ENY124" s="169"/>
      <c r="EOC124" s="169"/>
      <c r="EOG124" s="169"/>
      <c r="EOK124" s="169"/>
      <c r="EOO124" s="169"/>
      <c r="EOS124" s="169"/>
      <c r="EOW124" s="169"/>
      <c r="EPA124" s="169"/>
      <c r="EPE124" s="169"/>
      <c r="EPI124" s="169"/>
      <c r="EPM124" s="169"/>
      <c r="EPQ124" s="169"/>
      <c r="EPU124" s="169"/>
      <c r="EPY124" s="169"/>
      <c r="EQC124" s="169"/>
      <c r="EQG124" s="169"/>
      <c r="EQK124" s="169"/>
      <c r="EQO124" s="169"/>
      <c r="EQS124" s="169"/>
      <c r="EQW124" s="169"/>
      <c r="ERA124" s="169"/>
      <c r="ERE124" s="169"/>
      <c r="ERI124" s="169"/>
      <c r="ERM124" s="169"/>
      <c r="ERQ124" s="169"/>
      <c r="ERU124" s="169"/>
      <c r="ERY124" s="169"/>
      <c r="ESC124" s="169"/>
      <c r="ESG124" s="169"/>
      <c r="ESK124" s="169"/>
      <c r="ESO124" s="169"/>
      <c r="ESS124" s="169"/>
      <c r="ESW124" s="169"/>
      <c r="ETA124" s="169"/>
      <c r="ETE124" s="169"/>
      <c r="ETI124" s="169"/>
      <c r="ETM124" s="169"/>
      <c r="ETQ124" s="169"/>
      <c r="ETU124" s="169"/>
      <c r="ETY124" s="169"/>
      <c r="EUC124" s="169"/>
      <c r="EUG124" s="169"/>
      <c r="EUK124" s="169"/>
      <c r="EUO124" s="169"/>
      <c r="EUS124" s="169"/>
      <c r="EUW124" s="169"/>
      <c r="EVA124" s="169"/>
      <c r="EVE124" s="169"/>
      <c r="EVI124" s="169"/>
      <c r="EVM124" s="169"/>
      <c r="EVQ124" s="169"/>
      <c r="EVU124" s="169"/>
      <c r="EVY124" s="169"/>
      <c r="EWC124" s="169"/>
      <c r="EWG124" s="169"/>
      <c r="EWK124" s="169"/>
      <c r="EWO124" s="169"/>
      <c r="EWS124" s="169"/>
      <c r="EWW124" s="169"/>
      <c r="EXA124" s="169"/>
      <c r="EXE124" s="169"/>
      <c r="EXI124" s="169"/>
      <c r="EXM124" s="169"/>
      <c r="EXQ124" s="169"/>
      <c r="EXU124" s="169"/>
      <c r="EXY124" s="169"/>
      <c r="EYC124" s="169"/>
      <c r="EYG124" s="169"/>
      <c r="EYK124" s="169"/>
      <c r="EYO124" s="169"/>
      <c r="EYS124" s="169"/>
      <c r="EYW124" s="169"/>
      <c r="EZA124" s="169"/>
      <c r="EZE124" s="169"/>
      <c r="EZI124" s="169"/>
      <c r="EZM124" s="169"/>
      <c r="EZQ124" s="169"/>
      <c r="EZU124" s="169"/>
      <c r="EZY124" s="169"/>
      <c r="FAC124" s="169"/>
      <c r="FAG124" s="169"/>
      <c r="FAK124" s="169"/>
      <c r="FAO124" s="169"/>
      <c r="FAS124" s="169"/>
      <c r="FAW124" s="169"/>
      <c r="FBA124" s="169"/>
      <c r="FBE124" s="169"/>
      <c r="FBI124" s="169"/>
      <c r="FBM124" s="169"/>
      <c r="FBQ124" s="169"/>
      <c r="FBU124" s="169"/>
      <c r="FBY124" s="169"/>
      <c r="FCC124" s="169"/>
      <c r="FCG124" s="169"/>
      <c r="FCK124" s="169"/>
      <c r="FCO124" s="169"/>
      <c r="FCS124" s="169"/>
      <c r="FCW124" s="169"/>
      <c r="FDA124" s="169"/>
      <c r="FDE124" s="169"/>
      <c r="FDI124" s="169"/>
      <c r="FDM124" s="169"/>
      <c r="FDQ124" s="169"/>
      <c r="FDU124" s="169"/>
      <c r="FDY124" s="169"/>
      <c r="FEC124" s="169"/>
      <c r="FEG124" s="169"/>
      <c r="FEK124" s="169"/>
      <c r="FEO124" s="169"/>
      <c r="FES124" s="169"/>
      <c r="FEW124" s="169"/>
      <c r="FFA124" s="169"/>
      <c r="FFE124" s="169"/>
      <c r="FFI124" s="169"/>
      <c r="FFM124" s="169"/>
      <c r="FFQ124" s="169"/>
      <c r="FFU124" s="169"/>
      <c r="FFY124" s="169"/>
      <c r="FGC124" s="169"/>
      <c r="FGG124" s="169"/>
      <c r="FGK124" s="169"/>
      <c r="FGO124" s="169"/>
      <c r="FGS124" s="169"/>
      <c r="FGW124" s="169"/>
      <c r="FHA124" s="169"/>
      <c r="FHE124" s="169"/>
      <c r="FHI124" s="169"/>
      <c r="FHM124" s="169"/>
      <c r="FHQ124" s="169"/>
      <c r="FHU124" s="169"/>
      <c r="FHY124" s="169"/>
      <c r="FIC124" s="169"/>
      <c r="FIG124" s="169"/>
      <c r="FIK124" s="169"/>
      <c r="FIO124" s="169"/>
      <c r="FIS124" s="169"/>
      <c r="FIW124" s="169"/>
      <c r="FJA124" s="169"/>
      <c r="FJE124" s="169"/>
      <c r="FJI124" s="169"/>
      <c r="FJM124" s="169"/>
      <c r="FJQ124" s="169"/>
      <c r="FJU124" s="169"/>
      <c r="FJY124" s="169"/>
      <c r="FKC124" s="169"/>
      <c r="FKG124" s="169"/>
      <c r="FKK124" s="169"/>
      <c r="FKO124" s="169"/>
      <c r="FKS124" s="169"/>
      <c r="FKW124" s="169"/>
      <c r="FLA124" s="169"/>
      <c r="FLE124" s="169"/>
      <c r="FLI124" s="169"/>
      <c r="FLM124" s="169"/>
      <c r="FLQ124" s="169"/>
      <c r="FLU124" s="169"/>
      <c r="FLY124" s="169"/>
      <c r="FMC124" s="169"/>
      <c r="FMG124" s="169"/>
      <c r="FMK124" s="169"/>
      <c r="FMO124" s="169"/>
      <c r="FMS124" s="169"/>
      <c r="FMW124" s="169"/>
      <c r="FNA124" s="169"/>
      <c r="FNE124" s="169"/>
      <c r="FNI124" s="169"/>
      <c r="FNM124" s="169"/>
      <c r="FNQ124" s="169"/>
      <c r="FNU124" s="169"/>
      <c r="FNY124" s="169"/>
      <c r="FOC124" s="169"/>
      <c r="FOG124" s="169"/>
      <c r="FOK124" s="169"/>
      <c r="FOO124" s="169"/>
      <c r="FOS124" s="169"/>
      <c r="FOW124" s="169"/>
      <c r="FPA124" s="169"/>
      <c r="FPE124" s="169"/>
      <c r="FPI124" s="169"/>
      <c r="FPM124" s="169"/>
      <c r="FPQ124" s="169"/>
      <c r="FPU124" s="169"/>
      <c r="FPY124" s="169"/>
      <c r="FQC124" s="169"/>
      <c r="FQG124" s="169"/>
      <c r="FQK124" s="169"/>
      <c r="FQO124" s="169"/>
      <c r="FQS124" s="169"/>
      <c r="FQW124" s="169"/>
      <c r="FRA124" s="169"/>
      <c r="FRE124" s="169"/>
      <c r="FRI124" s="169"/>
      <c r="FRM124" s="169"/>
      <c r="FRQ124" s="169"/>
      <c r="FRU124" s="169"/>
      <c r="FRY124" s="169"/>
      <c r="FSC124" s="169"/>
      <c r="FSG124" s="169"/>
      <c r="FSK124" s="169"/>
      <c r="FSO124" s="169"/>
      <c r="FSS124" s="169"/>
      <c r="FSW124" s="169"/>
      <c r="FTA124" s="169"/>
      <c r="FTE124" s="169"/>
      <c r="FTI124" s="169"/>
      <c r="FTM124" s="169"/>
      <c r="FTQ124" s="169"/>
      <c r="FTU124" s="169"/>
      <c r="FTY124" s="169"/>
      <c r="FUC124" s="169"/>
      <c r="FUG124" s="169"/>
      <c r="FUK124" s="169"/>
      <c r="FUO124" s="169"/>
      <c r="FUS124" s="169"/>
      <c r="FUW124" s="169"/>
      <c r="FVA124" s="169"/>
      <c r="FVE124" s="169"/>
      <c r="FVI124" s="169"/>
      <c r="FVM124" s="169"/>
      <c r="FVQ124" s="169"/>
      <c r="FVU124" s="169"/>
      <c r="FVY124" s="169"/>
      <c r="FWC124" s="169"/>
      <c r="FWG124" s="169"/>
      <c r="FWK124" s="169"/>
      <c r="FWO124" s="169"/>
      <c r="FWS124" s="169"/>
      <c r="FWW124" s="169"/>
      <c r="FXA124" s="169"/>
      <c r="FXE124" s="169"/>
      <c r="FXI124" s="169"/>
      <c r="FXM124" s="169"/>
      <c r="FXQ124" s="169"/>
      <c r="FXU124" s="169"/>
      <c r="FXY124" s="169"/>
      <c r="FYC124" s="169"/>
      <c r="FYG124" s="169"/>
      <c r="FYK124" s="169"/>
      <c r="FYO124" s="169"/>
      <c r="FYS124" s="169"/>
      <c r="FYW124" s="169"/>
      <c r="FZA124" s="169"/>
      <c r="FZE124" s="169"/>
      <c r="FZI124" s="169"/>
      <c r="FZM124" s="169"/>
      <c r="FZQ124" s="169"/>
      <c r="FZU124" s="169"/>
      <c r="FZY124" s="169"/>
      <c r="GAC124" s="169"/>
      <c r="GAG124" s="169"/>
      <c r="GAK124" s="169"/>
      <c r="GAO124" s="169"/>
      <c r="GAS124" s="169"/>
      <c r="GAW124" s="169"/>
      <c r="GBA124" s="169"/>
      <c r="GBE124" s="169"/>
      <c r="GBI124" s="169"/>
      <c r="GBM124" s="169"/>
      <c r="GBQ124" s="169"/>
      <c r="GBU124" s="169"/>
      <c r="GBY124" s="169"/>
      <c r="GCC124" s="169"/>
      <c r="GCG124" s="169"/>
      <c r="GCK124" s="169"/>
      <c r="GCO124" s="169"/>
      <c r="GCS124" s="169"/>
      <c r="GCW124" s="169"/>
      <c r="GDA124" s="169"/>
      <c r="GDE124" s="169"/>
      <c r="GDI124" s="169"/>
      <c r="GDM124" s="169"/>
      <c r="GDQ124" s="169"/>
      <c r="GDU124" s="169"/>
      <c r="GDY124" s="169"/>
      <c r="GEC124" s="169"/>
      <c r="GEG124" s="169"/>
      <c r="GEK124" s="169"/>
      <c r="GEO124" s="169"/>
      <c r="GES124" s="169"/>
      <c r="GEW124" s="169"/>
      <c r="GFA124" s="169"/>
      <c r="GFE124" s="169"/>
      <c r="GFI124" s="169"/>
      <c r="GFM124" s="169"/>
      <c r="GFQ124" s="169"/>
      <c r="GFU124" s="169"/>
      <c r="GFY124" s="169"/>
      <c r="GGC124" s="169"/>
      <c r="GGG124" s="169"/>
      <c r="GGK124" s="169"/>
      <c r="GGO124" s="169"/>
      <c r="GGS124" s="169"/>
      <c r="GGW124" s="169"/>
      <c r="GHA124" s="169"/>
      <c r="GHE124" s="169"/>
      <c r="GHI124" s="169"/>
      <c r="GHM124" s="169"/>
      <c r="GHQ124" s="169"/>
      <c r="GHU124" s="169"/>
      <c r="GHY124" s="169"/>
      <c r="GIC124" s="169"/>
      <c r="GIG124" s="169"/>
      <c r="GIK124" s="169"/>
      <c r="GIO124" s="169"/>
      <c r="GIS124" s="169"/>
      <c r="GIW124" s="169"/>
      <c r="GJA124" s="169"/>
      <c r="GJE124" s="169"/>
      <c r="GJI124" s="169"/>
      <c r="GJM124" s="169"/>
      <c r="GJQ124" s="169"/>
      <c r="GJU124" s="169"/>
      <c r="GJY124" s="169"/>
      <c r="GKC124" s="169"/>
      <c r="GKG124" s="169"/>
      <c r="GKK124" s="169"/>
      <c r="GKO124" s="169"/>
      <c r="GKS124" s="169"/>
      <c r="GKW124" s="169"/>
      <c r="GLA124" s="169"/>
      <c r="GLE124" s="169"/>
      <c r="GLI124" s="169"/>
      <c r="GLM124" s="169"/>
      <c r="GLQ124" s="169"/>
      <c r="GLU124" s="169"/>
      <c r="GLY124" s="169"/>
      <c r="GMC124" s="169"/>
      <c r="GMG124" s="169"/>
      <c r="GMK124" s="169"/>
      <c r="GMO124" s="169"/>
      <c r="GMS124" s="169"/>
      <c r="GMW124" s="169"/>
      <c r="GNA124" s="169"/>
      <c r="GNE124" s="169"/>
      <c r="GNI124" s="169"/>
      <c r="GNM124" s="169"/>
      <c r="GNQ124" s="169"/>
      <c r="GNU124" s="169"/>
      <c r="GNY124" s="169"/>
      <c r="GOC124" s="169"/>
      <c r="GOG124" s="169"/>
      <c r="GOK124" s="169"/>
      <c r="GOO124" s="169"/>
      <c r="GOS124" s="169"/>
      <c r="GOW124" s="169"/>
      <c r="GPA124" s="169"/>
      <c r="GPE124" s="169"/>
      <c r="GPI124" s="169"/>
      <c r="GPM124" s="169"/>
      <c r="GPQ124" s="169"/>
      <c r="GPU124" s="169"/>
      <c r="GPY124" s="169"/>
      <c r="GQC124" s="169"/>
      <c r="GQG124" s="169"/>
      <c r="GQK124" s="169"/>
      <c r="GQO124" s="169"/>
      <c r="GQS124" s="169"/>
      <c r="GQW124" s="169"/>
      <c r="GRA124" s="169"/>
      <c r="GRE124" s="169"/>
      <c r="GRI124" s="169"/>
      <c r="GRM124" s="169"/>
      <c r="GRQ124" s="169"/>
      <c r="GRU124" s="169"/>
      <c r="GRY124" s="169"/>
      <c r="GSC124" s="169"/>
      <c r="GSG124" s="169"/>
      <c r="GSK124" s="169"/>
      <c r="GSO124" s="169"/>
      <c r="GSS124" s="169"/>
      <c r="GSW124" s="169"/>
      <c r="GTA124" s="169"/>
      <c r="GTE124" s="169"/>
      <c r="GTI124" s="169"/>
      <c r="GTM124" s="169"/>
      <c r="GTQ124" s="169"/>
      <c r="GTU124" s="169"/>
      <c r="GTY124" s="169"/>
      <c r="GUC124" s="169"/>
      <c r="GUG124" s="169"/>
      <c r="GUK124" s="169"/>
      <c r="GUO124" s="169"/>
      <c r="GUS124" s="169"/>
      <c r="GUW124" s="169"/>
      <c r="GVA124" s="169"/>
      <c r="GVE124" s="169"/>
      <c r="GVI124" s="169"/>
      <c r="GVM124" s="169"/>
      <c r="GVQ124" s="169"/>
      <c r="GVU124" s="169"/>
      <c r="GVY124" s="169"/>
      <c r="GWC124" s="169"/>
      <c r="GWG124" s="169"/>
      <c r="GWK124" s="169"/>
      <c r="GWO124" s="169"/>
      <c r="GWS124" s="169"/>
      <c r="GWW124" s="169"/>
      <c r="GXA124" s="169"/>
      <c r="GXE124" s="169"/>
      <c r="GXI124" s="169"/>
      <c r="GXM124" s="169"/>
      <c r="GXQ124" s="169"/>
      <c r="GXU124" s="169"/>
      <c r="GXY124" s="169"/>
      <c r="GYC124" s="169"/>
      <c r="GYG124" s="169"/>
      <c r="GYK124" s="169"/>
      <c r="GYO124" s="169"/>
      <c r="GYS124" s="169"/>
      <c r="GYW124" s="169"/>
      <c r="GZA124" s="169"/>
      <c r="GZE124" s="169"/>
      <c r="GZI124" s="169"/>
      <c r="GZM124" s="169"/>
      <c r="GZQ124" s="169"/>
      <c r="GZU124" s="169"/>
      <c r="GZY124" s="169"/>
      <c r="HAC124" s="169"/>
      <c r="HAG124" s="169"/>
      <c r="HAK124" s="169"/>
      <c r="HAO124" s="169"/>
      <c r="HAS124" s="169"/>
      <c r="HAW124" s="169"/>
      <c r="HBA124" s="169"/>
      <c r="HBE124" s="169"/>
      <c r="HBI124" s="169"/>
      <c r="HBM124" s="169"/>
      <c r="HBQ124" s="169"/>
      <c r="HBU124" s="169"/>
      <c r="HBY124" s="169"/>
      <c r="HCC124" s="169"/>
      <c r="HCG124" s="169"/>
      <c r="HCK124" s="169"/>
      <c r="HCO124" s="169"/>
      <c r="HCS124" s="169"/>
      <c r="HCW124" s="169"/>
      <c r="HDA124" s="169"/>
      <c r="HDE124" s="169"/>
      <c r="HDI124" s="169"/>
      <c r="HDM124" s="169"/>
      <c r="HDQ124" s="169"/>
      <c r="HDU124" s="169"/>
      <c r="HDY124" s="169"/>
      <c r="HEC124" s="169"/>
      <c r="HEG124" s="169"/>
      <c r="HEK124" s="169"/>
      <c r="HEO124" s="169"/>
      <c r="HES124" s="169"/>
      <c r="HEW124" s="169"/>
      <c r="HFA124" s="169"/>
      <c r="HFE124" s="169"/>
      <c r="HFI124" s="169"/>
      <c r="HFM124" s="169"/>
      <c r="HFQ124" s="169"/>
      <c r="HFU124" s="169"/>
      <c r="HFY124" s="169"/>
      <c r="HGC124" s="169"/>
      <c r="HGG124" s="169"/>
      <c r="HGK124" s="169"/>
      <c r="HGO124" s="169"/>
      <c r="HGS124" s="169"/>
      <c r="HGW124" s="169"/>
      <c r="HHA124" s="169"/>
      <c r="HHE124" s="169"/>
      <c r="HHI124" s="169"/>
      <c r="HHM124" s="169"/>
      <c r="HHQ124" s="169"/>
      <c r="HHU124" s="169"/>
      <c r="HHY124" s="169"/>
      <c r="HIC124" s="169"/>
      <c r="HIG124" s="169"/>
      <c r="HIK124" s="169"/>
      <c r="HIO124" s="169"/>
      <c r="HIS124" s="169"/>
      <c r="HIW124" s="169"/>
      <c r="HJA124" s="169"/>
      <c r="HJE124" s="169"/>
      <c r="HJI124" s="169"/>
      <c r="HJM124" s="169"/>
      <c r="HJQ124" s="169"/>
      <c r="HJU124" s="169"/>
      <c r="HJY124" s="169"/>
      <c r="HKC124" s="169"/>
      <c r="HKG124" s="169"/>
      <c r="HKK124" s="169"/>
      <c r="HKO124" s="169"/>
      <c r="HKS124" s="169"/>
      <c r="HKW124" s="169"/>
      <c r="HLA124" s="169"/>
      <c r="HLE124" s="169"/>
      <c r="HLI124" s="169"/>
      <c r="HLM124" s="169"/>
      <c r="HLQ124" s="169"/>
      <c r="HLU124" s="169"/>
      <c r="HLY124" s="169"/>
      <c r="HMC124" s="169"/>
      <c r="HMG124" s="169"/>
      <c r="HMK124" s="169"/>
      <c r="HMO124" s="169"/>
      <c r="HMS124" s="169"/>
      <c r="HMW124" s="169"/>
      <c r="HNA124" s="169"/>
      <c r="HNE124" s="169"/>
      <c r="HNI124" s="169"/>
      <c r="HNM124" s="169"/>
      <c r="HNQ124" s="169"/>
      <c r="HNU124" s="169"/>
      <c r="HNY124" s="169"/>
      <c r="HOC124" s="169"/>
      <c r="HOG124" s="169"/>
      <c r="HOK124" s="169"/>
      <c r="HOO124" s="169"/>
      <c r="HOS124" s="169"/>
      <c r="HOW124" s="169"/>
      <c r="HPA124" s="169"/>
      <c r="HPE124" s="169"/>
      <c r="HPI124" s="169"/>
      <c r="HPM124" s="169"/>
      <c r="HPQ124" s="169"/>
      <c r="HPU124" s="169"/>
      <c r="HPY124" s="169"/>
      <c r="HQC124" s="169"/>
      <c r="HQG124" s="169"/>
      <c r="HQK124" s="169"/>
      <c r="HQO124" s="169"/>
      <c r="HQS124" s="169"/>
      <c r="HQW124" s="169"/>
      <c r="HRA124" s="169"/>
      <c r="HRE124" s="169"/>
      <c r="HRI124" s="169"/>
      <c r="HRM124" s="169"/>
      <c r="HRQ124" s="169"/>
      <c r="HRU124" s="169"/>
      <c r="HRY124" s="169"/>
      <c r="HSC124" s="169"/>
      <c r="HSG124" s="169"/>
      <c r="HSK124" s="169"/>
      <c r="HSO124" s="169"/>
      <c r="HSS124" s="169"/>
      <c r="HSW124" s="169"/>
      <c r="HTA124" s="169"/>
      <c r="HTE124" s="169"/>
      <c r="HTI124" s="169"/>
      <c r="HTM124" s="169"/>
      <c r="HTQ124" s="169"/>
      <c r="HTU124" s="169"/>
      <c r="HTY124" s="169"/>
      <c r="HUC124" s="169"/>
      <c r="HUG124" s="169"/>
      <c r="HUK124" s="169"/>
      <c r="HUO124" s="169"/>
      <c r="HUS124" s="169"/>
      <c r="HUW124" s="169"/>
      <c r="HVA124" s="169"/>
      <c r="HVE124" s="169"/>
      <c r="HVI124" s="169"/>
      <c r="HVM124" s="169"/>
      <c r="HVQ124" s="169"/>
      <c r="HVU124" s="169"/>
      <c r="HVY124" s="169"/>
      <c r="HWC124" s="169"/>
      <c r="HWG124" s="169"/>
      <c r="HWK124" s="169"/>
      <c r="HWO124" s="169"/>
      <c r="HWS124" s="169"/>
      <c r="HWW124" s="169"/>
      <c r="HXA124" s="169"/>
      <c r="HXE124" s="169"/>
      <c r="HXI124" s="169"/>
      <c r="HXM124" s="169"/>
      <c r="HXQ124" s="169"/>
      <c r="HXU124" s="169"/>
      <c r="HXY124" s="169"/>
      <c r="HYC124" s="169"/>
      <c r="HYG124" s="169"/>
      <c r="HYK124" s="169"/>
      <c r="HYO124" s="169"/>
      <c r="HYS124" s="169"/>
      <c r="HYW124" s="169"/>
      <c r="HZA124" s="169"/>
      <c r="HZE124" s="169"/>
      <c r="HZI124" s="169"/>
      <c r="HZM124" s="169"/>
      <c r="HZQ124" s="169"/>
      <c r="HZU124" s="169"/>
      <c r="HZY124" s="169"/>
      <c r="IAC124" s="169"/>
      <c r="IAG124" s="169"/>
      <c r="IAK124" s="169"/>
      <c r="IAO124" s="169"/>
      <c r="IAS124" s="169"/>
      <c r="IAW124" s="169"/>
      <c r="IBA124" s="169"/>
      <c r="IBE124" s="169"/>
      <c r="IBI124" s="169"/>
      <c r="IBM124" s="169"/>
      <c r="IBQ124" s="169"/>
      <c r="IBU124" s="169"/>
      <c r="IBY124" s="169"/>
      <c r="ICC124" s="169"/>
      <c r="ICG124" s="169"/>
      <c r="ICK124" s="169"/>
      <c r="ICO124" s="169"/>
      <c r="ICS124" s="169"/>
      <c r="ICW124" s="169"/>
      <c r="IDA124" s="169"/>
      <c r="IDE124" s="169"/>
      <c r="IDI124" s="169"/>
      <c r="IDM124" s="169"/>
      <c r="IDQ124" s="169"/>
      <c r="IDU124" s="169"/>
      <c r="IDY124" s="169"/>
      <c r="IEC124" s="169"/>
      <c r="IEG124" s="169"/>
      <c r="IEK124" s="169"/>
      <c r="IEO124" s="169"/>
      <c r="IES124" s="169"/>
      <c r="IEW124" s="169"/>
      <c r="IFA124" s="169"/>
      <c r="IFE124" s="169"/>
      <c r="IFI124" s="169"/>
      <c r="IFM124" s="169"/>
      <c r="IFQ124" s="169"/>
      <c r="IFU124" s="169"/>
      <c r="IFY124" s="169"/>
      <c r="IGC124" s="169"/>
      <c r="IGG124" s="169"/>
      <c r="IGK124" s="169"/>
      <c r="IGO124" s="169"/>
      <c r="IGS124" s="169"/>
      <c r="IGW124" s="169"/>
      <c r="IHA124" s="169"/>
      <c r="IHE124" s="169"/>
      <c r="IHI124" s="169"/>
      <c r="IHM124" s="169"/>
      <c r="IHQ124" s="169"/>
      <c r="IHU124" s="169"/>
      <c r="IHY124" s="169"/>
      <c r="IIC124" s="169"/>
      <c r="IIG124" s="169"/>
      <c r="IIK124" s="169"/>
      <c r="IIO124" s="169"/>
      <c r="IIS124" s="169"/>
      <c r="IIW124" s="169"/>
      <c r="IJA124" s="169"/>
      <c r="IJE124" s="169"/>
      <c r="IJI124" s="169"/>
      <c r="IJM124" s="169"/>
      <c r="IJQ124" s="169"/>
      <c r="IJU124" s="169"/>
      <c r="IJY124" s="169"/>
      <c r="IKC124" s="169"/>
      <c r="IKG124" s="169"/>
      <c r="IKK124" s="169"/>
      <c r="IKO124" s="169"/>
      <c r="IKS124" s="169"/>
      <c r="IKW124" s="169"/>
      <c r="ILA124" s="169"/>
      <c r="ILE124" s="169"/>
      <c r="ILI124" s="169"/>
      <c r="ILM124" s="169"/>
      <c r="ILQ124" s="169"/>
      <c r="ILU124" s="169"/>
      <c r="ILY124" s="169"/>
      <c r="IMC124" s="169"/>
      <c r="IMG124" s="169"/>
      <c r="IMK124" s="169"/>
      <c r="IMO124" s="169"/>
      <c r="IMS124" s="169"/>
      <c r="IMW124" s="169"/>
      <c r="INA124" s="169"/>
      <c r="INE124" s="169"/>
      <c r="INI124" s="169"/>
      <c r="INM124" s="169"/>
      <c r="INQ124" s="169"/>
      <c r="INU124" s="169"/>
      <c r="INY124" s="169"/>
      <c r="IOC124" s="169"/>
      <c r="IOG124" s="169"/>
      <c r="IOK124" s="169"/>
      <c r="IOO124" s="169"/>
      <c r="IOS124" s="169"/>
      <c r="IOW124" s="169"/>
      <c r="IPA124" s="169"/>
      <c r="IPE124" s="169"/>
      <c r="IPI124" s="169"/>
      <c r="IPM124" s="169"/>
      <c r="IPQ124" s="169"/>
      <c r="IPU124" s="169"/>
      <c r="IPY124" s="169"/>
      <c r="IQC124" s="169"/>
      <c r="IQG124" s="169"/>
      <c r="IQK124" s="169"/>
      <c r="IQO124" s="169"/>
      <c r="IQS124" s="169"/>
      <c r="IQW124" s="169"/>
      <c r="IRA124" s="169"/>
      <c r="IRE124" s="169"/>
      <c r="IRI124" s="169"/>
      <c r="IRM124" s="169"/>
      <c r="IRQ124" s="169"/>
      <c r="IRU124" s="169"/>
      <c r="IRY124" s="169"/>
      <c r="ISC124" s="169"/>
      <c r="ISG124" s="169"/>
      <c r="ISK124" s="169"/>
      <c r="ISO124" s="169"/>
      <c r="ISS124" s="169"/>
      <c r="ISW124" s="169"/>
      <c r="ITA124" s="169"/>
      <c r="ITE124" s="169"/>
      <c r="ITI124" s="169"/>
      <c r="ITM124" s="169"/>
      <c r="ITQ124" s="169"/>
      <c r="ITU124" s="169"/>
      <c r="ITY124" s="169"/>
      <c r="IUC124" s="169"/>
      <c r="IUG124" s="169"/>
      <c r="IUK124" s="169"/>
      <c r="IUO124" s="169"/>
      <c r="IUS124" s="169"/>
      <c r="IUW124" s="169"/>
      <c r="IVA124" s="169"/>
      <c r="IVE124" s="169"/>
      <c r="IVI124" s="169"/>
      <c r="IVM124" s="169"/>
      <c r="IVQ124" s="169"/>
      <c r="IVU124" s="169"/>
      <c r="IVY124" s="169"/>
      <c r="IWC124" s="169"/>
      <c r="IWG124" s="169"/>
      <c r="IWK124" s="169"/>
      <c r="IWO124" s="169"/>
      <c r="IWS124" s="169"/>
      <c r="IWW124" s="169"/>
      <c r="IXA124" s="169"/>
      <c r="IXE124" s="169"/>
      <c r="IXI124" s="169"/>
      <c r="IXM124" s="169"/>
      <c r="IXQ124" s="169"/>
      <c r="IXU124" s="169"/>
      <c r="IXY124" s="169"/>
      <c r="IYC124" s="169"/>
      <c r="IYG124" s="169"/>
      <c r="IYK124" s="169"/>
      <c r="IYO124" s="169"/>
      <c r="IYS124" s="169"/>
      <c r="IYW124" s="169"/>
      <c r="IZA124" s="169"/>
      <c r="IZE124" s="169"/>
      <c r="IZI124" s="169"/>
      <c r="IZM124" s="169"/>
      <c r="IZQ124" s="169"/>
      <c r="IZU124" s="169"/>
      <c r="IZY124" s="169"/>
      <c r="JAC124" s="169"/>
      <c r="JAG124" s="169"/>
      <c r="JAK124" s="169"/>
      <c r="JAO124" s="169"/>
      <c r="JAS124" s="169"/>
      <c r="JAW124" s="169"/>
      <c r="JBA124" s="169"/>
      <c r="JBE124" s="169"/>
      <c r="JBI124" s="169"/>
      <c r="JBM124" s="169"/>
      <c r="JBQ124" s="169"/>
      <c r="JBU124" s="169"/>
      <c r="JBY124" s="169"/>
      <c r="JCC124" s="169"/>
      <c r="JCG124" s="169"/>
      <c r="JCK124" s="169"/>
      <c r="JCO124" s="169"/>
      <c r="JCS124" s="169"/>
      <c r="JCW124" s="169"/>
      <c r="JDA124" s="169"/>
      <c r="JDE124" s="169"/>
      <c r="JDI124" s="169"/>
      <c r="JDM124" s="169"/>
      <c r="JDQ124" s="169"/>
      <c r="JDU124" s="169"/>
      <c r="JDY124" s="169"/>
      <c r="JEC124" s="169"/>
      <c r="JEG124" s="169"/>
      <c r="JEK124" s="169"/>
      <c r="JEO124" s="169"/>
      <c r="JES124" s="169"/>
      <c r="JEW124" s="169"/>
      <c r="JFA124" s="169"/>
      <c r="JFE124" s="169"/>
      <c r="JFI124" s="169"/>
      <c r="JFM124" s="169"/>
      <c r="JFQ124" s="169"/>
      <c r="JFU124" s="169"/>
      <c r="JFY124" s="169"/>
      <c r="JGC124" s="169"/>
      <c r="JGG124" s="169"/>
      <c r="JGK124" s="169"/>
      <c r="JGO124" s="169"/>
      <c r="JGS124" s="169"/>
      <c r="JGW124" s="169"/>
      <c r="JHA124" s="169"/>
      <c r="JHE124" s="169"/>
      <c r="JHI124" s="169"/>
      <c r="JHM124" s="169"/>
      <c r="JHQ124" s="169"/>
      <c r="JHU124" s="169"/>
      <c r="JHY124" s="169"/>
      <c r="JIC124" s="169"/>
      <c r="JIG124" s="169"/>
      <c r="JIK124" s="169"/>
      <c r="JIO124" s="169"/>
      <c r="JIS124" s="169"/>
      <c r="JIW124" s="169"/>
      <c r="JJA124" s="169"/>
      <c r="JJE124" s="169"/>
      <c r="JJI124" s="169"/>
      <c r="JJM124" s="169"/>
      <c r="JJQ124" s="169"/>
      <c r="JJU124" s="169"/>
      <c r="JJY124" s="169"/>
      <c r="JKC124" s="169"/>
      <c r="JKG124" s="169"/>
      <c r="JKK124" s="169"/>
      <c r="JKO124" s="169"/>
      <c r="JKS124" s="169"/>
      <c r="JKW124" s="169"/>
      <c r="JLA124" s="169"/>
      <c r="JLE124" s="169"/>
      <c r="JLI124" s="169"/>
      <c r="JLM124" s="169"/>
      <c r="JLQ124" s="169"/>
      <c r="JLU124" s="169"/>
      <c r="JLY124" s="169"/>
      <c r="JMC124" s="169"/>
      <c r="JMG124" s="169"/>
      <c r="JMK124" s="169"/>
      <c r="JMO124" s="169"/>
      <c r="JMS124" s="169"/>
      <c r="JMW124" s="169"/>
      <c r="JNA124" s="169"/>
      <c r="JNE124" s="169"/>
      <c r="JNI124" s="169"/>
      <c r="JNM124" s="169"/>
      <c r="JNQ124" s="169"/>
      <c r="JNU124" s="169"/>
      <c r="JNY124" s="169"/>
      <c r="JOC124" s="169"/>
      <c r="JOG124" s="169"/>
      <c r="JOK124" s="169"/>
      <c r="JOO124" s="169"/>
      <c r="JOS124" s="169"/>
      <c r="JOW124" s="169"/>
      <c r="JPA124" s="169"/>
      <c r="JPE124" s="169"/>
      <c r="JPI124" s="169"/>
      <c r="JPM124" s="169"/>
      <c r="JPQ124" s="169"/>
      <c r="JPU124" s="169"/>
      <c r="JPY124" s="169"/>
      <c r="JQC124" s="169"/>
      <c r="JQG124" s="169"/>
      <c r="JQK124" s="169"/>
      <c r="JQO124" s="169"/>
      <c r="JQS124" s="169"/>
      <c r="JQW124" s="169"/>
      <c r="JRA124" s="169"/>
      <c r="JRE124" s="169"/>
      <c r="JRI124" s="169"/>
      <c r="JRM124" s="169"/>
      <c r="JRQ124" s="169"/>
      <c r="JRU124" s="169"/>
      <c r="JRY124" s="169"/>
      <c r="JSC124" s="169"/>
      <c r="JSG124" s="169"/>
      <c r="JSK124" s="169"/>
      <c r="JSO124" s="169"/>
      <c r="JSS124" s="169"/>
      <c r="JSW124" s="169"/>
      <c r="JTA124" s="169"/>
      <c r="JTE124" s="169"/>
      <c r="JTI124" s="169"/>
      <c r="JTM124" s="169"/>
      <c r="JTQ124" s="169"/>
      <c r="JTU124" s="169"/>
      <c r="JTY124" s="169"/>
      <c r="JUC124" s="169"/>
      <c r="JUG124" s="169"/>
      <c r="JUK124" s="169"/>
      <c r="JUO124" s="169"/>
      <c r="JUS124" s="169"/>
      <c r="JUW124" s="169"/>
      <c r="JVA124" s="169"/>
      <c r="JVE124" s="169"/>
      <c r="JVI124" s="169"/>
      <c r="JVM124" s="169"/>
      <c r="JVQ124" s="169"/>
      <c r="JVU124" s="169"/>
      <c r="JVY124" s="169"/>
      <c r="JWC124" s="169"/>
      <c r="JWG124" s="169"/>
      <c r="JWK124" s="169"/>
      <c r="JWO124" s="169"/>
      <c r="JWS124" s="169"/>
      <c r="JWW124" s="169"/>
      <c r="JXA124" s="169"/>
      <c r="JXE124" s="169"/>
      <c r="JXI124" s="169"/>
      <c r="JXM124" s="169"/>
      <c r="JXQ124" s="169"/>
      <c r="JXU124" s="169"/>
      <c r="JXY124" s="169"/>
      <c r="JYC124" s="169"/>
      <c r="JYG124" s="169"/>
      <c r="JYK124" s="169"/>
      <c r="JYO124" s="169"/>
      <c r="JYS124" s="169"/>
      <c r="JYW124" s="169"/>
      <c r="JZA124" s="169"/>
      <c r="JZE124" s="169"/>
      <c r="JZI124" s="169"/>
      <c r="JZM124" s="169"/>
      <c r="JZQ124" s="169"/>
      <c r="JZU124" s="169"/>
      <c r="JZY124" s="169"/>
      <c r="KAC124" s="169"/>
      <c r="KAG124" s="169"/>
      <c r="KAK124" s="169"/>
      <c r="KAO124" s="169"/>
      <c r="KAS124" s="169"/>
      <c r="KAW124" s="169"/>
      <c r="KBA124" s="169"/>
      <c r="KBE124" s="169"/>
      <c r="KBI124" s="169"/>
      <c r="KBM124" s="169"/>
      <c r="KBQ124" s="169"/>
      <c r="KBU124" s="169"/>
      <c r="KBY124" s="169"/>
      <c r="KCC124" s="169"/>
      <c r="KCG124" s="169"/>
      <c r="KCK124" s="169"/>
      <c r="KCO124" s="169"/>
      <c r="KCS124" s="169"/>
      <c r="KCW124" s="169"/>
      <c r="KDA124" s="169"/>
      <c r="KDE124" s="169"/>
      <c r="KDI124" s="169"/>
      <c r="KDM124" s="169"/>
      <c r="KDQ124" s="169"/>
      <c r="KDU124" s="169"/>
      <c r="KDY124" s="169"/>
      <c r="KEC124" s="169"/>
      <c r="KEG124" s="169"/>
      <c r="KEK124" s="169"/>
      <c r="KEO124" s="169"/>
      <c r="KES124" s="169"/>
      <c r="KEW124" s="169"/>
      <c r="KFA124" s="169"/>
      <c r="KFE124" s="169"/>
      <c r="KFI124" s="169"/>
      <c r="KFM124" s="169"/>
      <c r="KFQ124" s="169"/>
      <c r="KFU124" s="169"/>
      <c r="KFY124" s="169"/>
      <c r="KGC124" s="169"/>
      <c r="KGG124" s="169"/>
      <c r="KGK124" s="169"/>
      <c r="KGO124" s="169"/>
      <c r="KGS124" s="169"/>
      <c r="KGW124" s="169"/>
      <c r="KHA124" s="169"/>
      <c r="KHE124" s="169"/>
      <c r="KHI124" s="169"/>
      <c r="KHM124" s="169"/>
      <c r="KHQ124" s="169"/>
      <c r="KHU124" s="169"/>
      <c r="KHY124" s="169"/>
      <c r="KIC124" s="169"/>
      <c r="KIG124" s="169"/>
      <c r="KIK124" s="169"/>
      <c r="KIO124" s="169"/>
      <c r="KIS124" s="169"/>
      <c r="KIW124" s="169"/>
      <c r="KJA124" s="169"/>
      <c r="KJE124" s="169"/>
      <c r="KJI124" s="169"/>
      <c r="KJM124" s="169"/>
      <c r="KJQ124" s="169"/>
      <c r="KJU124" s="169"/>
      <c r="KJY124" s="169"/>
      <c r="KKC124" s="169"/>
      <c r="KKG124" s="169"/>
      <c r="KKK124" s="169"/>
      <c r="KKO124" s="169"/>
      <c r="KKS124" s="169"/>
      <c r="KKW124" s="169"/>
      <c r="KLA124" s="169"/>
      <c r="KLE124" s="169"/>
      <c r="KLI124" s="169"/>
      <c r="KLM124" s="169"/>
      <c r="KLQ124" s="169"/>
      <c r="KLU124" s="169"/>
      <c r="KLY124" s="169"/>
      <c r="KMC124" s="169"/>
      <c r="KMG124" s="169"/>
      <c r="KMK124" s="169"/>
      <c r="KMO124" s="169"/>
      <c r="KMS124" s="169"/>
      <c r="KMW124" s="169"/>
      <c r="KNA124" s="169"/>
      <c r="KNE124" s="169"/>
      <c r="KNI124" s="169"/>
      <c r="KNM124" s="169"/>
      <c r="KNQ124" s="169"/>
      <c r="KNU124" s="169"/>
      <c r="KNY124" s="169"/>
      <c r="KOC124" s="169"/>
      <c r="KOG124" s="169"/>
      <c r="KOK124" s="169"/>
      <c r="KOO124" s="169"/>
      <c r="KOS124" s="169"/>
      <c r="KOW124" s="169"/>
      <c r="KPA124" s="169"/>
      <c r="KPE124" s="169"/>
      <c r="KPI124" s="169"/>
      <c r="KPM124" s="169"/>
      <c r="KPQ124" s="169"/>
      <c r="KPU124" s="169"/>
      <c r="KPY124" s="169"/>
      <c r="KQC124" s="169"/>
      <c r="KQG124" s="169"/>
      <c r="KQK124" s="169"/>
      <c r="KQO124" s="169"/>
      <c r="KQS124" s="169"/>
      <c r="KQW124" s="169"/>
      <c r="KRA124" s="169"/>
      <c r="KRE124" s="169"/>
      <c r="KRI124" s="169"/>
      <c r="KRM124" s="169"/>
      <c r="KRQ124" s="169"/>
      <c r="KRU124" s="169"/>
      <c r="KRY124" s="169"/>
      <c r="KSC124" s="169"/>
      <c r="KSG124" s="169"/>
      <c r="KSK124" s="169"/>
      <c r="KSO124" s="169"/>
      <c r="KSS124" s="169"/>
      <c r="KSW124" s="169"/>
      <c r="KTA124" s="169"/>
      <c r="KTE124" s="169"/>
      <c r="KTI124" s="169"/>
      <c r="KTM124" s="169"/>
      <c r="KTQ124" s="169"/>
      <c r="KTU124" s="169"/>
      <c r="KTY124" s="169"/>
      <c r="KUC124" s="169"/>
      <c r="KUG124" s="169"/>
      <c r="KUK124" s="169"/>
      <c r="KUO124" s="169"/>
      <c r="KUS124" s="169"/>
      <c r="KUW124" s="169"/>
      <c r="KVA124" s="169"/>
      <c r="KVE124" s="169"/>
      <c r="KVI124" s="169"/>
      <c r="KVM124" s="169"/>
      <c r="KVQ124" s="169"/>
      <c r="KVU124" s="169"/>
      <c r="KVY124" s="169"/>
      <c r="KWC124" s="169"/>
      <c r="KWG124" s="169"/>
      <c r="KWK124" s="169"/>
      <c r="KWO124" s="169"/>
      <c r="KWS124" s="169"/>
      <c r="KWW124" s="169"/>
      <c r="KXA124" s="169"/>
      <c r="KXE124" s="169"/>
      <c r="KXI124" s="169"/>
      <c r="KXM124" s="169"/>
      <c r="KXQ124" s="169"/>
      <c r="KXU124" s="169"/>
      <c r="KXY124" s="169"/>
      <c r="KYC124" s="169"/>
      <c r="KYG124" s="169"/>
      <c r="KYK124" s="169"/>
      <c r="KYO124" s="169"/>
      <c r="KYS124" s="169"/>
      <c r="KYW124" s="169"/>
      <c r="KZA124" s="169"/>
      <c r="KZE124" s="169"/>
      <c r="KZI124" s="169"/>
      <c r="KZM124" s="169"/>
      <c r="KZQ124" s="169"/>
      <c r="KZU124" s="169"/>
      <c r="KZY124" s="169"/>
      <c r="LAC124" s="169"/>
      <c r="LAG124" s="169"/>
      <c r="LAK124" s="169"/>
      <c r="LAO124" s="169"/>
      <c r="LAS124" s="169"/>
      <c r="LAW124" s="169"/>
      <c r="LBA124" s="169"/>
      <c r="LBE124" s="169"/>
      <c r="LBI124" s="169"/>
      <c r="LBM124" s="169"/>
      <c r="LBQ124" s="169"/>
      <c r="LBU124" s="169"/>
      <c r="LBY124" s="169"/>
      <c r="LCC124" s="169"/>
      <c r="LCG124" s="169"/>
      <c r="LCK124" s="169"/>
      <c r="LCO124" s="169"/>
      <c r="LCS124" s="169"/>
      <c r="LCW124" s="169"/>
      <c r="LDA124" s="169"/>
      <c r="LDE124" s="169"/>
      <c r="LDI124" s="169"/>
      <c r="LDM124" s="169"/>
      <c r="LDQ124" s="169"/>
      <c r="LDU124" s="169"/>
      <c r="LDY124" s="169"/>
      <c r="LEC124" s="169"/>
      <c r="LEG124" s="169"/>
      <c r="LEK124" s="169"/>
      <c r="LEO124" s="169"/>
      <c r="LES124" s="169"/>
      <c r="LEW124" s="169"/>
      <c r="LFA124" s="169"/>
      <c r="LFE124" s="169"/>
      <c r="LFI124" s="169"/>
      <c r="LFM124" s="169"/>
      <c r="LFQ124" s="169"/>
      <c r="LFU124" s="169"/>
      <c r="LFY124" s="169"/>
      <c r="LGC124" s="169"/>
      <c r="LGG124" s="169"/>
      <c r="LGK124" s="169"/>
      <c r="LGO124" s="169"/>
      <c r="LGS124" s="169"/>
      <c r="LGW124" s="169"/>
      <c r="LHA124" s="169"/>
      <c r="LHE124" s="169"/>
      <c r="LHI124" s="169"/>
      <c r="LHM124" s="169"/>
      <c r="LHQ124" s="169"/>
      <c r="LHU124" s="169"/>
      <c r="LHY124" s="169"/>
      <c r="LIC124" s="169"/>
      <c r="LIG124" s="169"/>
      <c r="LIK124" s="169"/>
      <c r="LIO124" s="169"/>
      <c r="LIS124" s="169"/>
      <c r="LIW124" s="169"/>
      <c r="LJA124" s="169"/>
      <c r="LJE124" s="169"/>
      <c r="LJI124" s="169"/>
      <c r="LJM124" s="169"/>
      <c r="LJQ124" s="169"/>
      <c r="LJU124" s="169"/>
      <c r="LJY124" s="169"/>
      <c r="LKC124" s="169"/>
      <c r="LKG124" s="169"/>
      <c r="LKK124" s="169"/>
      <c r="LKO124" s="169"/>
      <c r="LKS124" s="169"/>
      <c r="LKW124" s="169"/>
      <c r="LLA124" s="169"/>
      <c r="LLE124" s="169"/>
      <c r="LLI124" s="169"/>
      <c r="LLM124" s="169"/>
      <c r="LLQ124" s="169"/>
      <c r="LLU124" s="169"/>
      <c r="LLY124" s="169"/>
      <c r="LMC124" s="169"/>
      <c r="LMG124" s="169"/>
      <c r="LMK124" s="169"/>
      <c r="LMO124" s="169"/>
      <c r="LMS124" s="169"/>
      <c r="LMW124" s="169"/>
      <c r="LNA124" s="169"/>
      <c r="LNE124" s="169"/>
      <c r="LNI124" s="169"/>
      <c r="LNM124" s="169"/>
      <c r="LNQ124" s="169"/>
      <c r="LNU124" s="169"/>
      <c r="LNY124" s="169"/>
      <c r="LOC124" s="169"/>
      <c r="LOG124" s="169"/>
      <c r="LOK124" s="169"/>
      <c r="LOO124" s="169"/>
      <c r="LOS124" s="169"/>
      <c r="LOW124" s="169"/>
      <c r="LPA124" s="169"/>
      <c r="LPE124" s="169"/>
      <c r="LPI124" s="169"/>
      <c r="LPM124" s="169"/>
      <c r="LPQ124" s="169"/>
      <c r="LPU124" s="169"/>
      <c r="LPY124" s="169"/>
      <c r="LQC124" s="169"/>
      <c r="LQG124" s="169"/>
      <c r="LQK124" s="169"/>
      <c r="LQO124" s="169"/>
      <c r="LQS124" s="169"/>
      <c r="LQW124" s="169"/>
      <c r="LRA124" s="169"/>
      <c r="LRE124" s="169"/>
      <c r="LRI124" s="169"/>
      <c r="LRM124" s="169"/>
      <c r="LRQ124" s="169"/>
      <c r="LRU124" s="169"/>
      <c r="LRY124" s="169"/>
      <c r="LSC124" s="169"/>
      <c r="LSG124" s="169"/>
      <c r="LSK124" s="169"/>
      <c r="LSO124" s="169"/>
      <c r="LSS124" s="169"/>
      <c r="LSW124" s="169"/>
      <c r="LTA124" s="169"/>
      <c r="LTE124" s="169"/>
      <c r="LTI124" s="169"/>
      <c r="LTM124" s="169"/>
      <c r="LTQ124" s="169"/>
      <c r="LTU124" s="169"/>
      <c r="LTY124" s="169"/>
      <c r="LUC124" s="169"/>
      <c r="LUG124" s="169"/>
      <c r="LUK124" s="169"/>
      <c r="LUO124" s="169"/>
      <c r="LUS124" s="169"/>
      <c r="LUW124" s="169"/>
      <c r="LVA124" s="169"/>
      <c r="LVE124" s="169"/>
      <c r="LVI124" s="169"/>
      <c r="LVM124" s="169"/>
      <c r="LVQ124" s="169"/>
      <c r="LVU124" s="169"/>
      <c r="LVY124" s="169"/>
      <c r="LWC124" s="169"/>
      <c r="LWG124" s="169"/>
      <c r="LWK124" s="169"/>
      <c r="LWO124" s="169"/>
      <c r="LWS124" s="169"/>
      <c r="LWW124" s="169"/>
      <c r="LXA124" s="169"/>
      <c r="LXE124" s="169"/>
      <c r="LXI124" s="169"/>
      <c r="LXM124" s="169"/>
      <c r="LXQ124" s="169"/>
      <c r="LXU124" s="169"/>
      <c r="LXY124" s="169"/>
      <c r="LYC124" s="169"/>
      <c r="LYG124" s="169"/>
      <c r="LYK124" s="169"/>
      <c r="LYO124" s="169"/>
      <c r="LYS124" s="169"/>
      <c r="LYW124" s="169"/>
      <c r="LZA124" s="169"/>
      <c r="LZE124" s="169"/>
      <c r="LZI124" s="169"/>
      <c r="LZM124" s="169"/>
      <c r="LZQ124" s="169"/>
      <c r="LZU124" s="169"/>
      <c r="LZY124" s="169"/>
      <c r="MAC124" s="169"/>
      <c r="MAG124" s="169"/>
      <c r="MAK124" s="169"/>
      <c r="MAO124" s="169"/>
      <c r="MAS124" s="169"/>
      <c r="MAW124" s="169"/>
      <c r="MBA124" s="169"/>
      <c r="MBE124" s="169"/>
      <c r="MBI124" s="169"/>
      <c r="MBM124" s="169"/>
      <c r="MBQ124" s="169"/>
      <c r="MBU124" s="169"/>
      <c r="MBY124" s="169"/>
      <c r="MCC124" s="169"/>
      <c r="MCG124" s="169"/>
      <c r="MCK124" s="169"/>
      <c r="MCO124" s="169"/>
      <c r="MCS124" s="169"/>
      <c r="MCW124" s="169"/>
      <c r="MDA124" s="169"/>
      <c r="MDE124" s="169"/>
      <c r="MDI124" s="169"/>
      <c r="MDM124" s="169"/>
      <c r="MDQ124" s="169"/>
      <c r="MDU124" s="169"/>
      <c r="MDY124" s="169"/>
      <c r="MEC124" s="169"/>
      <c r="MEG124" s="169"/>
      <c r="MEK124" s="169"/>
      <c r="MEO124" s="169"/>
      <c r="MES124" s="169"/>
      <c r="MEW124" s="169"/>
      <c r="MFA124" s="169"/>
      <c r="MFE124" s="169"/>
      <c r="MFI124" s="169"/>
      <c r="MFM124" s="169"/>
      <c r="MFQ124" s="169"/>
      <c r="MFU124" s="169"/>
      <c r="MFY124" s="169"/>
      <c r="MGC124" s="169"/>
      <c r="MGG124" s="169"/>
      <c r="MGK124" s="169"/>
      <c r="MGO124" s="169"/>
      <c r="MGS124" s="169"/>
      <c r="MGW124" s="169"/>
      <c r="MHA124" s="169"/>
      <c r="MHE124" s="169"/>
      <c r="MHI124" s="169"/>
      <c r="MHM124" s="169"/>
      <c r="MHQ124" s="169"/>
      <c r="MHU124" s="169"/>
      <c r="MHY124" s="169"/>
      <c r="MIC124" s="169"/>
      <c r="MIG124" s="169"/>
      <c r="MIK124" s="169"/>
      <c r="MIO124" s="169"/>
      <c r="MIS124" s="169"/>
      <c r="MIW124" s="169"/>
      <c r="MJA124" s="169"/>
      <c r="MJE124" s="169"/>
      <c r="MJI124" s="169"/>
      <c r="MJM124" s="169"/>
      <c r="MJQ124" s="169"/>
      <c r="MJU124" s="169"/>
      <c r="MJY124" s="169"/>
      <c r="MKC124" s="169"/>
      <c r="MKG124" s="169"/>
      <c r="MKK124" s="169"/>
      <c r="MKO124" s="169"/>
      <c r="MKS124" s="169"/>
      <c r="MKW124" s="169"/>
      <c r="MLA124" s="169"/>
      <c r="MLE124" s="169"/>
      <c r="MLI124" s="169"/>
      <c r="MLM124" s="169"/>
      <c r="MLQ124" s="169"/>
      <c r="MLU124" s="169"/>
      <c r="MLY124" s="169"/>
      <c r="MMC124" s="169"/>
      <c r="MMG124" s="169"/>
      <c r="MMK124" s="169"/>
      <c r="MMO124" s="169"/>
      <c r="MMS124" s="169"/>
      <c r="MMW124" s="169"/>
      <c r="MNA124" s="169"/>
      <c r="MNE124" s="169"/>
      <c r="MNI124" s="169"/>
      <c r="MNM124" s="169"/>
      <c r="MNQ124" s="169"/>
      <c r="MNU124" s="169"/>
      <c r="MNY124" s="169"/>
      <c r="MOC124" s="169"/>
      <c r="MOG124" s="169"/>
      <c r="MOK124" s="169"/>
      <c r="MOO124" s="169"/>
      <c r="MOS124" s="169"/>
      <c r="MOW124" s="169"/>
      <c r="MPA124" s="169"/>
      <c r="MPE124" s="169"/>
      <c r="MPI124" s="169"/>
      <c r="MPM124" s="169"/>
      <c r="MPQ124" s="169"/>
      <c r="MPU124" s="169"/>
      <c r="MPY124" s="169"/>
      <c r="MQC124" s="169"/>
      <c r="MQG124" s="169"/>
      <c r="MQK124" s="169"/>
      <c r="MQO124" s="169"/>
      <c r="MQS124" s="169"/>
      <c r="MQW124" s="169"/>
      <c r="MRA124" s="169"/>
      <c r="MRE124" s="169"/>
      <c r="MRI124" s="169"/>
      <c r="MRM124" s="169"/>
      <c r="MRQ124" s="169"/>
      <c r="MRU124" s="169"/>
      <c r="MRY124" s="169"/>
      <c r="MSC124" s="169"/>
      <c r="MSG124" s="169"/>
      <c r="MSK124" s="169"/>
      <c r="MSO124" s="169"/>
      <c r="MSS124" s="169"/>
      <c r="MSW124" s="169"/>
      <c r="MTA124" s="169"/>
      <c r="MTE124" s="169"/>
      <c r="MTI124" s="169"/>
      <c r="MTM124" s="169"/>
      <c r="MTQ124" s="169"/>
      <c r="MTU124" s="169"/>
      <c r="MTY124" s="169"/>
      <c r="MUC124" s="169"/>
      <c r="MUG124" s="169"/>
      <c r="MUK124" s="169"/>
      <c r="MUO124" s="169"/>
      <c r="MUS124" s="169"/>
      <c r="MUW124" s="169"/>
      <c r="MVA124" s="169"/>
      <c r="MVE124" s="169"/>
      <c r="MVI124" s="169"/>
      <c r="MVM124" s="169"/>
      <c r="MVQ124" s="169"/>
      <c r="MVU124" s="169"/>
      <c r="MVY124" s="169"/>
      <c r="MWC124" s="169"/>
      <c r="MWG124" s="169"/>
      <c r="MWK124" s="169"/>
      <c r="MWO124" s="169"/>
      <c r="MWS124" s="169"/>
      <c r="MWW124" s="169"/>
      <c r="MXA124" s="169"/>
      <c r="MXE124" s="169"/>
      <c r="MXI124" s="169"/>
      <c r="MXM124" s="169"/>
      <c r="MXQ124" s="169"/>
      <c r="MXU124" s="169"/>
      <c r="MXY124" s="169"/>
      <c r="MYC124" s="169"/>
      <c r="MYG124" s="169"/>
      <c r="MYK124" s="169"/>
      <c r="MYO124" s="169"/>
      <c r="MYS124" s="169"/>
      <c r="MYW124" s="169"/>
      <c r="MZA124" s="169"/>
      <c r="MZE124" s="169"/>
      <c r="MZI124" s="169"/>
      <c r="MZM124" s="169"/>
      <c r="MZQ124" s="169"/>
      <c r="MZU124" s="169"/>
      <c r="MZY124" s="169"/>
      <c r="NAC124" s="169"/>
      <c r="NAG124" s="169"/>
      <c r="NAK124" s="169"/>
      <c r="NAO124" s="169"/>
      <c r="NAS124" s="169"/>
      <c r="NAW124" s="169"/>
      <c r="NBA124" s="169"/>
      <c r="NBE124" s="169"/>
      <c r="NBI124" s="169"/>
      <c r="NBM124" s="169"/>
      <c r="NBQ124" s="169"/>
      <c r="NBU124" s="169"/>
      <c r="NBY124" s="169"/>
      <c r="NCC124" s="169"/>
      <c r="NCG124" s="169"/>
      <c r="NCK124" s="169"/>
      <c r="NCO124" s="169"/>
      <c r="NCS124" s="169"/>
      <c r="NCW124" s="169"/>
      <c r="NDA124" s="169"/>
      <c r="NDE124" s="169"/>
      <c r="NDI124" s="169"/>
      <c r="NDM124" s="169"/>
      <c r="NDQ124" s="169"/>
      <c r="NDU124" s="169"/>
      <c r="NDY124" s="169"/>
      <c r="NEC124" s="169"/>
      <c r="NEG124" s="169"/>
      <c r="NEK124" s="169"/>
      <c r="NEO124" s="169"/>
      <c r="NES124" s="169"/>
      <c r="NEW124" s="169"/>
      <c r="NFA124" s="169"/>
      <c r="NFE124" s="169"/>
      <c r="NFI124" s="169"/>
      <c r="NFM124" s="169"/>
      <c r="NFQ124" s="169"/>
      <c r="NFU124" s="169"/>
      <c r="NFY124" s="169"/>
      <c r="NGC124" s="169"/>
      <c r="NGG124" s="169"/>
      <c r="NGK124" s="169"/>
      <c r="NGO124" s="169"/>
      <c r="NGS124" s="169"/>
      <c r="NGW124" s="169"/>
      <c r="NHA124" s="169"/>
      <c r="NHE124" s="169"/>
      <c r="NHI124" s="169"/>
      <c r="NHM124" s="169"/>
      <c r="NHQ124" s="169"/>
      <c r="NHU124" s="169"/>
      <c r="NHY124" s="169"/>
      <c r="NIC124" s="169"/>
      <c r="NIG124" s="169"/>
      <c r="NIK124" s="169"/>
      <c r="NIO124" s="169"/>
      <c r="NIS124" s="169"/>
      <c r="NIW124" s="169"/>
      <c r="NJA124" s="169"/>
      <c r="NJE124" s="169"/>
      <c r="NJI124" s="169"/>
      <c r="NJM124" s="169"/>
      <c r="NJQ124" s="169"/>
      <c r="NJU124" s="169"/>
      <c r="NJY124" s="169"/>
      <c r="NKC124" s="169"/>
      <c r="NKG124" s="169"/>
      <c r="NKK124" s="169"/>
      <c r="NKO124" s="169"/>
      <c r="NKS124" s="169"/>
      <c r="NKW124" s="169"/>
      <c r="NLA124" s="169"/>
      <c r="NLE124" s="169"/>
      <c r="NLI124" s="169"/>
      <c r="NLM124" s="169"/>
      <c r="NLQ124" s="169"/>
      <c r="NLU124" s="169"/>
      <c r="NLY124" s="169"/>
      <c r="NMC124" s="169"/>
      <c r="NMG124" s="169"/>
      <c r="NMK124" s="169"/>
      <c r="NMO124" s="169"/>
      <c r="NMS124" s="169"/>
      <c r="NMW124" s="169"/>
      <c r="NNA124" s="169"/>
      <c r="NNE124" s="169"/>
      <c r="NNI124" s="169"/>
      <c r="NNM124" s="169"/>
      <c r="NNQ124" s="169"/>
      <c r="NNU124" s="169"/>
      <c r="NNY124" s="169"/>
      <c r="NOC124" s="169"/>
      <c r="NOG124" s="169"/>
      <c r="NOK124" s="169"/>
      <c r="NOO124" s="169"/>
      <c r="NOS124" s="169"/>
      <c r="NOW124" s="169"/>
      <c r="NPA124" s="169"/>
      <c r="NPE124" s="169"/>
      <c r="NPI124" s="169"/>
      <c r="NPM124" s="169"/>
      <c r="NPQ124" s="169"/>
      <c r="NPU124" s="169"/>
      <c r="NPY124" s="169"/>
      <c r="NQC124" s="169"/>
      <c r="NQG124" s="169"/>
      <c r="NQK124" s="169"/>
      <c r="NQO124" s="169"/>
      <c r="NQS124" s="169"/>
      <c r="NQW124" s="169"/>
      <c r="NRA124" s="169"/>
      <c r="NRE124" s="169"/>
      <c r="NRI124" s="169"/>
      <c r="NRM124" s="169"/>
      <c r="NRQ124" s="169"/>
      <c r="NRU124" s="169"/>
      <c r="NRY124" s="169"/>
      <c r="NSC124" s="169"/>
      <c r="NSG124" s="169"/>
      <c r="NSK124" s="169"/>
      <c r="NSO124" s="169"/>
      <c r="NSS124" s="169"/>
      <c r="NSW124" s="169"/>
      <c r="NTA124" s="169"/>
      <c r="NTE124" s="169"/>
      <c r="NTI124" s="169"/>
      <c r="NTM124" s="169"/>
      <c r="NTQ124" s="169"/>
      <c r="NTU124" s="169"/>
      <c r="NTY124" s="169"/>
      <c r="NUC124" s="169"/>
      <c r="NUG124" s="169"/>
      <c r="NUK124" s="169"/>
      <c r="NUO124" s="169"/>
      <c r="NUS124" s="169"/>
      <c r="NUW124" s="169"/>
      <c r="NVA124" s="169"/>
      <c r="NVE124" s="169"/>
      <c r="NVI124" s="169"/>
      <c r="NVM124" s="169"/>
      <c r="NVQ124" s="169"/>
      <c r="NVU124" s="169"/>
      <c r="NVY124" s="169"/>
      <c r="NWC124" s="169"/>
      <c r="NWG124" s="169"/>
      <c r="NWK124" s="169"/>
      <c r="NWO124" s="169"/>
      <c r="NWS124" s="169"/>
      <c r="NWW124" s="169"/>
      <c r="NXA124" s="169"/>
      <c r="NXE124" s="169"/>
      <c r="NXI124" s="169"/>
      <c r="NXM124" s="169"/>
      <c r="NXQ124" s="169"/>
      <c r="NXU124" s="169"/>
      <c r="NXY124" s="169"/>
      <c r="NYC124" s="169"/>
      <c r="NYG124" s="169"/>
      <c r="NYK124" s="169"/>
      <c r="NYO124" s="169"/>
      <c r="NYS124" s="169"/>
      <c r="NYW124" s="169"/>
      <c r="NZA124" s="169"/>
      <c r="NZE124" s="169"/>
      <c r="NZI124" s="169"/>
      <c r="NZM124" s="169"/>
      <c r="NZQ124" s="169"/>
      <c r="NZU124" s="169"/>
      <c r="NZY124" s="169"/>
      <c r="OAC124" s="169"/>
      <c r="OAG124" s="169"/>
      <c r="OAK124" s="169"/>
      <c r="OAO124" s="169"/>
      <c r="OAS124" s="169"/>
      <c r="OAW124" s="169"/>
      <c r="OBA124" s="169"/>
      <c r="OBE124" s="169"/>
      <c r="OBI124" s="169"/>
      <c r="OBM124" s="169"/>
      <c r="OBQ124" s="169"/>
      <c r="OBU124" s="169"/>
      <c r="OBY124" s="169"/>
      <c r="OCC124" s="169"/>
      <c r="OCG124" s="169"/>
      <c r="OCK124" s="169"/>
      <c r="OCO124" s="169"/>
      <c r="OCS124" s="169"/>
      <c r="OCW124" s="169"/>
      <c r="ODA124" s="169"/>
      <c r="ODE124" s="169"/>
      <c r="ODI124" s="169"/>
      <c r="ODM124" s="169"/>
      <c r="ODQ124" s="169"/>
      <c r="ODU124" s="169"/>
      <c r="ODY124" s="169"/>
      <c r="OEC124" s="169"/>
      <c r="OEG124" s="169"/>
      <c r="OEK124" s="169"/>
      <c r="OEO124" s="169"/>
      <c r="OES124" s="169"/>
      <c r="OEW124" s="169"/>
      <c r="OFA124" s="169"/>
      <c r="OFE124" s="169"/>
      <c r="OFI124" s="169"/>
      <c r="OFM124" s="169"/>
      <c r="OFQ124" s="169"/>
      <c r="OFU124" s="169"/>
      <c r="OFY124" s="169"/>
      <c r="OGC124" s="169"/>
      <c r="OGG124" s="169"/>
      <c r="OGK124" s="169"/>
      <c r="OGO124" s="169"/>
      <c r="OGS124" s="169"/>
      <c r="OGW124" s="169"/>
      <c r="OHA124" s="169"/>
      <c r="OHE124" s="169"/>
      <c r="OHI124" s="169"/>
      <c r="OHM124" s="169"/>
      <c r="OHQ124" s="169"/>
      <c r="OHU124" s="169"/>
      <c r="OHY124" s="169"/>
      <c r="OIC124" s="169"/>
      <c r="OIG124" s="169"/>
      <c r="OIK124" s="169"/>
      <c r="OIO124" s="169"/>
      <c r="OIS124" s="169"/>
      <c r="OIW124" s="169"/>
      <c r="OJA124" s="169"/>
      <c r="OJE124" s="169"/>
      <c r="OJI124" s="169"/>
      <c r="OJM124" s="169"/>
      <c r="OJQ124" s="169"/>
      <c r="OJU124" s="169"/>
      <c r="OJY124" s="169"/>
      <c r="OKC124" s="169"/>
      <c r="OKG124" s="169"/>
      <c r="OKK124" s="169"/>
      <c r="OKO124" s="169"/>
      <c r="OKS124" s="169"/>
      <c r="OKW124" s="169"/>
      <c r="OLA124" s="169"/>
      <c r="OLE124" s="169"/>
      <c r="OLI124" s="169"/>
      <c r="OLM124" s="169"/>
      <c r="OLQ124" s="169"/>
      <c r="OLU124" s="169"/>
      <c r="OLY124" s="169"/>
      <c r="OMC124" s="169"/>
      <c r="OMG124" s="169"/>
      <c r="OMK124" s="169"/>
      <c r="OMO124" s="169"/>
      <c r="OMS124" s="169"/>
      <c r="OMW124" s="169"/>
      <c r="ONA124" s="169"/>
      <c r="ONE124" s="169"/>
      <c r="ONI124" s="169"/>
      <c r="ONM124" s="169"/>
      <c r="ONQ124" s="169"/>
      <c r="ONU124" s="169"/>
      <c r="ONY124" s="169"/>
      <c r="OOC124" s="169"/>
      <c r="OOG124" s="169"/>
      <c r="OOK124" s="169"/>
      <c r="OOO124" s="169"/>
      <c r="OOS124" s="169"/>
      <c r="OOW124" s="169"/>
      <c r="OPA124" s="169"/>
      <c r="OPE124" s="169"/>
      <c r="OPI124" s="169"/>
      <c r="OPM124" s="169"/>
      <c r="OPQ124" s="169"/>
      <c r="OPU124" s="169"/>
      <c r="OPY124" s="169"/>
      <c r="OQC124" s="169"/>
      <c r="OQG124" s="169"/>
      <c r="OQK124" s="169"/>
      <c r="OQO124" s="169"/>
      <c r="OQS124" s="169"/>
      <c r="OQW124" s="169"/>
      <c r="ORA124" s="169"/>
      <c r="ORE124" s="169"/>
      <c r="ORI124" s="169"/>
      <c r="ORM124" s="169"/>
      <c r="ORQ124" s="169"/>
      <c r="ORU124" s="169"/>
      <c r="ORY124" s="169"/>
      <c r="OSC124" s="169"/>
      <c r="OSG124" s="169"/>
      <c r="OSK124" s="169"/>
      <c r="OSO124" s="169"/>
      <c r="OSS124" s="169"/>
      <c r="OSW124" s="169"/>
      <c r="OTA124" s="169"/>
      <c r="OTE124" s="169"/>
      <c r="OTI124" s="169"/>
      <c r="OTM124" s="169"/>
      <c r="OTQ124" s="169"/>
      <c r="OTU124" s="169"/>
      <c r="OTY124" s="169"/>
      <c r="OUC124" s="169"/>
      <c r="OUG124" s="169"/>
      <c r="OUK124" s="169"/>
      <c r="OUO124" s="169"/>
      <c r="OUS124" s="169"/>
      <c r="OUW124" s="169"/>
      <c r="OVA124" s="169"/>
      <c r="OVE124" s="169"/>
      <c r="OVI124" s="169"/>
      <c r="OVM124" s="169"/>
      <c r="OVQ124" s="169"/>
      <c r="OVU124" s="169"/>
      <c r="OVY124" s="169"/>
      <c r="OWC124" s="169"/>
      <c r="OWG124" s="169"/>
      <c r="OWK124" s="169"/>
      <c r="OWO124" s="169"/>
      <c r="OWS124" s="169"/>
      <c r="OWW124" s="169"/>
      <c r="OXA124" s="169"/>
      <c r="OXE124" s="169"/>
      <c r="OXI124" s="169"/>
      <c r="OXM124" s="169"/>
      <c r="OXQ124" s="169"/>
      <c r="OXU124" s="169"/>
      <c r="OXY124" s="169"/>
      <c r="OYC124" s="169"/>
      <c r="OYG124" s="169"/>
      <c r="OYK124" s="169"/>
      <c r="OYO124" s="169"/>
      <c r="OYS124" s="169"/>
      <c r="OYW124" s="169"/>
      <c r="OZA124" s="169"/>
      <c r="OZE124" s="169"/>
      <c r="OZI124" s="169"/>
      <c r="OZM124" s="169"/>
      <c r="OZQ124" s="169"/>
      <c r="OZU124" s="169"/>
      <c r="OZY124" s="169"/>
      <c r="PAC124" s="169"/>
      <c r="PAG124" s="169"/>
      <c r="PAK124" s="169"/>
      <c r="PAO124" s="169"/>
      <c r="PAS124" s="169"/>
      <c r="PAW124" s="169"/>
      <c r="PBA124" s="169"/>
      <c r="PBE124" s="169"/>
      <c r="PBI124" s="169"/>
      <c r="PBM124" s="169"/>
      <c r="PBQ124" s="169"/>
      <c r="PBU124" s="169"/>
      <c r="PBY124" s="169"/>
      <c r="PCC124" s="169"/>
      <c r="PCG124" s="169"/>
      <c r="PCK124" s="169"/>
      <c r="PCO124" s="169"/>
      <c r="PCS124" s="169"/>
      <c r="PCW124" s="169"/>
      <c r="PDA124" s="169"/>
      <c r="PDE124" s="169"/>
      <c r="PDI124" s="169"/>
      <c r="PDM124" s="169"/>
      <c r="PDQ124" s="169"/>
      <c r="PDU124" s="169"/>
      <c r="PDY124" s="169"/>
      <c r="PEC124" s="169"/>
      <c r="PEG124" s="169"/>
      <c r="PEK124" s="169"/>
      <c r="PEO124" s="169"/>
      <c r="PES124" s="169"/>
      <c r="PEW124" s="169"/>
      <c r="PFA124" s="169"/>
      <c r="PFE124" s="169"/>
      <c r="PFI124" s="169"/>
      <c r="PFM124" s="169"/>
      <c r="PFQ124" s="169"/>
      <c r="PFU124" s="169"/>
      <c r="PFY124" s="169"/>
      <c r="PGC124" s="169"/>
      <c r="PGG124" s="169"/>
      <c r="PGK124" s="169"/>
      <c r="PGO124" s="169"/>
      <c r="PGS124" s="169"/>
      <c r="PGW124" s="169"/>
      <c r="PHA124" s="169"/>
      <c r="PHE124" s="169"/>
      <c r="PHI124" s="169"/>
      <c r="PHM124" s="169"/>
      <c r="PHQ124" s="169"/>
      <c r="PHU124" s="169"/>
      <c r="PHY124" s="169"/>
      <c r="PIC124" s="169"/>
      <c r="PIG124" s="169"/>
      <c r="PIK124" s="169"/>
      <c r="PIO124" s="169"/>
      <c r="PIS124" s="169"/>
      <c r="PIW124" s="169"/>
      <c r="PJA124" s="169"/>
      <c r="PJE124" s="169"/>
      <c r="PJI124" s="169"/>
      <c r="PJM124" s="169"/>
      <c r="PJQ124" s="169"/>
      <c r="PJU124" s="169"/>
      <c r="PJY124" s="169"/>
      <c r="PKC124" s="169"/>
      <c r="PKG124" s="169"/>
      <c r="PKK124" s="169"/>
      <c r="PKO124" s="169"/>
      <c r="PKS124" s="169"/>
      <c r="PKW124" s="169"/>
      <c r="PLA124" s="169"/>
      <c r="PLE124" s="169"/>
      <c r="PLI124" s="169"/>
      <c r="PLM124" s="169"/>
      <c r="PLQ124" s="169"/>
      <c r="PLU124" s="169"/>
      <c r="PLY124" s="169"/>
      <c r="PMC124" s="169"/>
      <c r="PMG124" s="169"/>
      <c r="PMK124" s="169"/>
      <c r="PMO124" s="169"/>
      <c r="PMS124" s="169"/>
      <c r="PMW124" s="169"/>
      <c r="PNA124" s="169"/>
      <c r="PNE124" s="169"/>
      <c r="PNI124" s="169"/>
      <c r="PNM124" s="169"/>
      <c r="PNQ124" s="169"/>
      <c r="PNU124" s="169"/>
      <c r="PNY124" s="169"/>
      <c r="POC124" s="169"/>
      <c r="POG124" s="169"/>
      <c r="POK124" s="169"/>
      <c r="POO124" s="169"/>
      <c r="POS124" s="169"/>
      <c r="POW124" s="169"/>
      <c r="PPA124" s="169"/>
      <c r="PPE124" s="169"/>
      <c r="PPI124" s="169"/>
      <c r="PPM124" s="169"/>
      <c r="PPQ124" s="169"/>
      <c r="PPU124" s="169"/>
      <c r="PPY124" s="169"/>
      <c r="PQC124" s="169"/>
      <c r="PQG124" s="169"/>
      <c r="PQK124" s="169"/>
      <c r="PQO124" s="169"/>
      <c r="PQS124" s="169"/>
      <c r="PQW124" s="169"/>
      <c r="PRA124" s="169"/>
      <c r="PRE124" s="169"/>
      <c r="PRI124" s="169"/>
      <c r="PRM124" s="169"/>
      <c r="PRQ124" s="169"/>
      <c r="PRU124" s="169"/>
      <c r="PRY124" s="169"/>
      <c r="PSC124" s="169"/>
      <c r="PSG124" s="169"/>
      <c r="PSK124" s="169"/>
      <c r="PSO124" s="169"/>
      <c r="PSS124" s="169"/>
      <c r="PSW124" s="169"/>
      <c r="PTA124" s="169"/>
      <c r="PTE124" s="169"/>
      <c r="PTI124" s="169"/>
      <c r="PTM124" s="169"/>
      <c r="PTQ124" s="169"/>
      <c r="PTU124" s="169"/>
      <c r="PTY124" s="169"/>
      <c r="PUC124" s="169"/>
      <c r="PUG124" s="169"/>
      <c r="PUK124" s="169"/>
      <c r="PUO124" s="169"/>
      <c r="PUS124" s="169"/>
      <c r="PUW124" s="169"/>
      <c r="PVA124" s="169"/>
      <c r="PVE124" s="169"/>
      <c r="PVI124" s="169"/>
      <c r="PVM124" s="169"/>
      <c r="PVQ124" s="169"/>
      <c r="PVU124" s="169"/>
      <c r="PVY124" s="169"/>
      <c r="PWC124" s="169"/>
      <c r="PWG124" s="169"/>
      <c r="PWK124" s="169"/>
      <c r="PWO124" s="169"/>
      <c r="PWS124" s="169"/>
      <c r="PWW124" s="169"/>
      <c r="PXA124" s="169"/>
      <c r="PXE124" s="169"/>
      <c r="PXI124" s="169"/>
      <c r="PXM124" s="169"/>
      <c r="PXQ124" s="169"/>
      <c r="PXU124" s="169"/>
      <c r="PXY124" s="169"/>
      <c r="PYC124" s="169"/>
      <c r="PYG124" s="169"/>
      <c r="PYK124" s="169"/>
      <c r="PYO124" s="169"/>
      <c r="PYS124" s="169"/>
      <c r="PYW124" s="169"/>
      <c r="PZA124" s="169"/>
      <c r="PZE124" s="169"/>
      <c r="PZI124" s="169"/>
      <c r="PZM124" s="169"/>
      <c r="PZQ124" s="169"/>
      <c r="PZU124" s="169"/>
      <c r="PZY124" s="169"/>
      <c r="QAC124" s="169"/>
      <c r="QAG124" s="169"/>
      <c r="QAK124" s="169"/>
      <c r="QAO124" s="169"/>
      <c r="QAS124" s="169"/>
      <c r="QAW124" s="169"/>
      <c r="QBA124" s="169"/>
      <c r="QBE124" s="169"/>
      <c r="QBI124" s="169"/>
      <c r="QBM124" s="169"/>
      <c r="QBQ124" s="169"/>
      <c r="QBU124" s="169"/>
      <c r="QBY124" s="169"/>
      <c r="QCC124" s="169"/>
      <c r="QCG124" s="169"/>
      <c r="QCK124" s="169"/>
      <c r="QCO124" s="169"/>
      <c r="QCS124" s="169"/>
      <c r="QCW124" s="169"/>
      <c r="QDA124" s="169"/>
      <c r="QDE124" s="169"/>
      <c r="QDI124" s="169"/>
      <c r="QDM124" s="169"/>
      <c r="QDQ124" s="169"/>
      <c r="QDU124" s="169"/>
      <c r="QDY124" s="169"/>
      <c r="QEC124" s="169"/>
      <c r="QEG124" s="169"/>
      <c r="QEK124" s="169"/>
      <c r="QEO124" s="169"/>
      <c r="QES124" s="169"/>
      <c r="QEW124" s="169"/>
      <c r="QFA124" s="169"/>
      <c r="QFE124" s="169"/>
      <c r="QFI124" s="169"/>
      <c r="QFM124" s="169"/>
      <c r="QFQ124" s="169"/>
      <c r="QFU124" s="169"/>
      <c r="QFY124" s="169"/>
      <c r="QGC124" s="169"/>
      <c r="QGG124" s="169"/>
      <c r="QGK124" s="169"/>
      <c r="QGO124" s="169"/>
      <c r="QGS124" s="169"/>
      <c r="QGW124" s="169"/>
      <c r="QHA124" s="169"/>
      <c r="QHE124" s="169"/>
      <c r="QHI124" s="169"/>
      <c r="QHM124" s="169"/>
      <c r="QHQ124" s="169"/>
      <c r="QHU124" s="169"/>
      <c r="QHY124" s="169"/>
      <c r="QIC124" s="169"/>
      <c r="QIG124" s="169"/>
      <c r="QIK124" s="169"/>
      <c r="QIO124" s="169"/>
      <c r="QIS124" s="169"/>
      <c r="QIW124" s="169"/>
      <c r="QJA124" s="169"/>
      <c r="QJE124" s="169"/>
      <c r="QJI124" s="169"/>
      <c r="QJM124" s="169"/>
      <c r="QJQ124" s="169"/>
      <c r="QJU124" s="169"/>
      <c r="QJY124" s="169"/>
      <c r="QKC124" s="169"/>
      <c r="QKG124" s="169"/>
      <c r="QKK124" s="169"/>
      <c r="QKO124" s="169"/>
      <c r="QKS124" s="169"/>
      <c r="QKW124" s="169"/>
      <c r="QLA124" s="169"/>
      <c r="QLE124" s="169"/>
      <c r="QLI124" s="169"/>
      <c r="QLM124" s="169"/>
      <c r="QLQ124" s="169"/>
      <c r="QLU124" s="169"/>
      <c r="QLY124" s="169"/>
      <c r="QMC124" s="169"/>
      <c r="QMG124" s="169"/>
      <c r="QMK124" s="169"/>
      <c r="QMO124" s="169"/>
      <c r="QMS124" s="169"/>
      <c r="QMW124" s="169"/>
      <c r="QNA124" s="169"/>
      <c r="QNE124" s="169"/>
      <c r="QNI124" s="169"/>
      <c r="QNM124" s="169"/>
      <c r="QNQ124" s="169"/>
      <c r="QNU124" s="169"/>
      <c r="QNY124" s="169"/>
      <c r="QOC124" s="169"/>
      <c r="QOG124" s="169"/>
      <c r="QOK124" s="169"/>
      <c r="QOO124" s="169"/>
      <c r="QOS124" s="169"/>
      <c r="QOW124" s="169"/>
      <c r="QPA124" s="169"/>
      <c r="QPE124" s="169"/>
      <c r="QPI124" s="169"/>
      <c r="QPM124" s="169"/>
      <c r="QPQ124" s="169"/>
      <c r="QPU124" s="169"/>
      <c r="QPY124" s="169"/>
      <c r="QQC124" s="169"/>
      <c r="QQG124" s="169"/>
      <c r="QQK124" s="169"/>
      <c r="QQO124" s="169"/>
      <c r="QQS124" s="169"/>
      <c r="QQW124" s="169"/>
      <c r="QRA124" s="169"/>
      <c r="QRE124" s="169"/>
      <c r="QRI124" s="169"/>
      <c r="QRM124" s="169"/>
      <c r="QRQ124" s="169"/>
      <c r="QRU124" s="169"/>
      <c r="QRY124" s="169"/>
      <c r="QSC124" s="169"/>
      <c r="QSG124" s="169"/>
      <c r="QSK124" s="169"/>
      <c r="QSO124" s="169"/>
      <c r="QSS124" s="169"/>
      <c r="QSW124" s="169"/>
      <c r="QTA124" s="169"/>
      <c r="QTE124" s="169"/>
      <c r="QTI124" s="169"/>
      <c r="QTM124" s="169"/>
      <c r="QTQ124" s="169"/>
      <c r="QTU124" s="169"/>
      <c r="QTY124" s="169"/>
      <c r="QUC124" s="169"/>
      <c r="QUG124" s="169"/>
      <c r="QUK124" s="169"/>
      <c r="QUO124" s="169"/>
      <c r="QUS124" s="169"/>
      <c r="QUW124" s="169"/>
      <c r="QVA124" s="169"/>
      <c r="QVE124" s="169"/>
      <c r="QVI124" s="169"/>
      <c r="QVM124" s="169"/>
      <c r="QVQ124" s="169"/>
      <c r="QVU124" s="169"/>
      <c r="QVY124" s="169"/>
      <c r="QWC124" s="169"/>
      <c r="QWG124" s="169"/>
      <c r="QWK124" s="169"/>
      <c r="QWO124" s="169"/>
      <c r="QWS124" s="169"/>
      <c r="QWW124" s="169"/>
      <c r="QXA124" s="169"/>
      <c r="QXE124" s="169"/>
      <c r="QXI124" s="169"/>
      <c r="QXM124" s="169"/>
      <c r="QXQ124" s="169"/>
      <c r="QXU124" s="169"/>
      <c r="QXY124" s="169"/>
      <c r="QYC124" s="169"/>
      <c r="QYG124" s="169"/>
      <c r="QYK124" s="169"/>
      <c r="QYO124" s="169"/>
      <c r="QYS124" s="169"/>
      <c r="QYW124" s="169"/>
      <c r="QZA124" s="169"/>
      <c r="QZE124" s="169"/>
      <c r="QZI124" s="169"/>
      <c r="QZM124" s="169"/>
      <c r="QZQ124" s="169"/>
      <c r="QZU124" s="169"/>
      <c r="QZY124" s="169"/>
      <c r="RAC124" s="169"/>
      <c r="RAG124" s="169"/>
      <c r="RAK124" s="169"/>
      <c r="RAO124" s="169"/>
      <c r="RAS124" s="169"/>
      <c r="RAW124" s="169"/>
      <c r="RBA124" s="169"/>
      <c r="RBE124" s="169"/>
      <c r="RBI124" s="169"/>
      <c r="RBM124" s="169"/>
      <c r="RBQ124" s="169"/>
      <c r="RBU124" s="169"/>
      <c r="RBY124" s="169"/>
      <c r="RCC124" s="169"/>
      <c r="RCG124" s="169"/>
      <c r="RCK124" s="169"/>
      <c r="RCO124" s="169"/>
      <c r="RCS124" s="169"/>
      <c r="RCW124" s="169"/>
      <c r="RDA124" s="169"/>
      <c r="RDE124" s="169"/>
      <c r="RDI124" s="169"/>
      <c r="RDM124" s="169"/>
      <c r="RDQ124" s="169"/>
      <c r="RDU124" s="169"/>
      <c r="RDY124" s="169"/>
      <c r="REC124" s="169"/>
      <c r="REG124" s="169"/>
      <c r="REK124" s="169"/>
      <c r="REO124" s="169"/>
      <c r="RES124" s="169"/>
      <c r="REW124" s="169"/>
      <c r="RFA124" s="169"/>
      <c r="RFE124" s="169"/>
      <c r="RFI124" s="169"/>
      <c r="RFM124" s="169"/>
      <c r="RFQ124" s="169"/>
      <c r="RFU124" s="169"/>
      <c r="RFY124" s="169"/>
      <c r="RGC124" s="169"/>
      <c r="RGG124" s="169"/>
      <c r="RGK124" s="169"/>
      <c r="RGO124" s="169"/>
      <c r="RGS124" s="169"/>
      <c r="RGW124" s="169"/>
      <c r="RHA124" s="169"/>
      <c r="RHE124" s="169"/>
      <c r="RHI124" s="169"/>
      <c r="RHM124" s="169"/>
      <c r="RHQ124" s="169"/>
      <c r="RHU124" s="169"/>
      <c r="RHY124" s="169"/>
      <c r="RIC124" s="169"/>
      <c r="RIG124" s="169"/>
      <c r="RIK124" s="169"/>
      <c r="RIO124" s="169"/>
      <c r="RIS124" s="169"/>
      <c r="RIW124" s="169"/>
      <c r="RJA124" s="169"/>
      <c r="RJE124" s="169"/>
      <c r="RJI124" s="169"/>
      <c r="RJM124" s="169"/>
      <c r="RJQ124" s="169"/>
      <c r="RJU124" s="169"/>
      <c r="RJY124" s="169"/>
      <c r="RKC124" s="169"/>
      <c r="RKG124" s="169"/>
      <c r="RKK124" s="169"/>
      <c r="RKO124" s="169"/>
      <c r="RKS124" s="169"/>
      <c r="RKW124" s="169"/>
      <c r="RLA124" s="169"/>
      <c r="RLE124" s="169"/>
      <c r="RLI124" s="169"/>
      <c r="RLM124" s="169"/>
      <c r="RLQ124" s="169"/>
      <c r="RLU124" s="169"/>
      <c r="RLY124" s="169"/>
      <c r="RMC124" s="169"/>
      <c r="RMG124" s="169"/>
      <c r="RMK124" s="169"/>
      <c r="RMO124" s="169"/>
      <c r="RMS124" s="169"/>
      <c r="RMW124" s="169"/>
      <c r="RNA124" s="169"/>
      <c r="RNE124" s="169"/>
      <c r="RNI124" s="169"/>
      <c r="RNM124" s="169"/>
      <c r="RNQ124" s="169"/>
      <c r="RNU124" s="169"/>
      <c r="RNY124" s="169"/>
      <c r="ROC124" s="169"/>
      <c r="ROG124" s="169"/>
      <c r="ROK124" s="169"/>
      <c r="ROO124" s="169"/>
      <c r="ROS124" s="169"/>
      <c r="ROW124" s="169"/>
      <c r="RPA124" s="169"/>
      <c r="RPE124" s="169"/>
      <c r="RPI124" s="169"/>
      <c r="RPM124" s="169"/>
      <c r="RPQ124" s="169"/>
      <c r="RPU124" s="169"/>
      <c r="RPY124" s="169"/>
      <c r="RQC124" s="169"/>
      <c r="RQG124" s="169"/>
      <c r="RQK124" s="169"/>
      <c r="RQO124" s="169"/>
      <c r="RQS124" s="169"/>
      <c r="RQW124" s="169"/>
      <c r="RRA124" s="169"/>
      <c r="RRE124" s="169"/>
      <c r="RRI124" s="169"/>
      <c r="RRM124" s="169"/>
      <c r="RRQ124" s="169"/>
      <c r="RRU124" s="169"/>
      <c r="RRY124" s="169"/>
      <c r="RSC124" s="169"/>
      <c r="RSG124" s="169"/>
      <c r="RSK124" s="169"/>
      <c r="RSO124" s="169"/>
      <c r="RSS124" s="169"/>
      <c r="RSW124" s="169"/>
      <c r="RTA124" s="169"/>
      <c r="RTE124" s="169"/>
      <c r="RTI124" s="169"/>
      <c r="RTM124" s="169"/>
      <c r="RTQ124" s="169"/>
      <c r="RTU124" s="169"/>
      <c r="RTY124" s="169"/>
      <c r="RUC124" s="169"/>
      <c r="RUG124" s="169"/>
      <c r="RUK124" s="169"/>
      <c r="RUO124" s="169"/>
      <c r="RUS124" s="169"/>
      <c r="RUW124" s="169"/>
      <c r="RVA124" s="169"/>
      <c r="RVE124" s="169"/>
      <c r="RVI124" s="169"/>
      <c r="RVM124" s="169"/>
      <c r="RVQ124" s="169"/>
      <c r="RVU124" s="169"/>
      <c r="RVY124" s="169"/>
      <c r="RWC124" s="169"/>
      <c r="RWG124" s="169"/>
      <c r="RWK124" s="169"/>
      <c r="RWO124" s="169"/>
      <c r="RWS124" s="169"/>
      <c r="RWW124" s="169"/>
      <c r="RXA124" s="169"/>
      <c r="RXE124" s="169"/>
      <c r="RXI124" s="169"/>
      <c r="RXM124" s="169"/>
      <c r="RXQ124" s="169"/>
      <c r="RXU124" s="169"/>
      <c r="RXY124" s="169"/>
      <c r="RYC124" s="169"/>
      <c r="RYG124" s="169"/>
      <c r="RYK124" s="169"/>
      <c r="RYO124" s="169"/>
      <c r="RYS124" s="169"/>
      <c r="RYW124" s="169"/>
      <c r="RZA124" s="169"/>
      <c r="RZE124" s="169"/>
      <c r="RZI124" s="169"/>
      <c r="RZM124" s="169"/>
      <c r="RZQ124" s="169"/>
      <c r="RZU124" s="169"/>
      <c r="RZY124" s="169"/>
      <c r="SAC124" s="169"/>
      <c r="SAG124" s="169"/>
      <c r="SAK124" s="169"/>
      <c r="SAO124" s="169"/>
      <c r="SAS124" s="169"/>
      <c r="SAW124" s="169"/>
      <c r="SBA124" s="169"/>
      <c r="SBE124" s="169"/>
      <c r="SBI124" s="169"/>
      <c r="SBM124" s="169"/>
      <c r="SBQ124" s="169"/>
      <c r="SBU124" s="169"/>
      <c r="SBY124" s="169"/>
      <c r="SCC124" s="169"/>
      <c r="SCG124" s="169"/>
      <c r="SCK124" s="169"/>
      <c r="SCO124" s="169"/>
      <c r="SCS124" s="169"/>
      <c r="SCW124" s="169"/>
      <c r="SDA124" s="169"/>
      <c r="SDE124" s="169"/>
      <c r="SDI124" s="169"/>
      <c r="SDM124" s="169"/>
      <c r="SDQ124" s="169"/>
      <c r="SDU124" s="169"/>
      <c r="SDY124" s="169"/>
      <c r="SEC124" s="169"/>
      <c r="SEG124" s="169"/>
      <c r="SEK124" s="169"/>
      <c r="SEO124" s="169"/>
      <c r="SES124" s="169"/>
      <c r="SEW124" s="169"/>
      <c r="SFA124" s="169"/>
      <c r="SFE124" s="169"/>
      <c r="SFI124" s="169"/>
      <c r="SFM124" s="169"/>
      <c r="SFQ124" s="169"/>
      <c r="SFU124" s="169"/>
      <c r="SFY124" s="169"/>
      <c r="SGC124" s="169"/>
      <c r="SGG124" s="169"/>
      <c r="SGK124" s="169"/>
      <c r="SGO124" s="169"/>
      <c r="SGS124" s="169"/>
      <c r="SGW124" s="169"/>
      <c r="SHA124" s="169"/>
      <c r="SHE124" s="169"/>
      <c r="SHI124" s="169"/>
      <c r="SHM124" s="169"/>
      <c r="SHQ124" s="169"/>
      <c r="SHU124" s="169"/>
      <c r="SHY124" s="169"/>
      <c r="SIC124" s="169"/>
      <c r="SIG124" s="169"/>
      <c r="SIK124" s="169"/>
      <c r="SIO124" s="169"/>
      <c r="SIS124" s="169"/>
      <c r="SIW124" s="169"/>
      <c r="SJA124" s="169"/>
      <c r="SJE124" s="169"/>
      <c r="SJI124" s="169"/>
      <c r="SJM124" s="169"/>
      <c r="SJQ124" s="169"/>
      <c r="SJU124" s="169"/>
      <c r="SJY124" s="169"/>
      <c r="SKC124" s="169"/>
      <c r="SKG124" s="169"/>
      <c r="SKK124" s="169"/>
      <c r="SKO124" s="169"/>
      <c r="SKS124" s="169"/>
      <c r="SKW124" s="169"/>
      <c r="SLA124" s="169"/>
      <c r="SLE124" s="169"/>
      <c r="SLI124" s="169"/>
      <c r="SLM124" s="169"/>
      <c r="SLQ124" s="169"/>
      <c r="SLU124" s="169"/>
      <c r="SLY124" s="169"/>
      <c r="SMC124" s="169"/>
      <c r="SMG124" s="169"/>
      <c r="SMK124" s="169"/>
      <c r="SMO124" s="169"/>
      <c r="SMS124" s="169"/>
      <c r="SMW124" s="169"/>
      <c r="SNA124" s="169"/>
      <c r="SNE124" s="169"/>
      <c r="SNI124" s="169"/>
      <c r="SNM124" s="169"/>
      <c r="SNQ124" s="169"/>
      <c r="SNU124" s="169"/>
      <c r="SNY124" s="169"/>
      <c r="SOC124" s="169"/>
      <c r="SOG124" s="169"/>
      <c r="SOK124" s="169"/>
      <c r="SOO124" s="169"/>
      <c r="SOS124" s="169"/>
      <c r="SOW124" s="169"/>
      <c r="SPA124" s="169"/>
      <c r="SPE124" s="169"/>
      <c r="SPI124" s="169"/>
      <c r="SPM124" s="169"/>
      <c r="SPQ124" s="169"/>
      <c r="SPU124" s="169"/>
      <c r="SPY124" s="169"/>
      <c r="SQC124" s="169"/>
      <c r="SQG124" s="169"/>
      <c r="SQK124" s="169"/>
      <c r="SQO124" s="169"/>
      <c r="SQS124" s="169"/>
      <c r="SQW124" s="169"/>
      <c r="SRA124" s="169"/>
      <c r="SRE124" s="169"/>
      <c r="SRI124" s="169"/>
      <c r="SRM124" s="169"/>
      <c r="SRQ124" s="169"/>
      <c r="SRU124" s="169"/>
      <c r="SRY124" s="169"/>
      <c r="SSC124" s="169"/>
      <c r="SSG124" s="169"/>
      <c r="SSK124" s="169"/>
      <c r="SSO124" s="169"/>
      <c r="SSS124" s="169"/>
      <c r="SSW124" s="169"/>
      <c r="STA124" s="169"/>
      <c r="STE124" s="169"/>
      <c r="STI124" s="169"/>
      <c r="STM124" s="169"/>
      <c r="STQ124" s="169"/>
      <c r="STU124" s="169"/>
      <c r="STY124" s="169"/>
      <c r="SUC124" s="169"/>
      <c r="SUG124" s="169"/>
      <c r="SUK124" s="169"/>
      <c r="SUO124" s="169"/>
      <c r="SUS124" s="169"/>
      <c r="SUW124" s="169"/>
      <c r="SVA124" s="169"/>
      <c r="SVE124" s="169"/>
      <c r="SVI124" s="169"/>
      <c r="SVM124" s="169"/>
      <c r="SVQ124" s="169"/>
      <c r="SVU124" s="169"/>
      <c r="SVY124" s="169"/>
      <c r="SWC124" s="169"/>
      <c r="SWG124" s="169"/>
      <c r="SWK124" s="169"/>
      <c r="SWO124" s="169"/>
      <c r="SWS124" s="169"/>
      <c r="SWW124" s="169"/>
      <c r="SXA124" s="169"/>
      <c r="SXE124" s="169"/>
      <c r="SXI124" s="169"/>
      <c r="SXM124" s="169"/>
      <c r="SXQ124" s="169"/>
      <c r="SXU124" s="169"/>
      <c r="SXY124" s="169"/>
      <c r="SYC124" s="169"/>
      <c r="SYG124" s="169"/>
      <c r="SYK124" s="169"/>
      <c r="SYO124" s="169"/>
      <c r="SYS124" s="169"/>
      <c r="SYW124" s="169"/>
      <c r="SZA124" s="169"/>
      <c r="SZE124" s="169"/>
      <c r="SZI124" s="169"/>
      <c r="SZM124" s="169"/>
      <c r="SZQ124" s="169"/>
      <c r="SZU124" s="169"/>
      <c r="SZY124" s="169"/>
      <c r="TAC124" s="169"/>
      <c r="TAG124" s="169"/>
      <c r="TAK124" s="169"/>
      <c r="TAO124" s="169"/>
      <c r="TAS124" s="169"/>
      <c r="TAW124" s="169"/>
      <c r="TBA124" s="169"/>
      <c r="TBE124" s="169"/>
      <c r="TBI124" s="169"/>
      <c r="TBM124" s="169"/>
      <c r="TBQ124" s="169"/>
      <c r="TBU124" s="169"/>
      <c r="TBY124" s="169"/>
      <c r="TCC124" s="169"/>
      <c r="TCG124" s="169"/>
      <c r="TCK124" s="169"/>
      <c r="TCO124" s="169"/>
      <c r="TCS124" s="169"/>
      <c r="TCW124" s="169"/>
      <c r="TDA124" s="169"/>
      <c r="TDE124" s="169"/>
      <c r="TDI124" s="169"/>
      <c r="TDM124" s="169"/>
      <c r="TDQ124" s="169"/>
      <c r="TDU124" s="169"/>
      <c r="TDY124" s="169"/>
      <c r="TEC124" s="169"/>
      <c r="TEG124" s="169"/>
      <c r="TEK124" s="169"/>
      <c r="TEO124" s="169"/>
      <c r="TES124" s="169"/>
      <c r="TEW124" s="169"/>
      <c r="TFA124" s="169"/>
      <c r="TFE124" s="169"/>
      <c r="TFI124" s="169"/>
      <c r="TFM124" s="169"/>
      <c r="TFQ124" s="169"/>
      <c r="TFU124" s="169"/>
      <c r="TFY124" s="169"/>
      <c r="TGC124" s="169"/>
      <c r="TGG124" s="169"/>
      <c r="TGK124" s="169"/>
      <c r="TGO124" s="169"/>
      <c r="TGS124" s="169"/>
      <c r="TGW124" s="169"/>
      <c r="THA124" s="169"/>
      <c r="THE124" s="169"/>
      <c r="THI124" s="169"/>
      <c r="THM124" s="169"/>
      <c r="THQ124" s="169"/>
      <c r="THU124" s="169"/>
      <c r="THY124" s="169"/>
      <c r="TIC124" s="169"/>
      <c r="TIG124" s="169"/>
      <c r="TIK124" s="169"/>
      <c r="TIO124" s="169"/>
      <c r="TIS124" s="169"/>
      <c r="TIW124" s="169"/>
      <c r="TJA124" s="169"/>
      <c r="TJE124" s="169"/>
      <c r="TJI124" s="169"/>
      <c r="TJM124" s="169"/>
      <c r="TJQ124" s="169"/>
      <c r="TJU124" s="169"/>
      <c r="TJY124" s="169"/>
      <c r="TKC124" s="169"/>
      <c r="TKG124" s="169"/>
      <c r="TKK124" s="169"/>
      <c r="TKO124" s="169"/>
      <c r="TKS124" s="169"/>
      <c r="TKW124" s="169"/>
      <c r="TLA124" s="169"/>
      <c r="TLE124" s="169"/>
      <c r="TLI124" s="169"/>
      <c r="TLM124" s="169"/>
      <c r="TLQ124" s="169"/>
      <c r="TLU124" s="169"/>
      <c r="TLY124" s="169"/>
      <c r="TMC124" s="169"/>
      <c r="TMG124" s="169"/>
      <c r="TMK124" s="169"/>
      <c r="TMO124" s="169"/>
      <c r="TMS124" s="169"/>
      <c r="TMW124" s="169"/>
      <c r="TNA124" s="169"/>
      <c r="TNE124" s="169"/>
      <c r="TNI124" s="169"/>
      <c r="TNM124" s="169"/>
      <c r="TNQ124" s="169"/>
      <c r="TNU124" s="169"/>
      <c r="TNY124" s="169"/>
      <c r="TOC124" s="169"/>
      <c r="TOG124" s="169"/>
      <c r="TOK124" s="169"/>
      <c r="TOO124" s="169"/>
      <c r="TOS124" s="169"/>
      <c r="TOW124" s="169"/>
      <c r="TPA124" s="169"/>
      <c r="TPE124" s="169"/>
      <c r="TPI124" s="169"/>
      <c r="TPM124" s="169"/>
      <c r="TPQ124" s="169"/>
      <c r="TPU124" s="169"/>
      <c r="TPY124" s="169"/>
      <c r="TQC124" s="169"/>
      <c r="TQG124" s="169"/>
      <c r="TQK124" s="169"/>
      <c r="TQO124" s="169"/>
      <c r="TQS124" s="169"/>
      <c r="TQW124" s="169"/>
      <c r="TRA124" s="169"/>
      <c r="TRE124" s="169"/>
      <c r="TRI124" s="169"/>
      <c r="TRM124" s="169"/>
      <c r="TRQ124" s="169"/>
      <c r="TRU124" s="169"/>
      <c r="TRY124" s="169"/>
      <c r="TSC124" s="169"/>
      <c r="TSG124" s="169"/>
      <c r="TSK124" s="169"/>
      <c r="TSO124" s="169"/>
      <c r="TSS124" s="169"/>
      <c r="TSW124" s="169"/>
      <c r="TTA124" s="169"/>
      <c r="TTE124" s="169"/>
      <c r="TTI124" s="169"/>
      <c r="TTM124" s="169"/>
      <c r="TTQ124" s="169"/>
      <c r="TTU124" s="169"/>
      <c r="TTY124" s="169"/>
      <c r="TUC124" s="169"/>
      <c r="TUG124" s="169"/>
      <c r="TUK124" s="169"/>
      <c r="TUO124" s="169"/>
      <c r="TUS124" s="169"/>
      <c r="TUW124" s="169"/>
      <c r="TVA124" s="169"/>
      <c r="TVE124" s="169"/>
      <c r="TVI124" s="169"/>
      <c r="TVM124" s="169"/>
      <c r="TVQ124" s="169"/>
      <c r="TVU124" s="169"/>
      <c r="TVY124" s="169"/>
      <c r="TWC124" s="169"/>
      <c r="TWG124" s="169"/>
      <c r="TWK124" s="169"/>
      <c r="TWO124" s="169"/>
      <c r="TWS124" s="169"/>
      <c r="TWW124" s="169"/>
      <c r="TXA124" s="169"/>
      <c r="TXE124" s="169"/>
      <c r="TXI124" s="169"/>
      <c r="TXM124" s="169"/>
      <c r="TXQ124" s="169"/>
      <c r="TXU124" s="169"/>
      <c r="TXY124" s="169"/>
      <c r="TYC124" s="169"/>
      <c r="TYG124" s="169"/>
      <c r="TYK124" s="169"/>
      <c r="TYO124" s="169"/>
      <c r="TYS124" s="169"/>
      <c r="TYW124" s="169"/>
      <c r="TZA124" s="169"/>
      <c r="TZE124" s="169"/>
      <c r="TZI124" s="169"/>
      <c r="TZM124" s="169"/>
      <c r="TZQ124" s="169"/>
      <c r="TZU124" s="169"/>
      <c r="TZY124" s="169"/>
      <c r="UAC124" s="169"/>
      <c r="UAG124" s="169"/>
      <c r="UAK124" s="169"/>
      <c r="UAO124" s="169"/>
      <c r="UAS124" s="169"/>
      <c r="UAW124" s="169"/>
      <c r="UBA124" s="169"/>
      <c r="UBE124" s="169"/>
      <c r="UBI124" s="169"/>
      <c r="UBM124" s="169"/>
      <c r="UBQ124" s="169"/>
      <c r="UBU124" s="169"/>
      <c r="UBY124" s="169"/>
      <c r="UCC124" s="169"/>
      <c r="UCG124" s="169"/>
      <c r="UCK124" s="169"/>
      <c r="UCO124" s="169"/>
      <c r="UCS124" s="169"/>
      <c r="UCW124" s="169"/>
      <c r="UDA124" s="169"/>
      <c r="UDE124" s="169"/>
      <c r="UDI124" s="169"/>
      <c r="UDM124" s="169"/>
      <c r="UDQ124" s="169"/>
      <c r="UDU124" s="169"/>
      <c r="UDY124" s="169"/>
      <c r="UEC124" s="169"/>
      <c r="UEG124" s="169"/>
      <c r="UEK124" s="169"/>
      <c r="UEO124" s="169"/>
      <c r="UES124" s="169"/>
      <c r="UEW124" s="169"/>
      <c r="UFA124" s="169"/>
      <c r="UFE124" s="169"/>
      <c r="UFI124" s="169"/>
      <c r="UFM124" s="169"/>
      <c r="UFQ124" s="169"/>
      <c r="UFU124" s="169"/>
      <c r="UFY124" s="169"/>
      <c r="UGC124" s="169"/>
      <c r="UGG124" s="169"/>
      <c r="UGK124" s="169"/>
      <c r="UGO124" s="169"/>
      <c r="UGS124" s="169"/>
      <c r="UGW124" s="169"/>
      <c r="UHA124" s="169"/>
      <c r="UHE124" s="169"/>
      <c r="UHI124" s="169"/>
      <c r="UHM124" s="169"/>
      <c r="UHQ124" s="169"/>
      <c r="UHU124" s="169"/>
      <c r="UHY124" s="169"/>
      <c r="UIC124" s="169"/>
      <c r="UIG124" s="169"/>
      <c r="UIK124" s="169"/>
      <c r="UIO124" s="169"/>
      <c r="UIS124" s="169"/>
      <c r="UIW124" s="169"/>
      <c r="UJA124" s="169"/>
      <c r="UJE124" s="169"/>
      <c r="UJI124" s="169"/>
      <c r="UJM124" s="169"/>
      <c r="UJQ124" s="169"/>
      <c r="UJU124" s="169"/>
      <c r="UJY124" s="169"/>
      <c r="UKC124" s="169"/>
      <c r="UKG124" s="169"/>
      <c r="UKK124" s="169"/>
      <c r="UKO124" s="169"/>
      <c r="UKS124" s="169"/>
      <c r="UKW124" s="169"/>
      <c r="ULA124" s="169"/>
      <c r="ULE124" s="169"/>
      <c r="ULI124" s="169"/>
      <c r="ULM124" s="169"/>
      <c r="ULQ124" s="169"/>
      <c r="ULU124" s="169"/>
      <c r="ULY124" s="169"/>
      <c r="UMC124" s="169"/>
      <c r="UMG124" s="169"/>
      <c r="UMK124" s="169"/>
      <c r="UMO124" s="169"/>
      <c r="UMS124" s="169"/>
      <c r="UMW124" s="169"/>
      <c r="UNA124" s="169"/>
      <c r="UNE124" s="169"/>
      <c r="UNI124" s="169"/>
      <c r="UNM124" s="169"/>
      <c r="UNQ124" s="169"/>
      <c r="UNU124" s="169"/>
      <c r="UNY124" s="169"/>
      <c r="UOC124" s="169"/>
      <c r="UOG124" s="169"/>
      <c r="UOK124" s="169"/>
      <c r="UOO124" s="169"/>
      <c r="UOS124" s="169"/>
      <c r="UOW124" s="169"/>
      <c r="UPA124" s="169"/>
      <c r="UPE124" s="169"/>
      <c r="UPI124" s="169"/>
      <c r="UPM124" s="169"/>
      <c r="UPQ124" s="169"/>
      <c r="UPU124" s="169"/>
      <c r="UPY124" s="169"/>
      <c r="UQC124" s="169"/>
      <c r="UQG124" s="169"/>
      <c r="UQK124" s="169"/>
      <c r="UQO124" s="169"/>
      <c r="UQS124" s="169"/>
      <c r="UQW124" s="169"/>
      <c r="URA124" s="169"/>
      <c r="URE124" s="169"/>
      <c r="URI124" s="169"/>
      <c r="URM124" s="169"/>
      <c r="URQ124" s="169"/>
      <c r="URU124" s="169"/>
      <c r="URY124" s="169"/>
      <c r="USC124" s="169"/>
      <c r="USG124" s="169"/>
      <c r="USK124" s="169"/>
      <c r="USO124" s="169"/>
      <c r="USS124" s="169"/>
      <c r="USW124" s="169"/>
      <c r="UTA124" s="169"/>
      <c r="UTE124" s="169"/>
      <c r="UTI124" s="169"/>
      <c r="UTM124" s="169"/>
      <c r="UTQ124" s="169"/>
      <c r="UTU124" s="169"/>
      <c r="UTY124" s="169"/>
      <c r="UUC124" s="169"/>
      <c r="UUG124" s="169"/>
      <c r="UUK124" s="169"/>
      <c r="UUO124" s="169"/>
      <c r="UUS124" s="169"/>
      <c r="UUW124" s="169"/>
      <c r="UVA124" s="169"/>
      <c r="UVE124" s="169"/>
      <c r="UVI124" s="169"/>
      <c r="UVM124" s="169"/>
      <c r="UVQ124" s="169"/>
      <c r="UVU124" s="169"/>
      <c r="UVY124" s="169"/>
      <c r="UWC124" s="169"/>
      <c r="UWG124" s="169"/>
      <c r="UWK124" s="169"/>
      <c r="UWO124" s="169"/>
      <c r="UWS124" s="169"/>
      <c r="UWW124" s="169"/>
      <c r="UXA124" s="169"/>
      <c r="UXE124" s="169"/>
      <c r="UXI124" s="169"/>
      <c r="UXM124" s="169"/>
      <c r="UXQ124" s="169"/>
      <c r="UXU124" s="169"/>
      <c r="UXY124" s="169"/>
      <c r="UYC124" s="169"/>
      <c r="UYG124" s="169"/>
      <c r="UYK124" s="169"/>
      <c r="UYO124" s="169"/>
      <c r="UYS124" s="169"/>
      <c r="UYW124" s="169"/>
      <c r="UZA124" s="169"/>
      <c r="UZE124" s="169"/>
      <c r="UZI124" s="169"/>
      <c r="UZM124" s="169"/>
      <c r="UZQ124" s="169"/>
      <c r="UZU124" s="169"/>
      <c r="UZY124" s="169"/>
      <c r="VAC124" s="169"/>
      <c r="VAG124" s="169"/>
      <c r="VAK124" s="169"/>
      <c r="VAO124" s="169"/>
      <c r="VAS124" s="169"/>
      <c r="VAW124" s="169"/>
      <c r="VBA124" s="169"/>
      <c r="VBE124" s="169"/>
      <c r="VBI124" s="169"/>
      <c r="VBM124" s="169"/>
      <c r="VBQ124" s="169"/>
      <c r="VBU124" s="169"/>
      <c r="VBY124" s="169"/>
      <c r="VCC124" s="169"/>
      <c r="VCG124" s="169"/>
      <c r="VCK124" s="169"/>
      <c r="VCO124" s="169"/>
      <c r="VCS124" s="169"/>
      <c r="VCW124" s="169"/>
      <c r="VDA124" s="169"/>
      <c r="VDE124" s="169"/>
      <c r="VDI124" s="169"/>
      <c r="VDM124" s="169"/>
      <c r="VDQ124" s="169"/>
      <c r="VDU124" s="169"/>
      <c r="VDY124" s="169"/>
      <c r="VEC124" s="169"/>
      <c r="VEG124" s="169"/>
      <c r="VEK124" s="169"/>
      <c r="VEO124" s="169"/>
      <c r="VES124" s="169"/>
      <c r="VEW124" s="169"/>
      <c r="VFA124" s="169"/>
      <c r="VFE124" s="169"/>
      <c r="VFI124" s="169"/>
      <c r="VFM124" s="169"/>
      <c r="VFQ124" s="169"/>
      <c r="VFU124" s="169"/>
      <c r="VFY124" s="169"/>
      <c r="VGC124" s="169"/>
      <c r="VGG124" s="169"/>
      <c r="VGK124" s="169"/>
      <c r="VGO124" s="169"/>
      <c r="VGS124" s="169"/>
      <c r="VGW124" s="169"/>
      <c r="VHA124" s="169"/>
      <c r="VHE124" s="169"/>
      <c r="VHI124" s="169"/>
      <c r="VHM124" s="169"/>
      <c r="VHQ124" s="169"/>
      <c r="VHU124" s="169"/>
      <c r="VHY124" s="169"/>
      <c r="VIC124" s="169"/>
      <c r="VIG124" s="169"/>
      <c r="VIK124" s="169"/>
      <c r="VIO124" s="169"/>
      <c r="VIS124" s="169"/>
      <c r="VIW124" s="169"/>
      <c r="VJA124" s="169"/>
      <c r="VJE124" s="169"/>
      <c r="VJI124" s="169"/>
      <c r="VJM124" s="169"/>
      <c r="VJQ124" s="169"/>
      <c r="VJU124" s="169"/>
      <c r="VJY124" s="169"/>
      <c r="VKC124" s="169"/>
      <c r="VKG124" s="169"/>
      <c r="VKK124" s="169"/>
      <c r="VKO124" s="169"/>
      <c r="VKS124" s="169"/>
      <c r="VKW124" s="169"/>
      <c r="VLA124" s="169"/>
      <c r="VLE124" s="169"/>
      <c r="VLI124" s="169"/>
      <c r="VLM124" s="169"/>
      <c r="VLQ124" s="169"/>
      <c r="VLU124" s="169"/>
      <c r="VLY124" s="169"/>
      <c r="VMC124" s="169"/>
      <c r="VMG124" s="169"/>
      <c r="VMK124" s="169"/>
      <c r="VMO124" s="169"/>
      <c r="VMS124" s="169"/>
      <c r="VMW124" s="169"/>
      <c r="VNA124" s="169"/>
      <c r="VNE124" s="169"/>
      <c r="VNI124" s="169"/>
      <c r="VNM124" s="169"/>
      <c r="VNQ124" s="169"/>
      <c r="VNU124" s="169"/>
      <c r="VNY124" s="169"/>
      <c r="VOC124" s="169"/>
      <c r="VOG124" s="169"/>
      <c r="VOK124" s="169"/>
      <c r="VOO124" s="169"/>
      <c r="VOS124" s="169"/>
      <c r="VOW124" s="169"/>
      <c r="VPA124" s="169"/>
      <c r="VPE124" s="169"/>
      <c r="VPI124" s="169"/>
      <c r="VPM124" s="169"/>
      <c r="VPQ124" s="169"/>
      <c r="VPU124" s="169"/>
      <c r="VPY124" s="169"/>
      <c r="VQC124" s="169"/>
      <c r="VQG124" s="169"/>
      <c r="VQK124" s="169"/>
      <c r="VQO124" s="169"/>
      <c r="VQS124" s="169"/>
      <c r="VQW124" s="169"/>
      <c r="VRA124" s="169"/>
      <c r="VRE124" s="169"/>
      <c r="VRI124" s="169"/>
      <c r="VRM124" s="169"/>
      <c r="VRQ124" s="169"/>
      <c r="VRU124" s="169"/>
      <c r="VRY124" s="169"/>
      <c r="VSC124" s="169"/>
      <c r="VSG124" s="169"/>
      <c r="VSK124" s="169"/>
      <c r="VSO124" s="169"/>
      <c r="VSS124" s="169"/>
      <c r="VSW124" s="169"/>
      <c r="VTA124" s="169"/>
      <c r="VTE124" s="169"/>
      <c r="VTI124" s="169"/>
      <c r="VTM124" s="169"/>
      <c r="VTQ124" s="169"/>
      <c r="VTU124" s="169"/>
      <c r="VTY124" s="169"/>
      <c r="VUC124" s="169"/>
      <c r="VUG124" s="169"/>
      <c r="VUK124" s="169"/>
      <c r="VUO124" s="169"/>
      <c r="VUS124" s="169"/>
      <c r="VUW124" s="169"/>
      <c r="VVA124" s="169"/>
      <c r="VVE124" s="169"/>
      <c r="VVI124" s="169"/>
      <c r="VVM124" s="169"/>
      <c r="VVQ124" s="169"/>
      <c r="VVU124" s="169"/>
      <c r="VVY124" s="169"/>
      <c r="VWC124" s="169"/>
      <c r="VWG124" s="169"/>
      <c r="VWK124" s="169"/>
      <c r="VWO124" s="169"/>
      <c r="VWS124" s="169"/>
      <c r="VWW124" s="169"/>
      <c r="VXA124" s="169"/>
      <c r="VXE124" s="169"/>
      <c r="VXI124" s="169"/>
      <c r="VXM124" s="169"/>
      <c r="VXQ124" s="169"/>
      <c r="VXU124" s="169"/>
      <c r="VXY124" s="169"/>
      <c r="VYC124" s="169"/>
      <c r="VYG124" s="169"/>
      <c r="VYK124" s="169"/>
      <c r="VYO124" s="169"/>
      <c r="VYS124" s="169"/>
      <c r="VYW124" s="169"/>
      <c r="VZA124" s="169"/>
      <c r="VZE124" s="169"/>
      <c r="VZI124" s="169"/>
      <c r="VZM124" s="169"/>
      <c r="VZQ124" s="169"/>
      <c r="VZU124" s="169"/>
      <c r="VZY124" s="169"/>
      <c r="WAC124" s="169"/>
      <c r="WAG124" s="169"/>
      <c r="WAK124" s="169"/>
      <c r="WAO124" s="169"/>
      <c r="WAS124" s="169"/>
      <c r="WAW124" s="169"/>
      <c r="WBA124" s="169"/>
      <c r="WBE124" s="169"/>
      <c r="WBI124" s="169"/>
      <c r="WBM124" s="169"/>
      <c r="WBQ124" s="169"/>
      <c r="WBU124" s="169"/>
      <c r="WBY124" s="169"/>
      <c r="WCC124" s="169"/>
      <c r="WCG124" s="169"/>
      <c r="WCK124" s="169"/>
      <c r="WCO124" s="169"/>
      <c r="WCS124" s="169"/>
      <c r="WCW124" s="169"/>
      <c r="WDA124" s="169"/>
      <c r="WDE124" s="169"/>
      <c r="WDI124" s="169"/>
      <c r="WDM124" s="169"/>
      <c r="WDQ124" s="169"/>
      <c r="WDU124" s="169"/>
      <c r="WDY124" s="169"/>
      <c r="WEC124" s="169"/>
      <c r="WEG124" s="169"/>
      <c r="WEK124" s="169"/>
      <c r="WEO124" s="169"/>
      <c r="WES124" s="169"/>
      <c r="WEW124" s="169"/>
      <c r="WFA124" s="169"/>
      <c r="WFE124" s="169"/>
      <c r="WFI124" s="169"/>
      <c r="WFM124" s="169"/>
      <c r="WFQ124" s="169"/>
      <c r="WFU124" s="169"/>
      <c r="WFY124" s="169"/>
      <c r="WGC124" s="169"/>
      <c r="WGG124" s="169"/>
      <c r="WGK124" s="169"/>
      <c r="WGO124" s="169"/>
      <c r="WGS124" s="169"/>
      <c r="WGW124" s="169"/>
      <c r="WHA124" s="169"/>
      <c r="WHE124" s="169"/>
      <c r="WHI124" s="169"/>
      <c r="WHM124" s="169"/>
      <c r="WHQ124" s="169"/>
      <c r="WHU124" s="169"/>
      <c r="WHY124" s="169"/>
      <c r="WIC124" s="169"/>
      <c r="WIG124" s="169"/>
      <c r="WIK124" s="169"/>
      <c r="WIO124" s="169"/>
      <c r="WIS124" s="169"/>
      <c r="WIW124" s="169"/>
      <c r="WJA124" s="169"/>
      <c r="WJE124" s="169"/>
      <c r="WJI124" s="169"/>
      <c r="WJM124" s="169"/>
      <c r="WJQ124" s="169"/>
      <c r="WJU124" s="169"/>
      <c r="WJY124" s="169"/>
      <c r="WKC124" s="169"/>
      <c r="WKG124" s="169"/>
      <c r="WKK124" s="169"/>
      <c r="WKO124" s="169"/>
      <c r="WKS124" s="169"/>
      <c r="WKW124" s="169"/>
      <c r="WLA124" s="169"/>
      <c r="WLE124" s="169"/>
      <c r="WLI124" s="169"/>
      <c r="WLM124" s="169"/>
      <c r="WLQ124" s="169"/>
      <c r="WLU124" s="169"/>
      <c r="WLY124" s="169"/>
      <c r="WMC124" s="169"/>
      <c r="WMG124" s="169"/>
      <c r="WMK124" s="169"/>
      <c r="WMO124" s="169"/>
      <c r="WMS124" s="169"/>
      <c r="WMW124" s="169"/>
      <c r="WNA124" s="169"/>
      <c r="WNE124" s="169"/>
      <c r="WNI124" s="169"/>
      <c r="WNM124" s="169"/>
      <c r="WNQ124" s="169"/>
      <c r="WNU124" s="169"/>
      <c r="WNY124" s="169"/>
      <c r="WOC124" s="169"/>
      <c r="WOG124" s="169"/>
      <c r="WOK124" s="169"/>
      <c r="WOO124" s="169"/>
      <c r="WOS124" s="169"/>
      <c r="WOW124" s="169"/>
      <c r="WPA124" s="169"/>
      <c r="WPE124" s="169"/>
      <c r="WPI124" s="169"/>
      <c r="WPM124" s="169"/>
      <c r="WPQ124" s="169"/>
      <c r="WPU124" s="169"/>
      <c r="WPY124" s="169"/>
      <c r="WQC124" s="169"/>
      <c r="WQG124" s="169"/>
      <c r="WQK124" s="169"/>
      <c r="WQO124" s="169"/>
      <c r="WQS124" s="169"/>
      <c r="WQW124" s="169"/>
      <c r="WRA124" s="169"/>
      <c r="WRE124" s="169"/>
      <c r="WRI124" s="169"/>
      <c r="WRM124" s="169"/>
      <c r="WRQ124" s="169"/>
      <c r="WRU124" s="169"/>
      <c r="WRY124" s="169"/>
      <c r="WSC124" s="169"/>
      <c r="WSG124" s="169"/>
      <c r="WSK124" s="169"/>
      <c r="WSO124" s="169"/>
      <c r="WSS124" s="169"/>
      <c r="WSW124" s="169"/>
      <c r="WTA124" s="169"/>
      <c r="WTE124" s="169"/>
      <c r="WTI124" s="169"/>
      <c r="WTM124" s="169"/>
      <c r="WTQ124" s="169"/>
      <c r="WTU124" s="169"/>
      <c r="WTY124" s="169"/>
      <c r="WUC124" s="169"/>
      <c r="WUG124" s="169"/>
      <c r="WUK124" s="169"/>
      <c r="WUO124" s="169"/>
      <c r="WUS124" s="169"/>
      <c r="WUW124" s="169"/>
      <c r="WVA124" s="169"/>
      <c r="WVE124" s="169"/>
      <c r="WVI124" s="169"/>
      <c r="WVM124" s="169"/>
      <c r="WVQ124" s="169"/>
      <c r="WVU124" s="169"/>
      <c r="WVY124" s="169"/>
      <c r="WWC124" s="169"/>
      <c r="WWG124" s="169"/>
      <c r="WWK124" s="169"/>
      <c r="WWO124" s="169"/>
      <c r="WWS124" s="169"/>
      <c r="WWW124" s="169"/>
      <c r="WXA124" s="169"/>
      <c r="WXE124" s="169"/>
      <c r="WXI124" s="169"/>
      <c r="WXM124" s="169"/>
      <c r="WXQ124" s="169"/>
      <c r="WXU124" s="169"/>
      <c r="WXY124" s="169"/>
      <c r="WYC124" s="169"/>
      <c r="WYG124" s="169"/>
      <c r="WYK124" s="169"/>
      <c r="WYO124" s="169"/>
      <c r="WYS124" s="169"/>
      <c r="WYW124" s="169"/>
      <c r="WZA124" s="169"/>
      <c r="WZE124" s="169"/>
      <c r="WZI124" s="169"/>
      <c r="WZM124" s="169"/>
      <c r="WZQ124" s="169"/>
      <c r="WZU124" s="169"/>
      <c r="WZY124" s="169"/>
      <c r="XAC124" s="169"/>
      <c r="XAG124" s="169"/>
      <c r="XAK124" s="169"/>
      <c r="XAO124" s="169"/>
      <c r="XAS124" s="169"/>
      <c r="XAW124" s="169"/>
      <c r="XBA124" s="169"/>
      <c r="XBE124" s="169"/>
      <c r="XBI124" s="169"/>
      <c r="XBM124" s="169"/>
      <c r="XBQ124" s="169"/>
      <c r="XBU124" s="169"/>
      <c r="XBY124" s="169"/>
      <c r="XCC124" s="169"/>
      <c r="XCG124" s="169"/>
      <c r="XCK124" s="169"/>
      <c r="XCO124" s="169"/>
      <c r="XCS124" s="169"/>
      <c r="XCW124" s="169"/>
      <c r="XDA124" s="169"/>
      <c r="XDE124" s="169"/>
      <c r="XDI124" s="169"/>
      <c r="XDM124" s="169"/>
      <c r="XDQ124" s="169"/>
      <c r="XDU124" s="169"/>
      <c r="XDY124" s="169"/>
      <c r="XEC124" s="169"/>
      <c r="XEG124" s="169"/>
      <c r="XEK124" s="169"/>
      <c r="XEO124" s="169"/>
      <c r="XES124" s="169"/>
      <c r="XEW124" s="169"/>
      <c r="XFA124" s="169"/>
    </row>
    <row r="125" spans="1:1021 1025:2045 2049:3069 3073:4093 4097:5117 5121:6141 6145:7165 7169:8189 8193:9213 9217:10237 10241:11261 11265:12285 12289:13309 13313:14333 14337:15357 15361:16381" s="18" customFormat="1">
      <c r="A125" s="61" t="s">
        <v>738</v>
      </c>
      <c r="B125" s="459">
        <f>-Data!E66</f>
        <v>783</v>
      </c>
      <c r="C125" s="459">
        <f>-Data!F66</f>
        <v>1084.9000000000001</v>
      </c>
      <c r="D125" s="459">
        <f>-Data!G66</f>
        <v>1237.2</v>
      </c>
      <c r="E125" s="460">
        <f>E44*E126</f>
        <v>1242.82116</v>
      </c>
      <c r="F125" s="460">
        <f t="shared" ref="F125:I125" si="49">F44*F126</f>
        <v>1416.8345015999998</v>
      </c>
      <c r="G125" s="460">
        <f t="shared" si="49"/>
        <v>1565.6146297599998</v>
      </c>
      <c r="H125" s="460">
        <f t="shared" si="49"/>
        <v>1755.7981754567995</v>
      </c>
      <c r="I125" s="460">
        <f t="shared" si="49"/>
        <v>1997.2929209997594</v>
      </c>
      <c r="J125" s="460">
        <f t="shared" ref="J125" si="50">J44*J126</f>
        <v>2438.6394227948076</v>
      </c>
      <c r="M125" s="169"/>
      <c r="Q125" s="169"/>
      <c r="U125" s="169"/>
      <c r="Y125" s="169"/>
      <c r="AC125" s="169"/>
      <c r="AG125" s="169"/>
      <c r="AK125" s="169"/>
      <c r="AO125" s="169"/>
      <c r="AS125" s="169"/>
      <c r="AW125" s="169"/>
      <c r="BA125" s="169"/>
      <c r="BE125" s="169"/>
      <c r="BI125" s="169"/>
      <c r="BM125" s="169"/>
      <c r="BQ125" s="169"/>
      <c r="BU125" s="169"/>
      <c r="BY125" s="169"/>
      <c r="CC125" s="169"/>
      <c r="CG125" s="169"/>
      <c r="CK125" s="169"/>
      <c r="CO125" s="169"/>
      <c r="CS125" s="169"/>
      <c r="CW125" s="169"/>
      <c r="DA125" s="169"/>
      <c r="DE125" s="169"/>
      <c r="DI125" s="169"/>
      <c r="DM125" s="169"/>
      <c r="DQ125" s="169"/>
      <c r="DU125" s="169"/>
      <c r="DY125" s="169"/>
      <c r="EC125" s="169"/>
      <c r="EG125" s="169"/>
      <c r="EK125" s="169"/>
      <c r="EO125" s="169"/>
      <c r="ES125" s="169"/>
      <c r="EW125" s="169"/>
      <c r="FA125" s="169"/>
      <c r="FE125" s="169"/>
      <c r="FI125" s="169"/>
      <c r="FM125" s="169"/>
      <c r="FQ125" s="169"/>
      <c r="FU125" s="169"/>
      <c r="FY125" s="169"/>
      <c r="GC125" s="169"/>
      <c r="GG125" s="169"/>
      <c r="GK125" s="169"/>
      <c r="GO125" s="169"/>
      <c r="GS125" s="169"/>
      <c r="GW125" s="169"/>
      <c r="HA125" s="169"/>
      <c r="HE125" s="169"/>
      <c r="HI125" s="169"/>
      <c r="HM125" s="169"/>
      <c r="HQ125" s="169"/>
      <c r="HU125" s="169"/>
      <c r="HY125" s="169"/>
      <c r="IC125" s="169"/>
      <c r="IG125" s="169"/>
      <c r="IK125" s="169"/>
      <c r="IO125" s="169"/>
      <c r="IS125" s="169"/>
      <c r="IW125" s="169"/>
      <c r="JA125" s="169"/>
      <c r="JE125" s="169"/>
      <c r="JI125" s="169"/>
      <c r="JM125" s="169"/>
      <c r="JQ125" s="169"/>
      <c r="JU125" s="169"/>
      <c r="JY125" s="169"/>
      <c r="KC125" s="169"/>
      <c r="KG125" s="169"/>
      <c r="KK125" s="169"/>
      <c r="KO125" s="169"/>
      <c r="KS125" s="169"/>
      <c r="KW125" s="169"/>
      <c r="LA125" s="169"/>
      <c r="LE125" s="169"/>
      <c r="LI125" s="169"/>
      <c r="LM125" s="169"/>
      <c r="LQ125" s="169"/>
      <c r="LU125" s="169"/>
      <c r="LY125" s="169"/>
      <c r="MC125" s="169"/>
      <c r="MG125" s="169"/>
      <c r="MK125" s="169"/>
      <c r="MO125" s="169"/>
      <c r="MS125" s="169"/>
      <c r="MW125" s="169"/>
      <c r="NA125" s="169"/>
      <c r="NE125" s="169"/>
      <c r="NI125" s="169"/>
      <c r="NM125" s="169"/>
      <c r="NQ125" s="169"/>
      <c r="NU125" s="169"/>
      <c r="NY125" s="169"/>
      <c r="OC125" s="169"/>
      <c r="OG125" s="169"/>
      <c r="OK125" s="169"/>
      <c r="OO125" s="169"/>
      <c r="OS125" s="169"/>
      <c r="OW125" s="169"/>
      <c r="PA125" s="169"/>
      <c r="PE125" s="169"/>
      <c r="PI125" s="169"/>
      <c r="PM125" s="169"/>
      <c r="PQ125" s="169"/>
      <c r="PU125" s="169"/>
      <c r="PY125" s="169"/>
      <c r="QC125" s="169"/>
      <c r="QG125" s="169"/>
      <c r="QK125" s="169"/>
      <c r="QO125" s="169"/>
      <c r="QS125" s="169"/>
      <c r="QW125" s="169"/>
      <c r="RA125" s="169"/>
      <c r="RE125" s="169"/>
      <c r="RI125" s="169"/>
      <c r="RM125" s="169"/>
      <c r="RQ125" s="169"/>
      <c r="RU125" s="169"/>
      <c r="RY125" s="169"/>
      <c r="SC125" s="169"/>
      <c r="SG125" s="169"/>
      <c r="SK125" s="169"/>
      <c r="SO125" s="169"/>
      <c r="SS125" s="169"/>
      <c r="SW125" s="169"/>
      <c r="TA125" s="169"/>
      <c r="TE125" s="169"/>
      <c r="TI125" s="169"/>
      <c r="TM125" s="169"/>
      <c r="TQ125" s="169"/>
      <c r="TU125" s="169"/>
      <c r="TY125" s="169"/>
      <c r="UC125" s="169"/>
      <c r="UG125" s="169"/>
      <c r="UK125" s="169"/>
      <c r="UO125" s="169"/>
      <c r="US125" s="169"/>
      <c r="UW125" s="169"/>
      <c r="VA125" s="169"/>
      <c r="VE125" s="169"/>
      <c r="VI125" s="169"/>
      <c r="VM125" s="169"/>
      <c r="VQ125" s="169"/>
      <c r="VU125" s="169"/>
      <c r="VY125" s="169"/>
      <c r="WC125" s="169"/>
      <c r="WG125" s="169"/>
      <c r="WK125" s="169"/>
      <c r="WO125" s="169"/>
      <c r="WS125" s="169"/>
      <c r="WW125" s="169"/>
      <c r="XA125" s="169"/>
      <c r="XE125" s="169"/>
      <c r="XI125" s="169"/>
      <c r="XM125" s="169"/>
      <c r="XQ125" s="169"/>
      <c r="XU125" s="169"/>
      <c r="XY125" s="169"/>
      <c r="YC125" s="169"/>
      <c r="YG125" s="169"/>
      <c r="YK125" s="169"/>
      <c r="YO125" s="169"/>
      <c r="YS125" s="169"/>
      <c r="YW125" s="169"/>
      <c r="ZA125" s="169"/>
      <c r="ZE125" s="169"/>
      <c r="ZI125" s="169"/>
      <c r="ZM125" s="169"/>
      <c r="ZQ125" s="169"/>
      <c r="ZU125" s="169"/>
      <c r="ZY125" s="169"/>
      <c r="AAC125" s="169"/>
      <c r="AAG125" s="169"/>
      <c r="AAK125" s="169"/>
      <c r="AAO125" s="169"/>
      <c r="AAS125" s="169"/>
      <c r="AAW125" s="169"/>
      <c r="ABA125" s="169"/>
      <c r="ABE125" s="169"/>
      <c r="ABI125" s="169"/>
      <c r="ABM125" s="169"/>
      <c r="ABQ125" s="169"/>
      <c r="ABU125" s="169"/>
      <c r="ABY125" s="169"/>
      <c r="ACC125" s="169"/>
      <c r="ACG125" s="169"/>
      <c r="ACK125" s="169"/>
      <c r="ACO125" s="169"/>
      <c r="ACS125" s="169"/>
      <c r="ACW125" s="169"/>
      <c r="ADA125" s="169"/>
      <c r="ADE125" s="169"/>
      <c r="ADI125" s="169"/>
      <c r="ADM125" s="169"/>
      <c r="ADQ125" s="169"/>
      <c r="ADU125" s="169"/>
      <c r="ADY125" s="169"/>
      <c r="AEC125" s="169"/>
      <c r="AEG125" s="169"/>
      <c r="AEK125" s="169"/>
      <c r="AEO125" s="169"/>
      <c r="AES125" s="169"/>
      <c r="AEW125" s="169"/>
      <c r="AFA125" s="169"/>
      <c r="AFE125" s="169"/>
      <c r="AFI125" s="169"/>
      <c r="AFM125" s="169"/>
      <c r="AFQ125" s="169"/>
      <c r="AFU125" s="169"/>
      <c r="AFY125" s="169"/>
      <c r="AGC125" s="169"/>
      <c r="AGG125" s="169"/>
      <c r="AGK125" s="169"/>
      <c r="AGO125" s="169"/>
      <c r="AGS125" s="169"/>
      <c r="AGW125" s="169"/>
      <c r="AHA125" s="169"/>
      <c r="AHE125" s="169"/>
      <c r="AHI125" s="169"/>
      <c r="AHM125" s="169"/>
      <c r="AHQ125" s="169"/>
      <c r="AHU125" s="169"/>
      <c r="AHY125" s="169"/>
      <c r="AIC125" s="169"/>
      <c r="AIG125" s="169"/>
      <c r="AIK125" s="169"/>
      <c r="AIO125" s="169"/>
      <c r="AIS125" s="169"/>
      <c r="AIW125" s="169"/>
      <c r="AJA125" s="169"/>
      <c r="AJE125" s="169"/>
      <c r="AJI125" s="169"/>
      <c r="AJM125" s="169"/>
      <c r="AJQ125" s="169"/>
      <c r="AJU125" s="169"/>
      <c r="AJY125" s="169"/>
      <c r="AKC125" s="169"/>
      <c r="AKG125" s="169"/>
      <c r="AKK125" s="169"/>
      <c r="AKO125" s="169"/>
      <c r="AKS125" s="169"/>
      <c r="AKW125" s="169"/>
      <c r="ALA125" s="169"/>
      <c r="ALE125" s="169"/>
      <c r="ALI125" s="169"/>
      <c r="ALM125" s="169"/>
      <c r="ALQ125" s="169"/>
      <c r="ALU125" s="169"/>
      <c r="ALY125" s="169"/>
      <c r="AMC125" s="169"/>
      <c r="AMG125" s="169"/>
      <c r="AMK125" s="169"/>
      <c r="AMO125" s="169"/>
      <c r="AMS125" s="169"/>
      <c r="AMW125" s="169"/>
      <c r="ANA125" s="169"/>
      <c r="ANE125" s="169"/>
      <c r="ANI125" s="169"/>
      <c r="ANM125" s="169"/>
      <c r="ANQ125" s="169"/>
      <c r="ANU125" s="169"/>
      <c r="ANY125" s="169"/>
      <c r="AOC125" s="169"/>
      <c r="AOG125" s="169"/>
      <c r="AOK125" s="169"/>
      <c r="AOO125" s="169"/>
      <c r="AOS125" s="169"/>
      <c r="AOW125" s="169"/>
      <c r="APA125" s="169"/>
      <c r="APE125" s="169"/>
      <c r="API125" s="169"/>
      <c r="APM125" s="169"/>
      <c r="APQ125" s="169"/>
      <c r="APU125" s="169"/>
      <c r="APY125" s="169"/>
      <c r="AQC125" s="169"/>
      <c r="AQG125" s="169"/>
      <c r="AQK125" s="169"/>
      <c r="AQO125" s="169"/>
      <c r="AQS125" s="169"/>
      <c r="AQW125" s="169"/>
      <c r="ARA125" s="169"/>
      <c r="ARE125" s="169"/>
      <c r="ARI125" s="169"/>
      <c r="ARM125" s="169"/>
      <c r="ARQ125" s="169"/>
      <c r="ARU125" s="169"/>
      <c r="ARY125" s="169"/>
      <c r="ASC125" s="169"/>
      <c r="ASG125" s="169"/>
      <c r="ASK125" s="169"/>
      <c r="ASO125" s="169"/>
      <c r="ASS125" s="169"/>
      <c r="ASW125" s="169"/>
      <c r="ATA125" s="169"/>
      <c r="ATE125" s="169"/>
      <c r="ATI125" s="169"/>
      <c r="ATM125" s="169"/>
      <c r="ATQ125" s="169"/>
      <c r="ATU125" s="169"/>
      <c r="ATY125" s="169"/>
      <c r="AUC125" s="169"/>
      <c r="AUG125" s="169"/>
      <c r="AUK125" s="169"/>
      <c r="AUO125" s="169"/>
      <c r="AUS125" s="169"/>
      <c r="AUW125" s="169"/>
      <c r="AVA125" s="169"/>
      <c r="AVE125" s="169"/>
      <c r="AVI125" s="169"/>
      <c r="AVM125" s="169"/>
      <c r="AVQ125" s="169"/>
      <c r="AVU125" s="169"/>
      <c r="AVY125" s="169"/>
      <c r="AWC125" s="169"/>
      <c r="AWG125" s="169"/>
      <c r="AWK125" s="169"/>
      <c r="AWO125" s="169"/>
      <c r="AWS125" s="169"/>
      <c r="AWW125" s="169"/>
      <c r="AXA125" s="169"/>
      <c r="AXE125" s="169"/>
      <c r="AXI125" s="169"/>
      <c r="AXM125" s="169"/>
      <c r="AXQ125" s="169"/>
      <c r="AXU125" s="169"/>
      <c r="AXY125" s="169"/>
      <c r="AYC125" s="169"/>
      <c r="AYG125" s="169"/>
      <c r="AYK125" s="169"/>
      <c r="AYO125" s="169"/>
      <c r="AYS125" s="169"/>
      <c r="AYW125" s="169"/>
      <c r="AZA125" s="169"/>
      <c r="AZE125" s="169"/>
      <c r="AZI125" s="169"/>
      <c r="AZM125" s="169"/>
      <c r="AZQ125" s="169"/>
      <c r="AZU125" s="169"/>
      <c r="AZY125" s="169"/>
      <c r="BAC125" s="169"/>
      <c r="BAG125" s="169"/>
      <c r="BAK125" s="169"/>
      <c r="BAO125" s="169"/>
      <c r="BAS125" s="169"/>
      <c r="BAW125" s="169"/>
      <c r="BBA125" s="169"/>
      <c r="BBE125" s="169"/>
      <c r="BBI125" s="169"/>
      <c r="BBM125" s="169"/>
      <c r="BBQ125" s="169"/>
      <c r="BBU125" s="169"/>
      <c r="BBY125" s="169"/>
      <c r="BCC125" s="169"/>
      <c r="BCG125" s="169"/>
      <c r="BCK125" s="169"/>
      <c r="BCO125" s="169"/>
      <c r="BCS125" s="169"/>
      <c r="BCW125" s="169"/>
      <c r="BDA125" s="169"/>
      <c r="BDE125" s="169"/>
      <c r="BDI125" s="169"/>
      <c r="BDM125" s="169"/>
      <c r="BDQ125" s="169"/>
      <c r="BDU125" s="169"/>
      <c r="BDY125" s="169"/>
      <c r="BEC125" s="169"/>
      <c r="BEG125" s="169"/>
      <c r="BEK125" s="169"/>
      <c r="BEO125" s="169"/>
      <c r="BES125" s="169"/>
      <c r="BEW125" s="169"/>
      <c r="BFA125" s="169"/>
      <c r="BFE125" s="169"/>
      <c r="BFI125" s="169"/>
      <c r="BFM125" s="169"/>
      <c r="BFQ125" s="169"/>
      <c r="BFU125" s="169"/>
      <c r="BFY125" s="169"/>
      <c r="BGC125" s="169"/>
      <c r="BGG125" s="169"/>
      <c r="BGK125" s="169"/>
      <c r="BGO125" s="169"/>
      <c r="BGS125" s="169"/>
      <c r="BGW125" s="169"/>
      <c r="BHA125" s="169"/>
      <c r="BHE125" s="169"/>
      <c r="BHI125" s="169"/>
      <c r="BHM125" s="169"/>
      <c r="BHQ125" s="169"/>
      <c r="BHU125" s="169"/>
      <c r="BHY125" s="169"/>
      <c r="BIC125" s="169"/>
      <c r="BIG125" s="169"/>
      <c r="BIK125" s="169"/>
      <c r="BIO125" s="169"/>
      <c r="BIS125" s="169"/>
      <c r="BIW125" s="169"/>
      <c r="BJA125" s="169"/>
      <c r="BJE125" s="169"/>
      <c r="BJI125" s="169"/>
      <c r="BJM125" s="169"/>
      <c r="BJQ125" s="169"/>
      <c r="BJU125" s="169"/>
      <c r="BJY125" s="169"/>
      <c r="BKC125" s="169"/>
      <c r="BKG125" s="169"/>
      <c r="BKK125" s="169"/>
      <c r="BKO125" s="169"/>
      <c r="BKS125" s="169"/>
      <c r="BKW125" s="169"/>
      <c r="BLA125" s="169"/>
      <c r="BLE125" s="169"/>
      <c r="BLI125" s="169"/>
      <c r="BLM125" s="169"/>
      <c r="BLQ125" s="169"/>
      <c r="BLU125" s="169"/>
      <c r="BLY125" s="169"/>
      <c r="BMC125" s="169"/>
      <c r="BMG125" s="169"/>
      <c r="BMK125" s="169"/>
      <c r="BMO125" s="169"/>
      <c r="BMS125" s="169"/>
      <c r="BMW125" s="169"/>
      <c r="BNA125" s="169"/>
      <c r="BNE125" s="169"/>
      <c r="BNI125" s="169"/>
      <c r="BNM125" s="169"/>
      <c r="BNQ125" s="169"/>
      <c r="BNU125" s="169"/>
      <c r="BNY125" s="169"/>
      <c r="BOC125" s="169"/>
      <c r="BOG125" s="169"/>
      <c r="BOK125" s="169"/>
      <c r="BOO125" s="169"/>
      <c r="BOS125" s="169"/>
      <c r="BOW125" s="169"/>
      <c r="BPA125" s="169"/>
      <c r="BPE125" s="169"/>
      <c r="BPI125" s="169"/>
      <c r="BPM125" s="169"/>
      <c r="BPQ125" s="169"/>
      <c r="BPU125" s="169"/>
      <c r="BPY125" s="169"/>
      <c r="BQC125" s="169"/>
      <c r="BQG125" s="169"/>
      <c r="BQK125" s="169"/>
      <c r="BQO125" s="169"/>
      <c r="BQS125" s="169"/>
      <c r="BQW125" s="169"/>
      <c r="BRA125" s="169"/>
      <c r="BRE125" s="169"/>
      <c r="BRI125" s="169"/>
      <c r="BRM125" s="169"/>
      <c r="BRQ125" s="169"/>
      <c r="BRU125" s="169"/>
      <c r="BRY125" s="169"/>
      <c r="BSC125" s="169"/>
      <c r="BSG125" s="169"/>
      <c r="BSK125" s="169"/>
      <c r="BSO125" s="169"/>
      <c r="BSS125" s="169"/>
      <c r="BSW125" s="169"/>
      <c r="BTA125" s="169"/>
      <c r="BTE125" s="169"/>
      <c r="BTI125" s="169"/>
      <c r="BTM125" s="169"/>
      <c r="BTQ125" s="169"/>
      <c r="BTU125" s="169"/>
      <c r="BTY125" s="169"/>
      <c r="BUC125" s="169"/>
      <c r="BUG125" s="169"/>
      <c r="BUK125" s="169"/>
      <c r="BUO125" s="169"/>
      <c r="BUS125" s="169"/>
      <c r="BUW125" s="169"/>
      <c r="BVA125" s="169"/>
      <c r="BVE125" s="169"/>
      <c r="BVI125" s="169"/>
      <c r="BVM125" s="169"/>
      <c r="BVQ125" s="169"/>
      <c r="BVU125" s="169"/>
      <c r="BVY125" s="169"/>
      <c r="BWC125" s="169"/>
      <c r="BWG125" s="169"/>
      <c r="BWK125" s="169"/>
      <c r="BWO125" s="169"/>
      <c r="BWS125" s="169"/>
      <c r="BWW125" s="169"/>
      <c r="BXA125" s="169"/>
      <c r="BXE125" s="169"/>
      <c r="BXI125" s="169"/>
      <c r="BXM125" s="169"/>
      <c r="BXQ125" s="169"/>
      <c r="BXU125" s="169"/>
      <c r="BXY125" s="169"/>
      <c r="BYC125" s="169"/>
      <c r="BYG125" s="169"/>
      <c r="BYK125" s="169"/>
      <c r="BYO125" s="169"/>
      <c r="BYS125" s="169"/>
      <c r="BYW125" s="169"/>
      <c r="BZA125" s="169"/>
      <c r="BZE125" s="169"/>
      <c r="BZI125" s="169"/>
      <c r="BZM125" s="169"/>
      <c r="BZQ125" s="169"/>
      <c r="BZU125" s="169"/>
      <c r="BZY125" s="169"/>
      <c r="CAC125" s="169"/>
      <c r="CAG125" s="169"/>
      <c r="CAK125" s="169"/>
      <c r="CAO125" s="169"/>
      <c r="CAS125" s="169"/>
      <c r="CAW125" s="169"/>
      <c r="CBA125" s="169"/>
      <c r="CBE125" s="169"/>
      <c r="CBI125" s="169"/>
      <c r="CBM125" s="169"/>
      <c r="CBQ125" s="169"/>
      <c r="CBU125" s="169"/>
      <c r="CBY125" s="169"/>
      <c r="CCC125" s="169"/>
      <c r="CCG125" s="169"/>
      <c r="CCK125" s="169"/>
      <c r="CCO125" s="169"/>
      <c r="CCS125" s="169"/>
      <c r="CCW125" s="169"/>
      <c r="CDA125" s="169"/>
      <c r="CDE125" s="169"/>
      <c r="CDI125" s="169"/>
      <c r="CDM125" s="169"/>
      <c r="CDQ125" s="169"/>
      <c r="CDU125" s="169"/>
      <c r="CDY125" s="169"/>
      <c r="CEC125" s="169"/>
      <c r="CEG125" s="169"/>
      <c r="CEK125" s="169"/>
      <c r="CEO125" s="169"/>
      <c r="CES125" s="169"/>
      <c r="CEW125" s="169"/>
      <c r="CFA125" s="169"/>
      <c r="CFE125" s="169"/>
      <c r="CFI125" s="169"/>
      <c r="CFM125" s="169"/>
      <c r="CFQ125" s="169"/>
      <c r="CFU125" s="169"/>
      <c r="CFY125" s="169"/>
      <c r="CGC125" s="169"/>
      <c r="CGG125" s="169"/>
      <c r="CGK125" s="169"/>
      <c r="CGO125" s="169"/>
      <c r="CGS125" s="169"/>
      <c r="CGW125" s="169"/>
      <c r="CHA125" s="169"/>
      <c r="CHE125" s="169"/>
      <c r="CHI125" s="169"/>
      <c r="CHM125" s="169"/>
      <c r="CHQ125" s="169"/>
      <c r="CHU125" s="169"/>
      <c r="CHY125" s="169"/>
      <c r="CIC125" s="169"/>
      <c r="CIG125" s="169"/>
      <c r="CIK125" s="169"/>
      <c r="CIO125" s="169"/>
      <c r="CIS125" s="169"/>
      <c r="CIW125" s="169"/>
      <c r="CJA125" s="169"/>
      <c r="CJE125" s="169"/>
      <c r="CJI125" s="169"/>
      <c r="CJM125" s="169"/>
      <c r="CJQ125" s="169"/>
      <c r="CJU125" s="169"/>
      <c r="CJY125" s="169"/>
      <c r="CKC125" s="169"/>
      <c r="CKG125" s="169"/>
      <c r="CKK125" s="169"/>
      <c r="CKO125" s="169"/>
      <c r="CKS125" s="169"/>
      <c r="CKW125" s="169"/>
      <c r="CLA125" s="169"/>
      <c r="CLE125" s="169"/>
      <c r="CLI125" s="169"/>
      <c r="CLM125" s="169"/>
      <c r="CLQ125" s="169"/>
      <c r="CLU125" s="169"/>
      <c r="CLY125" s="169"/>
      <c r="CMC125" s="169"/>
      <c r="CMG125" s="169"/>
      <c r="CMK125" s="169"/>
      <c r="CMO125" s="169"/>
      <c r="CMS125" s="169"/>
      <c r="CMW125" s="169"/>
      <c r="CNA125" s="169"/>
      <c r="CNE125" s="169"/>
      <c r="CNI125" s="169"/>
      <c r="CNM125" s="169"/>
      <c r="CNQ125" s="169"/>
      <c r="CNU125" s="169"/>
      <c r="CNY125" s="169"/>
      <c r="COC125" s="169"/>
      <c r="COG125" s="169"/>
      <c r="COK125" s="169"/>
      <c r="COO125" s="169"/>
      <c r="COS125" s="169"/>
      <c r="COW125" s="169"/>
      <c r="CPA125" s="169"/>
      <c r="CPE125" s="169"/>
      <c r="CPI125" s="169"/>
      <c r="CPM125" s="169"/>
      <c r="CPQ125" s="169"/>
      <c r="CPU125" s="169"/>
      <c r="CPY125" s="169"/>
      <c r="CQC125" s="169"/>
      <c r="CQG125" s="169"/>
      <c r="CQK125" s="169"/>
      <c r="CQO125" s="169"/>
      <c r="CQS125" s="169"/>
      <c r="CQW125" s="169"/>
      <c r="CRA125" s="169"/>
      <c r="CRE125" s="169"/>
      <c r="CRI125" s="169"/>
      <c r="CRM125" s="169"/>
      <c r="CRQ125" s="169"/>
      <c r="CRU125" s="169"/>
      <c r="CRY125" s="169"/>
      <c r="CSC125" s="169"/>
      <c r="CSG125" s="169"/>
      <c r="CSK125" s="169"/>
      <c r="CSO125" s="169"/>
      <c r="CSS125" s="169"/>
      <c r="CSW125" s="169"/>
      <c r="CTA125" s="169"/>
      <c r="CTE125" s="169"/>
      <c r="CTI125" s="169"/>
      <c r="CTM125" s="169"/>
      <c r="CTQ125" s="169"/>
      <c r="CTU125" s="169"/>
      <c r="CTY125" s="169"/>
      <c r="CUC125" s="169"/>
      <c r="CUG125" s="169"/>
      <c r="CUK125" s="169"/>
      <c r="CUO125" s="169"/>
      <c r="CUS125" s="169"/>
      <c r="CUW125" s="169"/>
      <c r="CVA125" s="169"/>
      <c r="CVE125" s="169"/>
      <c r="CVI125" s="169"/>
      <c r="CVM125" s="169"/>
      <c r="CVQ125" s="169"/>
      <c r="CVU125" s="169"/>
      <c r="CVY125" s="169"/>
      <c r="CWC125" s="169"/>
      <c r="CWG125" s="169"/>
      <c r="CWK125" s="169"/>
      <c r="CWO125" s="169"/>
      <c r="CWS125" s="169"/>
      <c r="CWW125" s="169"/>
      <c r="CXA125" s="169"/>
      <c r="CXE125" s="169"/>
      <c r="CXI125" s="169"/>
      <c r="CXM125" s="169"/>
      <c r="CXQ125" s="169"/>
      <c r="CXU125" s="169"/>
      <c r="CXY125" s="169"/>
      <c r="CYC125" s="169"/>
      <c r="CYG125" s="169"/>
      <c r="CYK125" s="169"/>
      <c r="CYO125" s="169"/>
      <c r="CYS125" s="169"/>
      <c r="CYW125" s="169"/>
      <c r="CZA125" s="169"/>
      <c r="CZE125" s="169"/>
      <c r="CZI125" s="169"/>
      <c r="CZM125" s="169"/>
      <c r="CZQ125" s="169"/>
      <c r="CZU125" s="169"/>
      <c r="CZY125" s="169"/>
      <c r="DAC125" s="169"/>
      <c r="DAG125" s="169"/>
      <c r="DAK125" s="169"/>
      <c r="DAO125" s="169"/>
      <c r="DAS125" s="169"/>
      <c r="DAW125" s="169"/>
      <c r="DBA125" s="169"/>
      <c r="DBE125" s="169"/>
      <c r="DBI125" s="169"/>
      <c r="DBM125" s="169"/>
      <c r="DBQ125" s="169"/>
      <c r="DBU125" s="169"/>
      <c r="DBY125" s="169"/>
      <c r="DCC125" s="169"/>
      <c r="DCG125" s="169"/>
      <c r="DCK125" s="169"/>
      <c r="DCO125" s="169"/>
      <c r="DCS125" s="169"/>
      <c r="DCW125" s="169"/>
      <c r="DDA125" s="169"/>
      <c r="DDE125" s="169"/>
      <c r="DDI125" s="169"/>
      <c r="DDM125" s="169"/>
      <c r="DDQ125" s="169"/>
      <c r="DDU125" s="169"/>
      <c r="DDY125" s="169"/>
      <c r="DEC125" s="169"/>
      <c r="DEG125" s="169"/>
      <c r="DEK125" s="169"/>
      <c r="DEO125" s="169"/>
      <c r="DES125" s="169"/>
      <c r="DEW125" s="169"/>
      <c r="DFA125" s="169"/>
      <c r="DFE125" s="169"/>
      <c r="DFI125" s="169"/>
      <c r="DFM125" s="169"/>
      <c r="DFQ125" s="169"/>
      <c r="DFU125" s="169"/>
      <c r="DFY125" s="169"/>
      <c r="DGC125" s="169"/>
      <c r="DGG125" s="169"/>
      <c r="DGK125" s="169"/>
      <c r="DGO125" s="169"/>
      <c r="DGS125" s="169"/>
      <c r="DGW125" s="169"/>
      <c r="DHA125" s="169"/>
      <c r="DHE125" s="169"/>
      <c r="DHI125" s="169"/>
      <c r="DHM125" s="169"/>
      <c r="DHQ125" s="169"/>
      <c r="DHU125" s="169"/>
      <c r="DHY125" s="169"/>
      <c r="DIC125" s="169"/>
      <c r="DIG125" s="169"/>
      <c r="DIK125" s="169"/>
      <c r="DIO125" s="169"/>
      <c r="DIS125" s="169"/>
      <c r="DIW125" s="169"/>
      <c r="DJA125" s="169"/>
      <c r="DJE125" s="169"/>
      <c r="DJI125" s="169"/>
      <c r="DJM125" s="169"/>
      <c r="DJQ125" s="169"/>
      <c r="DJU125" s="169"/>
      <c r="DJY125" s="169"/>
      <c r="DKC125" s="169"/>
      <c r="DKG125" s="169"/>
      <c r="DKK125" s="169"/>
      <c r="DKO125" s="169"/>
      <c r="DKS125" s="169"/>
      <c r="DKW125" s="169"/>
      <c r="DLA125" s="169"/>
      <c r="DLE125" s="169"/>
      <c r="DLI125" s="169"/>
      <c r="DLM125" s="169"/>
      <c r="DLQ125" s="169"/>
      <c r="DLU125" s="169"/>
      <c r="DLY125" s="169"/>
      <c r="DMC125" s="169"/>
      <c r="DMG125" s="169"/>
      <c r="DMK125" s="169"/>
      <c r="DMO125" s="169"/>
      <c r="DMS125" s="169"/>
      <c r="DMW125" s="169"/>
      <c r="DNA125" s="169"/>
      <c r="DNE125" s="169"/>
      <c r="DNI125" s="169"/>
      <c r="DNM125" s="169"/>
      <c r="DNQ125" s="169"/>
      <c r="DNU125" s="169"/>
      <c r="DNY125" s="169"/>
      <c r="DOC125" s="169"/>
      <c r="DOG125" s="169"/>
      <c r="DOK125" s="169"/>
      <c r="DOO125" s="169"/>
      <c r="DOS125" s="169"/>
      <c r="DOW125" s="169"/>
      <c r="DPA125" s="169"/>
      <c r="DPE125" s="169"/>
      <c r="DPI125" s="169"/>
      <c r="DPM125" s="169"/>
      <c r="DPQ125" s="169"/>
      <c r="DPU125" s="169"/>
      <c r="DPY125" s="169"/>
      <c r="DQC125" s="169"/>
      <c r="DQG125" s="169"/>
      <c r="DQK125" s="169"/>
      <c r="DQO125" s="169"/>
      <c r="DQS125" s="169"/>
      <c r="DQW125" s="169"/>
      <c r="DRA125" s="169"/>
      <c r="DRE125" s="169"/>
      <c r="DRI125" s="169"/>
      <c r="DRM125" s="169"/>
      <c r="DRQ125" s="169"/>
      <c r="DRU125" s="169"/>
      <c r="DRY125" s="169"/>
      <c r="DSC125" s="169"/>
      <c r="DSG125" s="169"/>
      <c r="DSK125" s="169"/>
      <c r="DSO125" s="169"/>
      <c r="DSS125" s="169"/>
      <c r="DSW125" s="169"/>
      <c r="DTA125" s="169"/>
      <c r="DTE125" s="169"/>
      <c r="DTI125" s="169"/>
      <c r="DTM125" s="169"/>
      <c r="DTQ125" s="169"/>
      <c r="DTU125" s="169"/>
      <c r="DTY125" s="169"/>
      <c r="DUC125" s="169"/>
      <c r="DUG125" s="169"/>
      <c r="DUK125" s="169"/>
      <c r="DUO125" s="169"/>
      <c r="DUS125" s="169"/>
      <c r="DUW125" s="169"/>
      <c r="DVA125" s="169"/>
      <c r="DVE125" s="169"/>
      <c r="DVI125" s="169"/>
      <c r="DVM125" s="169"/>
      <c r="DVQ125" s="169"/>
      <c r="DVU125" s="169"/>
      <c r="DVY125" s="169"/>
      <c r="DWC125" s="169"/>
      <c r="DWG125" s="169"/>
      <c r="DWK125" s="169"/>
      <c r="DWO125" s="169"/>
      <c r="DWS125" s="169"/>
      <c r="DWW125" s="169"/>
      <c r="DXA125" s="169"/>
      <c r="DXE125" s="169"/>
      <c r="DXI125" s="169"/>
      <c r="DXM125" s="169"/>
      <c r="DXQ125" s="169"/>
      <c r="DXU125" s="169"/>
      <c r="DXY125" s="169"/>
      <c r="DYC125" s="169"/>
      <c r="DYG125" s="169"/>
      <c r="DYK125" s="169"/>
      <c r="DYO125" s="169"/>
      <c r="DYS125" s="169"/>
      <c r="DYW125" s="169"/>
      <c r="DZA125" s="169"/>
      <c r="DZE125" s="169"/>
      <c r="DZI125" s="169"/>
      <c r="DZM125" s="169"/>
      <c r="DZQ125" s="169"/>
      <c r="DZU125" s="169"/>
      <c r="DZY125" s="169"/>
      <c r="EAC125" s="169"/>
      <c r="EAG125" s="169"/>
      <c r="EAK125" s="169"/>
      <c r="EAO125" s="169"/>
      <c r="EAS125" s="169"/>
      <c r="EAW125" s="169"/>
      <c r="EBA125" s="169"/>
      <c r="EBE125" s="169"/>
      <c r="EBI125" s="169"/>
      <c r="EBM125" s="169"/>
      <c r="EBQ125" s="169"/>
      <c r="EBU125" s="169"/>
      <c r="EBY125" s="169"/>
      <c r="ECC125" s="169"/>
      <c r="ECG125" s="169"/>
      <c r="ECK125" s="169"/>
      <c r="ECO125" s="169"/>
      <c r="ECS125" s="169"/>
      <c r="ECW125" s="169"/>
      <c r="EDA125" s="169"/>
      <c r="EDE125" s="169"/>
      <c r="EDI125" s="169"/>
      <c r="EDM125" s="169"/>
      <c r="EDQ125" s="169"/>
      <c r="EDU125" s="169"/>
      <c r="EDY125" s="169"/>
      <c r="EEC125" s="169"/>
      <c r="EEG125" s="169"/>
      <c r="EEK125" s="169"/>
      <c r="EEO125" s="169"/>
      <c r="EES125" s="169"/>
      <c r="EEW125" s="169"/>
      <c r="EFA125" s="169"/>
      <c r="EFE125" s="169"/>
      <c r="EFI125" s="169"/>
      <c r="EFM125" s="169"/>
      <c r="EFQ125" s="169"/>
      <c r="EFU125" s="169"/>
      <c r="EFY125" s="169"/>
      <c r="EGC125" s="169"/>
      <c r="EGG125" s="169"/>
      <c r="EGK125" s="169"/>
      <c r="EGO125" s="169"/>
      <c r="EGS125" s="169"/>
      <c r="EGW125" s="169"/>
      <c r="EHA125" s="169"/>
      <c r="EHE125" s="169"/>
      <c r="EHI125" s="169"/>
      <c r="EHM125" s="169"/>
      <c r="EHQ125" s="169"/>
      <c r="EHU125" s="169"/>
      <c r="EHY125" s="169"/>
      <c r="EIC125" s="169"/>
      <c r="EIG125" s="169"/>
      <c r="EIK125" s="169"/>
      <c r="EIO125" s="169"/>
      <c r="EIS125" s="169"/>
      <c r="EIW125" s="169"/>
      <c r="EJA125" s="169"/>
      <c r="EJE125" s="169"/>
      <c r="EJI125" s="169"/>
      <c r="EJM125" s="169"/>
      <c r="EJQ125" s="169"/>
      <c r="EJU125" s="169"/>
      <c r="EJY125" s="169"/>
      <c r="EKC125" s="169"/>
      <c r="EKG125" s="169"/>
      <c r="EKK125" s="169"/>
      <c r="EKO125" s="169"/>
      <c r="EKS125" s="169"/>
      <c r="EKW125" s="169"/>
      <c r="ELA125" s="169"/>
      <c r="ELE125" s="169"/>
      <c r="ELI125" s="169"/>
      <c r="ELM125" s="169"/>
      <c r="ELQ125" s="169"/>
      <c r="ELU125" s="169"/>
      <c r="ELY125" s="169"/>
      <c r="EMC125" s="169"/>
      <c r="EMG125" s="169"/>
      <c r="EMK125" s="169"/>
      <c r="EMO125" s="169"/>
      <c r="EMS125" s="169"/>
      <c r="EMW125" s="169"/>
      <c r="ENA125" s="169"/>
      <c r="ENE125" s="169"/>
      <c r="ENI125" s="169"/>
      <c r="ENM125" s="169"/>
      <c r="ENQ125" s="169"/>
      <c r="ENU125" s="169"/>
      <c r="ENY125" s="169"/>
      <c r="EOC125" s="169"/>
      <c r="EOG125" s="169"/>
      <c r="EOK125" s="169"/>
      <c r="EOO125" s="169"/>
      <c r="EOS125" s="169"/>
      <c r="EOW125" s="169"/>
      <c r="EPA125" s="169"/>
      <c r="EPE125" s="169"/>
      <c r="EPI125" s="169"/>
      <c r="EPM125" s="169"/>
      <c r="EPQ125" s="169"/>
      <c r="EPU125" s="169"/>
      <c r="EPY125" s="169"/>
      <c r="EQC125" s="169"/>
      <c r="EQG125" s="169"/>
      <c r="EQK125" s="169"/>
      <c r="EQO125" s="169"/>
      <c r="EQS125" s="169"/>
      <c r="EQW125" s="169"/>
      <c r="ERA125" s="169"/>
      <c r="ERE125" s="169"/>
      <c r="ERI125" s="169"/>
      <c r="ERM125" s="169"/>
      <c r="ERQ125" s="169"/>
      <c r="ERU125" s="169"/>
      <c r="ERY125" s="169"/>
      <c r="ESC125" s="169"/>
      <c r="ESG125" s="169"/>
      <c r="ESK125" s="169"/>
      <c r="ESO125" s="169"/>
      <c r="ESS125" s="169"/>
      <c r="ESW125" s="169"/>
      <c r="ETA125" s="169"/>
      <c r="ETE125" s="169"/>
      <c r="ETI125" s="169"/>
      <c r="ETM125" s="169"/>
      <c r="ETQ125" s="169"/>
      <c r="ETU125" s="169"/>
      <c r="ETY125" s="169"/>
      <c r="EUC125" s="169"/>
      <c r="EUG125" s="169"/>
      <c r="EUK125" s="169"/>
      <c r="EUO125" s="169"/>
      <c r="EUS125" s="169"/>
      <c r="EUW125" s="169"/>
      <c r="EVA125" s="169"/>
      <c r="EVE125" s="169"/>
      <c r="EVI125" s="169"/>
      <c r="EVM125" s="169"/>
      <c r="EVQ125" s="169"/>
      <c r="EVU125" s="169"/>
      <c r="EVY125" s="169"/>
      <c r="EWC125" s="169"/>
      <c r="EWG125" s="169"/>
      <c r="EWK125" s="169"/>
      <c r="EWO125" s="169"/>
      <c r="EWS125" s="169"/>
      <c r="EWW125" s="169"/>
      <c r="EXA125" s="169"/>
      <c r="EXE125" s="169"/>
      <c r="EXI125" s="169"/>
      <c r="EXM125" s="169"/>
      <c r="EXQ125" s="169"/>
      <c r="EXU125" s="169"/>
      <c r="EXY125" s="169"/>
      <c r="EYC125" s="169"/>
      <c r="EYG125" s="169"/>
      <c r="EYK125" s="169"/>
      <c r="EYO125" s="169"/>
      <c r="EYS125" s="169"/>
      <c r="EYW125" s="169"/>
      <c r="EZA125" s="169"/>
      <c r="EZE125" s="169"/>
      <c r="EZI125" s="169"/>
      <c r="EZM125" s="169"/>
      <c r="EZQ125" s="169"/>
      <c r="EZU125" s="169"/>
      <c r="EZY125" s="169"/>
      <c r="FAC125" s="169"/>
      <c r="FAG125" s="169"/>
      <c r="FAK125" s="169"/>
      <c r="FAO125" s="169"/>
      <c r="FAS125" s="169"/>
      <c r="FAW125" s="169"/>
      <c r="FBA125" s="169"/>
      <c r="FBE125" s="169"/>
      <c r="FBI125" s="169"/>
      <c r="FBM125" s="169"/>
      <c r="FBQ125" s="169"/>
      <c r="FBU125" s="169"/>
      <c r="FBY125" s="169"/>
      <c r="FCC125" s="169"/>
      <c r="FCG125" s="169"/>
      <c r="FCK125" s="169"/>
      <c r="FCO125" s="169"/>
      <c r="FCS125" s="169"/>
      <c r="FCW125" s="169"/>
      <c r="FDA125" s="169"/>
      <c r="FDE125" s="169"/>
      <c r="FDI125" s="169"/>
      <c r="FDM125" s="169"/>
      <c r="FDQ125" s="169"/>
      <c r="FDU125" s="169"/>
      <c r="FDY125" s="169"/>
      <c r="FEC125" s="169"/>
      <c r="FEG125" s="169"/>
      <c r="FEK125" s="169"/>
      <c r="FEO125" s="169"/>
      <c r="FES125" s="169"/>
      <c r="FEW125" s="169"/>
      <c r="FFA125" s="169"/>
      <c r="FFE125" s="169"/>
      <c r="FFI125" s="169"/>
      <c r="FFM125" s="169"/>
      <c r="FFQ125" s="169"/>
      <c r="FFU125" s="169"/>
      <c r="FFY125" s="169"/>
      <c r="FGC125" s="169"/>
      <c r="FGG125" s="169"/>
      <c r="FGK125" s="169"/>
      <c r="FGO125" s="169"/>
      <c r="FGS125" s="169"/>
      <c r="FGW125" s="169"/>
      <c r="FHA125" s="169"/>
      <c r="FHE125" s="169"/>
      <c r="FHI125" s="169"/>
      <c r="FHM125" s="169"/>
      <c r="FHQ125" s="169"/>
      <c r="FHU125" s="169"/>
      <c r="FHY125" s="169"/>
      <c r="FIC125" s="169"/>
      <c r="FIG125" s="169"/>
      <c r="FIK125" s="169"/>
      <c r="FIO125" s="169"/>
      <c r="FIS125" s="169"/>
      <c r="FIW125" s="169"/>
      <c r="FJA125" s="169"/>
      <c r="FJE125" s="169"/>
      <c r="FJI125" s="169"/>
      <c r="FJM125" s="169"/>
      <c r="FJQ125" s="169"/>
      <c r="FJU125" s="169"/>
      <c r="FJY125" s="169"/>
      <c r="FKC125" s="169"/>
      <c r="FKG125" s="169"/>
      <c r="FKK125" s="169"/>
      <c r="FKO125" s="169"/>
      <c r="FKS125" s="169"/>
      <c r="FKW125" s="169"/>
      <c r="FLA125" s="169"/>
      <c r="FLE125" s="169"/>
      <c r="FLI125" s="169"/>
      <c r="FLM125" s="169"/>
      <c r="FLQ125" s="169"/>
      <c r="FLU125" s="169"/>
      <c r="FLY125" s="169"/>
      <c r="FMC125" s="169"/>
      <c r="FMG125" s="169"/>
      <c r="FMK125" s="169"/>
      <c r="FMO125" s="169"/>
      <c r="FMS125" s="169"/>
      <c r="FMW125" s="169"/>
      <c r="FNA125" s="169"/>
      <c r="FNE125" s="169"/>
      <c r="FNI125" s="169"/>
      <c r="FNM125" s="169"/>
      <c r="FNQ125" s="169"/>
      <c r="FNU125" s="169"/>
      <c r="FNY125" s="169"/>
      <c r="FOC125" s="169"/>
      <c r="FOG125" s="169"/>
      <c r="FOK125" s="169"/>
      <c r="FOO125" s="169"/>
      <c r="FOS125" s="169"/>
      <c r="FOW125" s="169"/>
      <c r="FPA125" s="169"/>
      <c r="FPE125" s="169"/>
      <c r="FPI125" s="169"/>
      <c r="FPM125" s="169"/>
      <c r="FPQ125" s="169"/>
      <c r="FPU125" s="169"/>
      <c r="FPY125" s="169"/>
      <c r="FQC125" s="169"/>
      <c r="FQG125" s="169"/>
      <c r="FQK125" s="169"/>
      <c r="FQO125" s="169"/>
      <c r="FQS125" s="169"/>
      <c r="FQW125" s="169"/>
      <c r="FRA125" s="169"/>
      <c r="FRE125" s="169"/>
      <c r="FRI125" s="169"/>
      <c r="FRM125" s="169"/>
      <c r="FRQ125" s="169"/>
      <c r="FRU125" s="169"/>
      <c r="FRY125" s="169"/>
      <c r="FSC125" s="169"/>
      <c r="FSG125" s="169"/>
      <c r="FSK125" s="169"/>
      <c r="FSO125" s="169"/>
      <c r="FSS125" s="169"/>
      <c r="FSW125" s="169"/>
      <c r="FTA125" s="169"/>
      <c r="FTE125" s="169"/>
      <c r="FTI125" s="169"/>
      <c r="FTM125" s="169"/>
      <c r="FTQ125" s="169"/>
      <c r="FTU125" s="169"/>
      <c r="FTY125" s="169"/>
      <c r="FUC125" s="169"/>
      <c r="FUG125" s="169"/>
      <c r="FUK125" s="169"/>
      <c r="FUO125" s="169"/>
      <c r="FUS125" s="169"/>
      <c r="FUW125" s="169"/>
      <c r="FVA125" s="169"/>
      <c r="FVE125" s="169"/>
      <c r="FVI125" s="169"/>
      <c r="FVM125" s="169"/>
      <c r="FVQ125" s="169"/>
      <c r="FVU125" s="169"/>
      <c r="FVY125" s="169"/>
      <c r="FWC125" s="169"/>
      <c r="FWG125" s="169"/>
      <c r="FWK125" s="169"/>
      <c r="FWO125" s="169"/>
      <c r="FWS125" s="169"/>
      <c r="FWW125" s="169"/>
      <c r="FXA125" s="169"/>
      <c r="FXE125" s="169"/>
      <c r="FXI125" s="169"/>
      <c r="FXM125" s="169"/>
      <c r="FXQ125" s="169"/>
      <c r="FXU125" s="169"/>
      <c r="FXY125" s="169"/>
      <c r="FYC125" s="169"/>
      <c r="FYG125" s="169"/>
      <c r="FYK125" s="169"/>
      <c r="FYO125" s="169"/>
      <c r="FYS125" s="169"/>
      <c r="FYW125" s="169"/>
      <c r="FZA125" s="169"/>
      <c r="FZE125" s="169"/>
      <c r="FZI125" s="169"/>
      <c r="FZM125" s="169"/>
      <c r="FZQ125" s="169"/>
      <c r="FZU125" s="169"/>
      <c r="FZY125" s="169"/>
      <c r="GAC125" s="169"/>
      <c r="GAG125" s="169"/>
      <c r="GAK125" s="169"/>
      <c r="GAO125" s="169"/>
      <c r="GAS125" s="169"/>
      <c r="GAW125" s="169"/>
      <c r="GBA125" s="169"/>
      <c r="GBE125" s="169"/>
      <c r="GBI125" s="169"/>
      <c r="GBM125" s="169"/>
      <c r="GBQ125" s="169"/>
      <c r="GBU125" s="169"/>
      <c r="GBY125" s="169"/>
      <c r="GCC125" s="169"/>
      <c r="GCG125" s="169"/>
      <c r="GCK125" s="169"/>
      <c r="GCO125" s="169"/>
      <c r="GCS125" s="169"/>
      <c r="GCW125" s="169"/>
      <c r="GDA125" s="169"/>
      <c r="GDE125" s="169"/>
      <c r="GDI125" s="169"/>
      <c r="GDM125" s="169"/>
      <c r="GDQ125" s="169"/>
      <c r="GDU125" s="169"/>
      <c r="GDY125" s="169"/>
      <c r="GEC125" s="169"/>
      <c r="GEG125" s="169"/>
      <c r="GEK125" s="169"/>
      <c r="GEO125" s="169"/>
      <c r="GES125" s="169"/>
      <c r="GEW125" s="169"/>
      <c r="GFA125" s="169"/>
      <c r="GFE125" s="169"/>
      <c r="GFI125" s="169"/>
      <c r="GFM125" s="169"/>
      <c r="GFQ125" s="169"/>
      <c r="GFU125" s="169"/>
      <c r="GFY125" s="169"/>
      <c r="GGC125" s="169"/>
      <c r="GGG125" s="169"/>
      <c r="GGK125" s="169"/>
      <c r="GGO125" s="169"/>
      <c r="GGS125" s="169"/>
      <c r="GGW125" s="169"/>
      <c r="GHA125" s="169"/>
      <c r="GHE125" s="169"/>
      <c r="GHI125" s="169"/>
      <c r="GHM125" s="169"/>
      <c r="GHQ125" s="169"/>
      <c r="GHU125" s="169"/>
      <c r="GHY125" s="169"/>
      <c r="GIC125" s="169"/>
      <c r="GIG125" s="169"/>
      <c r="GIK125" s="169"/>
      <c r="GIO125" s="169"/>
      <c r="GIS125" s="169"/>
      <c r="GIW125" s="169"/>
      <c r="GJA125" s="169"/>
      <c r="GJE125" s="169"/>
      <c r="GJI125" s="169"/>
      <c r="GJM125" s="169"/>
      <c r="GJQ125" s="169"/>
      <c r="GJU125" s="169"/>
      <c r="GJY125" s="169"/>
      <c r="GKC125" s="169"/>
      <c r="GKG125" s="169"/>
      <c r="GKK125" s="169"/>
      <c r="GKO125" s="169"/>
      <c r="GKS125" s="169"/>
      <c r="GKW125" s="169"/>
      <c r="GLA125" s="169"/>
      <c r="GLE125" s="169"/>
      <c r="GLI125" s="169"/>
      <c r="GLM125" s="169"/>
      <c r="GLQ125" s="169"/>
      <c r="GLU125" s="169"/>
      <c r="GLY125" s="169"/>
      <c r="GMC125" s="169"/>
      <c r="GMG125" s="169"/>
      <c r="GMK125" s="169"/>
      <c r="GMO125" s="169"/>
      <c r="GMS125" s="169"/>
      <c r="GMW125" s="169"/>
      <c r="GNA125" s="169"/>
      <c r="GNE125" s="169"/>
      <c r="GNI125" s="169"/>
      <c r="GNM125" s="169"/>
      <c r="GNQ125" s="169"/>
      <c r="GNU125" s="169"/>
      <c r="GNY125" s="169"/>
      <c r="GOC125" s="169"/>
      <c r="GOG125" s="169"/>
      <c r="GOK125" s="169"/>
      <c r="GOO125" s="169"/>
      <c r="GOS125" s="169"/>
      <c r="GOW125" s="169"/>
      <c r="GPA125" s="169"/>
      <c r="GPE125" s="169"/>
      <c r="GPI125" s="169"/>
      <c r="GPM125" s="169"/>
      <c r="GPQ125" s="169"/>
      <c r="GPU125" s="169"/>
      <c r="GPY125" s="169"/>
      <c r="GQC125" s="169"/>
      <c r="GQG125" s="169"/>
      <c r="GQK125" s="169"/>
      <c r="GQO125" s="169"/>
      <c r="GQS125" s="169"/>
      <c r="GQW125" s="169"/>
      <c r="GRA125" s="169"/>
      <c r="GRE125" s="169"/>
      <c r="GRI125" s="169"/>
      <c r="GRM125" s="169"/>
      <c r="GRQ125" s="169"/>
      <c r="GRU125" s="169"/>
      <c r="GRY125" s="169"/>
      <c r="GSC125" s="169"/>
      <c r="GSG125" s="169"/>
      <c r="GSK125" s="169"/>
      <c r="GSO125" s="169"/>
      <c r="GSS125" s="169"/>
      <c r="GSW125" s="169"/>
      <c r="GTA125" s="169"/>
      <c r="GTE125" s="169"/>
      <c r="GTI125" s="169"/>
      <c r="GTM125" s="169"/>
      <c r="GTQ125" s="169"/>
      <c r="GTU125" s="169"/>
      <c r="GTY125" s="169"/>
      <c r="GUC125" s="169"/>
      <c r="GUG125" s="169"/>
      <c r="GUK125" s="169"/>
      <c r="GUO125" s="169"/>
      <c r="GUS125" s="169"/>
      <c r="GUW125" s="169"/>
      <c r="GVA125" s="169"/>
      <c r="GVE125" s="169"/>
      <c r="GVI125" s="169"/>
      <c r="GVM125" s="169"/>
      <c r="GVQ125" s="169"/>
      <c r="GVU125" s="169"/>
      <c r="GVY125" s="169"/>
      <c r="GWC125" s="169"/>
      <c r="GWG125" s="169"/>
      <c r="GWK125" s="169"/>
      <c r="GWO125" s="169"/>
      <c r="GWS125" s="169"/>
      <c r="GWW125" s="169"/>
      <c r="GXA125" s="169"/>
      <c r="GXE125" s="169"/>
      <c r="GXI125" s="169"/>
      <c r="GXM125" s="169"/>
      <c r="GXQ125" s="169"/>
      <c r="GXU125" s="169"/>
      <c r="GXY125" s="169"/>
      <c r="GYC125" s="169"/>
      <c r="GYG125" s="169"/>
      <c r="GYK125" s="169"/>
      <c r="GYO125" s="169"/>
      <c r="GYS125" s="169"/>
      <c r="GYW125" s="169"/>
      <c r="GZA125" s="169"/>
      <c r="GZE125" s="169"/>
      <c r="GZI125" s="169"/>
      <c r="GZM125" s="169"/>
      <c r="GZQ125" s="169"/>
      <c r="GZU125" s="169"/>
      <c r="GZY125" s="169"/>
      <c r="HAC125" s="169"/>
      <c r="HAG125" s="169"/>
      <c r="HAK125" s="169"/>
      <c r="HAO125" s="169"/>
      <c r="HAS125" s="169"/>
      <c r="HAW125" s="169"/>
      <c r="HBA125" s="169"/>
      <c r="HBE125" s="169"/>
      <c r="HBI125" s="169"/>
      <c r="HBM125" s="169"/>
      <c r="HBQ125" s="169"/>
      <c r="HBU125" s="169"/>
      <c r="HBY125" s="169"/>
      <c r="HCC125" s="169"/>
      <c r="HCG125" s="169"/>
      <c r="HCK125" s="169"/>
      <c r="HCO125" s="169"/>
      <c r="HCS125" s="169"/>
      <c r="HCW125" s="169"/>
      <c r="HDA125" s="169"/>
      <c r="HDE125" s="169"/>
      <c r="HDI125" s="169"/>
      <c r="HDM125" s="169"/>
      <c r="HDQ125" s="169"/>
      <c r="HDU125" s="169"/>
      <c r="HDY125" s="169"/>
      <c r="HEC125" s="169"/>
      <c r="HEG125" s="169"/>
      <c r="HEK125" s="169"/>
      <c r="HEO125" s="169"/>
      <c r="HES125" s="169"/>
      <c r="HEW125" s="169"/>
      <c r="HFA125" s="169"/>
      <c r="HFE125" s="169"/>
      <c r="HFI125" s="169"/>
      <c r="HFM125" s="169"/>
      <c r="HFQ125" s="169"/>
      <c r="HFU125" s="169"/>
      <c r="HFY125" s="169"/>
      <c r="HGC125" s="169"/>
      <c r="HGG125" s="169"/>
      <c r="HGK125" s="169"/>
      <c r="HGO125" s="169"/>
      <c r="HGS125" s="169"/>
      <c r="HGW125" s="169"/>
      <c r="HHA125" s="169"/>
      <c r="HHE125" s="169"/>
      <c r="HHI125" s="169"/>
      <c r="HHM125" s="169"/>
      <c r="HHQ125" s="169"/>
      <c r="HHU125" s="169"/>
      <c r="HHY125" s="169"/>
      <c r="HIC125" s="169"/>
      <c r="HIG125" s="169"/>
      <c r="HIK125" s="169"/>
      <c r="HIO125" s="169"/>
      <c r="HIS125" s="169"/>
      <c r="HIW125" s="169"/>
      <c r="HJA125" s="169"/>
      <c r="HJE125" s="169"/>
      <c r="HJI125" s="169"/>
      <c r="HJM125" s="169"/>
      <c r="HJQ125" s="169"/>
      <c r="HJU125" s="169"/>
      <c r="HJY125" s="169"/>
      <c r="HKC125" s="169"/>
      <c r="HKG125" s="169"/>
      <c r="HKK125" s="169"/>
      <c r="HKO125" s="169"/>
      <c r="HKS125" s="169"/>
      <c r="HKW125" s="169"/>
      <c r="HLA125" s="169"/>
      <c r="HLE125" s="169"/>
      <c r="HLI125" s="169"/>
      <c r="HLM125" s="169"/>
      <c r="HLQ125" s="169"/>
      <c r="HLU125" s="169"/>
      <c r="HLY125" s="169"/>
      <c r="HMC125" s="169"/>
      <c r="HMG125" s="169"/>
      <c r="HMK125" s="169"/>
      <c r="HMO125" s="169"/>
      <c r="HMS125" s="169"/>
      <c r="HMW125" s="169"/>
      <c r="HNA125" s="169"/>
      <c r="HNE125" s="169"/>
      <c r="HNI125" s="169"/>
      <c r="HNM125" s="169"/>
      <c r="HNQ125" s="169"/>
      <c r="HNU125" s="169"/>
      <c r="HNY125" s="169"/>
      <c r="HOC125" s="169"/>
      <c r="HOG125" s="169"/>
      <c r="HOK125" s="169"/>
      <c r="HOO125" s="169"/>
      <c r="HOS125" s="169"/>
      <c r="HOW125" s="169"/>
      <c r="HPA125" s="169"/>
      <c r="HPE125" s="169"/>
      <c r="HPI125" s="169"/>
      <c r="HPM125" s="169"/>
      <c r="HPQ125" s="169"/>
      <c r="HPU125" s="169"/>
      <c r="HPY125" s="169"/>
      <c r="HQC125" s="169"/>
      <c r="HQG125" s="169"/>
      <c r="HQK125" s="169"/>
      <c r="HQO125" s="169"/>
      <c r="HQS125" s="169"/>
      <c r="HQW125" s="169"/>
      <c r="HRA125" s="169"/>
      <c r="HRE125" s="169"/>
      <c r="HRI125" s="169"/>
      <c r="HRM125" s="169"/>
      <c r="HRQ125" s="169"/>
      <c r="HRU125" s="169"/>
      <c r="HRY125" s="169"/>
      <c r="HSC125" s="169"/>
      <c r="HSG125" s="169"/>
      <c r="HSK125" s="169"/>
      <c r="HSO125" s="169"/>
      <c r="HSS125" s="169"/>
      <c r="HSW125" s="169"/>
      <c r="HTA125" s="169"/>
      <c r="HTE125" s="169"/>
      <c r="HTI125" s="169"/>
      <c r="HTM125" s="169"/>
      <c r="HTQ125" s="169"/>
      <c r="HTU125" s="169"/>
      <c r="HTY125" s="169"/>
      <c r="HUC125" s="169"/>
      <c r="HUG125" s="169"/>
      <c r="HUK125" s="169"/>
      <c r="HUO125" s="169"/>
      <c r="HUS125" s="169"/>
      <c r="HUW125" s="169"/>
      <c r="HVA125" s="169"/>
      <c r="HVE125" s="169"/>
      <c r="HVI125" s="169"/>
      <c r="HVM125" s="169"/>
      <c r="HVQ125" s="169"/>
      <c r="HVU125" s="169"/>
      <c r="HVY125" s="169"/>
      <c r="HWC125" s="169"/>
      <c r="HWG125" s="169"/>
      <c r="HWK125" s="169"/>
      <c r="HWO125" s="169"/>
      <c r="HWS125" s="169"/>
      <c r="HWW125" s="169"/>
      <c r="HXA125" s="169"/>
      <c r="HXE125" s="169"/>
      <c r="HXI125" s="169"/>
      <c r="HXM125" s="169"/>
      <c r="HXQ125" s="169"/>
      <c r="HXU125" s="169"/>
      <c r="HXY125" s="169"/>
      <c r="HYC125" s="169"/>
      <c r="HYG125" s="169"/>
      <c r="HYK125" s="169"/>
      <c r="HYO125" s="169"/>
      <c r="HYS125" s="169"/>
      <c r="HYW125" s="169"/>
      <c r="HZA125" s="169"/>
      <c r="HZE125" s="169"/>
      <c r="HZI125" s="169"/>
      <c r="HZM125" s="169"/>
      <c r="HZQ125" s="169"/>
      <c r="HZU125" s="169"/>
      <c r="HZY125" s="169"/>
      <c r="IAC125" s="169"/>
      <c r="IAG125" s="169"/>
      <c r="IAK125" s="169"/>
      <c r="IAO125" s="169"/>
      <c r="IAS125" s="169"/>
      <c r="IAW125" s="169"/>
      <c r="IBA125" s="169"/>
      <c r="IBE125" s="169"/>
      <c r="IBI125" s="169"/>
      <c r="IBM125" s="169"/>
      <c r="IBQ125" s="169"/>
      <c r="IBU125" s="169"/>
      <c r="IBY125" s="169"/>
      <c r="ICC125" s="169"/>
      <c r="ICG125" s="169"/>
      <c r="ICK125" s="169"/>
      <c r="ICO125" s="169"/>
      <c r="ICS125" s="169"/>
      <c r="ICW125" s="169"/>
      <c r="IDA125" s="169"/>
      <c r="IDE125" s="169"/>
      <c r="IDI125" s="169"/>
      <c r="IDM125" s="169"/>
      <c r="IDQ125" s="169"/>
      <c r="IDU125" s="169"/>
      <c r="IDY125" s="169"/>
      <c r="IEC125" s="169"/>
      <c r="IEG125" s="169"/>
      <c r="IEK125" s="169"/>
      <c r="IEO125" s="169"/>
      <c r="IES125" s="169"/>
      <c r="IEW125" s="169"/>
      <c r="IFA125" s="169"/>
      <c r="IFE125" s="169"/>
      <c r="IFI125" s="169"/>
      <c r="IFM125" s="169"/>
      <c r="IFQ125" s="169"/>
      <c r="IFU125" s="169"/>
      <c r="IFY125" s="169"/>
      <c r="IGC125" s="169"/>
      <c r="IGG125" s="169"/>
      <c r="IGK125" s="169"/>
      <c r="IGO125" s="169"/>
      <c r="IGS125" s="169"/>
      <c r="IGW125" s="169"/>
      <c r="IHA125" s="169"/>
      <c r="IHE125" s="169"/>
      <c r="IHI125" s="169"/>
      <c r="IHM125" s="169"/>
      <c r="IHQ125" s="169"/>
      <c r="IHU125" s="169"/>
      <c r="IHY125" s="169"/>
      <c r="IIC125" s="169"/>
      <c r="IIG125" s="169"/>
      <c r="IIK125" s="169"/>
      <c r="IIO125" s="169"/>
      <c r="IIS125" s="169"/>
      <c r="IIW125" s="169"/>
      <c r="IJA125" s="169"/>
      <c r="IJE125" s="169"/>
      <c r="IJI125" s="169"/>
      <c r="IJM125" s="169"/>
      <c r="IJQ125" s="169"/>
      <c r="IJU125" s="169"/>
      <c r="IJY125" s="169"/>
      <c r="IKC125" s="169"/>
      <c r="IKG125" s="169"/>
      <c r="IKK125" s="169"/>
      <c r="IKO125" s="169"/>
      <c r="IKS125" s="169"/>
      <c r="IKW125" s="169"/>
      <c r="ILA125" s="169"/>
      <c r="ILE125" s="169"/>
      <c r="ILI125" s="169"/>
      <c r="ILM125" s="169"/>
      <c r="ILQ125" s="169"/>
      <c r="ILU125" s="169"/>
      <c r="ILY125" s="169"/>
      <c r="IMC125" s="169"/>
      <c r="IMG125" s="169"/>
      <c r="IMK125" s="169"/>
      <c r="IMO125" s="169"/>
      <c r="IMS125" s="169"/>
      <c r="IMW125" s="169"/>
      <c r="INA125" s="169"/>
      <c r="INE125" s="169"/>
      <c r="INI125" s="169"/>
      <c r="INM125" s="169"/>
      <c r="INQ125" s="169"/>
      <c r="INU125" s="169"/>
      <c r="INY125" s="169"/>
      <c r="IOC125" s="169"/>
      <c r="IOG125" s="169"/>
      <c r="IOK125" s="169"/>
      <c r="IOO125" s="169"/>
      <c r="IOS125" s="169"/>
      <c r="IOW125" s="169"/>
      <c r="IPA125" s="169"/>
      <c r="IPE125" s="169"/>
      <c r="IPI125" s="169"/>
      <c r="IPM125" s="169"/>
      <c r="IPQ125" s="169"/>
      <c r="IPU125" s="169"/>
      <c r="IPY125" s="169"/>
      <c r="IQC125" s="169"/>
      <c r="IQG125" s="169"/>
      <c r="IQK125" s="169"/>
      <c r="IQO125" s="169"/>
      <c r="IQS125" s="169"/>
      <c r="IQW125" s="169"/>
      <c r="IRA125" s="169"/>
      <c r="IRE125" s="169"/>
      <c r="IRI125" s="169"/>
      <c r="IRM125" s="169"/>
      <c r="IRQ125" s="169"/>
      <c r="IRU125" s="169"/>
      <c r="IRY125" s="169"/>
      <c r="ISC125" s="169"/>
      <c r="ISG125" s="169"/>
      <c r="ISK125" s="169"/>
      <c r="ISO125" s="169"/>
      <c r="ISS125" s="169"/>
      <c r="ISW125" s="169"/>
      <c r="ITA125" s="169"/>
      <c r="ITE125" s="169"/>
      <c r="ITI125" s="169"/>
      <c r="ITM125" s="169"/>
      <c r="ITQ125" s="169"/>
      <c r="ITU125" s="169"/>
      <c r="ITY125" s="169"/>
      <c r="IUC125" s="169"/>
      <c r="IUG125" s="169"/>
      <c r="IUK125" s="169"/>
      <c r="IUO125" s="169"/>
      <c r="IUS125" s="169"/>
      <c r="IUW125" s="169"/>
      <c r="IVA125" s="169"/>
      <c r="IVE125" s="169"/>
      <c r="IVI125" s="169"/>
      <c r="IVM125" s="169"/>
      <c r="IVQ125" s="169"/>
      <c r="IVU125" s="169"/>
      <c r="IVY125" s="169"/>
      <c r="IWC125" s="169"/>
      <c r="IWG125" s="169"/>
      <c r="IWK125" s="169"/>
      <c r="IWO125" s="169"/>
      <c r="IWS125" s="169"/>
      <c r="IWW125" s="169"/>
      <c r="IXA125" s="169"/>
      <c r="IXE125" s="169"/>
      <c r="IXI125" s="169"/>
      <c r="IXM125" s="169"/>
      <c r="IXQ125" s="169"/>
      <c r="IXU125" s="169"/>
      <c r="IXY125" s="169"/>
      <c r="IYC125" s="169"/>
      <c r="IYG125" s="169"/>
      <c r="IYK125" s="169"/>
      <c r="IYO125" s="169"/>
      <c r="IYS125" s="169"/>
      <c r="IYW125" s="169"/>
      <c r="IZA125" s="169"/>
      <c r="IZE125" s="169"/>
      <c r="IZI125" s="169"/>
      <c r="IZM125" s="169"/>
      <c r="IZQ125" s="169"/>
      <c r="IZU125" s="169"/>
      <c r="IZY125" s="169"/>
      <c r="JAC125" s="169"/>
      <c r="JAG125" s="169"/>
      <c r="JAK125" s="169"/>
      <c r="JAO125" s="169"/>
      <c r="JAS125" s="169"/>
      <c r="JAW125" s="169"/>
      <c r="JBA125" s="169"/>
      <c r="JBE125" s="169"/>
      <c r="JBI125" s="169"/>
      <c r="JBM125" s="169"/>
      <c r="JBQ125" s="169"/>
      <c r="JBU125" s="169"/>
      <c r="JBY125" s="169"/>
      <c r="JCC125" s="169"/>
      <c r="JCG125" s="169"/>
      <c r="JCK125" s="169"/>
      <c r="JCO125" s="169"/>
      <c r="JCS125" s="169"/>
      <c r="JCW125" s="169"/>
      <c r="JDA125" s="169"/>
      <c r="JDE125" s="169"/>
      <c r="JDI125" s="169"/>
      <c r="JDM125" s="169"/>
      <c r="JDQ125" s="169"/>
      <c r="JDU125" s="169"/>
      <c r="JDY125" s="169"/>
      <c r="JEC125" s="169"/>
      <c r="JEG125" s="169"/>
      <c r="JEK125" s="169"/>
      <c r="JEO125" s="169"/>
      <c r="JES125" s="169"/>
      <c r="JEW125" s="169"/>
      <c r="JFA125" s="169"/>
      <c r="JFE125" s="169"/>
      <c r="JFI125" s="169"/>
      <c r="JFM125" s="169"/>
      <c r="JFQ125" s="169"/>
      <c r="JFU125" s="169"/>
      <c r="JFY125" s="169"/>
      <c r="JGC125" s="169"/>
      <c r="JGG125" s="169"/>
      <c r="JGK125" s="169"/>
      <c r="JGO125" s="169"/>
      <c r="JGS125" s="169"/>
      <c r="JGW125" s="169"/>
      <c r="JHA125" s="169"/>
      <c r="JHE125" s="169"/>
      <c r="JHI125" s="169"/>
      <c r="JHM125" s="169"/>
      <c r="JHQ125" s="169"/>
      <c r="JHU125" s="169"/>
      <c r="JHY125" s="169"/>
      <c r="JIC125" s="169"/>
      <c r="JIG125" s="169"/>
      <c r="JIK125" s="169"/>
      <c r="JIO125" s="169"/>
      <c r="JIS125" s="169"/>
      <c r="JIW125" s="169"/>
      <c r="JJA125" s="169"/>
      <c r="JJE125" s="169"/>
      <c r="JJI125" s="169"/>
      <c r="JJM125" s="169"/>
      <c r="JJQ125" s="169"/>
      <c r="JJU125" s="169"/>
      <c r="JJY125" s="169"/>
      <c r="JKC125" s="169"/>
      <c r="JKG125" s="169"/>
      <c r="JKK125" s="169"/>
      <c r="JKO125" s="169"/>
      <c r="JKS125" s="169"/>
      <c r="JKW125" s="169"/>
      <c r="JLA125" s="169"/>
      <c r="JLE125" s="169"/>
      <c r="JLI125" s="169"/>
      <c r="JLM125" s="169"/>
      <c r="JLQ125" s="169"/>
      <c r="JLU125" s="169"/>
      <c r="JLY125" s="169"/>
      <c r="JMC125" s="169"/>
      <c r="JMG125" s="169"/>
      <c r="JMK125" s="169"/>
      <c r="JMO125" s="169"/>
      <c r="JMS125" s="169"/>
      <c r="JMW125" s="169"/>
      <c r="JNA125" s="169"/>
      <c r="JNE125" s="169"/>
      <c r="JNI125" s="169"/>
      <c r="JNM125" s="169"/>
      <c r="JNQ125" s="169"/>
      <c r="JNU125" s="169"/>
      <c r="JNY125" s="169"/>
      <c r="JOC125" s="169"/>
      <c r="JOG125" s="169"/>
      <c r="JOK125" s="169"/>
      <c r="JOO125" s="169"/>
      <c r="JOS125" s="169"/>
      <c r="JOW125" s="169"/>
      <c r="JPA125" s="169"/>
      <c r="JPE125" s="169"/>
      <c r="JPI125" s="169"/>
      <c r="JPM125" s="169"/>
      <c r="JPQ125" s="169"/>
      <c r="JPU125" s="169"/>
      <c r="JPY125" s="169"/>
      <c r="JQC125" s="169"/>
      <c r="JQG125" s="169"/>
      <c r="JQK125" s="169"/>
      <c r="JQO125" s="169"/>
      <c r="JQS125" s="169"/>
      <c r="JQW125" s="169"/>
      <c r="JRA125" s="169"/>
      <c r="JRE125" s="169"/>
      <c r="JRI125" s="169"/>
      <c r="JRM125" s="169"/>
      <c r="JRQ125" s="169"/>
      <c r="JRU125" s="169"/>
      <c r="JRY125" s="169"/>
      <c r="JSC125" s="169"/>
      <c r="JSG125" s="169"/>
      <c r="JSK125" s="169"/>
      <c r="JSO125" s="169"/>
      <c r="JSS125" s="169"/>
      <c r="JSW125" s="169"/>
      <c r="JTA125" s="169"/>
      <c r="JTE125" s="169"/>
      <c r="JTI125" s="169"/>
      <c r="JTM125" s="169"/>
      <c r="JTQ125" s="169"/>
      <c r="JTU125" s="169"/>
      <c r="JTY125" s="169"/>
      <c r="JUC125" s="169"/>
      <c r="JUG125" s="169"/>
      <c r="JUK125" s="169"/>
      <c r="JUO125" s="169"/>
      <c r="JUS125" s="169"/>
      <c r="JUW125" s="169"/>
      <c r="JVA125" s="169"/>
      <c r="JVE125" s="169"/>
      <c r="JVI125" s="169"/>
      <c r="JVM125" s="169"/>
      <c r="JVQ125" s="169"/>
      <c r="JVU125" s="169"/>
      <c r="JVY125" s="169"/>
      <c r="JWC125" s="169"/>
      <c r="JWG125" s="169"/>
      <c r="JWK125" s="169"/>
      <c r="JWO125" s="169"/>
      <c r="JWS125" s="169"/>
      <c r="JWW125" s="169"/>
      <c r="JXA125" s="169"/>
      <c r="JXE125" s="169"/>
      <c r="JXI125" s="169"/>
      <c r="JXM125" s="169"/>
      <c r="JXQ125" s="169"/>
      <c r="JXU125" s="169"/>
      <c r="JXY125" s="169"/>
      <c r="JYC125" s="169"/>
      <c r="JYG125" s="169"/>
      <c r="JYK125" s="169"/>
      <c r="JYO125" s="169"/>
      <c r="JYS125" s="169"/>
      <c r="JYW125" s="169"/>
      <c r="JZA125" s="169"/>
      <c r="JZE125" s="169"/>
      <c r="JZI125" s="169"/>
      <c r="JZM125" s="169"/>
      <c r="JZQ125" s="169"/>
      <c r="JZU125" s="169"/>
      <c r="JZY125" s="169"/>
      <c r="KAC125" s="169"/>
      <c r="KAG125" s="169"/>
      <c r="KAK125" s="169"/>
      <c r="KAO125" s="169"/>
      <c r="KAS125" s="169"/>
      <c r="KAW125" s="169"/>
      <c r="KBA125" s="169"/>
      <c r="KBE125" s="169"/>
      <c r="KBI125" s="169"/>
      <c r="KBM125" s="169"/>
      <c r="KBQ125" s="169"/>
      <c r="KBU125" s="169"/>
      <c r="KBY125" s="169"/>
      <c r="KCC125" s="169"/>
      <c r="KCG125" s="169"/>
      <c r="KCK125" s="169"/>
      <c r="KCO125" s="169"/>
      <c r="KCS125" s="169"/>
      <c r="KCW125" s="169"/>
      <c r="KDA125" s="169"/>
      <c r="KDE125" s="169"/>
      <c r="KDI125" s="169"/>
      <c r="KDM125" s="169"/>
      <c r="KDQ125" s="169"/>
      <c r="KDU125" s="169"/>
      <c r="KDY125" s="169"/>
      <c r="KEC125" s="169"/>
      <c r="KEG125" s="169"/>
      <c r="KEK125" s="169"/>
      <c r="KEO125" s="169"/>
      <c r="KES125" s="169"/>
      <c r="KEW125" s="169"/>
      <c r="KFA125" s="169"/>
      <c r="KFE125" s="169"/>
      <c r="KFI125" s="169"/>
      <c r="KFM125" s="169"/>
      <c r="KFQ125" s="169"/>
      <c r="KFU125" s="169"/>
      <c r="KFY125" s="169"/>
      <c r="KGC125" s="169"/>
      <c r="KGG125" s="169"/>
      <c r="KGK125" s="169"/>
      <c r="KGO125" s="169"/>
      <c r="KGS125" s="169"/>
      <c r="KGW125" s="169"/>
      <c r="KHA125" s="169"/>
      <c r="KHE125" s="169"/>
      <c r="KHI125" s="169"/>
      <c r="KHM125" s="169"/>
      <c r="KHQ125" s="169"/>
      <c r="KHU125" s="169"/>
      <c r="KHY125" s="169"/>
      <c r="KIC125" s="169"/>
      <c r="KIG125" s="169"/>
      <c r="KIK125" s="169"/>
      <c r="KIO125" s="169"/>
      <c r="KIS125" s="169"/>
      <c r="KIW125" s="169"/>
      <c r="KJA125" s="169"/>
      <c r="KJE125" s="169"/>
      <c r="KJI125" s="169"/>
      <c r="KJM125" s="169"/>
      <c r="KJQ125" s="169"/>
      <c r="KJU125" s="169"/>
      <c r="KJY125" s="169"/>
      <c r="KKC125" s="169"/>
      <c r="KKG125" s="169"/>
      <c r="KKK125" s="169"/>
      <c r="KKO125" s="169"/>
      <c r="KKS125" s="169"/>
      <c r="KKW125" s="169"/>
      <c r="KLA125" s="169"/>
      <c r="KLE125" s="169"/>
      <c r="KLI125" s="169"/>
      <c r="KLM125" s="169"/>
      <c r="KLQ125" s="169"/>
      <c r="KLU125" s="169"/>
      <c r="KLY125" s="169"/>
      <c r="KMC125" s="169"/>
      <c r="KMG125" s="169"/>
      <c r="KMK125" s="169"/>
      <c r="KMO125" s="169"/>
      <c r="KMS125" s="169"/>
      <c r="KMW125" s="169"/>
      <c r="KNA125" s="169"/>
      <c r="KNE125" s="169"/>
      <c r="KNI125" s="169"/>
      <c r="KNM125" s="169"/>
      <c r="KNQ125" s="169"/>
      <c r="KNU125" s="169"/>
      <c r="KNY125" s="169"/>
      <c r="KOC125" s="169"/>
      <c r="KOG125" s="169"/>
      <c r="KOK125" s="169"/>
      <c r="KOO125" s="169"/>
      <c r="KOS125" s="169"/>
      <c r="KOW125" s="169"/>
      <c r="KPA125" s="169"/>
      <c r="KPE125" s="169"/>
      <c r="KPI125" s="169"/>
      <c r="KPM125" s="169"/>
      <c r="KPQ125" s="169"/>
      <c r="KPU125" s="169"/>
      <c r="KPY125" s="169"/>
      <c r="KQC125" s="169"/>
      <c r="KQG125" s="169"/>
      <c r="KQK125" s="169"/>
      <c r="KQO125" s="169"/>
      <c r="KQS125" s="169"/>
      <c r="KQW125" s="169"/>
      <c r="KRA125" s="169"/>
      <c r="KRE125" s="169"/>
      <c r="KRI125" s="169"/>
      <c r="KRM125" s="169"/>
      <c r="KRQ125" s="169"/>
      <c r="KRU125" s="169"/>
      <c r="KRY125" s="169"/>
      <c r="KSC125" s="169"/>
      <c r="KSG125" s="169"/>
      <c r="KSK125" s="169"/>
      <c r="KSO125" s="169"/>
      <c r="KSS125" s="169"/>
      <c r="KSW125" s="169"/>
      <c r="KTA125" s="169"/>
      <c r="KTE125" s="169"/>
      <c r="KTI125" s="169"/>
      <c r="KTM125" s="169"/>
      <c r="KTQ125" s="169"/>
      <c r="KTU125" s="169"/>
      <c r="KTY125" s="169"/>
      <c r="KUC125" s="169"/>
      <c r="KUG125" s="169"/>
      <c r="KUK125" s="169"/>
      <c r="KUO125" s="169"/>
      <c r="KUS125" s="169"/>
      <c r="KUW125" s="169"/>
      <c r="KVA125" s="169"/>
      <c r="KVE125" s="169"/>
      <c r="KVI125" s="169"/>
      <c r="KVM125" s="169"/>
      <c r="KVQ125" s="169"/>
      <c r="KVU125" s="169"/>
      <c r="KVY125" s="169"/>
      <c r="KWC125" s="169"/>
      <c r="KWG125" s="169"/>
      <c r="KWK125" s="169"/>
      <c r="KWO125" s="169"/>
      <c r="KWS125" s="169"/>
      <c r="KWW125" s="169"/>
      <c r="KXA125" s="169"/>
      <c r="KXE125" s="169"/>
      <c r="KXI125" s="169"/>
      <c r="KXM125" s="169"/>
      <c r="KXQ125" s="169"/>
      <c r="KXU125" s="169"/>
      <c r="KXY125" s="169"/>
      <c r="KYC125" s="169"/>
      <c r="KYG125" s="169"/>
      <c r="KYK125" s="169"/>
      <c r="KYO125" s="169"/>
      <c r="KYS125" s="169"/>
      <c r="KYW125" s="169"/>
      <c r="KZA125" s="169"/>
      <c r="KZE125" s="169"/>
      <c r="KZI125" s="169"/>
      <c r="KZM125" s="169"/>
      <c r="KZQ125" s="169"/>
      <c r="KZU125" s="169"/>
      <c r="KZY125" s="169"/>
      <c r="LAC125" s="169"/>
      <c r="LAG125" s="169"/>
      <c r="LAK125" s="169"/>
      <c r="LAO125" s="169"/>
      <c r="LAS125" s="169"/>
      <c r="LAW125" s="169"/>
      <c r="LBA125" s="169"/>
      <c r="LBE125" s="169"/>
      <c r="LBI125" s="169"/>
      <c r="LBM125" s="169"/>
      <c r="LBQ125" s="169"/>
      <c r="LBU125" s="169"/>
      <c r="LBY125" s="169"/>
      <c r="LCC125" s="169"/>
      <c r="LCG125" s="169"/>
      <c r="LCK125" s="169"/>
      <c r="LCO125" s="169"/>
      <c r="LCS125" s="169"/>
      <c r="LCW125" s="169"/>
      <c r="LDA125" s="169"/>
      <c r="LDE125" s="169"/>
      <c r="LDI125" s="169"/>
      <c r="LDM125" s="169"/>
      <c r="LDQ125" s="169"/>
      <c r="LDU125" s="169"/>
      <c r="LDY125" s="169"/>
      <c r="LEC125" s="169"/>
      <c r="LEG125" s="169"/>
      <c r="LEK125" s="169"/>
      <c r="LEO125" s="169"/>
      <c r="LES125" s="169"/>
      <c r="LEW125" s="169"/>
      <c r="LFA125" s="169"/>
      <c r="LFE125" s="169"/>
      <c r="LFI125" s="169"/>
      <c r="LFM125" s="169"/>
      <c r="LFQ125" s="169"/>
      <c r="LFU125" s="169"/>
      <c r="LFY125" s="169"/>
      <c r="LGC125" s="169"/>
      <c r="LGG125" s="169"/>
      <c r="LGK125" s="169"/>
      <c r="LGO125" s="169"/>
      <c r="LGS125" s="169"/>
      <c r="LGW125" s="169"/>
      <c r="LHA125" s="169"/>
      <c r="LHE125" s="169"/>
      <c r="LHI125" s="169"/>
      <c r="LHM125" s="169"/>
      <c r="LHQ125" s="169"/>
      <c r="LHU125" s="169"/>
      <c r="LHY125" s="169"/>
      <c r="LIC125" s="169"/>
      <c r="LIG125" s="169"/>
      <c r="LIK125" s="169"/>
      <c r="LIO125" s="169"/>
      <c r="LIS125" s="169"/>
      <c r="LIW125" s="169"/>
      <c r="LJA125" s="169"/>
      <c r="LJE125" s="169"/>
      <c r="LJI125" s="169"/>
      <c r="LJM125" s="169"/>
      <c r="LJQ125" s="169"/>
      <c r="LJU125" s="169"/>
      <c r="LJY125" s="169"/>
      <c r="LKC125" s="169"/>
      <c r="LKG125" s="169"/>
      <c r="LKK125" s="169"/>
      <c r="LKO125" s="169"/>
      <c r="LKS125" s="169"/>
      <c r="LKW125" s="169"/>
      <c r="LLA125" s="169"/>
      <c r="LLE125" s="169"/>
      <c r="LLI125" s="169"/>
      <c r="LLM125" s="169"/>
      <c r="LLQ125" s="169"/>
      <c r="LLU125" s="169"/>
      <c r="LLY125" s="169"/>
      <c r="LMC125" s="169"/>
      <c r="LMG125" s="169"/>
      <c r="LMK125" s="169"/>
      <c r="LMO125" s="169"/>
      <c r="LMS125" s="169"/>
      <c r="LMW125" s="169"/>
      <c r="LNA125" s="169"/>
      <c r="LNE125" s="169"/>
      <c r="LNI125" s="169"/>
      <c r="LNM125" s="169"/>
      <c r="LNQ125" s="169"/>
      <c r="LNU125" s="169"/>
      <c r="LNY125" s="169"/>
      <c r="LOC125" s="169"/>
      <c r="LOG125" s="169"/>
      <c r="LOK125" s="169"/>
      <c r="LOO125" s="169"/>
      <c r="LOS125" s="169"/>
      <c r="LOW125" s="169"/>
      <c r="LPA125" s="169"/>
      <c r="LPE125" s="169"/>
      <c r="LPI125" s="169"/>
      <c r="LPM125" s="169"/>
      <c r="LPQ125" s="169"/>
      <c r="LPU125" s="169"/>
      <c r="LPY125" s="169"/>
      <c r="LQC125" s="169"/>
      <c r="LQG125" s="169"/>
      <c r="LQK125" s="169"/>
      <c r="LQO125" s="169"/>
      <c r="LQS125" s="169"/>
      <c r="LQW125" s="169"/>
      <c r="LRA125" s="169"/>
      <c r="LRE125" s="169"/>
      <c r="LRI125" s="169"/>
      <c r="LRM125" s="169"/>
      <c r="LRQ125" s="169"/>
      <c r="LRU125" s="169"/>
      <c r="LRY125" s="169"/>
      <c r="LSC125" s="169"/>
      <c r="LSG125" s="169"/>
      <c r="LSK125" s="169"/>
      <c r="LSO125" s="169"/>
      <c r="LSS125" s="169"/>
      <c r="LSW125" s="169"/>
      <c r="LTA125" s="169"/>
      <c r="LTE125" s="169"/>
      <c r="LTI125" s="169"/>
      <c r="LTM125" s="169"/>
      <c r="LTQ125" s="169"/>
      <c r="LTU125" s="169"/>
      <c r="LTY125" s="169"/>
      <c r="LUC125" s="169"/>
      <c r="LUG125" s="169"/>
      <c r="LUK125" s="169"/>
      <c r="LUO125" s="169"/>
      <c r="LUS125" s="169"/>
      <c r="LUW125" s="169"/>
      <c r="LVA125" s="169"/>
      <c r="LVE125" s="169"/>
      <c r="LVI125" s="169"/>
      <c r="LVM125" s="169"/>
      <c r="LVQ125" s="169"/>
      <c r="LVU125" s="169"/>
      <c r="LVY125" s="169"/>
      <c r="LWC125" s="169"/>
      <c r="LWG125" s="169"/>
      <c r="LWK125" s="169"/>
      <c r="LWO125" s="169"/>
      <c r="LWS125" s="169"/>
      <c r="LWW125" s="169"/>
      <c r="LXA125" s="169"/>
      <c r="LXE125" s="169"/>
      <c r="LXI125" s="169"/>
      <c r="LXM125" s="169"/>
      <c r="LXQ125" s="169"/>
      <c r="LXU125" s="169"/>
      <c r="LXY125" s="169"/>
      <c r="LYC125" s="169"/>
      <c r="LYG125" s="169"/>
      <c r="LYK125" s="169"/>
      <c r="LYO125" s="169"/>
      <c r="LYS125" s="169"/>
      <c r="LYW125" s="169"/>
      <c r="LZA125" s="169"/>
      <c r="LZE125" s="169"/>
      <c r="LZI125" s="169"/>
      <c r="LZM125" s="169"/>
      <c r="LZQ125" s="169"/>
      <c r="LZU125" s="169"/>
      <c r="LZY125" s="169"/>
      <c r="MAC125" s="169"/>
      <c r="MAG125" s="169"/>
      <c r="MAK125" s="169"/>
      <c r="MAO125" s="169"/>
      <c r="MAS125" s="169"/>
      <c r="MAW125" s="169"/>
      <c r="MBA125" s="169"/>
      <c r="MBE125" s="169"/>
      <c r="MBI125" s="169"/>
      <c r="MBM125" s="169"/>
      <c r="MBQ125" s="169"/>
      <c r="MBU125" s="169"/>
      <c r="MBY125" s="169"/>
      <c r="MCC125" s="169"/>
      <c r="MCG125" s="169"/>
      <c r="MCK125" s="169"/>
      <c r="MCO125" s="169"/>
      <c r="MCS125" s="169"/>
      <c r="MCW125" s="169"/>
      <c r="MDA125" s="169"/>
      <c r="MDE125" s="169"/>
      <c r="MDI125" s="169"/>
      <c r="MDM125" s="169"/>
      <c r="MDQ125" s="169"/>
      <c r="MDU125" s="169"/>
      <c r="MDY125" s="169"/>
      <c r="MEC125" s="169"/>
      <c r="MEG125" s="169"/>
      <c r="MEK125" s="169"/>
      <c r="MEO125" s="169"/>
      <c r="MES125" s="169"/>
      <c r="MEW125" s="169"/>
      <c r="MFA125" s="169"/>
      <c r="MFE125" s="169"/>
      <c r="MFI125" s="169"/>
      <c r="MFM125" s="169"/>
      <c r="MFQ125" s="169"/>
      <c r="MFU125" s="169"/>
      <c r="MFY125" s="169"/>
      <c r="MGC125" s="169"/>
      <c r="MGG125" s="169"/>
      <c r="MGK125" s="169"/>
      <c r="MGO125" s="169"/>
      <c r="MGS125" s="169"/>
      <c r="MGW125" s="169"/>
      <c r="MHA125" s="169"/>
      <c r="MHE125" s="169"/>
      <c r="MHI125" s="169"/>
      <c r="MHM125" s="169"/>
      <c r="MHQ125" s="169"/>
      <c r="MHU125" s="169"/>
      <c r="MHY125" s="169"/>
      <c r="MIC125" s="169"/>
      <c r="MIG125" s="169"/>
      <c r="MIK125" s="169"/>
      <c r="MIO125" s="169"/>
      <c r="MIS125" s="169"/>
      <c r="MIW125" s="169"/>
      <c r="MJA125" s="169"/>
      <c r="MJE125" s="169"/>
      <c r="MJI125" s="169"/>
      <c r="MJM125" s="169"/>
      <c r="MJQ125" s="169"/>
      <c r="MJU125" s="169"/>
      <c r="MJY125" s="169"/>
      <c r="MKC125" s="169"/>
      <c r="MKG125" s="169"/>
      <c r="MKK125" s="169"/>
      <c r="MKO125" s="169"/>
      <c r="MKS125" s="169"/>
      <c r="MKW125" s="169"/>
      <c r="MLA125" s="169"/>
      <c r="MLE125" s="169"/>
      <c r="MLI125" s="169"/>
      <c r="MLM125" s="169"/>
      <c r="MLQ125" s="169"/>
      <c r="MLU125" s="169"/>
      <c r="MLY125" s="169"/>
      <c r="MMC125" s="169"/>
      <c r="MMG125" s="169"/>
      <c r="MMK125" s="169"/>
      <c r="MMO125" s="169"/>
      <c r="MMS125" s="169"/>
      <c r="MMW125" s="169"/>
      <c r="MNA125" s="169"/>
      <c r="MNE125" s="169"/>
      <c r="MNI125" s="169"/>
      <c r="MNM125" s="169"/>
      <c r="MNQ125" s="169"/>
      <c r="MNU125" s="169"/>
      <c r="MNY125" s="169"/>
      <c r="MOC125" s="169"/>
      <c r="MOG125" s="169"/>
      <c r="MOK125" s="169"/>
      <c r="MOO125" s="169"/>
      <c r="MOS125" s="169"/>
      <c r="MOW125" s="169"/>
      <c r="MPA125" s="169"/>
      <c r="MPE125" s="169"/>
      <c r="MPI125" s="169"/>
      <c r="MPM125" s="169"/>
      <c r="MPQ125" s="169"/>
      <c r="MPU125" s="169"/>
      <c r="MPY125" s="169"/>
      <c r="MQC125" s="169"/>
      <c r="MQG125" s="169"/>
      <c r="MQK125" s="169"/>
      <c r="MQO125" s="169"/>
      <c r="MQS125" s="169"/>
      <c r="MQW125" s="169"/>
      <c r="MRA125" s="169"/>
      <c r="MRE125" s="169"/>
      <c r="MRI125" s="169"/>
      <c r="MRM125" s="169"/>
      <c r="MRQ125" s="169"/>
      <c r="MRU125" s="169"/>
      <c r="MRY125" s="169"/>
      <c r="MSC125" s="169"/>
      <c r="MSG125" s="169"/>
      <c r="MSK125" s="169"/>
      <c r="MSO125" s="169"/>
      <c r="MSS125" s="169"/>
      <c r="MSW125" s="169"/>
      <c r="MTA125" s="169"/>
      <c r="MTE125" s="169"/>
      <c r="MTI125" s="169"/>
      <c r="MTM125" s="169"/>
      <c r="MTQ125" s="169"/>
      <c r="MTU125" s="169"/>
      <c r="MTY125" s="169"/>
      <c r="MUC125" s="169"/>
      <c r="MUG125" s="169"/>
      <c r="MUK125" s="169"/>
      <c r="MUO125" s="169"/>
      <c r="MUS125" s="169"/>
      <c r="MUW125" s="169"/>
      <c r="MVA125" s="169"/>
      <c r="MVE125" s="169"/>
      <c r="MVI125" s="169"/>
      <c r="MVM125" s="169"/>
      <c r="MVQ125" s="169"/>
      <c r="MVU125" s="169"/>
      <c r="MVY125" s="169"/>
      <c r="MWC125" s="169"/>
      <c r="MWG125" s="169"/>
      <c r="MWK125" s="169"/>
      <c r="MWO125" s="169"/>
      <c r="MWS125" s="169"/>
      <c r="MWW125" s="169"/>
      <c r="MXA125" s="169"/>
      <c r="MXE125" s="169"/>
      <c r="MXI125" s="169"/>
      <c r="MXM125" s="169"/>
      <c r="MXQ125" s="169"/>
      <c r="MXU125" s="169"/>
      <c r="MXY125" s="169"/>
      <c r="MYC125" s="169"/>
      <c r="MYG125" s="169"/>
      <c r="MYK125" s="169"/>
      <c r="MYO125" s="169"/>
      <c r="MYS125" s="169"/>
      <c r="MYW125" s="169"/>
      <c r="MZA125" s="169"/>
      <c r="MZE125" s="169"/>
      <c r="MZI125" s="169"/>
      <c r="MZM125" s="169"/>
      <c r="MZQ125" s="169"/>
      <c r="MZU125" s="169"/>
      <c r="MZY125" s="169"/>
      <c r="NAC125" s="169"/>
      <c r="NAG125" s="169"/>
      <c r="NAK125" s="169"/>
      <c r="NAO125" s="169"/>
      <c r="NAS125" s="169"/>
      <c r="NAW125" s="169"/>
      <c r="NBA125" s="169"/>
      <c r="NBE125" s="169"/>
      <c r="NBI125" s="169"/>
      <c r="NBM125" s="169"/>
      <c r="NBQ125" s="169"/>
      <c r="NBU125" s="169"/>
      <c r="NBY125" s="169"/>
      <c r="NCC125" s="169"/>
      <c r="NCG125" s="169"/>
      <c r="NCK125" s="169"/>
      <c r="NCO125" s="169"/>
      <c r="NCS125" s="169"/>
      <c r="NCW125" s="169"/>
      <c r="NDA125" s="169"/>
      <c r="NDE125" s="169"/>
      <c r="NDI125" s="169"/>
      <c r="NDM125" s="169"/>
      <c r="NDQ125" s="169"/>
      <c r="NDU125" s="169"/>
      <c r="NDY125" s="169"/>
      <c r="NEC125" s="169"/>
      <c r="NEG125" s="169"/>
      <c r="NEK125" s="169"/>
      <c r="NEO125" s="169"/>
      <c r="NES125" s="169"/>
      <c r="NEW125" s="169"/>
      <c r="NFA125" s="169"/>
      <c r="NFE125" s="169"/>
      <c r="NFI125" s="169"/>
      <c r="NFM125" s="169"/>
      <c r="NFQ125" s="169"/>
      <c r="NFU125" s="169"/>
      <c r="NFY125" s="169"/>
      <c r="NGC125" s="169"/>
      <c r="NGG125" s="169"/>
      <c r="NGK125" s="169"/>
      <c r="NGO125" s="169"/>
      <c r="NGS125" s="169"/>
      <c r="NGW125" s="169"/>
      <c r="NHA125" s="169"/>
      <c r="NHE125" s="169"/>
      <c r="NHI125" s="169"/>
      <c r="NHM125" s="169"/>
      <c r="NHQ125" s="169"/>
      <c r="NHU125" s="169"/>
      <c r="NHY125" s="169"/>
      <c r="NIC125" s="169"/>
      <c r="NIG125" s="169"/>
      <c r="NIK125" s="169"/>
      <c r="NIO125" s="169"/>
      <c r="NIS125" s="169"/>
      <c r="NIW125" s="169"/>
      <c r="NJA125" s="169"/>
      <c r="NJE125" s="169"/>
      <c r="NJI125" s="169"/>
      <c r="NJM125" s="169"/>
      <c r="NJQ125" s="169"/>
      <c r="NJU125" s="169"/>
      <c r="NJY125" s="169"/>
      <c r="NKC125" s="169"/>
      <c r="NKG125" s="169"/>
      <c r="NKK125" s="169"/>
      <c r="NKO125" s="169"/>
      <c r="NKS125" s="169"/>
      <c r="NKW125" s="169"/>
      <c r="NLA125" s="169"/>
      <c r="NLE125" s="169"/>
      <c r="NLI125" s="169"/>
      <c r="NLM125" s="169"/>
      <c r="NLQ125" s="169"/>
      <c r="NLU125" s="169"/>
      <c r="NLY125" s="169"/>
      <c r="NMC125" s="169"/>
      <c r="NMG125" s="169"/>
      <c r="NMK125" s="169"/>
      <c r="NMO125" s="169"/>
      <c r="NMS125" s="169"/>
      <c r="NMW125" s="169"/>
      <c r="NNA125" s="169"/>
      <c r="NNE125" s="169"/>
      <c r="NNI125" s="169"/>
      <c r="NNM125" s="169"/>
      <c r="NNQ125" s="169"/>
      <c r="NNU125" s="169"/>
      <c r="NNY125" s="169"/>
      <c r="NOC125" s="169"/>
      <c r="NOG125" s="169"/>
      <c r="NOK125" s="169"/>
      <c r="NOO125" s="169"/>
      <c r="NOS125" s="169"/>
      <c r="NOW125" s="169"/>
      <c r="NPA125" s="169"/>
      <c r="NPE125" s="169"/>
      <c r="NPI125" s="169"/>
      <c r="NPM125" s="169"/>
      <c r="NPQ125" s="169"/>
      <c r="NPU125" s="169"/>
      <c r="NPY125" s="169"/>
      <c r="NQC125" s="169"/>
      <c r="NQG125" s="169"/>
      <c r="NQK125" s="169"/>
      <c r="NQO125" s="169"/>
      <c r="NQS125" s="169"/>
      <c r="NQW125" s="169"/>
      <c r="NRA125" s="169"/>
      <c r="NRE125" s="169"/>
      <c r="NRI125" s="169"/>
      <c r="NRM125" s="169"/>
      <c r="NRQ125" s="169"/>
      <c r="NRU125" s="169"/>
      <c r="NRY125" s="169"/>
      <c r="NSC125" s="169"/>
      <c r="NSG125" s="169"/>
      <c r="NSK125" s="169"/>
      <c r="NSO125" s="169"/>
      <c r="NSS125" s="169"/>
      <c r="NSW125" s="169"/>
      <c r="NTA125" s="169"/>
      <c r="NTE125" s="169"/>
      <c r="NTI125" s="169"/>
      <c r="NTM125" s="169"/>
      <c r="NTQ125" s="169"/>
      <c r="NTU125" s="169"/>
      <c r="NTY125" s="169"/>
      <c r="NUC125" s="169"/>
      <c r="NUG125" s="169"/>
      <c r="NUK125" s="169"/>
      <c r="NUO125" s="169"/>
      <c r="NUS125" s="169"/>
      <c r="NUW125" s="169"/>
      <c r="NVA125" s="169"/>
      <c r="NVE125" s="169"/>
      <c r="NVI125" s="169"/>
      <c r="NVM125" s="169"/>
      <c r="NVQ125" s="169"/>
      <c r="NVU125" s="169"/>
      <c r="NVY125" s="169"/>
      <c r="NWC125" s="169"/>
      <c r="NWG125" s="169"/>
      <c r="NWK125" s="169"/>
      <c r="NWO125" s="169"/>
      <c r="NWS125" s="169"/>
      <c r="NWW125" s="169"/>
      <c r="NXA125" s="169"/>
      <c r="NXE125" s="169"/>
      <c r="NXI125" s="169"/>
      <c r="NXM125" s="169"/>
      <c r="NXQ125" s="169"/>
      <c r="NXU125" s="169"/>
      <c r="NXY125" s="169"/>
      <c r="NYC125" s="169"/>
      <c r="NYG125" s="169"/>
      <c r="NYK125" s="169"/>
      <c r="NYO125" s="169"/>
      <c r="NYS125" s="169"/>
      <c r="NYW125" s="169"/>
      <c r="NZA125" s="169"/>
      <c r="NZE125" s="169"/>
      <c r="NZI125" s="169"/>
      <c r="NZM125" s="169"/>
      <c r="NZQ125" s="169"/>
      <c r="NZU125" s="169"/>
      <c r="NZY125" s="169"/>
      <c r="OAC125" s="169"/>
      <c r="OAG125" s="169"/>
      <c r="OAK125" s="169"/>
      <c r="OAO125" s="169"/>
      <c r="OAS125" s="169"/>
      <c r="OAW125" s="169"/>
      <c r="OBA125" s="169"/>
      <c r="OBE125" s="169"/>
      <c r="OBI125" s="169"/>
      <c r="OBM125" s="169"/>
      <c r="OBQ125" s="169"/>
      <c r="OBU125" s="169"/>
      <c r="OBY125" s="169"/>
      <c r="OCC125" s="169"/>
      <c r="OCG125" s="169"/>
      <c r="OCK125" s="169"/>
      <c r="OCO125" s="169"/>
      <c r="OCS125" s="169"/>
      <c r="OCW125" s="169"/>
      <c r="ODA125" s="169"/>
      <c r="ODE125" s="169"/>
      <c r="ODI125" s="169"/>
      <c r="ODM125" s="169"/>
      <c r="ODQ125" s="169"/>
      <c r="ODU125" s="169"/>
      <c r="ODY125" s="169"/>
      <c r="OEC125" s="169"/>
      <c r="OEG125" s="169"/>
      <c r="OEK125" s="169"/>
      <c r="OEO125" s="169"/>
      <c r="OES125" s="169"/>
      <c r="OEW125" s="169"/>
      <c r="OFA125" s="169"/>
      <c r="OFE125" s="169"/>
      <c r="OFI125" s="169"/>
      <c r="OFM125" s="169"/>
      <c r="OFQ125" s="169"/>
      <c r="OFU125" s="169"/>
      <c r="OFY125" s="169"/>
      <c r="OGC125" s="169"/>
      <c r="OGG125" s="169"/>
      <c r="OGK125" s="169"/>
      <c r="OGO125" s="169"/>
      <c r="OGS125" s="169"/>
      <c r="OGW125" s="169"/>
      <c r="OHA125" s="169"/>
      <c r="OHE125" s="169"/>
      <c r="OHI125" s="169"/>
      <c r="OHM125" s="169"/>
      <c r="OHQ125" s="169"/>
      <c r="OHU125" s="169"/>
      <c r="OHY125" s="169"/>
      <c r="OIC125" s="169"/>
      <c r="OIG125" s="169"/>
      <c r="OIK125" s="169"/>
      <c r="OIO125" s="169"/>
      <c r="OIS125" s="169"/>
      <c r="OIW125" s="169"/>
      <c r="OJA125" s="169"/>
      <c r="OJE125" s="169"/>
      <c r="OJI125" s="169"/>
      <c r="OJM125" s="169"/>
      <c r="OJQ125" s="169"/>
      <c r="OJU125" s="169"/>
      <c r="OJY125" s="169"/>
      <c r="OKC125" s="169"/>
      <c r="OKG125" s="169"/>
      <c r="OKK125" s="169"/>
      <c r="OKO125" s="169"/>
      <c r="OKS125" s="169"/>
      <c r="OKW125" s="169"/>
      <c r="OLA125" s="169"/>
      <c r="OLE125" s="169"/>
      <c r="OLI125" s="169"/>
      <c r="OLM125" s="169"/>
      <c r="OLQ125" s="169"/>
      <c r="OLU125" s="169"/>
      <c r="OLY125" s="169"/>
      <c r="OMC125" s="169"/>
      <c r="OMG125" s="169"/>
      <c r="OMK125" s="169"/>
      <c r="OMO125" s="169"/>
      <c r="OMS125" s="169"/>
      <c r="OMW125" s="169"/>
      <c r="ONA125" s="169"/>
      <c r="ONE125" s="169"/>
      <c r="ONI125" s="169"/>
      <c r="ONM125" s="169"/>
      <c r="ONQ125" s="169"/>
      <c r="ONU125" s="169"/>
      <c r="ONY125" s="169"/>
      <c r="OOC125" s="169"/>
      <c r="OOG125" s="169"/>
      <c r="OOK125" s="169"/>
      <c r="OOO125" s="169"/>
      <c r="OOS125" s="169"/>
      <c r="OOW125" s="169"/>
      <c r="OPA125" s="169"/>
      <c r="OPE125" s="169"/>
      <c r="OPI125" s="169"/>
      <c r="OPM125" s="169"/>
      <c r="OPQ125" s="169"/>
      <c r="OPU125" s="169"/>
      <c r="OPY125" s="169"/>
      <c r="OQC125" s="169"/>
      <c r="OQG125" s="169"/>
      <c r="OQK125" s="169"/>
      <c r="OQO125" s="169"/>
      <c r="OQS125" s="169"/>
      <c r="OQW125" s="169"/>
      <c r="ORA125" s="169"/>
      <c r="ORE125" s="169"/>
      <c r="ORI125" s="169"/>
      <c r="ORM125" s="169"/>
      <c r="ORQ125" s="169"/>
      <c r="ORU125" s="169"/>
      <c r="ORY125" s="169"/>
      <c r="OSC125" s="169"/>
      <c r="OSG125" s="169"/>
      <c r="OSK125" s="169"/>
      <c r="OSO125" s="169"/>
      <c r="OSS125" s="169"/>
      <c r="OSW125" s="169"/>
      <c r="OTA125" s="169"/>
      <c r="OTE125" s="169"/>
      <c r="OTI125" s="169"/>
      <c r="OTM125" s="169"/>
      <c r="OTQ125" s="169"/>
      <c r="OTU125" s="169"/>
      <c r="OTY125" s="169"/>
      <c r="OUC125" s="169"/>
      <c r="OUG125" s="169"/>
      <c r="OUK125" s="169"/>
      <c r="OUO125" s="169"/>
      <c r="OUS125" s="169"/>
      <c r="OUW125" s="169"/>
      <c r="OVA125" s="169"/>
      <c r="OVE125" s="169"/>
      <c r="OVI125" s="169"/>
      <c r="OVM125" s="169"/>
      <c r="OVQ125" s="169"/>
      <c r="OVU125" s="169"/>
      <c r="OVY125" s="169"/>
      <c r="OWC125" s="169"/>
      <c r="OWG125" s="169"/>
      <c r="OWK125" s="169"/>
      <c r="OWO125" s="169"/>
      <c r="OWS125" s="169"/>
      <c r="OWW125" s="169"/>
      <c r="OXA125" s="169"/>
      <c r="OXE125" s="169"/>
      <c r="OXI125" s="169"/>
      <c r="OXM125" s="169"/>
      <c r="OXQ125" s="169"/>
      <c r="OXU125" s="169"/>
      <c r="OXY125" s="169"/>
      <c r="OYC125" s="169"/>
      <c r="OYG125" s="169"/>
      <c r="OYK125" s="169"/>
      <c r="OYO125" s="169"/>
      <c r="OYS125" s="169"/>
      <c r="OYW125" s="169"/>
      <c r="OZA125" s="169"/>
      <c r="OZE125" s="169"/>
      <c r="OZI125" s="169"/>
      <c r="OZM125" s="169"/>
      <c r="OZQ125" s="169"/>
      <c r="OZU125" s="169"/>
      <c r="OZY125" s="169"/>
      <c r="PAC125" s="169"/>
      <c r="PAG125" s="169"/>
      <c r="PAK125" s="169"/>
      <c r="PAO125" s="169"/>
      <c r="PAS125" s="169"/>
      <c r="PAW125" s="169"/>
      <c r="PBA125" s="169"/>
      <c r="PBE125" s="169"/>
      <c r="PBI125" s="169"/>
      <c r="PBM125" s="169"/>
      <c r="PBQ125" s="169"/>
      <c r="PBU125" s="169"/>
      <c r="PBY125" s="169"/>
      <c r="PCC125" s="169"/>
      <c r="PCG125" s="169"/>
      <c r="PCK125" s="169"/>
      <c r="PCO125" s="169"/>
      <c r="PCS125" s="169"/>
      <c r="PCW125" s="169"/>
      <c r="PDA125" s="169"/>
      <c r="PDE125" s="169"/>
      <c r="PDI125" s="169"/>
      <c r="PDM125" s="169"/>
      <c r="PDQ125" s="169"/>
      <c r="PDU125" s="169"/>
      <c r="PDY125" s="169"/>
      <c r="PEC125" s="169"/>
      <c r="PEG125" s="169"/>
      <c r="PEK125" s="169"/>
      <c r="PEO125" s="169"/>
      <c r="PES125" s="169"/>
      <c r="PEW125" s="169"/>
      <c r="PFA125" s="169"/>
      <c r="PFE125" s="169"/>
      <c r="PFI125" s="169"/>
      <c r="PFM125" s="169"/>
      <c r="PFQ125" s="169"/>
      <c r="PFU125" s="169"/>
      <c r="PFY125" s="169"/>
      <c r="PGC125" s="169"/>
      <c r="PGG125" s="169"/>
      <c r="PGK125" s="169"/>
      <c r="PGO125" s="169"/>
      <c r="PGS125" s="169"/>
      <c r="PGW125" s="169"/>
      <c r="PHA125" s="169"/>
      <c r="PHE125" s="169"/>
      <c r="PHI125" s="169"/>
      <c r="PHM125" s="169"/>
      <c r="PHQ125" s="169"/>
      <c r="PHU125" s="169"/>
      <c r="PHY125" s="169"/>
      <c r="PIC125" s="169"/>
      <c r="PIG125" s="169"/>
      <c r="PIK125" s="169"/>
      <c r="PIO125" s="169"/>
      <c r="PIS125" s="169"/>
      <c r="PIW125" s="169"/>
      <c r="PJA125" s="169"/>
      <c r="PJE125" s="169"/>
      <c r="PJI125" s="169"/>
      <c r="PJM125" s="169"/>
      <c r="PJQ125" s="169"/>
      <c r="PJU125" s="169"/>
      <c r="PJY125" s="169"/>
      <c r="PKC125" s="169"/>
      <c r="PKG125" s="169"/>
      <c r="PKK125" s="169"/>
      <c r="PKO125" s="169"/>
      <c r="PKS125" s="169"/>
      <c r="PKW125" s="169"/>
      <c r="PLA125" s="169"/>
      <c r="PLE125" s="169"/>
      <c r="PLI125" s="169"/>
      <c r="PLM125" s="169"/>
      <c r="PLQ125" s="169"/>
      <c r="PLU125" s="169"/>
      <c r="PLY125" s="169"/>
      <c r="PMC125" s="169"/>
      <c r="PMG125" s="169"/>
      <c r="PMK125" s="169"/>
      <c r="PMO125" s="169"/>
      <c r="PMS125" s="169"/>
      <c r="PMW125" s="169"/>
      <c r="PNA125" s="169"/>
      <c r="PNE125" s="169"/>
      <c r="PNI125" s="169"/>
      <c r="PNM125" s="169"/>
      <c r="PNQ125" s="169"/>
      <c r="PNU125" s="169"/>
      <c r="PNY125" s="169"/>
      <c r="POC125" s="169"/>
      <c r="POG125" s="169"/>
      <c r="POK125" s="169"/>
      <c r="POO125" s="169"/>
      <c r="POS125" s="169"/>
      <c r="POW125" s="169"/>
      <c r="PPA125" s="169"/>
      <c r="PPE125" s="169"/>
      <c r="PPI125" s="169"/>
      <c r="PPM125" s="169"/>
      <c r="PPQ125" s="169"/>
      <c r="PPU125" s="169"/>
      <c r="PPY125" s="169"/>
      <c r="PQC125" s="169"/>
      <c r="PQG125" s="169"/>
      <c r="PQK125" s="169"/>
      <c r="PQO125" s="169"/>
      <c r="PQS125" s="169"/>
      <c r="PQW125" s="169"/>
      <c r="PRA125" s="169"/>
      <c r="PRE125" s="169"/>
      <c r="PRI125" s="169"/>
      <c r="PRM125" s="169"/>
      <c r="PRQ125" s="169"/>
      <c r="PRU125" s="169"/>
      <c r="PRY125" s="169"/>
      <c r="PSC125" s="169"/>
      <c r="PSG125" s="169"/>
      <c r="PSK125" s="169"/>
      <c r="PSO125" s="169"/>
      <c r="PSS125" s="169"/>
      <c r="PSW125" s="169"/>
      <c r="PTA125" s="169"/>
      <c r="PTE125" s="169"/>
      <c r="PTI125" s="169"/>
      <c r="PTM125" s="169"/>
      <c r="PTQ125" s="169"/>
      <c r="PTU125" s="169"/>
      <c r="PTY125" s="169"/>
      <c r="PUC125" s="169"/>
      <c r="PUG125" s="169"/>
      <c r="PUK125" s="169"/>
      <c r="PUO125" s="169"/>
      <c r="PUS125" s="169"/>
      <c r="PUW125" s="169"/>
      <c r="PVA125" s="169"/>
      <c r="PVE125" s="169"/>
      <c r="PVI125" s="169"/>
      <c r="PVM125" s="169"/>
      <c r="PVQ125" s="169"/>
      <c r="PVU125" s="169"/>
      <c r="PVY125" s="169"/>
      <c r="PWC125" s="169"/>
      <c r="PWG125" s="169"/>
      <c r="PWK125" s="169"/>
      <c r="PWO125" s="169"/>
      <c r="PWS125" s="169"/>
      <c r="PWW125" s="169"/>
      <c r="PXA125" s="169"/>
      <c r="PXE125" s="169"/>
      <c r="PXI125" s="169"/>
      <c r="PXM125" s="169"/>
      <c r="PXQ125" s="169"/>
      <c r="PXU125" s="169"/>
      <c r="PXY125" s="169"/>
      <c r="PYC125" s="169"/>
      <c r="PYG125" s="169"/>
      <c r="PYK125" s="169"/>
      <c r="PYO125" s="169"/>
      <c r="PYS125" s="169"/>
      <c r="PYW125" s="169"/>
      <c r="PZA125" s="169"/>
      <c r="PZE125" s="169"/>
      <c r="PZI125" s="169"/>
      <c r="PZM125" s="169"/>
      <c r="PZQ125" s="169"/>
      <c r="PZU125" s="169"/>
      <c r="PZY125" s="169"/>
      <c r="QAC125" s="169"/>
      <c r="QAG125" s="169"/>
      <c r="QAK125" s="169"/>
      <c r="QAO125" s="169"/>
      <c r="QAS125" s="169"/>
      <c r="QAW125" s="169"/>
      <c r="QBA125" s="169"/>
      <c r="QBE125" s="169"/>
      <c r="QBI125" s="169"/>
      <c r="QBM125" s="169"/>
      <c r="QBQ125" s="169"/>
      <c r="QBU125" s="169"/>
      <c r="QBY125" s="169"/>
      <c r="QCC125" s="169"/>
      <c r="QCG125" s="169"/>
      <c r="QCK125" s="169"/>
      <c r="QCO125" s="169"/>
      <c r="QCS125" s="169"/>
      <c r="QCW125" s="169"/>
      <c r="QDA125" s="169"/>
      <c r="QDE125" s="169"/>
      <c r="QDI125" s="169"/>
      <c r="QDM125" s="169"/>
      <c r="QDQ125" s="169"/>
      <c r="QDU125" s="169"/>
      <c r="QDY125" s="169"/>
      <c r="QEC125" s="169"/>
      <c r="QEG125" s="169"/>
      <c r="QEK125" s="169"/>
      <c r="QEO125" s="169"/>
      <c r="QES125" s="169"/>
      <c r="QEW125" s="169"/>
      <c r="QFA125" s="169"/>
      <c r="QFE125" s="169"/>
      <c r="QFI125" s="169"/>
      <c r="QFM125" s="169"/>
      <c r="QFQ125" s="169"/>
      <c r="QFU125" s="169"/>
      <c r="QFY125" s="169"/>
      <c r="QGC125" s="169"/>
      <c r="QGG125" s="169"/>
      <c r="QGK125" s="169"/>
      <c r="QGO125" s="169"/>
      <c r="QGS125" s="169"/>
      <c r="QGW125" s="169"/>
      <c r="QHA125" s="169"/>
      <c r="QHE125" s="169"/>
      <c r="QHI125" s="169"/>
      <c r="QHM125" s="169"/>
      <c r="QHQ125" s="169"/>
      <c r="QHU125" s="169"/>
      <c r="QHY125" s="169"/>
      <c r="QIC125" s="169"/>
      <c r="QIG125" s="169"/>
      <c r="QIK125" s="169"/>
      <c r="QIO125" s="169"/>
      <c r="QIS125" s="169"/>
      <c r="QIW125" s="169"/>
      <c r="QJA125" s="169"/>
      <c r="QJE125" s="169"/>
      <c r="QJI125" s="169"/>
      <c r="QJM125" s="169"/>
      <c r="QJQ125" s="169"/>
      <c r="QJU125" s="169"/>
      <c r="QJY125" s="169"/>
      <c r="QKC125" s="169"/>
      <c r="QKG125" s="169"/>
      <c r="QKK125" s="169"/>
      <c r="QKO125" s="169"/>
      <c r="QKS125" s="169"/>
      <c r="QKW125" s="169"/>
      <c r="QLA125" s="169"/>
      <c r="QLE125" s="169"/>
      <c r="QLI125" s="169"/>
      <c r="QLM125" s="169"/>
      <c r="QLQ125" s="169"/>
      <c r="QLU125" s="169"/>
      <c r="QLY125" s="169"/>
      <c r="QMC125" s="169"/>
      <c r="QMG125" s="169"/>
      <c r="QMK125" s="169"/>
      <c r="QMO125" s="169"/>
      <c r="QMS125" s="169"/>
      <c r="QMW125" s="169"/>
      <c r="QNA125" s="169"/>
      <c r="QNE125" s="169"/>
      <c r="QNI125" s="169"/>
      <c r="QNM125" s="169"/>
      <c r="QNQ125" s="169"/>
      <c r="QNU125" s="169"/>
      <c r="QNY125" s="169"/>
      <c r="QOC125" s="169"/>
      <c r="QOG125" s="169"/>
      <c r="QOK125" s="169"/>
      <c r="QOO125" s="169"/>
      <c r="QOS125" s="169"/>
      <c r="QOW125" s="169"/>
      <c r="QPA125" s="169"/>
      <c r="QPE125" s="169"/>
      <c r="QPI125" s="169"/>
      <c r="QPM125" s="169"/>
      <c r="QPQ125" s="169"/>
      <c r="QPU125" s="169"/>
      <c r="QPY125" s="169"/>
      <c r="QQC125" s="169"/>
      <c r="QQG125" s="169"/>
      <c r="QQK125" s="169"/>
      <c r="QQO125" s="169"/>
      <c r="QQS125" s="169"/>
      <c r="QQW125" s="169"/>
      <c r="QRA125" s="169"/>
      <c r="QRE125" s="169"/>
      <c r="QRI125" s="169"/>
      <c r="QRM125" s="169"/>
      <c r="QRQ125" s="169"/>
      <c r="QRU125" s="169"/>
      <c r="QRY125" s="169"/>
      <c r="QSC125" s="169"/>
      <c r="QSG125" s="169"/>
      <c r="QSK125" s="169"/>
      <c r="QSO125" s="169"/>
      <c r="QSS125" s="169"/>
      <c r="QSW125" s="169"/>
      <c r="QTA125" s="169"/>
      <c r="QTE125" s="169"/>
      <c r="QTI125" s="169"/>
      <c r="QTM125" s="169"/>
      <c r="QTQ125" s="169"/>
      <c r="QTU125" s="169"/>
      <c r="QTY125" s="169"/>
      <c r="QUC125" s="169"/>
      <c r="QUG125" s="169"/>
      <c r="QUK125" s="169"/>
      <c r="QUO125" s="169"/>
      <c r="QUS125" s="169"/>
      <c r="QUW125" s="169"/>
      <c r="QVA125" s="169"/>
      <c r="QVE125" s="169"/>
      <c r="QVI125" s="169"/>
      <c r="QVM125" s="169"/>
      <c r="QVQ125" s="169"/>
      <c r="QVU125" s="169"/>
      <c r="QVY125" s="169"/>
      <c r="QWC125" s="169"/>
      <c r="QWG125" s="169"/>
      <c r="QWK125" s="169"/>
      <c r="QWO125" s="169"/>
      <c r="QWS125" s="169"/>
      <c r="QWW125" s="169"/>
      <c r="QXA125" s="169"/>
      <c r="QXE125" s="169"/>
      <c r="QXI125" s="169"/>
      <c r="QXM125" s="169"/>
      <c r="QXQ125" s="169"/>
      <c r="QXU125" s="169"/>
      <c r="QXY125" s="169"/>
      <c r="QYC125" s="169"/>
      <c r="QYG125" s="169"/>
      <c r="QYK125" s="169"/>
      <c r="QYO125" s="169"/>
      <c r="QYS125" s="169"/>
      <c r="QYW125" s="169"/>
      <c r="QZA125" s="169"/>
      <c r="QZE125" s="169"/>
      <c r="QZI125" s="169"/>
      <c r="QZM125" s="169"/>
      <c r="QZQ125" s="169"/>
      <c r="QZU125" s="169"/>
      <c r="QZY125" s="169"/>
      <c r="RAC125" s="169"/>
      <c r="RAG125" s="169"/>
      <c r="RAK125" s="169"/>
      <c r="RAO125" s="169"/>
      <c r="RAS125" s="169"/>
      <c r="RAW125" s="169"/>
      <c r="RBA125" s="169"/>
      <c r="RBE125" s="169"/>
      <c r="RBI125" s="169"/>
      <c r="RBM125" s="169"/>
      <c r="RBQ125" s="169"/>
      <c r="RBU125" s="169"/>
      <c r="RBY125" s="169"/>
      <c r="RCC125" s="169"/>
      <c r="RCG125" s="169"/>
      <c r="RCK125" s="169"/>
      <c r="RCO125" s="169"/>
      <c r="RCS125" s="169"/>
      <c r="RCW125" s="169"/>
      <c r="RDA125" s="169"/>
      <c r="RDE125" s="169"/>
      <c r="RDI125" s="169"/>
      <c r="RDM125" s="169"/>
      <c r="RDQ125" s="169"/>
      <c r="RDU125" s="169"/>
      <c r="RDY125" s="169"/>
      <c r="REC125" s="169"/>
      <c r="REG125" s="169"/>
      <c r="REK125" s="169"/>
      <c r="REO125" s="169"/>
      <c r="RES125" s="169"/>
      <c r="REW125" s="169"/>
      <c r="RFA125" s="169"/>
      <c r="RFE125" s="169"/>
      <c r="RFI125" s="169"/>
      <c r="RFM125" s="169"/>
      <c r="RFQ125" s="169"/>
      <c r="RFU125" s="169"/>
      <c r="RFY125" s="169"/>
      <c r="RGC125" s="169"/>
      <c r="RGG125" s="169"/>
      <c r="RGK125" s="169"/>
      <c r="RGO125" s="169"/>
      <c r="RGS125" s="169"/>
      <c r="RGW125" s="169"/>
      <c r="RHA125" s="169"/>
      <c r="RHE125" s="169"/>
      <c r="RHI125" s="169"/>
      <c r="RHM125" s="169"/>
      <c r="RHQ125" s="169"/>
      <c r="RHU125" s="169"/>
      <c r="RHY125" s="169"/>
      <c r="RIC125" s="169"/>
      <c r="RIG125" s="169"/>
      <c r="RIK125" s="169"/>
      <c r="RIO125" s="169"/>
      <c r="RIS125" s="169"/>
      <c r="RIW125" s="169"/>
      <c r="RJA125" s="169"/>
      <c r="RJE125" s="169"/>
      <c r="RJI125" s="169"/>
      <c r="RJM125" s="169"/>
      <c r="RJQ125" s="169"/>
      <c r="RJU125" s="169"/>
      <c r="RJY125" s="169"/>
      <c r="RKC125" s="169"/>
      <c r="RKG125" s="169"/>
      <c r="RKK125" s="169"/>
      <c r="RKO125" s="169"/>
      <c r="RKS125" s="169"/>
      <c r="RKW125" s="169"/>
      <c r="RLA125" s="169"/>
      <c r="RLE125" s="169"/>
      <c r="RLI125" s="169"/>
      <c r="RLM125" s="169"/>
      <c r="RLQ125" s="169"/>
      <c r="RLU125" s="169"/>
      <c r="RLY125" s="169"/>
      <c r="RMC125" s="169"/>
      <c r="RMG125" s="169"/>
      <c r="RMK125" s="169"/>
      <c r="RMO125" s="169"/>
      <c r="RMS125" s="169"/>
      <c r="RMW125" s="169"/>
      <c r="RNA125" s="169"/>
      <c r="RNE125" s="169"/>
      <c r="RNI125" s="169"/>
      <c r="RNM125" s="169"/>
      <c r="RNQ125" s="169"/>
      <c r="RNU125" s="169"/>
      <c r="RNY125" s="169"/>
      <c r="ROC125" s="169"/>
      <c r="ROG125" s="169"/>
      <c r="ROK125" s="169"/>
      <c r="ROO125" s="169"/>
      <c r="ROS125" s="169"/>
      <c r="ROW125" s="169"/>
      <c r="RPA125" s="169"/>
      <c r="RPE125" s="169"/>
      <c r="RPI125" s="169"/>
      <c r="RPM125" s="169"/>
      <c r="RPQ125" s="169"/>
      <c r="RPU125" s="169"/>
      <c r="RPY125" s="169"/>
      <c r="RQC125" s="169"/>
      <c r="RQG125" s="169"/>
      <c r="RQK125" s="169"/>
      <c r="RQO125" s="169"/>
      <c r="RQS125" s="169"/>
      <c r="RQW125" s="169"/>
      <c r="RRA125" s="169"/>
      <c r="RRE125" s="169"/>
      <c r="RRI125" s="169"/>
      <c r="RRM125" s="169"/>
      <c r="RRQ125" s="169"/>
      <c r="RRU125" s="169"/>
      <c r="RRY125" s="169"/>
      <c r="RSC125" s="169"/>
      <c r="RSG125" s="169"/>
      <c r="RSK125" s="169"/>
      <c r="RSO125" s="169"/>
      <c r="RSS125" s="169"/>
      <c r="RSW125" s="169"/>
      <c r="RTA125" s="169"/>
      <c r="RTE125" s="169"/>
      <c r="RTI125" s="169"/>
      <c r="RTM125" s="169"/>
      <c r="RTQ125" s="169"/>
      <c r="RTU125" s="169"/>
      <c r="RTY125" s="169"/>
      <c r="RUC125" s="169"/>
      <c r="RUG125" s="169"/>
      <c r="RUK125" s="169"/>
      <c r="RUO125" s="169"/>
      <c r="RUS125" s="169"/>
      <c r="RUW125" s="169"/>
      <c r="RVA125" s="169"/>
      <c r="RVE125" s="169"/>
      <c r="RVI125" s="169"/>
      <c r="RVM125" s="169"/>
      <c r="RVQ125" s="169"/>
      <c r="RVU125" s="169"/>
      <c r="RVY125" s="169"/>
      <c r="RWC125" s="169"/>
      <c r="RWG125" s="169"/>
      <c r="RWK125" s="169"/>
      <c r="RWO125" s="169"/>
      <c r="RWS125" s="169"/>
      <c r="RWW125" s="169"/>
      <c r="RXA125" s="169"/>
      <c r="RXE125" s="169"/>
      <c r="RXI125" s="169"/>
      <c r="RXM125" s="169"/>
      <c r="RXQ125" s="169"/>
      <c r="RXU125" s="169"/>
      <c r="RXY125" s="169"/>
      <c r="RYC125" s="169"/>
      <c r="RYG125" s="169"/>
      <c r="RYK125" s="169"/>
      <c r="RYO125" s="169"/>
      <c r="RYS125" s="169"/>
      <c r="RYW125" s="169"/>
      <c r="RZA125" s="169"/>
      <c r="RZE125" s="169"/>
      <c r="RZI125" s="169"/>
      <c r="RZM125" s="169"/>
      <c r="RZQ125" s="169"/>
      <c r="RZU125" s="169"/>
      <c r="RZY125" s="169"/>
      <c r="SAC125" s="169"/>
      <c r="SAG125" s="169"/>
      <c r="SAK125" s="169"/>
      <c r="SAO125" s="169"/>
      <c r="SAS125" s="169"/>
      <c r="SAW125" s="169"/>
      <c r="SBA125" s="169"/>
      <c r="SBE125" s="169"/>
      <c r="SBI125" s="169"/>
      <c r="SBM125" s="169"/>
      <c r="SBQ125" s="169"/>
      <c r="SBU125" s="169"/>
      <c r="SBY125" s="169"/>
      <c r="SCC125" s="169"/>
      <c r="SCG125" s="169"/>
      <c r="SCK125" s="169"/>
      <c r="SCO125" s="169"/>
      <c r="SCS125" s="169"/>
      <c r="SCW125" s="169"/>
      <c r="SDA125" s="169"/>
      <c r="SDE125" s="169"/>
      <c r="SDI125" s="169"/>
      <c r="SDM125" s="169"/>
      <c r="SDQ125" s="169"/>
      <c r="SDU125" s="169"/>
      <c r="SDY125" s="169"/>
      <c r="SEC125" s="169"/>
      <c r="SEG125" s="169"/>
      <c r="SEK125" s="169"/>
      <c r="SEO125" s="169"/>
      <c r="SES125" s="169"/>
      <c r="SEW125" s="169"/>
      <c r="SFA125" s="169"/>
      <c r="SFE125" s="169"/>
      <c r="SFI125" s="169"/>
      <c r="SFM125" s="169"/>
      <c r="SFQ125" s="169"/>
      <c r="SFU125" s="169"/>
      <c r="SFY125" s="169"/>
      <c r="SGC125" s="169"/>
      <c r="SGG125" s="169"/>
      <c r="SGK125" s="169"/>
      <c r="SGO125" s="169"/>
      <c r="SGS125" s="169"/>
      <c r="SGW125" s="169"/>
      <c r="SHA125" s="169"/>
      <c r="SHE125" s="169"/>
      <c r="SHI125" s="169"/>
      <c r="SHM125" s="169"/>
      <c r="SHQ125" s="169"/>
      <c r="SHU125" s="169"/>
      <c r="SHY125" s="169"/>
      <c r="SIC125" s="169"/>
      <c r="SIG125" s="169"/>
      <c r="SIK125" s="169"/>
      <c r="SIO125" s="169"/>
      <c r="SIS125" s="169"/>
      <c r="SIW125" s="169"/>
      <c r="SJA125" s="169"/>
      <c r="SJE125" s="169"/>
      <c r="SJI125" s="169"/>
      <c r="SJM125" s="169"/>
      <c r="SJQ125" s="169"/>
      <c r="SJU125" s="169"/>
      <c r="SJY125" s="169"/>
      <c r="SKC125" s="169"/>
      <c r="SKG125" s="169"/>
      <c r="SKK125" s="169"/>
      <c r="SKO125" s="169"/>
      <c r="SKS125" s="169"/>
      <c r="SKW125" s="169"/>
      <c r="SLA125" s="169"/>
      <c r="SLE125" s="169"/>
      <c r="SLI125" s="169"/>
      <c r="SLM125" s="169"/>
      <c r="SLQ125" s="169"/>
      <c r="SLU125" s="169"/>
      <c r="SLY125" s="169"/>
      <c r="SMC125" s="169"/>
      <c r="SMG125" s="169"/>
      <c r="SMK125" s="169"/>
      <c r="SMO125" s="169"/>
      <c r="SMS125" s="169"/>
      <c r="SMW125" s="169"/>
      <c r="SNA125" s="169"/>
      <c r="SNE125" s="169"/>
      <c r="SNI125" s="169"/>
      <c r="SNM125" s="169"/>
      <c r="SNQ125" s="169"/>
      <c r="SNU125" s="169"/>
      <c r="SNY125" s="169"/>
      <c r="SOC125" s="169"/>
      <c r="SOG125" s="169"/>
      <c r="SOK125" s="169"/>
      <c r="SOO125" s="169"/>
      <c r="SOS125" s="169"/>
      <c r="SOW125" s="169"/>
      <c r="SPA125" s="169"/>
      <c r="SPE125" s="169"/>
      <c r="SPI125" s="169"/>
      <c r="SPM125" s="169"/>
      <c r="SPQ125" s="169"/>
      <c r="SPU125" s="169"/>
      <c r="SPY125" s="169"/>
      <c r="SQC125" s="169"/>
      <c r="SQG125" s="169"/>
      <c r="SQK125" s="169"/>
      <c r="SQO125" s="169"/>
      <c r="SQS125" s="169"/>
      <c r="SQW125" s="169"/>
      <c r="SRA125" s="169"/>
      <c r="SRE125" s="169"/>
      <c r="SRI125" s="169"/>
      <c r="SRM125" s="169"/>
      <c r="SRQ125" s="169"/>
      <c r="SRU125" s="169"/>
      <c r="SRY125" s="169"/>
      <c r="SSC125" s="169"/>
      <c r="SSG125" s="169"/>
      <c r="SSK125" s="169"/>
      <c r="SSO125" s="169"/>
      <c r="SSS125" s="169"/>
      <c r="SSW125" s="169"/>
      <c r="STA125" s="169"/>
      <c r="STE125" s="169"/>
      <c r="STI125" s="169"/>
      <c r="STM125" s="169"/>
      <c r="STQ125" s="169"/>
      <c r="STU125" s="169"/>
      <c r="STY125" s="169"/>
      <c r="SUC125" s="169"/>
      <c r="SUG125" s="169"/>
      <c r="SUK125" s="169"/>
      <c r="SUO125" s="169"/>
      <c r="SUS125" s="169"/>
      <c r="SUW125" s="169"/>
      <c r="SVA125" s="169"/>
      <c r="SVE125" s="169"/>
      <c r="SVI125" s="169"/>
      <c r="SVM125" s="169"/>
      <c r="SVQ125" s="169"/>
      <c r="SVU125" s="169"/>
      <c r="SVY125" s="169"/>
      <c r="SWC125" s="169"/>
      <c r="SWG125" s="169"/>
      <c r="SWK125" s="169"/>
      <c r="SWO125" s="169"/>
      <c r="SWS125" s="169"/>
      <c r="SWW125" s="169"/>
      <c r="SXA125" s="169"/>
      <c r="SXE125" s="169"/>
      <c r="SXI125" s="169"/>
      <c r="SXM125" s="169"/>
      <c r="SXQ125" s="169"/>
      <c r="SXU125" s="169"/>
      <c r="SXY125" s="169"/>
      <c r="SYC125" s="169"/>
      <c r="SYG125" s="169"/>
      <c r="SYK125" s="169"/>
      <c r="SYO125" s="169"/>
      <c r="SYS125" s="169"/>
      <c r="SYW125" s="169"/>
      <c r="SZA125" s="169"/>
      <c r="SZE125" s="169"/>
      <c r="SZI125" s="169"/>
      <c r="SZM125" s="169"/>
      <c r="SZQ125" s="169"/>
      <c r="SZU125" s="169"/>
      <c r="SZY125" s="169"/>
      <c r="TAC125" s="169"/>
      <c r="TAG125" s="169"/>
      <c r="TAK125" s="169"/>
      <c r="TAO125" s="169"/>
      <c r="TAS125" s="169"/>
      <c r="TAW125" s="169"/>
      <c r="TBA125" s="169"/>
      <c r="TBE125" s="169"/>
      <c r="TBI125" s="169"/>
      <c r="TBM125" s="169"/>
      <c r="TBQ125" s="169"/>
      <c r="TBU125" s="169"/>
      <c r="TBY125" s="169"/>
      <c r="TCC125" s="169"/>
      <c r="TCG125" s="169"/>
      <c r="TCK125" s="169"/>
      <c r="TCO125" s="169"/>
      <c r="TCS125" s="169"/>
      <c r="TCW125" s="169"/>
      <c r="TDA125" s="169"/>
      <c r="TDE125" s="169"/>
      <c r="TDI125" s="169"/>
      <c r="TDM125" s="169"/>
      <c r="TDQ125" s="169"/>
      <c r="TDU125" s="169"/>
      <c r="TDY125" s="169"/>
      <c r="TEC125" s="169"/>
      <c r="TEG125" s="169"/>
      <c r="TEK125" s="169"/>
      <c r="TEO125" s="169"/>
      <c r="TES125" s="169"/>
      <c r="TEW125" s="169"/>
      <c r="TFA125" s="169"/>
      <c r="TFE125" s="169"/>
      <c r="TFI125" s="169"/>
      <c r="TFM125" s="169"/>
      <c r="TFQ125" s="169"/>
      <c r="TFU125" s="169"/>
      <c r="TFY125" s="169"/>
      <c r="TGC125" s="169"/>
      <c r="TGG125" s="169"/>
      <c r="TGK125" s="169"/>
      <c r="TGO125" s="169"/>
      <c r="TGS125" s="169"/>
      <c r="TGW125" s="169"/>
      <c r="THA125" s="169"/>
      <c r="THE125" s="169"/>
      <c r="THI125" s="169"/>
      <c r="THM125" s="169"/>
      <c r="THQ125" s="169"/>
      <c r="THU125" s="169"/>
      <c r="THY125" s="169"/>
      <c r="TIC125" s="169"/>
      <c r="TIG125" s="169"/>
      <c r="TIK125" s="169"/>
      <c r="TIO125" s="169"/>
      <c r="TIS125" s="169"/>
      <c r="TIW125" s="169"/>
      <c r="TJA125" s="169"/>
      <c r="TJE125" s="169"/>
      <c r="TJI125" s="169"/>
      <c r="TJM125" s="169"/>
      <c r="TJQ125" s="169"/>
      <c r="TJU125" s="169"/>
      <c r="TJY125" s="169"/>
      <c r="TKC125" s="169"/>
      <c r="TKG125" s="169"/>
      <c r="TKK125" s="169"/>
      <c r="TKO125" s="169"/>
      <c r="TKS125" s="169"/>
      <c r="TKW125" s="169"/>
      <c r="TLA125" s="169"/>
      <c r="TLE125" s="169"/>
      <c r="TLI125" s="169"/>
      <c r="TLM125" s="169"/>
      <c r="TLQ125" s="169"/>
      <c r="TLU125" s="169"/>
      <c r="TLY125" s="169"/>
      <c r="TMC125" s="169"/>
      <c r="TMG125" s="169"/>
      <c r="TMK125" s="169"/>
      <c r="TMO125" s="169"/>
      <c r="TMS125" s="169"/>
      <c r="TMW125" s="169"/>
      <c r="TNA125" s="169"/>
      <c r="TNE125" s="169"/>
      <c r="TNI125" s="169"/>
      <c r="TNM125" s="169"/>
      <c r="TNQ125" s="169"/>
      <c r="TNU125" s="169"/>
      <c r="TNY125" s="169"/>
      <c r="TOC125" s="169"/>
      <c r="TOG125" s="169"/>
      <c r="TOK125" s="169"/>
      <c r="TOO125" s="169"/>
      <c r="TOS125" s="169"/>
      <c r="TOW125" s="169"/>
      <c r="TPA125" s="169"/>
      <c r="TPE125" s="169"/>
      <c r="TPI125" s="169"/>
      <c r="TPM125" s="169"/>
      <c r="TPQ125" s="169"/>
      <c r="TPU125" s="169"/>
      <c r="TPY125" s="169"/>
      <c r="TQC125" s="169"/>
      <c r="TQG125" s="169"/>
      <c r="TQK125" s="169"/>
      <c r="TQO125" s="169"/>
      <c r="TQS125" s="169"/>
      <c r="TQW125" s="169"/>
      <c r="TRA125" s="169"/>
      <c r="TRE125" s="169"/>
      <c r="TRI125" s="169"/>
      <c r="TRM125" s="169"/>
      <c r="TRQ125" s="169"/>
      <c r="TRU125" s="169"/>
      <c r="TRY125" s="169"/>
      <c r="TSC125" s="169"/>
      <c r="TSG125" s="169"/>
      <c r="TSK125" s="169"/>
      <c r="TSO125" s="169"/>
      <c r="TSS125" s="169"/>
      <c r="TSW125" s="169"/>
      <c r="TTA125" s="169"/>
      <c r="TTE125" s="169"/>
      <c r="TTI125" s="169"/>
      <c r="TTM125" s="169"/>
      <c r="TTQ125" s="169"/>
      <c r="TTU125" s="169"/>
      <c r="TTY125" s="169"/>
      <c r="TUC125" s="169"/>
      <c r="TUG125" s="169"/>
      <c r="TUK125" s="169"/>
      <c r="TUO125" s="169"/>
      <c r="TUS125" s="169"/>
      <c r="TUW125" s="169"/>
      <c r="TVA125" s="169"/>
      <c r="TVE125" s="169"/>
      <c r="TVI125" s="169"/>
      <c r="TVM125" s="169"/>
      <c r="TVQ125" s="169"/>
      <c r="TVU125" s="169"/>
      <c r="TVY125" s="169"/>
      <c r="TWC125" s="169"/>
      <c r="TWG125" s="169"/>
      <c r="TWK125" s="169"/>
      <c r="TWO125" s="169"/>
      <c r="TWS125" s="169"/>
      <c r="TWW125" s="169"/>
      <c r="TXA125" s="169"/>
      <c r="TXE125" s="169"/>
      <c r="TXI125" s="169"/>
      <c r="TXM125" s="169"/>
      <c r="TXQ125" s="169"/>
      <c r="TXU125" s="169"/>
      <c r="TXY125" s="169"/>
      <c r="TYC125" s="169"/>
      <c r="TYG125" s="169"/>
      <c r="TYK125" s="169"/>
      <c r="TYO125" s="169"/>
      <c r="TYS125" s="169"/>
      <c r="TYW125" s="169"/>
      <c r="TZA125" s="169"/>
      <c r="TZE125" s="169"/>
      <c r="TZI125" s="169"/>
      <c r="TZM125" s="169"/>
      <c r="TZQ125" s="169"/>
      <c r="TZU125" s="169"/>
      <c r="TZY125" s="169"/>
      <c r="UAC125" s="169"/>
      <c r="UAG125" s="169"/>
      <c r="UAK125" s="169"/>
      <c r="UAO125" s="169"/>
      <c r="UAS125" s="169"/>
      <c r="UAW125" s="169"/>
      <c r="UBA125" s="169"/>
      <c r="UBE125" s="169"/>
      <c r="UBI125" s="169"/>
      <c r="UBM125" s="169"/>
      <c r="UBQ125" s="169"/>
      <c r="UBU125" s="169"/>
      <c r="UBY125" s="169"/>
      <c r="UCC125" s="169"/>
      <c r="UCG125" s="169"/>
      <c r="UCK125" s="169"/>
      <c r="UCO125" s="169"/>
      <c r="UCS125" s="169"/>
      <c r="UCW125" s="169"/>
      <c r="UDA125" s="169"/>
      <c r="UDE125" s="169"/>
      <c r="UDI125" s="169"/>
      <c r="UDM125" s="169"/>
      <c r="UDQ125" s="169"/>
      <c r="UDU125" s="169"/>
      <c r="UDY125" s="169"/>
      <c r="UEC125" s="169"/>
      <c r="UEG125" s="169"/>
      <c r="UEK125" s="169"/>
      <c r="UEO125" s="169"/>
      <c r="UES125" s="169"/>
      <c r="UEW125" s="169"/>
      <c r="UFA125" s="169"/>
      <c r="UFE125" s="169"/>
      <c r="UFI125" s="169"/>
      <c r="UFM125" s="169"/>
      <c r="UFQ125" s="169"/>
      <c r="UFU125" s="169"/>
      <c r="UFY125" s="169"/>
      <c r="UGC125" s="169"/>
      <c r="UGG125" s="169"/>
      <c r="UGK125" s="169"/>
      <c r="UGO125" s="169"/>
      <c r="UGS125" s="169"/>
      <c r="UGW125" s="169"/>
      <c r="UHA125" s="169"/>
      <c r="UHE125" s="169"/>
      <c r="UHI125" s="169"/>
      <c r="UHM125" s="169"/>
      <c r="UHQ125" s="169"/>
      <c r="UHU125" s="169"/>
      <c r="UHY125" s="169"/>
      <c r="UIC125" s="169"/>
      <c r="UIG125" s="169"/>
      <c r="UIK125" s="169"/>
      <c r="UIO125" s="169"/>
      <c r="UIS125" s="169"/>
      <c r="UIW125" s="169"/>
      <c r="UJA125" s="169"/>
      <c r="UJE125" s="169"/>
      <c r="UJI125" s="169"/>
      <c r="UJM125" s="169"/>
      <c r="UJQ125" s="169"/>
      <c r="UJU125" s="169"/>
      <c r="UJY125" s="169"/>
      <c r="UKC125" s="169"/>
      <c r="UKG125" s="169"/>
      <c r="UKK125" s="169"/>
      <c r="UKO125" s="169"/>
      <c r="UKS125" s="169"/>
      <c r="UKW125" s="169"/>
      <c r="ULA125" s="169"/>
      <c r="ULE125" s="169"/>
      <c r="ULI125" s="169"/>
      <c r="ULM125" s="169"/>
      <c r="ULQ125" s="169"/>
      <c r="ULU125" s="169"/>
      <c r="ULY125" s="169"/>
      <c r="UMC125" s="169"/>
      <c r="UMG125" s="169"/>
      <c r="UMK125" s="169"/>
      <c r="UMO125" s="169"/>
      <c r="UMS125" s="169"/>
      <c r="UMW125" s="169"/>
      <c r="UNA125" s="169"/>
      <c r="UNE125" s="169"/>
      <c r="UNI125" s="169"/>
      <c r="UNM125" s="169"/>
      <c r="UNQ125" s="169"/>
      <c r="UNU125" s="169"/>
      <c r="UNY125" s="169"/>
      <c r="UOC125" s="169"/>
      <c r="UOG125" s="169"/>
      <c r="UOK125" s="169"/>
      <c r="UOO125" s="169"/>
      <c r="UOS125" s="169"/>
      <c r="UOW125" s="169"/>
      <c r="UPA125" s="169"/>
      <c r="UPE125" s="169"/>
      <c r="UPI125" s="169"/>
      <c r="UPM125" s="169"/>
      <c r="UPQ125" s="169"/>
      <c r="UPU125" s="169"/>
      <c r="UPY125" s="169"/>
      <c r="UQC125" s="169"/>
      <c r="UQG125" s="169"/>
      <c r="UQK125" s="169"/>
      <c r="UQO125" s="169"/>
      <c r="UQS125" s="169"/>
      <c r="UQW125" s="169"/>
      <c r="URA125" s="169"/>
      <c r="URE125" s="169"/>
      <c r="URI125" s="169"/>
      <c r="URM125" s="169"/>
      <c r="URQ125" s="169"/>
      <c r="URU125" s="169"/>
      <c r="URY125" s="169"/>
      <c r="USC125" s="169"/>
      <c r="USG125" s="169"/>
      <c r="USK125" s="169"/>
      <c r="USO125" s="169"/>
      <c r="USS125" s="169"/>
      <c r="USW125" s="169"/>
      <c r="UTA125" s="169"/>
      <c r="UTE125" s="169"/>
      <c r="UTI125" s="169"/>
      <c r="UTM125" s="169"/>
      <c r="UTQ125" s="169"/>
      <c r="UTU125" s="169"/>
      <c r="UTY125" s="169"/>
      <c r="UUC125" s="169"/>
      <c r="UUG125" s="169"/>
      <c r="UUK125" s="169"/>
      <c r="UUO125" s="169"/>
      <c r="UUS125" s="169"/>
      <c r="UUW125" s="169"/>
      <c r="UVA125" s="169"/>
      <c r="UVE125" s="169"/>
      <c r="UVI125" s="169"/>
      <c r="UVM125" s="169"/>
      <c r="UVQ125" s="169"/>
      <c r="UVU125" s="169"/>
      <c r="UVY125" s="169"/>
      <c r="UWC125" s="169"/>
      <c r="UWG125" s="169"/>
      <c r="UWK125" s="169"/>
      <c r="UWO125" s="169"/>
      <c r="UWS125" s="169"/>
      <c r="UWW125" s="169"/>
      <c r="UXA125" s="169"/>
      <c r="UXE125" s="169"/>
      <c r="UXI125" s="169"/>
      <c r="UXM125" s="169"/>
      <c r="UXQ125" s="169"/>
      <c r="UXU125" s="169"/>
      <c r="UXY125" s="169"/>
      <c r="UYC125" s="169"/>
      <c r="UYG125" s="169"/>
      <c r="UYK125" s="169"/>
      <c r="UYO125" s="169"/>
      <c r="UYS125" s="169"/>
      <c r="UYW125" s="169"/>
      <c r="UZA125" s="169"/>
      <c r="UZE125" s="169"/>
      <c r="UZI125" s="169"/>
      <c r="UZM125" s="169"/>
      <c r="UZQ125" s="169"/>
      <c r="UZU125" s="169"/>
      <c r="UZY125" s="169"/>
      <c r="VAC125" s="169"/>
      <c r="VAG125" s="169"/>
      <c r="VAK125" s="169"/>
      <c r="VAO125" s="169"/>
      <c r="VAS125" s="169"/>
      <c r="VAW125" s="169"/>
      <c r="VBA125" s="169"/>
      <c r="VBE125" s="169"/>
      <c r="VBI125" s="169"/>
      <c r="VBM125" s="169"/>
      <c r="VBQ125" s="169"/>
      <c r="VBU125" s="169"/>
      <c r="VBY125" s="169"/>
      <c r="VCC125" s="169"/>
      <c r="VCG125" s="169"/>
      <c r="VCK125" s="169"/>
      <c r="VCO125" s="169"/>
      <c r="VCS125" s="169"/>
      <c r="VCW125" s="169"/>
      <c r="VDA125" s="169"/>
      <c r="VDE125" s="169"/>
      <c r="VDI125" s="169"/>
      <c r="VDM125" s="169"/>
      <c r="VDQ125" s="169"/>
      <c r="VDU125" s="169"/>
      <c r="VDY125" s="169"/>
      <c r="VEC125" s="169"/>
      <c r="VEG125" s="169"/>
      <c r="VEK125" s="169"/>
      <c r="VEO125" s="169"/>
      <c r="VES125" s="169"/>
      <c r="VEW125" s="169"/>
      <c r="VFA125" s="169"/>
      <c r="VFE125" s="169"/>
      <c r="VFI125" s="169"/>
      <c r="VFM125" s="169"/>
      <c r="VFQ125" s="169"/>
      <c r="VFU125" s="169"/>
      <c r="VFY125" s="169"/>
      <c r="VGC125" s="169"/>
      <c r="VGG125" s="169"/>
      <c r="VGK125" s="169"/>
      <c r="VGO125" s="169"/>
      <c r="VGS125" s="169"/>
      <c r="VGW125" s="169"/>
      <c r="VHA125" s="169"/>
      <c r="VHE125" s="169"/>
      <c r="VHI125" s="169"/>
      <c r="VHM125" s="169"/>
      <c r="VHQ125" s="169"/>
      <c r="VHU125" s="169"/>
      <c r="VHY125" s="169"/>
      <c r="VIC125" s="169"/>
      <c r="VIG125" s="169"/>
      <c r="VIK125" s="169"/>
      <c r="VIO125" s="169"/>
      <c r="VIS125" s="169"/>
      <c r="VIW125" s="169"/>
      <c r="VJA125" s="169"/>
      <c r="VJE125" s="169"/>
      <c r="VJI125" s="169"/>
      <c r="VJM125" s="169"/>
      <c r="VJQ125" s="169"/>
      <c r="VJU125" s="169"/>
      <c r="VJY125" s="169"/>
      <c r="VKC125" s="169"/>
      <c r="VKG125" s="169"/>
      <c r="VKK125" s="169"/>
      <c r="VKO125" s="169"/>
      <c r="VKS125" s="169"/>
      <c r="VKW125" s="169"/>
      <c r="VLA125" s="169"/>
      <c r="VLE125" s="169"/>
      <c r="VLI125" s="169"/>
      <c r="VLM125" s="169"/>
      <c r="VLQ125" s="169"/>
      <c r="VLU125" s="169"/>
      <c r="VLY125" s="169"/>
      <c r="VMC125" s="169"/>
      <c r="VMG125" s="169"/>
      <c r="VMK125" s="169"/>
      <c r="VMO125" s="169"/>
      <c r="VMS125" s="169"/>
      <c r="VMW125" s="169"/>
      <c r="VNA125" s="169"/>
      <c r="VNE125" s="169"/>
      <c r="VNI125" s="169"/>
      <c r="VNM125" s="169"/>
      <c r="VNQ125" s="169"/>
      <c r="VNU125" s="169"/>
      <c r="VNY125" s="169"/>
      <c r="VOC125" s="169"/>
      <c r="VOG125" s="169"/>
      <c r="VOK125" s="169"/>
      <c r="VOO125" s="169"/>
      <c r="VOS125" s="169"/>
      <c r="VOW125" s="169"/>
      <c r="VPA125" s="169"/>
      <c r="VPE125" s="169"/>
      <c r="VPI125" s="169"/>
      <c r="VPM125" s="169"/>
      <c r="VPQ125" s="169"/>
      <c r="VPU125" s="169"/>
      <c r="VPY125" s="169"/>
      <c r="VQC125" s="169"/>
      <c r="VQG125" s="169"/>
      <c r="VQK125" s="169"/>
      <c r="VQO125" s="169"/>
      <c r="VQS125" s="169"/>
      <c r="VQW125" s="169"/>
      <c r="VRA125" s="169"/>
      <c r="VRE125" s="169"/>
      <c r="VRI125" s="169"/>
      <c r="VRM125" s="169"/>
      <c r="VRQ125" s="169"/>
      <c r="VRU125" s="169"/>
      <c r="VRY125" s="169"/>
      <c r="VSC125" s="169"/>
      <c r="VSG125" s="169"/>
      <c r="VSK125" s="169"/>
      <c r="VSO125" s="169"/>
      <c r="VSS125" s="169"/>
      <c r="VSW125" s="169"/>
      <c r="VTA125" s="169"/>
      <c r="VTE125" s="169"/>
      <c r="VTI125" s="169"/>
      <c r="VTM125" s="169"/>
      <c r="VTQ125" s="169"/>
      <c r="VTU125" s="169"/>
      <c r="VTY125" s="169"/>
      <c r="VUC125" s="169"/>
      <c r="VUG125" s="169"/>
      <c r="VUK125" s="169"/>
      <c r="VUO125" s="169"/>
      <c r="VUS125" s="169"/>
      <c r="VUW125" s="169"/>
      <c r="VVA125" s="169"/>
      <c r="VVE125" s="169"/>
      <c r="VVI125" s="169"/>
      <c r="VVM125" s="169"/>
      <c r="VVQ125" s="169"/>
      <c r="VVU125" s="169"/>
      <c r="VVY125" s="169"/>
      <c r="VWC125" s="169"/>
      <c r="VWG125" s="169"/>
      <c r="VWK125" s="169"/>
      <c r="VWO125" s="169"/>
      <c r="VWS125" s="169"/>
      <c r="VWW125" s="169"/>
      <c r="VXA125" s="169"/>
      <c r="VXE125" s="169"/>
      <c r="VXI125" s="169"/>
      <c r="VXM125" s="169"/>
      <c r="VXQ125" s="169"/>
      <c r="VXU125" s="169"/>
      <c r="VXY125" s="169"/>
      <c r="VYC125" s="169"/>
      <c r="VYG125" s="169"/>
      <c r="VYK125" s="169"/>
      <c r="VYO125" s="169"/>
      <c r="VYS125" s="169"/>
      <c r="VYW125" s="169"/>
      <c r="VZA125" s="169"/>
      <c r="VZE125" s="169"/>
      <c r="VZI125" s="169"/>
      <c r="VZM125" s="169"/>
      <c r="VZQ125" s="169"/>
      <c r="VZU125" s="169"/>
      <c r="VZY125" s="169"/>
      <c r="WAC125" s="169"/>
      <c r="WAG125" s="169"/>
      <c r="WAK125" s="169"/>
      <c r="WAO125" s="169"/>
      <c r="WAS125" s="169"/>
      <c r="WAW125" s="169"/>
      <c r="WBA125" s="169"/>
      <c r="WBE125" s="169"/>
      <c r="WBI125" s="169"/>
      <c r="WBM125" s="169"/>
      <c r="WBQ125" s="169"/>
      <c r="WBU125" s="169"/>
      <c r="WBY125" s="169"/>
      <c r="WCC125" s="169"/>
      <c r="WCG125" s="169"/>
      <c r="WCK125" s="169"/>
      <c r="WCO125" s="169"/>
      <c r="WCS125" s="169"/>
      <c r="WCW125" s="169"/>
      <c r="WDA125" s="169"/>
      <c r="WDE125" s="169"/>
      <c r="WDI125" s="169"/>
      <c r="WDM125" s="169"/>
      <c r="WDQ125" s="169"/>
      <c r="WDU125" s="169"/>
      <c r="WDY125" s="169"/>
      <c r="WEC125" s="169"/>
      <c r="WEG125" s="169"/>
      <c r="WEK125" s="169"/>
      <c r="WEO125" s="169"/>
      <c r="WES125" s="169"/>
      <c r="WEW125" s="169"/>
      <c r="WFA125" s="169"/>
      <c r="WFE125" s="169"/>
      <c r="WFI125" s="169"/>
      <c r="WFM125" s="169"/>
      <c r="WFQ125" s="169"/>
      <c r="WFU125" s="169"/>
      <c r="WFY125" s="169"/>
      <c r="WGC125" s="169"/>
      <c r="WGG125" s="169"/>
      <c r="WGK125" s="169"/>
      <c r="WGO125" s="169"/>
      <c r="WGS125" s="169"/>
      <c r="WGW125" s="169"/>
      <c r="WHA125" s="169"/>
      <c r="WHE125" s="169"/>
      <c r="WHI125" s="169"/>
      <c r="WHM125" s="169"/>
      <c r="WHQ125" s="169"/>
      <c r="WHU125" s="169"/>
      <c r="WHY125" s="169"/>
      <c r="WIC125" s="169"/>
      <c r="WIG125" s="169"/>
      <c r="WIK125" s="169"/>
      <c r="WIO125" s="169"/>
      <c r="WIS125" s="169"/>
      <c r="WIW125" s="169"/>
      <c r="WJA125" s="169"/>
      <c r="WJE125" s="169"/>
      <c r="WJI125" s="169"/>
      <c r="WJM125" s="169"/>
      <c r="WJQ125" s="169"/>
      <c r="WJU125" s="169"/>
      <c r="WJY125" s="169"/>
      <c r="WKC125" s="169"/>
      <c r="WKG125" s="169"/>
      <c r="WKK125" s="169"/>
      <c r="WKO125" s="169"/>
      <c r="WKS125" s="169"/>
      <c r="WKW125" s="169"/>
      <c r="WLA125" s="169"/>
      <c r="WLE125" s="169"/>
      <c r="WLI125" s="169"/>
      <c r="WLM125" s="169"/>
      <c r="WLQ125" s="169"/>
      <c r="WLU125" s="169"/>
      <c r="WLY125" s="169"/>
      <c r="WMC125" s="169"/>
      <c r="WMG125" s="169"/>
      <c r="WMK125" s="169"/>
      <c r="WMO125" s="169"/>
      <c r="WMS125" s="169"/>
      <c r="WMW125" s="169"/>
      <c r="WNA125" s="169"/>
      <c r="WNE125" s="169"/>
      <c r="WNI125" s="169"/>
      <c r="WNM125" s="169"/>
      <c r="WNQ125" s="169"/>
      <c r="WNU125" s="169"/>
      <c r="WNY125" s="169"/>
      <c r="WOC125" s="169"/>
      <c r="WOG125" s="169"/>
      <c r="WOK125" s="169"/>
      <c r="WOO125" s="169"/>
      <c r="WOS125" s="169"/>
      <c r="WOW125" s="169"/>
      <c r="WPA125" s="169"/>
      <c r="WPE125" s="169"/>
      <c r="WPI125" s="169"/>
      <c r="WPM125" s="169"/>
      <c r="WPQ125" s="169"/>
      <c r="WPU125" s="169"/>
      <c r="WPY125" s="169"/>
      <c r="WQC125" s="169"/>
      <c r="WQG125" s="169"/>
      <c r="WQK125" s="169"/>
      <c r="WQO125" s="169"/>
      <c r="WQS125" s="169"/>
      <c r="WQW125" s="169"/>
      <c r="WRA125" s="169"/>
      <c r="WRE125" s="169"/>
      <c r="WRI125" s="169"/>
      <c r="WRM125" s="169"/>
      <c r="WRQ125" s="169"/>
      <c r="WRU125" s="169"/>
      <c r="WRY125" s="169"/>
      <c r="WSC125" s="169"/>
      <c r="WSG125" s="169"/>
      <c r="WSK125" s="169"/>
      <c r="WSO125" s="169"/>
      <c r="WSS125" s="169"/>
      <c r="WSW125" s="169"/>
      <c r="WTA125" s="169"/>
      <c r="WTE125" s="169"/>
      <c r="WTI125" s="169"/>
      <c r="WTM125" s="169"/>
      <c r="WTQ125" s="169"/>
      <c r="WTU125" s="169"/>
      <c r="WTY125" s="169"/>
      <c r="WUC125" s="169"/>
      <c r="WUG125" s="169"/>
      <c r="WUK125" s="169"/>
      <c r="WUO125" s="169"/>
      <c r="WUS125" s="169"/>
      <c r="WUW125" s="169"/>
      <c r="WVA125" s="169"/>
      <c r="WVE125" s="169"/>
      <c r="WVI125" s="169"/>
      <c r="WVM125" s="169"/>
      <c r="WVQ125" s="169"/>
      <c r="WVU125" s="169"/>
      <c r="WVY125" s="169"/>
      <c r="WWC125" s="169"/>
      <c r="WWG125" s="169"/>
      <c r="WWK125" s="169"/>
      <c r="WWO125" s="169"/>
      <c r="WWS125" s="169"/>
      <c r="WWW125" s="169"/>
      <c r="WXA125" s="169"/>
      <c r="WXE125" s="169"/>
      <c r="WXI125" s="169"/>
      <c r="WXM125" s="169"/>
      <c r="WXQ125" s="169"/>
      <c r="WXU125" s="169"/>
      <c r="WXY125" s="169"/>
      <c r="WYC125" s="169"/>
      <c r="WYG125" s="169"/>
      <c r="WYK125" s="169"/>
      <c r="WYO125" s="169"/>
      <c r="WYS125" s="169"/>
      <c r="WYW125" s="169"/>
      <c r="WZA125" s="169"/>
      <c r="WZE125" s="169"/>
      <c r="WZI125" s="169"/>
      <c r="WZM125" s="169"/>
      <c r="WZQ125" s="169"/>
      <c r="WZU125" s="169"/>
      <c r="WZY125" s="169"/>
      <c r="XAC125" s="169"/>
      <c r="XAG125" s="169"/>
      <c r="XAK125" s="169"/>
      <c r="XAO125" s="169"/>
      <c r="XAS125" s="169"/>
      <c r="XAW125" s="169"/>
      <c r="XBA125" s="169"/>
      <c r="XBE125" s="169"/>
      <c r="XBI125" s="169"/>
      <c r="XBM125" s="169"/>
      <c r="XBQ125" s="169"/>
      <c r="XBU125" s="169"/>
      <c r="XBY125" s="169"/>
      <c r="XCC125" s="169"/>
      <c r="XCG125" s="169"/>
      <c r="XCK125" s="169"/>
      <c r="XCO125" s="169"/>
      <c r="XCS125" s="169"/>
      <c r="XCW125" s="169"/>
      <c r="XDA125" s="169"/>
      <c r="XDE125" s="169"/>
      <c r="XDI125" s="169"/>
      <c r="XDM125" s="169"/>
      <c r="XDQ125" s="169"/>
      <c r="XDU125" s="169"/>
      <c r="XDY125" s="169"/>
      <c r="XEC125" s="169"/>
      <c r="XEG125" s="169"/>
      <c r="XEK125" s="169"/>
      <c r="XEO125" s="169"/>
      <c r="XES125" s="169"/>
      <c r="XEW125" s="169"/>
      <c r="XFA125" s="169"/>
    </row>
    <row r="126" spans="1:1021 1025:2045 2049:3069 3073:4093 4097:5117 5121:6141 6145:7165 7169:8189 8193:9213 9217:10237 10241:11261 11265:12285 12289:13309 13313:14333 14337:15357 15361:16381" s="18" customFormat="1">
      <c r="A126" s="457" t="s">
        <v>737</v>
      </c>
      <c r="B126" s="461">
        <f>B125/B25</f>
        <v>0.23427682364909341</v>
      </c>
      <c r="C126" s="461">
        <f>C125/C25</f>
        <v>0.24564144364443236</v>
      </c>
      <c r="D126" s="461">
        <f>D125/D25</f>
        <v>0.23322274166792339</v>
      </c>
      <c r="E126" s="424">
        <v>0.21</v>
      </c>
      <c r="F126" s="424">
        <v>0.21</v>
      </c>
      <c r="G126" s="424">
        <v>0.2</v>
      </c>
      <c r="H126" s="424">
        <v>0.19</v>
      </c>
      <c r="I126" s="424">
        <v>0.18</v>
      </c>
      <c r="J126" s="424">
        <v>0.18</v>
      </c>
      <c r="M126" s="169"/>
      <c r="Q126" s="169"/>
      <c r="U126" s="169"/>
      <c r="Y126" s="169"/>
      <c r="AC126" s="169"/>
      <c r="AG126" s="169"/>
      <c r="AK126" s="169"/>
      <c r="AO126" s="169"/>
      <c r="AS126" s="169"/>
      <c r="AW126" s="169"/>
      <c r="BA126" s="169"/>
      <c r="BE126" s="169"/>
      <c r="BI126" s="169"/>
      <c r="BM126" s="169"/>
      <c r="BQ126" s="169"/>
      <c r="BU126" s="169"/>
      <c r="BY126" s="169"/>
      <c r="CC126" s="169"/>
      <c r="CG126" s="169"/>
      <c r="CK126" s="169"/>
      <c r="CO126" s="169"/>
      <c r="CS126" s="169"/>
      <c r="CW126" s="169"/>
      <c r="DA126" s="169"/>
      <c r="DE126" s="169"/>
      <c r="DI126" s="169"/>
      <c r="DM126" s="169"/>
      <c r="DQ126" s="169"/>
      <c r="DU126" s="169"/>
      <c r="DY126" s="169"/>
      <c r="EC126" s="169"/>
      <c r="EG126" s="169"/>
      <c r="EK126" s="169"/>
      <c r="EO126" s="169"/>
      <c r="ES126" s="169"/>
      <c r="EW126" s="169"/>
      <c r="FA126" s="169"/>
      <c r="FE126" s="169"/>
      <c r="FI126" s="169"/>
      <c r="FM126" s="169"/>
      <c r="FQ126" s="169"/>
      <c r="FU126" s="169"/>
      <c r="FY126" s="169"/>
      <c r="GC126" s="169"/>
      <c r="GG126" s="169"/>
      <c r="GK126" s="169"/>
      <c r="GO126" s="169"/>
      <c r="GS126" s="169"/>
      <c r="GW126" s="169"/>
      <c r="HA126" s="169"/>
      <c r="HE126" s="169"/>
      <c r="HI126" s="169"/>
      <c r="HM126" s="169"/>
      <c r="HQ126" s="169"/>
      <c r="HU126" s="169"/>
      <c r="HY126" s="169"/>
      <c r="IC126" s="169"/>
      <c r="IG126" s="169"/>
      <c r="IK126" s="169"/>
      <c r="IO126" s="169"/>
      <c r="IS126" s="169"/>
      <c r="IW126" s="169"/>
      <c r="JA126" s="169"/>
      <c r="JE126" s="169"/>
      <c r="JI126" s="169"/>
      <c r="JM126" s="169"/>
      <c r="JQ126" s="169"/>
      <c r="JU126" s="169"/>
      <c r="JY126" s="169"/>
      <c r="KC126" s="169"/>
      <c r="KG126" s="169"/>
      <c r="KK126" s="169"/>
      <c r="KO126" s="169"/>
      <c r="KS126" s="169"/>
      <c r="KW126" s="169"/>
      <c r="LA126" s="169"/>
      <c r="LE126" s="169"/>
      <c r="LI126" s="169"/>
      <c r="LM126" s="169"/>
      <c r="LQ126" s="169"/>
      <c r="LU126" s="169"/>
      <c r="LY126" s="169"/>
      <c r="MC126" s="169"/>
      <c r="MG126" s="169"/>
      <c r="MK126" s="169"/>
      <c r="MO126" s="169"/>
      <c r="MS126" s="169"/>
      <c r="MW126" s="169"/>
      <c r="NA126" s="169"/>
      <c r="NE126" s="169"/>
      <c r="NI126" s="169"/>
      <c r="NM126" s="169"/>
      <c r="NQ126" s="169"/>
      <c r="NU126" s="169"/>
      <c r="NY126" s="169"/>
      <c r="OC126" s="169"/>
      <c r="OG126" s="169"/>
      <c r="OK126" s="169"/>
      <c r="OO126" s="169"/>
      <c r="OS126" s="169"/>
      <c r="OW126" s="169"/>
      <c r="PA126" s="169"/>
      <c r="PE126" s="169"/>
      <c r="PI126" s="169"/>
      <c r="PM126" s="169"/>
      <c r="PQ126" s="169"/>
      <c r="PU126" s="169"/>
      <c r="PY126" s="169"/>
      <c r="QC126" s="169"/>
      <c r="QG126" s="169"/>
      <c r="QK126" s="169"/>
      <c r="QO126" s="169"/>
      <c r="QS126" s="169"/>
      <c r="QW126" s="169"/>
      <c r="RA126" s="169"/>
      <c r="RE126" s="169"/>
      <c r="RI126" s="169"/>
      <c r="RM126" s="169"/>
      <c r="RQ126" s="169"/>
      <c r="RU126" s="169"/>
      <c r="RY126" s="169"/>
      <c r="SC126" s="169"/>
      <c r="SG126" s="169"/>
      <c r="SK126" s="169"/>
      <c r="SO126" s="169"/>
      <c r="SS126" s="169"/>
      <c r="SW126" s="169"/>
      <c r="TA126" s="169"/>
      <c r="TE126" s="169"/>
      <c r="TI126" s="169"/>
      <c r="TM126" s="169"/>
      <c r="TQ126" s="169"/>
      <c r="TU126" s="169"/>
      <c r="TY126" s="169"/>
      <c r="UC126" s="169"/>
      <c r="UG126" s="169"/>
      <c r="UK126" s="169"/>
      <c r="UO126" s="169"/>
      <c r="US126" s="169"/>
      <c r="UW126" s="169"/>
      <c r="VA126" s="169"/>
      <c r="VE126" s="169"/>
      <c r="VI126" s="169"/>
      <c r="VM126" s="169"/>
      <c r="VQ126" s="169"/>
      <c r="VU126" s="169"/>
      <c r="VY126" s="169"/>
      <c r="WC126" s="169"/>
      <c r="WG126" s="169"/>
      <c r="WK126" s="169"/>
      <c r="WO126" s="169"/>
      <c r="WS126" s="169"/>
      <c r="WW126" s="169"/>
      <c r="XA126" s="169"/>
      <c r="XE126" s="169"/>
      <c r="XI126" s="169"/>
      <c r="XM126" s="169"/>
      <c r="XQ126" s="169"/>
      <c r="XU126" s="169"/>
      <c r="XY126" s="169"/>
      <c r="YC126" s="169"/>
      <c r="YG126" s="169"/>
      <c r="YK126" s="169"/>
      <c r="YO126" s="169"/>
      <c r="YS126" s="169"/>
      <c r="YW126" s="169"/>
      <c r="ZA126" s="169"/>
      <c r="ZE126" s="169"/>
      <c r="ZI126" s="169"/>
      <c r="ZM126" s="169"/>
      <c r="ZQ126" s="169"/>
      <c r="ZU126" s="169"/>
      <c r="ZY126" s="169"/>
      <c r="AAC126" s="169"/>
      <c r="AAG126" s="169"/>
      <c r="AAK126" s="169"/>
      <c r="AAO126" s="169"/>
      <c r="AAS126" s="169"/>
      <c r="AAW126" s="169"/>
      <c r="ABA126" s="169"/>
      <c r="ABE126" s="169"/>
      <c r="ABI126" s="169"/>
      <c r="ABM126" s="169"/>
      <c r="ABQ126" s="169"/>
      <c r="ABU126" s="169"/>
      <c r="ABY126" s="169"/>
      <c r="ACC126" s="169"/>
      <c r="ACG126" s="169"/>
      <c r="ACK126" s="169"/>
      <c r="ACO126" s="169"/>
      <c r="ACS126" s="169"/>
      <c r="ACW126" s="169"/>
      <c r="ADA126" s="169"/>
      <c r="ADE126" s="169"/>
      <c r="ADI126" s="169"/>
      <c r="ADM126" s="169"/>
      <c r="ADQ126" s="169"/>
      <c r="ADU126" s="169"/>
      <c r="ADY126" s="169"/>
      <c r="AEC126" s="169"/>
      <c r="AEG126" s="169"/>
      <c r="AEK126" s="169"/>
      <c r="AEO126" s="169"/>
      <c r="AES126" s="169"/>
      <c r="AEW126" s="169"/>
      <c r="AFA126" s="169"/>
      <c r="AFE126" s="169"/>
      <c r="AFI126" s="169"/>
      <c r="AFM126" s="169"/>
      <c r="AFQ126" s="169"/>
      <c r="AFU126" s="169"/>
      <c r="AFY126" s="169"/>
      <c r="AGC126" s="169"/>
      <c r="AGG126" s="169"/>
      <c r="AGK126" s="169"/>
      <c r="AGO126" s="169"/>
      <c r="AGS126" s="169"/>
      <c r="AGW126" s="169"/>
      <c r="AHA126" s="169"/>
      <c r="AHE126" s="169"/>
      <c r="AHI126" s="169"/>
      <c r="AHM126" s="169"/>
      <c r="AHQ126" s="169"/>
      <c r="AHU126" s="169"/>
      <c r="AHY126" s="169"/>
      <c r="AIC126" s="169"/>
      <c r="AIG126" s="169"/>
      <c r="AIK126" s="169"/>
      <c r="AIO126" s="169"/>
      <c r="AIS126" s="169"/>
      <c r="AIW126" s="169"/>
      <c r="AJA126" s="169"/>
      <c r="AJE126" s="169"/>
      <c r="AJI126" s="169"/>
      <c r="AJM126" s="169"/>
      <c r="AJQ126" s="169"/>
      <c r="AJU126" s="169"/>
      <c r="AJY126" s="169"/>
      <c r="AKC126" s="169"/>
      <c r="AKG126" s="169"/>
      <c r="AKK126" s="169"/>
      <c r="AKO126" s="169"/>
      <c r="AKS126" s="169"/>
      <c r="AKW126" s="169"/>
      <c r="ALA126" s="169"/>
      <c r="ALE126" s="169"/>
      <c r="ALI126" s="169"/>
      <c r="ALM126" s="169"/>
      <c r="ALQ126" s="169"/>
      <c r="ALU126" s="169"/>
      <c r="ALY126" s="169"/>
      <c r="AMC126" s="169"/>
      <c r="AMG126" s="169"/>
      <c r="AMK126" s="169"/>
      <c r="AMO126" s="169"/>
      <c r="AMS126" s="169"/>
      <c r="AMW126" s="169"/>
      <c r="ANA126" s="169"/>
      <c r="ANE126" s="169"/>
      <c r="ANI126" s="169"/>
      <c r="ANM126" s="169"/>
      <c r="ANQ126" s="169"/>
      <c r="ANU126" s="169"/>
      <c r="ANY126" s="169"/>
      <c r="AOC126" s="169"/>
      <c r="AOG126" s="169"/>
      <c r="AOK126" s="169"/>
      <c r="AOO126" s="169"/>
      <c r="AOS126" s="169"/>
      <c r="AOW126" s="169"/>
      <c r="APA126" s="169"/>
      <c r="APE126" s="169"/>
      <c r="API126" s="169"/>
      <c r="APM126" s="169"/>
      <c r="APQ126" s="169"/>
      <c r="APU126" s="169"/>
      <c r="APY126" s="169"/>
      <c r="AQC126" s="169"/>
      <c r="AQG126" s="169"/>
      <c r="AQK126" s="169"/>
      <c r="AQO126" s="169"/>
      <c r="AQS126" s="169"/>
      <c r="AQW126" s="169"/>
      <c r="ARA126" s="169"/>
      <c r="ARE126" s="169"/>
      <c r="ARI126" s="169"/>
      <c r="ARM126" s="169"/>
      <c r="ARQ126" s="169"/>
      <c r="ARU126" s="169"/>
      <c r="ARY126" s="169"/>
      <c r="ASC126" s="169"/>
      <c r="ASG126" s="169"/>
      <c r="ASK126" s="169"/>
      <c r="ASO126" s="169"/>
      <c r="ASS126" s="169"/>
      <c r="ASW126" s="169"/>
      <c r="ATA126" s="169"/>
      <c r="ATE126" s="169"/>
      <c r="ATI126" s="169"/>
      <c r="ATM126" s="169"/>
      <c r="ATQ126" s="169"/>
      <c r="ATU126" s="169"/>
      <c r="ATY126" s="169"/>
      <c r="AUC126" s="169"/>
      <c r="AUG126" s="169"/>
      <c r="AUK126" s="169"/>
      <c r="AUO126" s="169"/>
      <c r="AUS126" s="169"/>
      <c r="AUW126" s="169"/>
      <c r="AVA126" s="169"/>
      <c r="AVE126" s="169"/>
      <c r="AVI126" s="169"/>
      <c r="AVM126" s="169"/>
      <c r="AVQ126" s="169"/>
      <c r="AVU126" s="169"/>
      <c r="AVY126" s="169"/>
      <c r="AWC126" s="169"/>
      <c r="AWG126" s="169"/>
      <c r="AWK126" s="169"/>
      <c r="AWO126" s="169"/>
      <c r="AWS126" s="169"/>
      <c r="AWW126" s="169"/>
      <c r="AXA126" s="169"/>
      <c r="AXE126" s="169"/>
      <c r="AXI126" s="169"/>
      <c r="AXM126" s="169"/>
      <c r="AXQ126" s="169"/>
      <c r="AXU126" s="169"/>
      <c r="AXY126" s="169"/>
      <c r="AYC126" s="169"/>
      <c r="AYG126" s="169"/>
      <c r="AYK126" s="169"/>
      <c r="AYO126" s="169"/>
      <c r="AYS126" s="169"/>
      <c r="AYW126" s="169"/>
      <c r="AZA126" s="169"/>
      <c r="AZE126" s="169"/>
      <c r="AZI126" s="169"/>
      <c r="AZM126" s="169"/>
      <c r="AZQ126" s="169"/>
      <c r="AZU126" s="169"/>
      <c r="AZY126" s="169"/>
      <c r="BAC126" s="169"/>
      <c r="BAG126" s="169"/>
      <c r="BAK126" s="169"/>
      <c r="BAO126" s="169"/>
      <c r="BAS126" s="169"/>
      <c r="BAW126" s="169"/>
      <c r="BBA126" s="169"/>
      <c r="BBE126" s="169"/>
      <c r="BBI126" s="169"/>
      <c r="BBM126" s="169"/>
      <c r="BBQ126" s="169"/>
      <c r="BBU126" s="169"/>
      <c r="BBY126" s="169"/>
      <c r="BCC126" s="169"/>
      <c r="BCG126" s="169"/>
      <c r="BCK126" s="169"/>
      <c r="BCO126" s="169"/>
      <c r="BCS126" s="169"/>
      <c r="BCW126" s="169"/>
      <c r="BDA126" s="169"/>
      <c r="BDE126" s="169"/>
      <c r="BDI126" s="169"/>
      <c r="BDM126" s="169"/>
      <c r="BDQ126" s="169"/>
      <c r="BDU126" s="169"/>
      <c r="BDY126" s="169"/>
      <c r="BEC126" s="169"/>
      <c r="BEG126" s="169"/>
      <c r="BEK126" s="169"/>
      <c r="BEO126" s="169"/>
      <c r="BES126" s="169"/>
      <c r="BEW126" s="169"/>
      <c r="BFA126" s="169"/>
      <c r="BFE126" s="169"/>
      <c r="BFI126" s="169"/>
      <c r="BFM126" s="169"/>
      <c r="BFQ126" s="169"/>
      <c r="BFU126" s="169"/>
      <c r="BFY126" s="169"/>
      <c r="BGC126" s="169"/>
      <c r="BGG126" s="169"/>
      <c r="BGK126" s="169"/>
      <c r="BGO126" s="169"/>
      <c r="BGS126" s="169"/>
      <c r="BGW126" s="169"/>
      <c r="BHA126" s="169"/>
      <c r="BHE126" s="169"/>
      <c r="BHI126" s="169"/>
      <c r="BHM126" s="169"/>
      <c r="BHQ126" s="169"/>
      <c r="BHU126" s="169"/>
      <c r="BHY126" s="169"/>
      <c r="BIC126" s="169"/>
      <c r="BIG126" s="169"/>
      <c r="BIK126" s="169"/>
      <c r="BIO126" s="169"/>
      <c r="BIS126" s="169"/>
      <c r="BIW126" s="169"/>
      <c r="BJA126" s="169"/>
      <c r="BJE126" s="169"/>
      <c r="BJI126" s="169"/>
      <c r="BJM126" s="169"/>
      <c r="BJQ126" s="169"/>
      <c r="BJU126" s="169"/>
      <c r="BJY126" s="169"/>
      <c r="BKC126" s="169"/>
      <c r="BKG126" s="169"/>
      <c r="BKK126" s="169"/>
      <c r="BKO126" s="169"/>
      <c r="BKS126" s="169"/>
      <c r="BKW126" s="169"/>
      <c r="BLA126" s="169"/>
      <c r="BLE126" s="169"/>
      <c r="BLI126" s="169"/>
      <c r="BLM126" s="169"/>
      <c r="BLQ126" s="169"/>
      <c r="BLU126" s="169"/>
      <c r="BLY126" s="169"/>
      <c r="BMC126" s="169"/>
      <c r="BMG126" s="169"/>
      <c r="BMK126" s="169"/>
      <c r="BMO126" s="169"/>
      <c r="BMS126" s="169"/>
      <c r="BMW126" s="169"/>
      <c r="BNA126" s="169"/>
      <c r="BNE126" s="169"/>
      <c r="BNI126" s="169"/>
      <c r="BNM126" s="169"/>
      <c r="BNQ126" s="169"/>
      <c r="BNU126" s="169"/>
      <c r="BNY126" s="169"/>
      <c r="BOC126" s="169"/>
      <c r="BOG126" s="169"/>
      <c r="BOK126" s="169"/>
      <c r="BOO126" s="169"/>
      <c r="BOS126" s="169"/>
      <c r="BOW126" s="169"/>
      <c r="BPA126" s="169"/>
      <c r="BPE126" s="169"/>
      <c r="BPI126" s="169"/>
      <c r="BPM126" s="169"/>
      <c r="BPQ126" s="169"/>
      <c r="BPU126" s="169"/>
      <c r="BPY126" s="169"/>
      <c r="BQC126" s="169"/>
      <c r="BQG126" s="169"/>
      <c r="BQK126" s="169"/>
      <c r="BQO126" s="169"/>
      <c r="BQS126" s="169"/>
      <c r="BQW126" s="169"/>
      <c r="BRA126" s="169"/>
      <c r="BRE126" s="169"/>
      <c r="BRI126" s="169"/>
      <c r="BRM126" s="169"/>
      <c r="BRQ126" s="169"/>
      <c r="BRU126" s="169"/>
      <c r="BRY126" s="169"/>
      <c r="BSC126" s="169"/>
      <c r="BSG126" s="169"/>
      <c r="BSK126" s="169"/>
      <c r="BSO126" s="169"/>
      <c r="BSS126" s="169"/>
      <c r="BSW126" s="169"/>
      <c r="BTA126" s="169"/>
      <c r="BTE126" s="169"/>
      <c r="BTI126" s="169"/>
      <c r="BTM126" s="169"/>
      <c r="BTQ126" s="169"/>
      <c r="BTU126" s="169"/>
      <c r="BTY126" s="169"/>
      <c r="BUC126" s="169"/>
      <c r="BUG126" s="169"/>
      <c r="BUK126" s="169"/>
      <c r="BUO126" s="169"/>
      <c r="BUS126" s="169"/>
      <c r="BUW126" s="169"/>
      <c r="BVA126" s="169"/>
      <c r="BVE126" s="169"/>
      <c r="BVI126" s="169"/>
      <c r="BVM126" s="169"/>
      <c r="BVQ126" s="169"/>
      <c r="BVU126" s="169"/>
      <c r="BVY126" s="169"/>
      <c r="BWC126" s="169"/>
      <c r="BWG126" s="169"/>
      <c r="BWK126" s="169"/>
      <c r="BWO126" s="169"/>
      <c r="BWS126" s="169"/>
      <c r="BWW126" s="169"/>
      <c r="BXA126" s="169"/>
      <c r="BXE126" s="169"/>
      <c r="BXI126" s="169"/>
      <c r="BXM126" s="169"/>
      <c r="BXQ126" s="169"/>
      <c r="BXU126" s="169"/>
      <c r="BXY126" s="169"/>
      <c r="BYC126" s="169"/>
      <c r="BYG126" s="169"/>
      <c r="BYK126" s="169"/>
      <c r="BYO126" s="169"/>
      <c r="BYS126" s="169"/>
      <c r="BYW126" s="169"/>
      <c r="BZA126" s="169"/>
      <c r="BZE126" s="169"/>
      <c r="BZI126" s="169"/>
      <c r="BZM126" s="169"/>
      <c r="BZQ126" s="169"/>
      <c r="BZU126" s="169"/>
      <c r="BZY126" s="169"/>
      <c r="CAC126" s="169"/>
      <c r="CAG126" s="169"/>
      <c r="CAK126" s="169"/>
      <c r="CAO126" s="169"/>
      <c r="CAS126" s="169"/>
      <c r="CAW126" s="169"/>
      <c r="CBA126" s="169"/>
      <c r="CBE126" s="169"/>
      <c r="CBI126" s="169"/>
      <c r="CBM126" s="169"/>
      <c r="CBQ126" s="169"/>
      <c r="CBU126" s="169"/>
      <c r="CBY126" s="169"/>
      <c r="CCC126" s="169"/>
      <c r="CCG126" s="169"/>
      <c r="CCK126" s="169"/>
      <c r="CCO126" s="169"/>
      <c r="CCS126" s="169"/>
      <c r="CCW126" s="169"/>
      <c r="CDA126" s="169"/>
      <c r="CDE126" s="169"/>
      <c r="CDI126" s="169"/>
      <c r="CDM126" s="169"/>
      <c r="CDQ126" s="169"/>
      <c r="CDU126" s="169"/>
      <c r="CDY126" s="169"/>
      <c r="CEC126" s="169"/>
      <c r="CEG126" s="169"/>
      <c r="CEK126" s="169"/>
      <c r="CEO126" s="169"/>
      <c r="CES126" s="169"/>
      <c r="CEW126" s="169"/>
      <c r="CFA126" s="169"/>
      <c r="CFE126" s="169"/>
      <c r="CFI126" s="169"/>
      <c r="CFM126" s="169"/>
      <c r="CFQ126" s="169"/>
      <c r="CFU126" s="169"/>
      <c r="CFY126" s="169"/>
      <c r="CGC126" s="169"/>
      <c r="CGG126" s="169"/>
      <c r="CGK126" s="169"/>
      <c r="CGO126" s="169"/>
      <c r="CGS126" s="169"/>
      <c r="CGW126" s="169"/>
      <c r="CHA126" s="169"/>
      <c r="CHE126" s="169"/>
      <c r="CHI126" s="169"/>
      <c r="CHM126" s="169"/>
      <c r="CHQ126" s="169"/>
      <c r="CHU126" s="169"/>
      <c r="CHY126" s="169"/>
      <c r="CIC126" s="169"/>
      <c r="CIG126" s="169"/>
      <c r="CIK126" s="169"/>
      <c r="CIO126" s="169"/>
      <c r="CIS126" s="169"/>
      <c r="CIW126" s="169"/>
      <c r="CJA126" s="169"/>
      <c r="CJE126" s="169"/>
      <c r="CJI126" s="169"/>
      <c r="CJM126" s="169"/>
      <c r="CJQ126" s="169"/>
      <c r="CJU126" s="169"/>
      <c r="CJY126" s="169"/>
      <c r="CKC126" s="169"/>
      <c r="CKG126" s="169"/>
      <c r="CKK126" s="169"/>
      <c r="CKO126" s="169"/>
      <c r="CKS126" s="169"/>
      <c r="CKW126" s="169"/>
      <c r="CLA126" s="169"/>
      <c r="CLE126" s="169"/>
      <c r="CLI126" s="169"/>
      <c r="CLM126" s="169"/>
      <c r="CLQ126" s="169"/>
      <c r="CLU126" s="169"/>
      <c r="CLY126" s="169"/>
      <c r="CMC126" s="169"/>
      <c r="CMG126" s="169"/>
      <c r="CMK126" s="169"/>
      <c r="CMO126" s="169"/>
      <c r="CMS126" s="169"/>
      <c r="CMW126" s="169"/>
      <c r="CNA126" s="169"/>
      <c r="CNE126" s="169"/>
      <c r="CNI126" s="169"/>
      <c r="CNM126" s="169"/>
      <c r="CNQ126" s="169"/>
      <c r="CNU126" s="169"/>
      <c r="CNY126" s="169"/>
      <c r="COC126" s="169"/>
      <c r="COG126" s="169"/>
      <c r="COK126" s="169"/>
      <c r="COO126" s="169"/>
      <c r="COS126" s="169"/>
      <c r="COW126" s="169"/>
      <c r="CPA126" s="169"/>
      <c r="CPE126" s="169"/>
      <c r="CPI126" s="169"/>
      <c r="CPM126" s="169"/>
      <c r="CPQ126" s="169"/>
      <c r="CPU126" s="169"/>
      <c r="CPY126" s="169"/>
      <c r="CQC126" s="169"/>
      <c r="CQG126" s="169"/>
      <c r="CQK126" s="169"/>
      <c r="CQO126" s="169"/>
      <c r="CQS126" s="169"/>
      <c r="CQW126" s="169"/>
      <c r="CRA126" s="169"/>
      <c r="CRE126" s="169"/>
      <c r="CRI126" s="169"/>
      <c r="CRM126" s="169"/>
      <c r="CRQ126" s="169"/>
      <c r="CRU126" s="169"/>
      <c r="CRY126" s="169"/>
      <c r="CSC126" s="169"/>
      <c r="CSG126" s="169"/>
      <c r="CSK126" s="169"/>
      <c r="CSO126" s="169"/>
      <c r="CSS126" s="169"/>
      <c r="CSW126" s="169"/>
      <c r="CTA126" s="169"/>
      <c r="CTE126" s="169"/>
      <c r="CTI126" s="169"/>
      <c r="CTM126" s="169"/>
      <c r="CTQ126" s="169"/>
      <c r="CTU126" s="169"/>
      <c r="CTY126" s="169"/>
      <c r="CUC126" s="169"/>
      <c r="CUG126" s="169"/>
      <c r="CUK126" s="169"/>
      <c r="CUO126" s="169"/>
      <c r="CUS126" s="169"/>
      <c r="CUW126" s="169"/>
      <c r="CVA126" s="169"/>
      <c r="CVE126" s="169"/>
      <c r="CVI126" s="169"/>
      <c r="CVM126" s="169"/>
      <c r="CVQ126" s="169"/>
      <c r="CVU126" s="169"/>
      <c r="CVY126" s="169"/>
      <c r="CWC126" s="169"/>
      <c r="CWG126" s="169"/>
      <c r="CWK126" s="169"/>
      <c r="CWO126" s="169"/>
      <c r="CWS126" s="169"/>
      <c r="CWW126" s="169"/>
      <c r="CXA126" s="169"/>
      <c r="CXE126" s="169"/>
      <c r="CXI126" s="169"/>
      <c r="CXM126" s="169"/>
      <c r="CXQ126" s="169"/>
      <c r="CXU126" s="169"/>
      <c r="CXY126" s="169"/>
      <c r="CYC126" s="169"/>
      <c r="CYG126" s="169"/>
      <c r="CYK126" s="169"/>
      <c r="CYO126" s="169"/>
      <c r="CYS126" s="169"/>
      <c r="CYW126" s="169"/>
      <c r="CZA126" s="169"/>
      <c r="CZE126" s="169"/>
      <c r="CZI126" s="169"/>
      <c r="CZM126" s="169"/>
      <c r="CZQ126" s="169"/>
      <c r="CZU126" s="169"/>
      <c r="CZY126" s="169"/>
      <c r="DAC126" s="169"/>
      <c r="DAG126" s="169"/>
      <c r="DAK126" s="169"/>
      <c r="DAO126" s="169"/>
      <c r="DAS126" s="169"/>
      <c r="DAW126" s="169"/>
      <c r="DBA126" s="169"/>
      <c r="DBE126" s="169"/>
      <c r="DBI126" s="169"/>
      <c r="DBM126" s="169"/>
      <c r="DBQ126" s="169"/>
      <c r="DBU126" s="169"/>
      <c r="DBY126" s="169"/>
      <c r="DCC126" s="169"/>
      <c r="DCG126" s="169"/>
      <c r="DCK126" s="169"/>
      <c r="DCO126" s="169"/>
      <c r="DCS126" s="169"/>
      <c r="DCW126" s="169"/>
      <c r="DDA126" s="169"/>
      <c r="DDE126" s="169"/>
      <c r="DDI126" s="169"/>
      <c r="DDM126" s="169"/>
      <c r="DDQ126" s="169"/>
      <c r="DDU126" s="169"/>
      <c r="DDY126" s="169"/>
      <c r="DEC126" s="169"/>
      <c r="DEG126" s="169"/>
      <c r="DEK126" s="169"/>
      <c r="DEO126" s="169"/>
      <c r="DES126" s="169"/>
      <c r="DEW126" s="169"/>
      <c r="DFA126" s="169"/>
      <c r="DFE126" s="169"/>
      <c r="DFI126" s="169"/>
      <c r="DFM126" s="169"/>
      <c r="DFQ126" s="169"/>
      <c r="DFU126" s="169"/>
      <c r="DFY126" s="169"/>
      <c r="DGC126" s="169"/>
      <c r="DGG126" s="169"/>
      <c r="DGK126" s="169"/>
      <c r="DGO126" s="169"/>
      <c r="DGS126" s="169"/>
      <c r="DGW126" s="169"/>
      <c r="DHA126" s="169"/>
      <c r="DHE126" s="169"/>
      <c r="DHI126" s="169"/>
      <c r="DHM126" s="169"/>
      <c r="DHQ126" s="169"/>
      <c r="DHU126" s="169"/>
      <c r="DHY126" s="169"/>
      <c r="DIC126" s="169"/>
      <c r="DIG126" s="169"/>
      <c r="DIK126" s="169"/>
      <c r="DIO126" s="169"/>
      <c r="DIS126" s="169"/>
      <c r="DIW126" s="169"/>
      <c r="DJA126" s="169"/>
      <c r="DJE126" s="169"/>
      <c r="DJI126" s="169"/>
      <c r="DJM126" s="169"/>
      <c r="DJQ126" s="169"/>
      <c r="DJU126" s="169"/>
      <c r="DJY126" s="169"/>
      <c r="DKC126" s="169"/>
      <c r="DKG126" s="169"/>
      <c r="DKK126" s="169"/>
      <c r="DKO126" s="169"/>
      <c r="DKS126" s="169"/>
      <c r="DKW126" s="169"/>
      <c r="DLA126" s="169"/>
      <c r="DLE126" s="169"/>
      <c r="DLI126" s="169"/>
      <c r="DLM126" s="169"/>
      <c r="DLQ126" s="169"/>
      <c r="DLU126" s="169"/>
      <c r="DLY126" s="169"/>
      <c r="DMC126" s="169"/>
      <c r="DMG126" s="169"/>
      <c r="DMK126" s="169"/>
      <c r="DMO126" s="169"/>
      <c r="DMS126" s="169"/>
      <c r="DMW126" s="169"/>
      <c r="DNA126" s="169"/>
      <c r="DNE126" s="169"/>
      <c r="DNI126" s="169"/>
      <c r="DNM126" s="169"/>
      <c r="DNQ126" s="169"/>
      <c r="DNU126" s="169"/>
      <c r="DNY126" s="169"/>
      <c r="DOC126" s="169"/>
      <c r="DOG126" s="169"/>
      <c r="DOK126" s="169"/>
      <c r="DOO126" s="169"/>
      <c r="DOS126" s="169"/>
      <c r="DOW126" s="169"/>
      <c r="DPA126" s="169"/>
      <c r="DPE126" s="169"/>
      <c r="DPI126" s="169"/>
      <c r="DPM126" s="169"/>
      <c r="DPQ126" s="169"/>
      <c r="DPU126" s="169"/>
      <c r="DPY126" s="169"/>
      <c r="DQC126" s="169"/>
      <c r="DQG126" s="169"/>
      <c r="DQK126" s="169"/>
      <c r="DQO126" s="169"/>
      <c r="DQS126" s="169"/>
      <c r="DQW126" s="169"/>
      <c r="DRA126" s="169"/>
      <c r="DRE126" s="169"/>
      <c r="DRI126" s="169"/>
      <c r="DRM126" s="169"/>
      <c r="DRQ126" s="169"/>
      <c r="DRU126" s="169"/>
      <c r="DRY126" s="169"/>
      <c r="DSC126" s="169"/>
      <c r="DSG126" s="169"/>
      <c r="DSK126" s="169"/>
      <c r="DSO126" s="169"/>
      <c r="DSS126" s="169"/>
      <c r="DSW126" s="169"/>
      <c r="DTA126" s="169"/>
      <c r="DTE126" s="169"/>
      <c r="DTI126" s="169"/>
      <c r="DTM126" s="169"/>
      <c r="DTQ126" s="169"/>
      <c r="DTU126" s="169"/>
      <c r="DTY126" s="169"/>
      <c r="DUC126" s="169"/>
      <c r="DUG126" s="169"/>
      <c r="DUK126" s="169"/>
      <c r="DUO126" s="169"/>
      <c r="DUS126" s="169"/>
      <c r="DUW126" s="169"/>
      <c r="DVA126" s="169"/>
      <c r="DVE126" s="169"/>
      <c r="DVI126" s="169"/>
      <c r="DVM126" s="169"/>
      <c r="DVQ126" s="169"/>
      <c r="DVU126" s="169"/>
      <c r="DVY126" s="169"/>
      <c r="DWC126" s="169"/>
      <c r="DWG126" s="169"/>
      <c r="DWK126" s="169"/>
      <c r="DWO126" s="169"/>
      <c r="DWS126" s="169"/>
      <c r="DWW126" s="169"/>
      <c r="DXA126" s="169"/>
      <c r="DXE126" s="169"/>
      <c r="DXI126" s="169"/>
      <c r="DXM126" s="169"/>
      <c r="DXQ126" s="169"/>
      <c r="DXU126" s="169"/>
      <c r="DXY126" s="169"/>
      <c r="DYC126" s="169"/>
      <c r="DYG126" s="169"/>
      <c r="DYK126" s="169"/>
      <c r="DYO126" s="169"/>
      <c r="DYS126" s="169"/>
      <c r="DYW126" s="169"/>
      <c r="DZA126" s="169"/>
      <c r="DZE126" s="169"/>
      <c r="DZI126" s="169"/>
      <c r="DZM126" s="169"/>
      <c r="DZQ126" s="169"/>
      <c r="DZU126" s="169"/>
      <c r="DZY126" s="169"/>
      <c r="EAC126" s="169"/>
      <c r="EAG126" s="169"/>
      <c r="EAK126" s="169"/>
      <c r="EAO126" s="169"/>
      <c r="EAS126" s="169"/>
      <c r="EAW126" s="169"/>
      <c r="EBA126" s="169"/>
      <c r="EBE126" s="169"/>
      <c r="EBI126" s="169"/>
      <c r="EBM126" s="169"/>
      <c r="EBQ126" s="169"/>
      <c r="EBU126" s="169"/>
      <c r="EBY126" s="169"/>
      <c r="ECC126" s="169"/>
      <c r="ECG126" s="169"/>
      <c r="ECK126" s="169"/>
      <c r="ECO126" s="169"/>
      <c r="ECS126" s="169"/>
      <c r="ECW126" s="169"/>
      <c r="EDA126" s="169"/>
      <c r="EDE126" s="169"/>
      <c r="EDI126" s="169"/>
      <c r="EDM126" s="169"/>
      <c r="EDQ126" s="169"/>
      <c r="EDU126" s="169"/>
      <c r="EDY126" s="169"/>
      <c r="EEC126" s="169"/>
      <c r="EEG126" s="169"/>
      <c r="EEK126" s="169"/>
      <c r="EEO126" s="169"/>
      <c r="EES126" s="169"/>
      <c r="EEW126" s="169"/>
      <c r="EFA126" s="169"/>
      <c r="EFE126" s="169"/>
      <c r="EFI126" s="169"/>
      <c r="EFM126" s="169"/>
      <c r="EFQ126" s="169"/>
      <c r="EFU126" s="169"/>
      <c r="EFY126" s="169"/>
      <c r="EGC126" s="169"/>
      <c r="EGG126" s="169"/>
      <c r="EGK126" s="169"/>
      <c r="EGO126" s="169"/>
      <c r="EGS126" s="169"/>
      <c r="EGW126" s="169"/>
      <c r="EHA126" s="169"/>
      <c r="EHE126" s="169"/>
      <c r="EHI126" s="169"/>
      <c r="EHM126" s="169"/>
      <c r="EHQ126" s="169"/>
      <c r="EHU126" s="169"/>
      <c r="EHY126" s="169"/>
      <c r="EIC126" s="169"/>
      <c r="EIG126" s="169"/>
      <c r="EIK126" s="169"/>
      <c r="EIO126" s="169"/>
      <c r="EIS126" s="169"/>
      <c r="EIW126" s="169"/>
      <c r="EJA126" s="169"/>
      <c r="EJE126" s="169"/>
      <c r="EJI126" s="169"/>
      <c r="EJM126" s="169"/>
      <c r="EJQ126" s="169"/>
      <c r="EJU126" s="169"/>
      <c r="EJY126" s="169"/>
      <c r="EKC126" s="169"/>
      <c r="EKG126" s="169"/>
      <c r="EKK126" s="169"/>
      <c r="EKO126" s="169"/>
      <c r="EKS126" s="169"/>
      <c r="EKW126" s="169"/>
      <c r="ELA126" s="169"/>
      <c r="ELE126" s="169"/>
      <c r="ELI126" s="169"/>
      <c r="ELM126" s="169"/>
      <c r="ELQ126" s="169"/>
      <c r="ELU126" s="169"/>
      <c r="ELY126" s="169"/>
      <c r="EMC126" s="169"/>
      <c r="EMG126" s="169"/>
      <c r="EMK126" s="169"/>
      <c r="EMO126" s="169"/>
      <c r="EMS126" s="169"/>
      <c r="EMW126" s="169"/>
      <c r="ENA126" s="169"/>
      <c r="ENE126" s="169"/>
      <c r="ENI126" s="169"/>
      <c r="ENM126" s="169"/>
      <c r="ENQ126" s="169"/>
      <c r="ENU126" s="169"/>
      <c r="ENY126" s="169"/>
      <c r="EOC126" s="169"/>
      <c r="EOG126" s="169"/>
      <c r="EOK126" s="169"/>
      <c r="EOO126" s="169"/>
      <c r="EOS126" s="169"/>
      <c r="EOW126" s="169"/>
      <c r="EPA126" s="169"/>
      <c r="EPE126" s="169"/>
      <c r="EPI126" s="169"/>
      <c r="EPM126" s="169"/>
      <c r="EPQ126" s="169"/>
      <c r="EPU126" s="169"/>
      <c r="EPY126" s="169"/>
      <c r="EQC126" s="169"/>
      <c r="EQG126" s="169"/>
      <c r="EQK126" s="169"/>
      <c r="EQO126" s="169"/>
      <c r="EQS126" s="169"/>
      <c r="EQW126" s="169"/>
      <c r="ERA126" s="169"/>
      <c r="ERE126" s="169"/>
      <c r="ERI126" s="169"/>
      <c r="ERM126" s="169"/>
      <c r="ERQ126" s="169"/>
      <c r="ERU126" s="169"/>
      <c r="ERY126" s="169"/>
      <c r="ESC126" s="169"/>
      <c r="ESG126" s="169"/>
      <c r="ESK126" s="169"/>
      <c r="ESO126" s="169"/>
      <c r="ESS126" s="169"/>
      <c r="ESW126" s="169"/>
      <c r="ETA126" s="169"/>
      <c r="ETE126" s="169"/>
      <c r="ETI126" s="169"/>
      <c r="ETM126" s="169"/>
      <c r="ETQ126" s="169"/>
      <c r="ETU126" s="169"/>
      <c r="ETY126" s="169"/>
      <c r="EUC126" s="169"/>
      <c r="EUG126" s="169"/>
      <c r="EUK126" s="169"/>
      <c r="EUO126" s="169"/>
      <c r="EUS126" s="169"/>
      <c r="EUW126" s="169"/>
      <c r="EVA126" s="169"/>
      <c r="EVE126" s="169"/>
      <c r="EVI126" s="169"/>
      <c r="EVM126" s="169"/>
      <c r="EVQ126" s="169"/>
      <c r="EVU126" s="169"/>
      <c r="EVY126" s="169"/>
      <c r="EWC126" s="169"/>
      <c r="EWG126" s="169"/>
      <c r="EWK126" s="169"/>
      <c r="EWO126" s="169"/>
      <c r="EWS126" s="169"/>
      <c r="EWW126" s="169"/>
      <c r="EXA126" s="169"/>
      <c r="EXE126" s="169"/>
      <c r="EXI126" s="169"/>
      <c r="EXM126" s="169"/>
      <c r="EXQ126" s="169"/>
      <c r="EXU126" s="169"/>
      <c r="EXY126" s="169"/>
      <c r="EYC126" s="169"/>
      <c r="EYG126" s="169"/>
      <c r="EYK126" s="169"/>
      <c r="EYO126" s="169"/>
      <c r="EYS126" s="169"/>
      <c r="EYW126" s="169"/>
      <c r="EZA126" s="169"/>
      <c r="EZE126" s="169"/>
      <c r="EZI126" s="169"/>
      <c r="EZM126" s="169"/>
      <c r="EZQ126" s="169"/>
      <c r="EZU126" s="169"/>
      <c r="EZY126" s="169"/>
      <c r="FAC126" s="169"/>
      <c r="FAG126" s="169"/>
      <c r="FAK126" s="169"/>
      <c r="FAO126" s="169"/>
      <c r="FAS126" s="169"/>
      <c r="FAW126" s="169"/>
      <c r="FBA126" s="169"/>
      <c r="FBE126" s="169"/>
      <c r="FBI126" s="169"/>
      <c r="FBM126" s="169"/>
      <c r="FBQ126" s="169"/>
      <c r="FBU126" s="169"/>
      <c r="FBY126" s="169"/>
      <c r="FCC126" s="169"/>
      <c r="FCG126" s="169"/>
      <c r="FCK126" s="169"/>
      <c r="FCO126" s="169"/>
      <c r="FCS126" s="169"/>
      <c r="FCW126" s="169"/>
      <c r="FDA126" s="169"/>
      <c r="FDE126" s="169"/>
      <c r="FDI126" s="169"/>
      <c r="FDM126" s="169"/>
      <c r="FDQ126" s="169"/>
      <c r="FDU126" s="169"/>
      <c r="FDY126" s="169"/>
      <c r="FEC126" s="169"/>
      <c r="FEG126" s="169"/>
      <c r="FEK126" s="169"/>
      <c r="FEO126" s="169"/>
      <c r="FES126" s="169"/>
      <c r="FEW126" s="169"/>
      <c r="FFA126" s="169"/>
      <c r="FFE126" s="169"/>
      <c r="FFI126" s="169"/>
      <c r="FFM126" s="169"/>
      <c r="FFQ126" s="169"/>
      <c r="FFU126" s="169"/>
      <c r="FFY126" s="169"/>
      <c r="FGC126" s="169"/>
      <c r="FGG126" s="169"/>
      <c r="FGK126" s="169"/>
      <c r="FGO126" s="169"/>
      <c r="FGS126" s="169"/>
      <c r="FGW126" s="169"/>
      <c r="FHA126" s="169"/>
      <c r="FHE126" s="169"/>
      <c r="FHI126" s="169"/>
      <c r="FHM126" s="169"/>
      <c r="FHQ126" s="169"/>
      <c r="FHU126" s="169"/>
      <c r="FHY126" s="169"/>
      <c r="FIC126" s="169"/>
      <c r="FIG126" s="169"/>
      <c r="FIK126" s="169"/>
      <c r="FIO126" s="169"/>
      <c r="FIS126" s="169"/>
      <c r="FIW126" s="169"/>
      <c r="FJA126" s="169"/>
      <c r="FJE126" s="169"/>
      <c r="FJI126" s="169"/>
      <c r="FJM126" s="169"/>
      <c r="FJQ126" s="169"/>
      <c r="FJU126" s="169"/>
      <c r="FJY126" s="169"/>
      <c r="FKC126" s="169"/>
      <c r="FKG126" s="169"/>
      <c r="FKK126" s="169"/>
      <c r="FKO126" s="169"/>
      <c r="FKS126" s="169"/>
      <c r="FKW126" s="169"/>
      <c r="FLA126" s="169"/>
      <c r="FLE126" s="169"/>
      <c r="FLI126" s="169"/>
      <c r="FLM126" s="169"/>
      <c r="FLQ126" s="169"/>
      <c r="FLU126" s="169"/>
      <c r="FLY126" s="169"/>
      <c r="FMC126" s="169"/>
      <c r="FMG126" s="169"/>
      <c r="FMK126" s="169"/>
      <c r="FMO126" s="169"/>
      <c r="FMS126" s="169"/>
      <c r="FMW126" s="169"/>
      <c r="FNA126" s="169"/>
      <c r="FNE126" s="169"/>
      <c r="FNI126" s="169"/>
      <c r="FNM126" s="169"/>
      <c r="FNQ126" s="169"/>
      <c r="FNU126" s="169"/>
      <c r="FNY126" s="169"/>
      <c r="FOC126" s="169"/>
      <c r="FOG126" s="169"/>
      <c r="FOK126" s="169"/>
      <c r="FOO126" s="169"/>
      <c r="FOS126" s="169"/>
      <c r="FOW126" s="169"/>
      <c r="FPA126" s="169"/>
      <c r="FPE126" s="169"/>
      <c r="FPI126" s="169"/>
      <c r="FPM126" s="169"/>
      <c r="FPQ126" s="169"/>
      <c r="FPU126" s="169"/>
      <c r="FPY126" s="169"/>
      <c r="FQC126" s="169"/>
      <c r="FQG126" s="169"/>
      <c r="FQK126" s="169"/>
      <c r="FQO126" s="169"/>
      <c r="FQS126" s="169"/>
      <c r="FQW126" s="169"/>
      <c r="FRA126" s="169"/>
      <c r="FRE126" s="169"/>
      <c r="FRI126" s="169"/>
      <c r="FRM126" s="169"/>
      <c r="FRQ126" s="169"/>
      <c r="FRU126" s="169"/>
      <c r="FRY126" s="169"/>
      <c r="FSC126" s="169"/>
      <c r="FSG126" s="169"/>
      <c r="FSK126" s="169"/>
      <c r="FSO126" s="169"/>
      <c r="FSS126" s="169"/>
      <c r="FSW126" s="169"/>
      <c r="FTA126" s="169"/>
      <c r="FTE126" s="169"/>
      <c r="FTI126" s="169"/>
      <c r="FTM126" s="169"/>
      <c r="FTQ126" s="169"/>
      <c r="FTU126" s="169"/>
      <c r="FTY126" s="169"/>
      <c r="FUC126" s="169"/>
      <c r="FUG126" s="169"/>
      <c r="FUK126" s="169"/>
      <c r="FUO126" s="169"/>
      <c r="FUS126" s="169"/>
      <c r="FUW126" s="169"/>
      <c r="FVA126" s="169"/>
      <c r="FVE126" s="169"/>
      <c r="FVI126" s="169"/>
      <c r="FVM126" s="169"/>
      <c r="FVQ126" s="169"/>
      <c r="FVU126" s="169"/>
      <c r="FVY126" s="169"/>
      <c r="FWC126" s="169"/>
      <c r="FWG126" s="169"/>
      <c r="FWK126" s="169"/>
      <c r="FWO126" s="169"/>
      <c r="FWS126" s="169"/>
      <c r="FWW126" s="169"/>
      <c r="FXA126" s="169"/>
      <c r="FXE126" s="169"/>
      <c r="FXI126" s="169"/>
      <c r="FXM126" s="169"/>
      <c r="FXQ126" s="169"/>
      <c r="FXU126" s="169"/>
      <c r="FXY126" s="169"/>
      <c r="FYC126" s="169"/>
      <c r="FYG126" s="169"/>
      <c r="FYK126" s="169"/>
      <c r="FYO126" s="169"/>
      <c r="FYS126" s="169"/>
      <c r="FYW126" s="169"/>
      <c r="FZA126" s="169"/>
      <c r="FZE126" s="169"/>
      <c r="FZI126" s="169"/>
      <c r="FZM126" s="169"/>
      <c r="FZQ126" s="169"/>
      <c r="FZU126" s="169"/>
      <c r="FZY126" s="169"/>
      <c r="GAC126" s="169"/>
      <c r="GAG126" s="169"/>
      <c r="GAK126" s="169"/>
      <c r="GAO126" s="169"/>
      <c r="GAS126" s="169"/>
      <c r="GAW126" s="169"/>
      <c r="GBA126" s="169"/>
      <c r="GBE126" s="169"/>
      <c r="GBI126" s="169"/>
      <c r="GBM126" s="169"/>
      <c r="GBQ126" s="169"/>
      <c r="GBU126" s="169"/>
      <c r="GBY126" s="169"/>
      <c r="GCC126" s="169"/>
      <c r="GCG126" s="169"/>
      <c r="GCK126" s="169"/>
      <c r="GCO126" s="169"/>
      <c r="GCS126" s="169"/>
      <c r="GCW126" s="169"/>
      <c r="GDA126" s="169"/>
      <c r="GDE126" s="169"/>
      <c r="GDI126" s="169"/>
      <c r="GDM126" s="169"/>
      <c r="GDQ126" s="169"/>
      <c r="GDU126" s="169"/>
      <c r="GDY126" s="169"/>
      <c r="GEC126" s="169"/>
      <c r="GEG126" s="169"/>
      <c r="GEK126" s="169"/>
      <c r="GEO126" s="169"/>
      <c r="GES126" s="169"/>
      <c r="GEW126" s="169"/>
      <c r="GFA126" s="169"/>
      <c r="GFE126" s="169"/>
      <c r="GFI126" s="169"/>
      <c r="GFM126" s="169"/>
      <c r="GFQ126" s="169"/>
      <c r="GFU126" s="169"/>
      <c r="GFY126" s="169"/>
      <c r="GGC126" s="169"/>
      <c r="GGG126" s="169"/>
      <c r="GGK126" s="169"/>
      <c r="GGO126" s="169"/>
      <c r="GGS126" s="169"/>
      <c r="GGW126" s="169"/>
      <c r="GHA126" s="169"/>
      <c r="GHE126" s="169"/>
      <c r="GHI126" s="169"/>
      <c r="GHM126" s="169"/>
      <c r="GHQ126" s="169"/>
      <c r="GHU126" s="169"/>
      <c r="GHY126" s="169"/>
      <c r="GIC126" s="169"/>
      <c r="GIG126" s="169"/>
      <c r="GIK126" s="169"/>
      <c r="GIO126" s="169"/>
      <c r="GIS126" s="169"/>
      <c r="GIW126" s="169"/>
      <c r="GJA126" s="169"/>
      <c r="GJE126" s="169"/>
      <c r="GJI126" s="169"/>
      <c r="GJM126" s="169"/>
      <c r="GJQ126" s="169"/>
      <c r="GJU126" s="169"/>
      <c r="GJY126" s="169"/>
      <c r="GKC126" s="169"/>
      <c r="GKG126" s="169"/>
      <c r="GKK126" s="169"/>
      <c r="GKO126" s="169"/>
      <c r="GKS126" s="169"/>
      <c r="GKW126" s="169"/>
      <c r="GLA126" s="169"/>
      <c r="GLE126" s="169"/>
      <c r="GLI126" s="169"/>
      <c r="GLM126" s="169"/>
      <c r="GLQ126" s="169"/>
      <c r="GLU126" s="169"/>
      <c r="GLY126" s="169"/>
      <c r="GMC126" s="169"/>
      <c r="GMG126" s="169"/>
      <c r="GMK126" s="169"/>
      <c r="GMO126" s="169"/>
      <c r="GMS126" s="169"/>
      <c r="GMW126" s="169"/>
      <c r="GNA126" s="169"/>
      <c r="GNE126" s="169"/>
      <c r="GNI126" s="169"/>
      <c r="GNM126" s="169"/>
      <c r="GNQ126" s="169"/>
      <c r="GNU126" s="169"/>
      <c r="GNY126" s="169"/>
      <c r="GOC126" s="169"/>
      <c r="GOG126" s="169"/>
      <c r="GOK126" s="169"/>
      <c r="GOO126" s="169"/>
      <c r="GOS126" s="169"/>
      <c r="GOW126" s="169"/>
      <c r="GPA126" s="169"/>
      <c r="GPE126" s="169"/>
      <c r="GPI126" s="169"/>
      <c r="GPM126" s="169"/>
      <c r="GPQ126" s="169"/>
      <c r="GPU126" s="169"/>
      <c r="GPY126" s="169"/>
      <c r="GQC126" s="169"/>
      <c r="GQG126" s="169"/>
      <c r="GQK126" s="169"/>
      <c r="GQO126" s="169"/>
      <c r="GQS126" s="169"/>
      <c r="GQW126" s="169"/>
      <c r="GRA126" s="169"/>
      <c r="GRE126" s="169"/>
      <c r="GRI126" s="169"/>
      <c r="GRM126" s="169"/>
      <c r="GRQ126" s="169"/>
      <c r="GRU126" s="169"/>
      <c r="GRY126" s="169"/>
      <c r="GSC126" s="169"/>
      <c r="GSG126" s="169"/>
      <c r="GSK126" s="169"/>
      <c r="GSO126" s="169"/>
      <c r="GSS126" s="169"/>
      <c r="GSW126" s="169"/>
      <c r="GTA126" s="169"/>
      <c r="GTE126" s="169"/>
      <c r="GTI126" s="169"/>
      <c r="GTM126" s="169"/>
      <c r="GTQ126" s="169"/>
      <c r="GTU126" s="169"/>
      <c r="GTY126" s="169"/>
      <c r="GUC126" s="169"/>
      <c r="GUG126" s="169"/>
      <c r="GUK126" s="169"/>
      <c r="GUO126" s="169"/>
      <c r="GUS126" s="169"/>
      <c r="GUW126" s="169"/>
      <c r="GVA126" s="169"/>
      <c r="GVE126" s="169"/>
      <c r="GVI126" s="169"/>
      <c r="GVM126" s="169"/>
      <c r="GVQ126" s="169"/>
      <c r="GVU126" s="169"/>
      <c r="GVY126" s="169"/>
      <c r="GWC126" s="169"/>
      <c r="GWG126" s="169"/>
      <c r="GWK126" s="169"/>
      <c r="GWO126" s="169"/>
      <c r="GWS126" s="169"/>
      <c r="GWW126" s="169"/>
      <c r="GXA126" s="169"/>
      <c r="GXE126" s="169"/>
      <c r="GXI126" s="169"/>
      <c r="GXM126" s="169"/>
      <c r="GXQ126" s="169"/>
      <c r="GXU126" s="169"/>
      <c r="GXY126" s="169"/>
      <c r="GYC126" s="169"/>
      <c r="GYG126" s="169"/>
      <c r="GYK126" s="169"/>
      <c r="GYO126" s="169"/>
      <c r="GYS126" s="169"/>
      <c r="GYW126" s="169"/>
      <c r="GZA126" s="169"/>
      <c r="GZE126" s="169"/>
      <c r="GZI126" s="169"/>
      <c r="GZM126" s="169"/>
      <c r="GZQ126" s="169"/>
      <c r="GZU126" s="169"/>
      <c r="GZY126" s="169"/>
      <c r="HAC126" s="169"/>
      <c r="HAG126" s="169"/>
      <c r="HAK126" s="169"/>
      <c r="HAO126" s="169"/>
      <c r="HAS126" s="169"/>
      <c r="HAW126" s="169"/>
      <c r="HBA126" s="169"/>
      <c r="HBE126" s="169"/>
      <c r="HBI126" s="169"/>
      <c r="HBM126" s="169"/>
      <c r="HBQ126" s="169"/>
      <c r="HBU126" s="169"/>
      <c r="HBY126" s="169"/>
      <c r="HCC126" s="169"/>
      <c r="HCG126" s="169"/>
      <c r="HCK126" s="169"/>
      <c r="HCO126" s="169"/>
      <c r="HCS126" s="169"/>
      <c r="HCW126" s="169"/>
      <c r="HDA126" s="169"/>
      <c r="HDE126" s="169"/>
      <c r="HDI126" s="169"/>
      <c r="HDM126" s="169"/>
      <c r="HDQ126" s="169"/>
      <c r="HDU126" s="169"/>
      <c r="HDY126" s="169"/>
      <c r="HEC126" s="169"/>
      <c r="HEG126" s="169"/>
      <c r="HEK126" s="169"/>
      <c r="HEO126" s="169"/>
      <c r="HES126" s="169"/>
      <c r="HEW126" s="169"/>
      <c r="HFA126" s="169"/>
      <c r="HFE126" s="169"/>
      <c r="HFI126" s="169"/>
      <c r="HFM126" s="169"/>
      <c r="HFQ126" s="169"/>
      <c r="HFU126" s="169"/>
      <c r="HFY126" s="169"/>
      <c r="HGC126" s="169"/>
      <c r="HGG126" s="169"/>
      <c r="HGK126" s="169"/>
      <c r="HGO126" s="169"/>
      <c r="HGS126" s="169"/>
      <c r="HGW126" s="169"/>
      <c r="HHA126" s="169"/>
      <c r="HHE126" s="169"/>
      <c r="HHI126" s="169"/>
      <c r="HHM126" s="169"/>
      <c r="HHQ126" s="169"/>
      <c r="HHU126" s="169"/>
      <c r="HHY126" s="169"/>
      <c r="HIC126" s="169"/>
      <c r="HIG126" s="169"/>
      <c r="HIK126" s="169"/>
      <c r="HIO126" s="169"/>
      <c r="HIS126" s="169"/>
      <c r="HIW126" s="169"/>
      <c r="HJA126" s="169"/>
      <c r="HJE126" s="169"/>
      <c r="HJI126" s="169"/>
      <c r="HJM126" s="169"/>
      <c r="HJQ126" s="169"/>
      <c r="HJU126" s="169"/>
      <c r="HJY126" s="169"/>
      <c r="HKC126" s="169"/>
      <c r="HKG126" s="169"/>
      <c r="HKK126" s="169"/>
      <c r="HKO126" s="169"/>
      <c r="HKS126" s="169"/>
      <c r="HKW126" s="169"/>
      <c r="HLA126" s="169"/>
      <c r="HLE126" s="169"/>
      <c r="HLI126" s="169"/>
      <c r="HLM126" s="169"/>
      <c r="HLQ126" s="169"/>
      <c r="HLU126" s="169"/>
      <c r="HLY126" s="169"/>
      <c r="HMC126" s="169"/>
      <c r="HMG126" s="169"/>
      <c r="HMK126" s="169"/>
      <c r="HMO126" s="169"/>
      <c r="HMS126" s="169"/>
      <c r="HMW126" s="169"/>
      <c r="HNA126" s="169"/>
      <c r="HNE126" s="169"/>
      <c r="HNI126" s="169"/>
      <c r="HNM126" s="169"/>
      <c r="HNQ126" s="169"/>
      <c r="HNU126" s="169"/>
      <c r="HNY126" s="169"/>
      <c r="HOC126" s="169"/>
      <c r="HOG126" s="169"/>
      <c r="HOK126" s="169"/>
      <c r="HOO126" s="169"/>
      <c r="HOS126" s="169"/>
      <c r="HOW126" s="169"/>
      <c r="HPA126" s="169"/>
      <c r="HPE126" s="169"/>
      <c r="HPI126" s="169"/>
      <c r="HPM126" s="169"/>
      <c r="HPQ126" s="169"/>
      <c r="HPU126" s="169"/>
      <c r="HPY126" s="169"/>
      <c r="HQC126" s="169"/>
      <c r="HQG126" s="169"/>
      <c r="HQK126" s="169"/>
      <c r="HQO126" s="169"/>
      <c r="HQS126" s="169"/>
      <c r="HQW126" s="169"/>
      <c r="HRA126" s="169"/>
      <c r="HRE126" s="169"/>
      <c r="HRI126" s="169"/>
      <c r="HRM126" s="169"/>
      <c r="HRQ126" s="169"/>
      <c r="HRU126" s="169"/>
      <c r="HRY126" s="169"/>
      <c r="HSC126" s="169"/>
      <c r="HSG126" s="169"/>
      <c r="HSK126" s="169"/>
      <c r="HSO126" s="169"/>
      <c r="HSS126" s="169"/>
      <c r="HSW126" s="169"/>
      <c r="HTA126" s="169"/>
      <c r="HTE126" s="169"/>
      <c r="HTI126" s="169"/>
      <c r="HTM126" s="169"/>
      <c r="HTQ126" s="169"/>
      <c r="HTU126" s="169"/>
      <c r="HTY126" s="169"/>
      <c r="HUC126" s="169"/>
      <c r="HUG126" s="169"/>
      <c r="HUK126" s="169"/>
      <c r="HUO126" s="169"/>
      <c r="HUS126" s="169"/>
      <c r="HUW126" s="169"/>
      <c r="HVA126" s="169"/>
      <c r="HVE126" s="169"/>
      <c r="HVI126" s="169"/>
      <c r="HVM126" s="169"/>
      <c r="HVQ126" s="169"/>
      <c r="HVU126" s="169"/>
      <c r="HVY126" s="169"/>
      <c r="HWC126" s="169"/>
      <c r="HWG126" s="169"/>
      <c r="HWK126" s="169"/>
      <c r="HWO126" s="169"/>
      <c r="HWS126" s="169"/>
      <c r="HWW126" s="169"/>
      <c r="HXA126" s="169"/>
      <c r="HXE126" s="169"/>
      <c r="HXI126" s="169"/>
      <c r="HXM126" s="169"/>
      <c r="HXQ126" s="169"/>
      <c r="HXU126" s="169"/>
      <c r="HXY126" s="169"/>
      <c r="HYC126" s="169"/>
      <c r="HYG126" s="169"/>
      <c r="HYK126" s="169"/>
      <c r="HYO126" s="169"/>
      <c r="HYS126" s="169"/>
      <c r="HYW126" s="169"/>
      <c r="HZA126" s="169"/>
      <c r="HZE126" s="169"/>
      <c r="HZI126" s="169"/>
      <c r="HZM126" s="169"/>
      <c r="HZQ126" s="169"/>
      <c r="HZU126" s="169"/>
      <c r="HZY126" s="169"/>
      <c r="IAC126" s="169"/>
      <c r="IAG126" s="169"/>
      <c r="IAK126" s="169"/>
      <c r="IAO126" s="169"/>
      <c r="IAS126" s="169"/>
      <c r="IAW126" s="169"/>
      <c r="IBA126" s="169"/>
      <c r="IBE126" s="169"/>
      <c r="IBI126" s="169"/>
      <c r="IBM126" s="169"/>
      <c r="IBQ126" s="169"/>
      <c r="IBU126" s="169"/>
      <c r="IBY126" s="169"/>
      <c r="ICC126" s="169"/>
      <c r="ICG126" s="169"/>
      <c r="ICK126" s="169"/>
      <c r="ICO126" s="169"/>
      <c r="ICS126" s="169"/>
      <c r="ICW126" s="169"/>
      <c r="IDA126" s="169"/>
      <c r="IDE126" s="169"/>
      <c r="IDI126" s="169"/>
      <c r="IDM126" s="169"/>
      <c r="IDQ126" s="169"/>
      <c r="IDU126" s="169"/>
      <c r="IDY126" s="169"/>
      <c r="IEC126" s="169"/>
      <c r="IEG126" s="169"/>
      <c r="IEK126" s="169"/>
      <c r="IEO126" s="169"/>
      <c r="IES126" s="169"/>
      <c r="IEW126" s="169"/>
      <c r="IFA126" s="169"/>
      <c r="IFE126" s="169"/>
      <c r="IFI126" s="169"/>
      <c r="IFM126" s="169"/>
      <c r="IFQ126" s="169"/>
      <c r="IFU126" s="169"/>
      <c r="IFY126" s="169"/>
      <c r="IGC126" s="169"/>
      <c r="IGG126" s="169"/>
      <c r="IGK126" s="169"/>
      <c r="IGO126" s="169"/>
      <c r="IGS126" s="169"/>
      <c r="IGW126" s="169"/>
      <c r="IHA126" s="169"/>
      <c r="IHE126" s="169"/>
      <c r="IHI126" s="169"/>
      <c r="IHM126" s="169"/>
      <c r="IHQ126" s="169"/>
      <c r="IHU126" s="169"/>
      <c r="IHY126" s="169"/>
      <c r="IIC126" s="169"/>
      <c r="IIG126" s="169"/>
      <c r="IIK126" s="169"/>
      <c r="IIO126" s="169"/>
      <c r="IIS126" s="169"/>
      <c r="IIW126" s="169"/>
      <c r="IJA126" s="169"/>
      <c r="IJE126" s="169"/>
      <c r="IJI126" s="169"/>
      <c r="IJM126" s="169"/>
      <c r="IJQ126" s="169"/>
      <c r="IJU126" s="169"/>
      <c r="IJY126" s="169"/>
      <c r="IKC126" s="169"/>
      <c r="IKG126" s="169"/>
      <c r="IKK126" s="169"/>
      <c r="IKO126" s="169"/>
      <c r="IKS126" s="169"/>
      <c r="IKW126" s="169"/>
      <c r="ILA126" s="169"/>
      <c r="ILE126" s="169"/>
      <c r="ILI126" s="169"/>
      <c r="ILM126" s="169"/>
      <c r="ILQ126" s="169"/>
      <c r="ILU126" s="169"/>
      <c r="ILY126" s="169"/>
      <c r="IMC126" s="169"/>
      <c r="IMG126" s="169"/>
      <c r="IMK126" s="169"/>
      <c r="IMO126" s="169"/>
      <c r="IMS126" s="169"/>
      <c r="IMW126" s="169"/>
      <c r="INA126" s="169"/>
      <c r="INE126" s="169"/>
      <c r="INI126" s="169"/>
      <c r="INM126" s="169"/>
      <c r="INQ126" s="169"/>
      <c r="INU126" s="169"/>
      <c r="INY126" s="169"/>
      <c r="IOC126" s="169"/>
      <c r="IOG126" s="169"/>
      <c r="IOK126" s="169"/>
      <c r="IOO126" s="169"/>
      <c r="IOS126" s="169"/>
      <c r="IOW126" s="169"/>
      <c r="IPA126" s="169"/>
      <c r="IPE126" s="169"/>
      <c r="IPI126" s="169"/>
      <c r="IPM126" s="169"/>
      <c r="IPQ126" s="169"/>
      <c r="IPU126" s="169"/>
      <c r="IPY126" s="169"/>
      <c r="IQC126" s="169"/>
      <c r="IQG126" s="169"/>
      <c r="IQK126" s="169"/>
      <c r="IQO126" s="169"/>
      <c r="IQS126" s="169"/>
      <c r="IQW126" s="169"/>
      <c r="IRA126" s="169"/>
      <c r="IRE126" s="169"/>
      <c r="IRI126" s="169"/>
      <c r="IRM126" s="169"/>
      <c r="IRQ126" s="169"/>
      <c r="IRU126" s="169"/>
      <c r="IRY126" s="169"/>
      <c r="ISC126" s="169"/>
      <c r="ISG126" s="169"/>
      <c r="ISK126" s="169"/>
      <c r="ISO126" s="169"/>
      <c r="ISS126" s="169"/>
      <c r="ISW126" s="169"/>
      <c r="ITA126" s="169"/>
      <c r="ITE126" s="169"/>
      <c r="ITI126" s="169"/>
      <c r="ITM126" s="169"/>
      <c r="ITQ126" s="169"/>
      <c r="ITU126" s="169"/>
      <c r="ITY126" s="169"/>
      <c r="IUC126" s="169"/>
      <c r="IUG126" s="169"/>
      <c r="IUK126" s="169"/>
      <c r="IUO126" s="169"/>
      <c r="IUS126" s="169"/>
      <c r="IUW126" s="169"/>
      <c r="IVA126" s="169"/>
      <c r="IVE126" s="169"/>
      <c r="IVI126" s="169"/>
      <c r="IVM126" s="169"/>
      <c r="IVQ126" s="169"/>
      <c r="IVU126" s="169"/>
      <c r="IVY126" s="169"/>
      <c r="IWC126" s="169"/>
      <c r="IWG126" s="169"/>
      <c r="IWK126" s="169"/>
      <c r="IWO126" s="169"/>
      <c r="IWS126" s="169"/>
      <c r="IWW126" s="169"/>
      <c r="IXA126" s="169"/>
      <c r="IXE126" s="169"/>
      <c r="IXI126" s="169"/>
      <c r="IXM126" s="169"/>
      <c r="IXQ126" s="169"/>
      <c r="IXU126" s="169"/>
      <c r="IXY126" s="169"/>
      <c r="IYC126" s="169"/>
      <c r="IYG126" s="169"/>
      <c r="IYK126" s="169"/>
      <c r="IYO126" s="169"/>
      <c r="IYS126" s="169"/>
      <c r="IYW126" s="169"/>
      <c r="IZA126" s="169"/>
      <c r="IZE126" s="169"/>
      <c r="IZI126" s="169"/>
      <c r="IZM126" s="169"/>
      <c r="IZQ126" s="169"/>
      <c r="IZU126" s="169"/>
      <c r="IZY126" s="169"/>
      <c r="JAC126" s="169"/>
      <c r="JAG126" s="169"/>
      <c r="JAK126" s="169"/>
      <c r="JAO126" s="169"/>
      <c r="JAS126" s="169"/>
      <c r="JAW126" s="169"/>
      <c r="JBA126" s="169"/>
      <c r="JBE126" s="169"/>
      <c r="JBI126" s="169"/>
      <c r="JBM126" s="169"/>
      <c r="JBQ126" s="169"/>
      <c r="JBU126" s="169"/>
      <c r="JBY126" s="169"/>
      <c r="JCC126" s="169"/>
      <c r="JCG126" s="169"/>
      <c r="JCK126" s="169"/>
      <c r="JCO126" s="169"/>
      <c r="JCS126" s="169"/>
      <c r="JCW126" s="169"/>
      <c r="JDA126" s="169"/>
      <c r="JDE126" s="169"/>
      <c r="JDI126" s="169"/>
      <c r="JDM126" s="169"/>
      <c r="JDQ126" s="169"/>
      <c r="JDU126" s="169"/>
      <c r="JDY126" s="169"/>
      <c r="JEC126" s="169"/>
      <c r="JEG126" s="169"/>
      <c r="JEK126" s="169"/>
      <c r="JEO126" s="169"/>
      <c r="JES126" s="169"/>
      <c r="JEW126" s="169"/>
      <c r="JFA126" s="169"/>
      <c r="JFE126" s="169"/>
      <c r="JFI126" s="169"/>
      <c r="JFM126" s="169"/>
      <c r="JFQ126" s="169"/>
      <c r="JFU126" s="169"/>
      <c r="JFY126" s="169"/>
      <c r="JGC126" s="169"/>
      <c r="JGG126" s="169"/>
      <c r="JGK126" s="169"/>
      <c r="JGO126" s="169"/>
      <c r="JGS126" s="169"/>
      <c r="JGW126" s="169"/>
      <c r="JHA126" s="169"/>
      <c r="JHE126" s="169"/>
      <c r="JHI126" s="169"/>
      <c r="JHM126" s="169"/>
      <c r="JHQ126" s="169"/>
      <c r="JHU126" s="169"/>
      <c r="JHY126" s="169"/>
      <c r="JIC126" s="169"/>
      <c r="JIG126" s="169"/>
      <c r="JIK126" s="169"/>
      <c r="JIO126" s="169"/>
      <c r="JIS126" s="169"/>
      <c r="JIW126" s="169"/>
      <c r="JJA126" s="169"/>
      <c r="JJE126" s="169"/>
      <c r="JJI126" s="169"/>
      <c r="JJM126" s="169"/>
      <c r="JJQ126" s="169"/>
      <c r="JJU126" s="169"/>
      <c r="JJY126" s="169"/>
      <c r="JKC126" s="169"/>
      <c r="JKG126" s="169"/>
      <c r="JKK126" s="169"/>
      <c r="JKO126" s="169"/>
      <c r="JKS126" s="169"/>
      <c r="JKW126" s="169"/>
      <c r="JLA126" s="169"/>
      <c r="JLE126" s="169"/>
      <c r="JLI126" s="169"/>
      <c r="JLM126" s="169"/>
      <c r="JLQ126" s="169"/>
      <c r="JLU126" s="169"/>
      <c r="JLY126" s="169"/>
      <c r="JMC126" s="169"/>
      <c r="JMG126" s="169"/>
      <c r="JMK126" s="169"/>
      <c r="JMO126" s="169"/>
      <c r="JMS126" s="169"/>
      <c r="JMW126" s="169"/>
      <c r="JNA126" s="169"/>
      <c r="JNE126" s="169"/>
      <c r="JNI126" s="169"/>
      <c r="JNM126" s="169"/>
      <c r="JNQ126" s="169"/>
      <c r="JNU126" s="169"/>
      <c r="JNY126" s="169"/>
      <c r="JOC126" s="169"/>
      <c r="JOG126" s="169"/>
      <c r="JOK126" s="169"/>
      <c r="JOO126" s="169"/>
      <c r="JOS126" s="169"/>
      <c r="JOW126" s="169"/>
      <c r="JPA126" s="169"/>
      <c r="JPE126" s="169"/>
      <c r="JPI126" s="169"/>
      <c r="JPM126" s="169"/>
      <c r="JPQ126" s="169"/>
      <c r="JPU126" s="169"/>
      <c r="JPY126" s="169"/>
      <c r="JQC126" s="169"/>
      <c r="JQG126" s="169"/>
      <c r="JQK126" s="169"/>
      <c r="JQO126" s="169"/>
      <c r="JQS126" s="169"/>
      <c r="JQW126" s="169"/>
      <c r="JRA126" s="169"/>
      <c r="JRE126" s="169"/>
      <c r="JRI126" s="169"/>
      <c r="JRM126" s="169"/>
      <c r="JRQ126" s="169"/>
      <c r="JRU126" s="169"/>
      <c r="JRY126" s="169"/>
      <c r="JSC126" s="169"/>
      <c r="JSG126" s="169"/>
      <c r="JSK126" s="169"/>
      <c r="JSO126" s="169"/>
      <c r="JSS126" s="169"/>
      <c r="JSW126" s="169"/>
      <c r="JTA126" s="169"/>
      <c r="JTE126" s="169"/>
      <c r="JTI126" s="169"/>
      <c r="JTM126" s="169"/>
      <c r="JTQ126" s="169"/>
      <c r="JTU126" s="169"/>
      <c r="JTY126" s="169"/>
      <c r="JUC126" s="169"/>
      <c r="JUG126" s="169"/>
      <c r="JUK126" s="169"/>
      <c r="JUO126" s="169"/>
      <c r="JUS126" s="169"/>
      <c r="JUW126" s="169"/>
      <c r="JVA126" s="169"/>
      <c r="JVE126" s="169"/>
      <c r="JVI126" s="169"/>
      <c r="JVM126" s="169"/>
      <c r="JVQ126" s="169"/>
      <c r="JVU126" s="169"/>
      <c r="JVY126" s="169"/>
      <c r="JWC126" s="169"/>
      <c r="JWG126" s="169"/>
      <c r="JWK126" s="169"/>
      <c r="JWO126" s="169"/>
      <c r="JWS126" s="169"/>
      <c r="JWW126" s="169"/>
      <c r="JXA126" s="169"/>
      <c r="JXE126" s="169"/>
      <c r="JXI126" s="169"/>
      <c r="JXM126" s="169"/>
      <c r="JXQ126" s="169"/>
      <c r="JXU126" s="169"/>
      <c r="JXY126" s="169"/>
      <c r="JYC126" s="169"/>
      <c r="JYG126" s="169"/>
      <c r="JYK126" s="169"/>
      <c r="JYO126" s="169"/>
      <c r="JYS126" s="169"/>
      <c r="JYW126" s="169"/>
      <c r="JZA126" s="169"/>
      <c r="JZE126" s="169"/>
      <c r="JZI126" s="169"/>
      <c r="JZM126" s="169"/>
      <c r="JZQ126" s="169"/>
      <c r="JZU126" s="169"/>
      <c r="JZY126" s="169"/>
      <c r="KAC126" s="169"/>
      <c r="KAG126" s="169"/>
      <c r="KAK126" s="169"/>
      <c r="KAO126" s="169"/>
      <c r="KAS126" s="169"/>
      <c r="KAW126" s="169"/>
      <c r="KBA126" s="169"/>
      <c r="KBE126" s="169"/>
      <c r="KBI126" s="169"/>
      <c r="KBM126" s="169"/>
      <c r="KBQ126" s="169"/>
      <c r="KBU126" s="169"/>
      <c r="KBY126" s="169"/>
      <c r="KCC126" s="169"/>
      <c r="KCG126" s="169"/>
      <c r="KCK126" s="169"/>
      <c r="KCO126" s="169"/>
      <c r="KCS126" s="169"/>
      <c r="KCW126" s="169"/>
      <c r="KDA126" s="169"/>
      <c r="KDE126" s="169"/>
      <c r="KDI126" s="169"/>
      <c r="KDM126" s="169"/>
      <c r="KDQ126" s="169"/>
      <c r="KDU126" s="169"/>
      <c r="KDY126" s="169"/>
      <c r="KEC126" s="169"/>
      <c r="KEG126" s="169"/>
      <c r="KEK126" s="169"/>
      <c r="KEO126" s="169"/>
      <c r="KES126" s="169"/>
      <c r="KEW126" s="169"/>
      <c r="KFA126" s="169"/>
      <c r="KFE126" s="169"/>
      <c r="KFI126" s="169"/>
      <c r="KFM126" s="169"/>
      <c r="KFQ126" s="169"/>
      <c r="KFU126" s="169"/>
      <c r="KFY126" s="169"/>
      <c r="KGC126" s="169"/>
      <c r="KGG126" s="169"/>
      <c r="KGK126" s="169"/>
      <c r="KGO126" s="169"/>
      <c r="KGS126" s="169"/>
      <c r="KGW126" s="169"/>
      <c r="KHA126" s="169"/>
      <c r="KHE126" s="169"/>
      <c r="KHI126" s="169"/>
      <c r="KHM126" s="169"/>
      <c r="KHQ126" s="169"/>
      <c r="KHU126" s="169"/>
      <c r="KHY126" s="169"/>
      <c r="KIC126" s="169"/>
      <c r="KIG126" s="169"/>
      <c r="KIK126" s="169"/>
      <c r="KIO126" s="169"/>
      <c r="KIS126" s="169"/>
      <c r="KIW126" s="169"/>
      <c r="KJA126" s="169"/>
      <c r="KJE126" s="169"/>
      <c r="KJI126" s="169"/>
      <c r="KJM126" s="169"/>
      <c r="KJQ126" s="169"/>
      <c r="KJU126" s="169"/>
      <c r="KJY126" s="169"/>
      <c r="KKC126" s="169"/>
      <c r="KKG126" s="169"/>
      <c r="KKK126" s="169"/>
      <c r="KKO126" s="169"/>
      <c r="KKS126" s="169"/>
      <c r="KKW126" s="169"/>
      <c r="KLA126" s="169"/>
      <c r="KLE126" s="169"/>
      <c r="KLI126" s="169"/>
      <c r="KLM126" s="169"/>
      <c r="KLQ126" s="169"/>
      <c r="KLU126" s="169"/>
      <c r="KLY126" s="169"/>
      <c r="KMC126" s="169"/>
      <c r="KMG126" s="169"/>
      <c r="KMK126" s="169"/>
      <c r="KMO126" s="169"/>
      <c r="KMS126" s="169"/>
      <c r="KMW126" s="169"/>
      <c r="KNA126" s="169"/>
      <c r="KNE126" s="169"/>
      <c r="KNI126" s="169"/>
      <c r="KNM126" s="169"/>
      <c r="KNQ126" s="169"/>
      <c r="KNU126" s="169"/>
      <c r="KNY126" s="169"/>
      <c r="KOC126" s="169"/>
      <c r="KOG126" s="169"/>
      <c r="KOK126" s="169"/>
      <c r="KOO126" s="169"/>
      <c r="KOS126" s="169"/>
      <c r="KOW126" s="169"/>
      <c r="KPA126" s="169"/>
      <c r="KPE126" s="169"/>
      <c r="KPI126" s="169"/>
      <c r="KPM126" s="169"/>
      <c r="KPQ126" s="169"/>
      <c r="KPU126" s="169"/>
      <c r="KPY126" s="169"/>
      <c r="KQC126" s="169"/>
      <c r="KQG126" s="169"/>
      <c r="KQK126" s="169"/>
      <c r="KQO126" s="169"/>
      <c r="KQS126" s="169"/>
      <c r="KQW126" s="169"/>
      <c r="KRA126" s="169"/>
      <c r="KRE126" s="169"/>
      <c r="KRI126" s="169"/>
      <c r="KRM126" s="169"/>
      <c r="KRQ126" s="169"/>
      <c r="KRU126" s="169"/>
      <c r="KRY126" s="169"/>
      <c r="KSC126" s="169"/>
      <c r="KSG126" s="169"/>
      <c r="KSK126" s="169"/>
      <c r="KSO126" s="169"/>
      <c r="KSS126" s="169"/>
      <c r="KSW126" s="169"/>
      <c r="KTA126" s="169"/>
      <c r="KTE126" s="169"/>
      <c r="KTI126" s="169"/>
      <c r="KTM126" s="169"/>
      <c r="KTQ126" s="169"/>
      <c r="KTU126" s="169"/>
      <c r="KTY126" s="169"/>
      <c r="KUC126" s="169"/>
      <c r="KUG126" s="169"/>
      <c r="KUK126" s="169"/>
      <c r="KUO126" s="169"/>
      <c r="KUS126" s="169"/>
      <c r="KUW126" s="169"/>
      <c r="KVA126" s="169"/>
      <c r="KVE126" s="169"/>
      <c r="KVI126" s="169"/>
      <c r="KVM126" s="169"/>
      <c r="KVQ126" s="169"/>
      <c r="KVU126" s="169"/>
      <c r="KVY126" s="169"/>
      <c r="KWC126" s="169"/>
      <c r="KWG126" s="169"/>
      <c r="KWK126" s="169"/>
      <c r="KWO126" s="169"/>
      <c r="KWS126" s="169"/>
      <c r="KWW126" s="169"/>
      <c r="KXA126" s="169"/>
      <c r="KXE126" s="169"/>
      <c r="KXI126" s="169"/>
      <c r="KXM126" s="169"/>
      <c r="KXQ126" s="169"/>
      <c r="KXU126" s="169"/>
      <c r="KXY126" s="169"/>
      <c r="KYC126" s="169"/>
      <c r="KYG126" s="169"/>
      <c r="KYK126" s="169"/>
      <c r="KYO126" s="169"/>
      <c r="KYS126" s="169"/>
      <c r="KYW126" s="169"/>
      <c r="KZA126" s="169"/>
      <c r="KZE126" s="169"/>
      <c r="KZI126" s="169"/>
      <c r="KZM126" s="169"/>
      <c r="KZQ126" s="169"/>
      <c r="KZU126" s="169"/>
      <c r="KZY126" s="169"/>
      <c r="LAC126" s="169"/>
      <c r="LAG126" s="169"/>
      <c r="LAK126" s="169"/>
      <c r="LAO126" s="169"/>
      <c r="LAS126" s="169"/>
      <c r="LAW126" s="169"/>
      <c r="LBA126" s="169"/>
      <c r="LBE126" s="169"/>
      <c r="LBI126" s="169"/>
      <c r="LBM126" s="169"/>
      <c r="LBQ126" s="169"/>
      <c r="LBU126" s="169"/>
      <c r="LBY126" s="169"/>
      <c r="LCC126" s="169"/>
      <c r="LCG126" s="169"/>
      <c r="LCK126" s="169"/>
      <c r="LCO126" s="169"/>
      <c r="LCS126" s="169"/>
      <c r="LCW126" s="169"/>
      <c r="LDA126" s="169"/>
      <c r="LDE126" s="169"/>
      <c r="LDI126" s="169"/>
      <c r="LDM126" s="169"/>
      <c r="LDQ126" s="169"/>
      <c r="LDU126" s="169"/>
      <c r="LDY126" s="169"/>
      <c r="LEC126" s="169"/>
      <c r="LEG126" s="169"/>
      <c r="LEK126" s="169"/>
      <c r="LEO126" s="169"/>
      <c r="LES126" s="169"/>
      <c r="LEW126" s="169"/>
      <c r="LFA126" s="169"/>
      <c r="LFE126" s="169"/>
      <c r="LFI126" s="169"/>
      <c r="LFM126" s="169"/>
      <c r="LFQ126" s="169"/>
      <c r="LFU126" s="169"/>
      <c r="LFY126" s="169"/>
      <c r="LGC126" s="169"/>
      <c r="LGG126" s="169"/>
      <c r="LGK126" s="169"/>
      <c r="LGO126" s="169"/>
      <c r="LGS126" s="169"/>
      <c r="LGW126" s="169"/>
      <c r="LHA126" s="169"/>
      <c r="LHE126" s="169"/>
      <c r="LHI126" s="169"/>
      <c r="LHM126" s="169"/>
      <c r="LHQ126" s="169"/>
      <c r="LHU126" s="169"/>
      <c r="LHY126" s="169"/>
      <c r="LIC126" s="169"/>
      <c r="LIG126" s="169"/>
      <c r="LIK126" s="169"/>
      <c r="LIO126" s="169"/>
      <c r="LIS126" s="169"/>
      <c r="LIW126" s="169"/>
      <c r="LJA126" s="169"/>
      <c r="LJE126" s="169"/>
      <c r="LJI126" s="169"/>
      <c r="LJM126" s="169"/>
      <c r="LJQ126" s="169"/>
      <c r="LJU126" s="169"/>
      <c r="LJY126" s="169"/>
      <c r="LKC126" s="169"/>
      <c r="LKG126" s="169"/>
      <c r="LKK126" s="169"/>
      <c r="LKO126" s="169"/>
      <c r="LKS126" s="169"/>
      <c r="LKW126" s="169"/>
      <c r="LLA126" s="169"/>
      <c r="LLE126" s="169"/>
      <c r="LLI126" s="169"/>
      <c r="LLM126" s="169"/>
      <c r="LLQ126" s="169"/>
      <c r="LLU126" s="169"/>
      <c r="LLY126" s="169"/>
      <c r="LMC126" s="169"/>
      <c r="LMG126" s="169"/>
      <c r="LMK126" s="169"/>
      <c r="LMO126" s="169"/>
      <c r="LMS126" s="169"/>
      <c r="LMW126" s="169"/>
      <c r="LNA126" s="169"/>
      <c r="LNE126" s="169"/>
      <c r="LNI126" s="169"/>
      <c r="LNM126" s="169"/>
      <c r="LNQ126" s="169"/>
      <c r="LNU126" s="169"/>
      <c r="LNY126" s="169"/>
      <c r="LOC126" s="169"/>
      <c r="LOG126" s="169"/>
      <c r="LOK126" s="169"/>
      <c r="LOO126" s="169"/>
      <c r="LOS126" s="169"/>
      <c r="LOW126" s="169"/>
      <c r="LPA126" s="169"/>
      <c r="LPE126" s="169"/>
      <c r="LPI126" s="169"/>
      <c r="LPM126" s="169"/>
      <c r="LPQ126" s="169"/>
      <c r="LPU126" s="169"/>
      <c r="LPY126" s="169"/>
      <c r="LQC126" s="169"/>
      <c r="LQG126" s="169"/>
      <c r="LQK126" s="169"/>
      <c r="LQO126" s="169"/>
      <c r="LQS126" s="169"/>
      <c r="LQW126" s="169"/>
      <c r="LRA126" s="169"/>
      <c r="LRE126" s="169"/>
      <c r="LRI126" s="169"/>
      <c r="LRM126" s="169"/>
      <c r="LRQ126" s="169"/>
      <c r="LRU126" s="169"/>
      <c r="LRY126" s="169"/>
      <c r="LSC126" s="169"/>
      <c r="LSG126" s="169"/>
      <c r="LSK126" s="169"/>
      <c r="LSO126" s="169"/>
      <c r="LSS126" s="169"/>
      <c r="LSW126" s="169"/>
      <c r="LTA126" s="169"/>
      <c r="LTE126" s="169"/>
      <c r="LTI126" s="169"/>
      <c r="LTM126" s="169"/>
      <c r="LTQ126" s="169"/>
      <c r="LTU126" s="169"/>
      <c r="LTY126" s="169"/>
      <c r="LUC126" s="169"/>
      <c r="LUG126" s="169"/>
      <c r="LUK126" s="169"/>
      <c r="LUO126" s="169"/>
      <c r="LUS126" s="169"/>
      <c r="LUW126" s="169"/>
      <c r="LVA126" s="169"/>
      <c r="LVE126" s="169"/>
      <c r="LVI126" s="169"/>
      <c r="LVM126" s="169"/>
      <c r="LVQ126" s="169"/>
      <c r="LVU126" s="169"/>
      <c r="LVY126" s="169"/>
      <c r="LWC126" s="169"/>
      <c r="LWG126" s="169"/>
      <c r="LWK126" s="169"/>
      <c r="LWO126" s="169"/>
      <c r="LWS126" s="169"/>
      <c r="LWW126" s="169"/>
      <c r="LXA126" s="169"/>
      <c r="LXE126" s="169"/>
      <c r="LXI126" s="169"/>
      <c r="LXM126" s="169"/>
      <c r="LXQ126" s="169"/>
      <c r="LXU126" s="169"/>
      <c r="LXY126" s="169"/>
      <c r="LYC126" s="169"/>
      <c r="LYG126" s="169"/>
      <c r="LYK126" s="169"/>
      <c r="LYO126" s="169"/>
      <c r="LYS126" s="169"/>
      <c r="LYW126" s="169"/>
      <c r="LZA126" s="169"/>
      <c r="LZE126" s="169"/>
      <c r="LZI126" s="169"/>
      <c r="LZM126" s="169"/>
      <c r="LZQ126" s="169"/>
      <c r="LZU126" s="169"/>
      <c r="LZY126" s="169"/>
      <c r="MAC126" s="169"/>
      <c r="MAG126" s="169"/>
      <c r="MAK126" s="169"/>
      <c r="MAO126" s="169"/>
      <c r="MAS126" s="169"/>
      <c r="MAW126" s="169"/>
      <c r="MBA126" s="169"/>
      <c r="MBE126" s="169"/>
      <c r="MBI126" s="169"/>
      <c r="MBM126" s="169"/>
      <c r="MBQ126" s="169"/>
      <c r="MBU126" s="169"/>
      <c r="MBY126" s="169"/>
      <c r="MCC126" s="169"/>
      <c r="MCG126" s="169"/>
      <c r="MCK126" s="169"/>
      <c r="MCO126" s="169"/>
      <c r="MCS126" s="169"/>
      <c r="MCW126" s="169"/>
      <c r="MDA126" s="169"/>
      <c r="MDE126" s="169"/>
      <c r="MDI126" s="169"/>
      <c r="MDM126" s="169"/>
      <c r="MDQ126" s="169"/>
      <c r="MDU126" s="169"/>
      <c r="MDY126" s="169"/>
      <c r="MEC126" s="169"/>
      <c r="MEG126" s="169"/>
      <c r="MEK126" s="169"/>
      <c r="MEO126" s="169"/>
      <c r="MES126" s="169"/>
      <c r="MEW126" s="169"/>
      <c r="MFA126" s="169"/>
      <c r="MFE126" s="169"/>
      <c r="MFI126" s="169"/>
      <c r="MFM126" s="169"/>
      <c r="MFQ126" s="169"/>
      <c r="MFU126" s="169"/>
      <c r="MFY126" s="169"/>
      <c r="MGC126" s="169"/>
      <c r="MGG126" s="169"/>
      <c r="MGK126" s="169"/>
      <c r="MGO126" s="169"/>
      <c r="MGS126" s="169"/>
      <c r="MGW126" s="169"/>
      <c r="MHA126" s="169"/>
      <c r="MHE126" s="169"/>
      <c r="MHI126" s="169"/>
      <c r="MHM126" s="169"/>
      <c r="MHQ126" s="169"/>
      <c r="MHU126" s="169"/>
      <c r="MHY126" s="169"/>
      <c r="MIC126" s="169"/>
      <c r="MIG126" s="169"/>
      <c r="MIK126" s="169"/>
      <c r="MIO126" s="169"/>
      <c r="MIS126" s="169"/>
      <c r="MIW126" s="169"/>
      <c r="MJA126" s="169"/>
      <c r="MJE126" s="169"/>
      <c r="MJI126" s="169"/>
      <c r="MJM126" s="169"/>
      <c r="MJQ126" s="169"/>
      <c r="MJU126" s="169"/>
      <c r="MJY126" s="169"/>
      <c r="MKC126" s="169"/>
      <c r="MKG126" s="169"/>
      <c r="MKK126" s="169"/>
      <c r="MKO126" s="169"/>
      <c r="MKS126" s="169"/>
      <c r="MKW126" s="169"/>
      <c r="MLA126" s="169"/>
      <c r="MLE126" s="169"/>
      <c r="MLI126" s="169"/>
      <c r="MLM126" s="169"/>
      <c r="MLQ126" s="169"/>
      <c r="MLU126" s="169"/>
      <c r="MLY126" s="169"/>
      <c r="MMC126" s="169"/>
      <c r="MMG126" s="169"/>
      <c r="MMK126" s="169"/>
      <c r="MMO126" s="169"/>
      <c r="MMS126" s="169"/>
      <c r="MMW126" s="169"/>
      <c r="MNA126" s="169"/>
      <c r="MNE126" s="169"/>
      <c r="MNI126" s="169"/>
      <c r="MNM126" s="169"/>
      <c r="MNQ126" s="169"/>
      <c r="MNU126" s="169"/>
      <c r="MNY126" s="169"/>
      <c r="MOC126" s="169"/>
      <c r="MOG126" s="169"/>
      <c r="MOK126" s="169"/>
      <c r="MOO126" s="169"/>
      <c r="MOS126" s="169"/>
      <c r="MOW126" s="169"/>
      <c r="MPA126" s="169"/>
      <c r="MPE126" s="169"/>
      <c r="MPI126" s="169"/>
      <c r="MPM126" s="169"/>
      <c r="MPQ126" s="169"/>
      <c r="MPU126" s="169"/>
      <c r="MPY126" s="169"/>
      <c r="MQC126" s="169"/>
      <c r="MQG126" s="169"/>
      <c r="MQK126" s="169"/>
      <c r="MQO126" s="169"/>
      <c r="MQS126" s="169"/>
      <c r="MQW126" s="169"/>
      <c r="MRA126" s="169"/>
      <c r="MRE126" s="169"/>
      <c r="MRI126" s="169"/>
      <c r="MRM126" s="169"/>
      <c r="MRQ126" s="169"/>
      <c r="MRU126" s="169"/>
      <c r="MRY126" s="169"/>
      <c r="MSC126" s="169"/>
      <c r="MSG126" s="169"/>
      <c r="MSK126" s="169"/>
      <c r="MSO126" s="169"/>
      <c r="MSS126" s="169"/>
      <c r="MSW126" s="169"/>
      <c r="MTA126" s="169"/>
      <c r="MTE126" s="169"/>
      <c r="MTI126" s="169"/>
      <c r="MTM126" s="169"/>
      <c r="MTQ126" s="169"/>
      <c r="MTU126" s="169"/>
      <c r="MTY126" s="169"/>
      <c r="MUC126" s="169"/>
      <c r="MUG126" s="169"/>
      <c r="MUK126" s="169"/>
      <c r="MUO126" s="169"/>
      <c r="MUS126" s="169"/>
      <c r="MUW126" s="169"/>
      <c r="MVA126" s="169"/>
      <c r="MVE126" s="169"/>
      <c r="MVI126" s="169"/>
      <c r="MVM126" s="169"/>
      <c r="MVQ126" s="169"/>
      <c r="MVU126" s="169"/>
      <c r="MVY126" s="169"/>
      <c r="MWC126" s="169"/>
      <c r="MWG126" s="169"/>
      <c r="MWK126" s="169"/>
      <c r="MWO126" s="169"/>
      <c r="MWS126" s="169"/>
      <c r="MWW126" s="169"/>
      <c r="MXA126" s="169"/>
      <c r="MXE126" s="169"/>
      <c r="MXI126" s="169"/>
      <c r="MXM126" s="169"/>
      <c r="MXQ126" s="169"/>
      <c r="MXU126" s="169"/>
      <c r="MXY126" s="169"/>
      <c r="MYC126" s="169"/>
      <c r="MYG126" s="169"/>
      <c r="MYK126" s="169"/>
      <c r="MYO126" s="169"/>
      <c r="MYS126" s="169"/>
      <c r="MYW126" s="169"/>
      <c r="MZA126" s="169"/>
      <c r="MZE126" s="169"/>
      <c r="MZI126" s="169"/>
      <c r="MZM126" s="169"/>
      <c r="MZQ126" s="169"/>
      <c r="MZU126" s="169"/>
      <c r="MZY126" s="169"/>
      <c r="NAC126" s="169"/>
      <c r="NAG126" s="169"/>
      <c r="NAK126" s="169"/>
      <c r="NAO126" s="169"/>
      <c r="NAS126" s="169"/>
      <c r="NAW126" s="169"/>
      <c r="NBA126" s="169"/>
      <c r="NBE126" s="169"/>
      <c r="NBI126" s="169"/>
      <c r="NBM126" s="169"/>
      <c r="NBQ126" s="169"/>
      <c r="NBU126" s="169"/>
      <c r="NBY126" s="169"/>
      <c r="NCC126" s="169"/>
      <c r="NCG126" s="169"/>
      <c r="NCK126" s="169"/>
      <c r="NCO126" s="169"/>
      <c r="NCS126" s="169"/>
      <c r="NCW126" s="169"/>
      <c r="NDA126" s="169"/>
      <c r="NDE126" s="169"/>
      <c r="NDI126" s="169"/>
      <c r="NDM126" s="169"/>
      <c r="NDQ126" s="169"/>
      <c r="NDU126" s="169"/>
      <c r="NDY126" s="169"/>
      <c r="NEC126" s="169"/>
      <c r="NEG126" s="169"/>
      <c r="NEK126" s="169"/>
      <c r="NEO126" s="169"/>
      <c r="NES126" s="169"/>
      <c r="NEW126" s="169"/>
      <c r="NFA126" s="169"/>
      <c r="NFE126" s="169"/>
      <c r="NFI126" s="169"/>
      <c r="NFM126" s="169"/>
      <c r="NFQ126" s="169"/>
      <c r="NFU126" s="169"/>
      <c r="NFY126" s="169"/>
      <c r="NGC126" s="169"/>
      <c r="NGG126" s="169"/>
      <c r="NGK126" s="169"/>
      <c r="NGO126" s="169"/>
      <c r="NGS126" s="169"/>
      <c r="NGW126" s="169"/>
      <c r="NHA126" s="169"/>
      <c r="NHE126" s="169"/>
      <c r="NHI126" s="169"/>
      <c r="NHM126" s="169"/>
      <c r="NHQ126" s="169"/>
      <c r="NHU126" s="169"/>
      <c r="NHY126" s="169"/>
      <c r="NIC126" s="169"/>
      <c r="NIG126" s="169"/>
      <c r="NIK126" s="169"/>
      <c r="NIO126" s="169"/>
      <c r="NIS126" s="169"/>
      <c r="NIW126" s="169"/>
      <c r="NJA126" s="169"/>
      <c r="NJE126" s="169"/>
      <c r="NJI126" s="169"/>
      <c r="NJM126" s="169"/>
      <c r="NJQ126" s="169"/>
      <c r="NJU126" s="169"/>
      <c r="NJY126" s="169"/>
      <c r="NKC126" s="169"/>
      <c r="NKG126" s="169"/>
      <c r="NKK126" s="169"/>
      <c r="NKO126" s="169"/>
      <c r="NKS126" s="169"/>
      <c r="NKW126" s="169"/>
      <c r="NLA126" s="169"/>
      <c r="NLE126" s="169"/>
      <c r="NLI126" s="169"/>
      <c r="NLM126" s="169"/>
      <c r="NLQ126" s="169"/>
      <c r="NLU126" s="169"/>
      <c r="NLY126" s="169"/>
      <c r="NMC126" s="169"/>
      <c r="NMG126" s="169"/>
      <c r="NMK126" s="169"/>
      <c r="NMO126" s="169"/>
      <c r="NMS126" s="169"/>
      <c r="NMW126" s="169"/>
      <c r="NNA126" s="169"/>
      <c r="NNE126" s="169"/>
      <c r="NNI126" s="169"/>
      <c r="NNM126" s="169"/>
      <c r="NNQ126" s="169"/>
      <c r="NNU126" s="169"/>
      <c r="NNY126" s="169"/>
      <c r="NOC126" s="169"/>
      <c r="NOG126" s="169"/>
      <c r="NOK126" s="169"/>
      <c r="NOO126" s="169"/>
      <c r="NOS126" s="169"/>
      <c r="NOW126" s="169"/>
      <c r="NPA126" s="169"/>
      <c r="NPE126" s="169"/>
      <c r="NPI126" s="169"/>
      <c r="NPM126" s="169"/>
      <c r="NPQ126" s="169"/>
      <c r="NPU126" s="169"/>
      <c r="NPY126" s="169"/>
      <c r="NQC126" s="169"/>
      <c r="NQG126" s="169"/>
      <c r="NQK126" s="169"/>
      <c r="NQO126" s="169"/>
      <c r="NQS126" s="169"/>
      <c r="NQW126" s="169"/>
      <c r="NRA126" s="169"/>
      <c r="NRE126" s="169"/>
      <c r="NRI126" s="169"/>
      <c r="NRM126" s="169"/>
      <c r="NRQ126" s="169"/>
      <c r="NRU126" s="169"/>
      <c r="NRY126" s="169"/>
      <c r="NSC126" s="169"/>
      <c r="NSG126" s="169"/>
      <c r="NSK126" s="169"/>
      <c r="NSO126" s="169"/>
      <c r="NSS126" s="169"/>
      <c r="NSW126" s="169"/>
      <c r="NTA126" s="169"/>
      <c r="NTE126" s="169"/>
      <c r="NTI126" s="169"/>
      <c r="NTM126" s="169"/>
      <c r="NTQ126" s="169"/>
      <c r="NTU126" s="169"/>
      <c r="NTY126" s="169"/>
      <c r="NUC126" s="169"/>
      <c r="NUG126" s="169"/>
      <c r="NUK126" s="169"/>
      <c r="NUO126" s="169"/>
      <c r="NUS126" s="169"/>
      <c r="NUW126" s="169"/>
      <c r="NVA126" s="169"/>
      <c r="NVE126" s="169"/>
      <c r="NVI126" s="169"/>
      <c r="NVM126" s="169"/>
      <c r="NVQ126" s="169"/>
      <c r="NVU126" s="169"/>
      <c r="NVY126" s="169"/>
      <c r="NWC126" s="169"/>
      <c r="NWG126" s="169"/>
      <c r="NWK126" s="169"/>
      <c r="NWO126" s="169"/>
      <c r="NWS126" s="169"/>
      <c r="NWW126" s="169"/>
      <c r="NXA126" s="169"/>
      <c r="NXE126" s="169"/>
      <c r="NXI126" s="169"/>
      <c r="NXM126" s="169"/>
      <c r="NXQ126" s="169"/>
      <c r="NXU126" s="169"/>
      <c r="NXY126" s="169"/>
      <c r="NYC126" s="169"/>
      <c r="NYG126" s="169"/>
      <c r="NYK126" s="169"/>
      <c r="NYO126" s="169"/>
      <c r="NYS126" s="169"/>
      <c r="NYW126" s="169"/>
      <c r="NZA126" s="169"/>
      <c r="NZE126" s="169"/>
      <c r="NZI126" s="169"/>
      <c r="NZM126" s="169"/>
      <c r="NZQ126" s="169"/>
      <c r="NZU126" s="169"/>
      <c r="NZY126" s="169"/>
      <c r="OAC126" s="169"/>
      <c r="OAG126" s="169"/>
      <c r="OAK126" s="169"/>
      <c r="OAO126" s="169"/>
      <c r="OAS126" s="169"/>
      <c r="OAW126" s="169"/>
      <c r="OBA126" s="169"/>
      <c r="OBE126" s="169"/>
      <c r="OBI126" s="169"/>
      <c r="OBM126" s="169"/>
      <c r="OBQ126" s="169"/>
      <c r="OBU126" s="169"/>
      <c r="OBY126" s="169"/>
      <c r="OCC126" s="169"/>
      <c r="OCG126" s="169"/>
      <c r="OCK126" s="169"/>
      <c r="OCO126" s="169"/>
      <c r="OCS126" s="169"/>
      <c r="OCW126" s="169"/>
      <c r="ODA126" s="169"/>
      <c r="ODE126" s="169"/>
      <c r="ODI126" s="169"/>
      <c r="ODM126" s="169"/>
      <c r="ODQ126" s="169"/>
      <c r="ODU126" s="169"/>
      <c r="ODY126" s="169"/>
      <c r="OEC126" s="169"/>
      <c r="OEG126" s="169"/>
      <c r="OEK126" s="169"/>
      <c r="OEO126" s="169"/>
      <c r="OES126" s="169"/>
      <c r="OEW126" s="169"/>
      <c r="OFA126" s="169"/>
      <c r="OFE126" s="169"/>
      <c r="OFI126" s="169"/>
      <c r="OFM126" s="169"/>
      <c r="OFQ126" s="169"/>
      <c r="OFU126" s="169"/>
      <c r="OFY126" s="169"/>
      <c r="OGC126" s="169"/>
      <c r="OGG126" s="169"/>
      <c r="OGK126" s="169"/>
      <c r="OGO126" s="169"/>
      <c r="OGS126" s="169"/>
      <c r="OGW126" s="169"/>
      <c r="OHA126" s="169"/>
      <c r="OHE126" s="169"/>
      <c r="OHI126" s="169"/>
      <c r="OHM126" s="169"/>
      <c r="OHQ126" s="169"/>
      <c r="OHU126" s="169"/>
      <c r="OHY126" s="169"/>
      <c r="OIC126" s="169"/>
      <c r="OIG126" s="169"/>
      <c r="OIK126" s="169"/>
      <c r="OIO126" s="169"/>
      <c r="OIS126" s="169"/>
      <c r="OIW126" s="169"/>
      <c r="OJA126" s="169"/>
      <c r="OJE126" s="169"/>
      <c r="OJI126" s="169"/>
      <c r="OJM126" s="169"/>
      <c r="OJQ126" s="169"/>
      <c r="OJU126" s="169"/>
      <c r="OJY126" s="169"/>
      <c r="OKC126" s="169"/>
      <c r="OKG126" s="169"/>
      <c r="OKK126" s="169"/>
      <c r="OKO126" s="169"/>
      <c r="OKS126" s="169"/>
      <c r="OKW126" s="169"/>
      <c r="OLA126" s="169"/>
      <c r="OLE126" s="169"/>
      <c r="OLI126" s="169"/>
      <c r="OLM126" s="169"/>
      <c r="OLQ126" s="169"/>
      <c r="OLU126" s="169"/>
      <c r="OLY126" s="169"/>
      <c r="OMC126" s="169"/>
      <c r="OMG126" s="169"/>
      <c r="OMK126" s="169"/>
      <c r="OMO126" s="169"/>
      <c r="OMS126" s="169"/>
      <c r="OMW126" s="169"/>
      <c r="ONA126" s="169"/>
      <c r="ONE126" s="169"/>
      <c r="ONI126" s="169"/>
      <c r="ONM126" s="169"/>
      <c r="ONQ126" s="169"/>
      <c r="ONU126" s="169"/>
      <c r="ONY126" s="169"/>
      <c r="OOC126" s="169"/>
      <c r="OOG126" s="169"/>
      <c r="OOK126" s="169"/>
      <c r="OOO126" s="169"/>
      <c r="OOS126" s="169"/>
      <c r="OOW126" s="169"/>
      <c r="OPA126" s="169"/>
      <c r="OPE126" s="169"/>
      <c r="OPI126" s="169"/>
      <c r="OPM126" s="169"/>
      <c r="OPQ126" s="169"/>
      <c r="OPU126" s="169"/>
      <c r="OPY126" s="169"/>
      <c r="OQC126" s="169"/>
      <c r="OQG126" s="169"/>
      <c r="OQK126" s="169"/>
      <c r="OQO126" s="169"/>
      <c r="OQS126" s="169"/>
      <c r="OQW126" s="169"/>
      <c r="ORA126" s="169"/>
      <c r="ORE126" s="169"/>
      <c r="ORI126" s="169"/>
      <c r="ORM126" s="169"/>
      <c r="ORQ126" s="169"/>
      <c r="ORU126" s="169"/>
      <c r="ORY126" s="169"/>
      <c r="OSC126" s="169"/>
      <c r="OSG126" s="169"/>
      <c r="OSK126" s="169"/>
      <c r="OSO126" s="169"/>
      <c r="OSS126" s="169"/>
      <c r="OSW126" s="169"/>
      <c r="OTA126" s="169"/>
      <c r="OTE126" s="169"/>
      <c r="OTI126" s="169"/>
      <c r="OTM126" s="169"/>
      <c r="OTQ126" s="169"/>
      <c r="OTU126" s="169"/>
      <c r="OTY126" s="169"/>
      <c r="OUC126" s="169"/>
      <c r="OUG126" s="169"/>
      <c r="OUK126" s="169"/>
      <c r="OUO126" s="169"/>
      <c r="OUS126" s="169"/>
      <c r="OUW126" s="169"/>
      <c r="OVA126" s="169"/>
      <c r="OVE126" s="169"/>
      <c r="OVI126" s="169"/>
      <c r="OVM126" s="169"/>
      <c r="OVQ126" s="169"/>
      <c r="OVU126" s="169"/>
      <c r="OVY126" s="169"/>
      <c r="OWC126" s="169"/>
      <c r="OWG126" s="169"/>
      <c r="OWK126" s="169"/>
      <c r="OWO126" s="169"/>
      <c r="OWS126" s="169"/>
      <c r="OWW126" s="169"/>
      <c r="OXA126" s="169"/>
      <c r="OXE126" s="169"/>
      <c r="OXI126" s="169"/>
      <c r="OXM126" s="169"/>
      <c r="OXQ126" s="169"/>
      <c r="OXU126" s="169"/>
      <c r="OXY126" s="169"/>
      <c r="OYC126" s="169"/>
      <c r="OYG126" s="169"/>
      <c r="OYK126" s="169"/>
      <c r="OYO126" s="169"/>
      <c r="OYS126" s="169"/>
      <c r="OYW126" s="169"/>
      <c r="OZA126" s="169"/>
      <c r="OZE126" s="169"/>
      <c r="OZI126" s="169"/>
      <c r="OZM126" s="169"/>
      <c r="OZQ126" s="169"/>
      <c r="OZU126" s="169"/>
      <c r="OZY126" s="169"/>
      <c r="PAC126" s="169"/>
      <c r="PAG126" s="169"/>
      <c r="PAK126" s="169"/>
      <c r="PAO126" s="169"/>
      <c r="PAS126" s="169"/>
      <c r="PAW126" s="169"/>
      <c r="PBA126" s="169"/>
      <c r="PBE126" s="169"/>
      <c r="PBI126" s="169"/>
      <c r="PBM126" s="169"/>
      <c r="PBQ126" s="169"/>
      <c r="PBU126" s="169"/>
      <c r="PBY126" s="169"/>
      <c r="PCC126" s="169"/>
      <c r="PCG126" s="169"/>
      <c r="PCK126" s="169"/>
      <c r="PCO126" s="169"/>
      <c r="PCS126" s="169"/>
      <c r="PCW126" s="169"/>
      <c r="PDA126" s="169"/>
      <c r="PDE126" s="169"/>
      <c r="PDI126" s="169"/>
      <c r="PDM126" s="169"/>
      <c r="PDQ126" s="169"/>
      <c r="PDU126" s="169"/>
      <c r="PDY126" s="169"/>
      <c r="PEC126" s="169"/>
      <c r="PEG126" s="169"/>
      <c r="PEK126" s="169"/>
      <c r="PEO126" s="169"/>
      <c r="PES126" s="169"/>
      <c r="PEW126" s="169"/>
      <c r="PFA126" s="169"/>
      <c r="PFE126" s="169"/>
      <c r="PFI126" s="169"/>
      <c r="PFM126" s="169"/>
      <c r="PFQ126" s="169"/>
      <c r="PFU126" s="169"/>
      <c r="PFY126" s="169"/>
      <c r="PGC126" s="169"/>
      <c r="PGG126" s="169"/>
      <c r="PGK126" s="169"/>
      <c r="PGO126" s="169"/>
      <c r="PGS126" s="169"/>
      <c r="PGW126" s="169"/>
      <c r="PHA126" s="169"/>
      <c r="PHE126" s="169"/>
      <c r="PHI126" s="169"/>
      <c r="PHM126" s="169"/>
      <c r="PHQ126" s="169"/>
      <c r="PHU126" s="169"/>
      <c r="PHY126" s="169"/>
      <c r="PIC126" s="169"/>
      <c r="PIG126" s="169"/>
      <c r="PIK126" s="169"/>
      <c r="PIO126" s="169"/>
      <c r="PIS126" s="169"/>
      <c r="PIW126" s="169"/>
      <c r="PJA126" s="169"/>
      <c r="PJE126" s="169"/>
      <c r="PJI126" s="169"/>
      <c r="PJM126" s="169"/>
      <c r="PJQ126" s="169"/>
      <c r="PJU126" s="169"/>
      <c r="PJY126" s="169"/>
      <c r="PKC126" s="169"/>
      <c r="PKG126" s="169"/>
      <c r="PKK126" s="169"/>
      <c r="PKO126" s="169"/>
      <c r="PKS126" s="169"/>
      <c r="PKW126" s="169"/>
      <c r="PLA126" s="169"/>
      <c r="PLE126" s="169"/>
      <c r="PLI126" s="169"/>
      <c r="PLM126" s="169"/>
      <c r="PLQ126" s="169"/>
      <c r="PLU126" s="169"/>
      <c r="PLY126" s="169"/>
      <c r="PMC126" s="169"/>
      <c r="PMG126" s="169"/>
      <c r="PMK126" s="169"/>
      <c r="PMO126" s="169"/>
      <c r="PMS126" s="169"/>
      <c r="PMW126" s="169"/>
      <c r="PNA126" s="169"/>
      <c r="PNE126" s="169"/>
      <c r="PNI126" s="169"/>
      <c r="PNM126" s="169"/>
      <c r="PNQ126" s="169"/>
      <c r="PNU126" s="169"/>
      <c r="PNY126" s="169"/>
      <c r="POC126" s="169"/>
      <c r="POG126" s="169"/>
      <c r="POK126" s="169"/>
      <c r="POO126" s="169"/>
      <c r="POS126" s="169"/>
      <c r="POW126" s="169"/>
      <c r="PPA126" s="169"/>
      <c r="PPE126" s="169"/>
      <c r="PPI126" s="169"/>
      <c r="PPM126" s="169"/>
      <c r="PPQ126" s="169"/>
      <c r="PPU126" s="169"/>
      <c r="PPY126" s="169"/>
      <c r="PQC126" s="169"/>
      <c r="PQG126" s="169"/>
      <c r="PQK126" s="169"/>
      <c r="PQO126" s="169"/>
      <c r="PQS126" s="169"/>
      <c r="PQW126" s="169"/>
      <c r="PRA126" s="169"/>
      <c r="PRE126" s="169"/>
      <c r="PRI126" s="169"/>
      <c r="PRM126" s="169"/>
      <c r="PRQ126" s="169"/>
      <c r="PRU126" s="169"/>
      <c r="PRY126" s="169"/>
      <c r="PSC126" s="169"/>
      <c r="PSG126" s="169"/>
      <c r="PSK126" s="169"/>
      <c r="PSO126" s="169"/>
      <c r="PSS126" s="169"/>
      <c r="PSW126" s="169"/>
      <c r="PTA126" s="169"/>
      <c r="PTE126" s="169"/>
      <c r="PTI126" s="169"/>
      <c r="PTM126" s="169"/>
      <c r="PTQ126" s="169"/>
      <c r="PTU126" s="169"/>
      <c r="PTY126" s="169"/>
      <c r="PUC126" s="169"/>
      <c r="PUG126" s="169"/>
      <c r="PUK126" s="169"/>
      <c r="PUO126" s="169"/>
      <c r="PUS126" s="169"/>
      <c r="PUW126" s="169"/>
      <c r="PVA126" s="169"/>
      <c r="PVE126" s="169"/>
      <c r="PVI126" s="169"/>
      <c r="PVM126" s="169"/>
      <c r="PVQ126" s="169"/>
      <c r="PVU126" s="169"/>
      <c r="PVY126" s="169"/>
      <c r="PWC126" s="169"/>
      <c r="PWG126" s="169"/>
      <c r="PWK126" s="169"/>
      <c r="PWO126" s="169"/>
      <c r="PWS126" s="169"/>
      <c r="PWW126" s="169"/>
      <c r="PXA126" s="169"/>
      <c r="PXE126" s="169"/>
      <c r="PXI126" s="169"/>
      <c r="PXM126" s="169"/>
      <c r="PXQ126" s="169"/>
      <c r="PXU126" s="169"/>
      <c r="PXY126" s="169"/>
      <c r="PYC126" s="169"/>
      <c r="PYG126" s="169"/>
      <c r="PYK126" s="169"/>
      <c r="PYO126" s="169"/>
      <c r="PYS126" s="169"/>
      <c r="PYW126" s="169"/>
      <c r="PZA126" s="169"/>
      <c r="PZE126" s="169"/>
      <c r="PZI126" s="169"/>
      <c r="PZM126" s="169"/>
      <c r="PZQ126" s="169"/>
      <c r="PZU126" s="169"/>
      <c r="PZY126" s="169"/>
      <c r="QAC126" s="169"/>
      <c r="QAG126" s="169"/>
      <c r="QAK126" s="169"/>
      <c r="QAO126" s="169"/>
      <c r="QAS126" s="169"/>
      <c r="QAW126" s="169"/>
      <c r="QBA126" s="169"/>
      <c r="QBE126" s="169"/>
      <c r="QBI126" s="169"/>
      <c r="QBM126" s="169"/>
      <c r="QBQ126" s="169"/>
      <c r="QBU126" s="169"/>
      <c r="QBY126" s="169"/>
      <c r="QCC126" s="169"/>
      <c r="QCG126" s="169"/>
      <c r="QCK126" s="169"/>
      <c r="QCO126" s="169"/>
      <c r="QCS126" s="169"/>
      <c r="QCW126" s="169"/>
      <c r="QDA126" s="169"/>
      <c r="QDE126" s="169"/>
      <c r="QDI126" s="169"/>
      <c r="QDM126" s="169"/>
      <c r="QDQ126" s="169"/>
      <c r="QDU126" s="169"/>
      <c r="QDY126" s="169"/>
      <c r="QEC126" s="169"/>
      <c r="QEG126" s="169"/>
      <c r="QEK126" s="169"/>
      <c r="QEO126" s="169"/>
      <c r="QES126" s="169"/>
      <c r="QEW126" s="169"/>
      <c r="QFA126" s="169"/>
      <c r="QFE126" s="169"/>
      <c r="QFI126" s="169"/>
      <c r="QFM126" s="169"/>
      <c r="QFQ126" s="169"/>
      <c r="QFU126" s="169"/>
      <c r="QFY126" s="169"/>
      <c r="QGC126" s="169"/>
      <c r="QGG126" s="169"/>
      <c r="QGK126" s="169"/>
      <c r="QGO126" s="169"/>
      <c r="QGS126" s="169"/>
      <c r="QGW126" s="169"/>
      <c r="QHA126" s="169"/>
      <c r="QHE126" s="169"/>
      <c r="QHI126" s="169"/>
      <c r="QHM126" s="169"/>
      <c r="QHQ126" s="169"/>
      <c r="QHU126" s="169"/>
      <c r="QHY126" s="169"/>
      <c r="QIC126" s="169"/>
      <c r="QIG126" s="169"/>
      <c r="QIK126" s="169"/>
      <c r="QIO126" s="169"/>
      <c r="QIS126" s="169"/>
      <c r="QIW126" s="169"/>
      <c r="QJA126" s="169"/>
      <c r="QJE126" s="169"/>
      <c r="QJI126" s="169"/>
      <c r="QJM126" s="169"/>
      <c r="QJQ126" s="169"/>
      <c r="QJU126" s="169"/>
      <c r="QJY126" s="169"/>
      <c r="QKC126" s="169"/>
      <c r="QKG126" s="169"/>
      <c r="QKK126" s="169"/>
      <c r="QKO126" s="169"/>
      <c r="QKS126" s="169"/>
      <c r="QKW126" s="169"/>
      <c r="QLA126" s="169"/>
      <c r="QLE126" s="169"/>
      <c r="QLI126" s="169"/>
      <c r="QLM126" s="169"/>
      <c r="QLQ126" s="169"/>
      <c r="QLU126" s="169"/>
      <c r="QLY126" s="169"/>
      <c r="QMC126" s="169"/>
      <c r="QMG126" s="169"/>
      <c r="QMK126" s="169"/>
      <c r="QMO126" s="169"/>
      <c r="QMS126" s="169"/>
      <c r="QMW126" s="169"/>
      <c r="QNA126" s="169"/>
      <c r="QNE126" s="169"/>
      <c r="QNI126" s="169"/>
      <c r="QNM126" s="169"/>
      <c r="QNQ126" s="169"/>
      <c r="QNU126" s="169"/>
      <c r="QNY126" s="169"/>
      <c r="QOC126" s="169"/>
      <c r="QOG126" s="169"/>
      <c r="QOK126" s="169"/>
      <c r="QOO126" s="169"/>
      <c r="QOS126" s="169"/>
      <c r="QOW126" s="169"/>
      <c r="QPA126" s="169"/>
      <c r="QPE126" s="169"/>
      <c r="QPI126" s="169"/>
      <c r="QPM126" s="169"/>
      <c r="QPQ126" s="169"/>
      <c r="QPU126" s="169"/>
      <c r="QPY126" s="169"/>
      <c r="QQC126" s="169"/>
      <c r="QQG126" s="169"/>
      <c r="QQK126" s="169"/>
      <c r="QQO126" s="169"/>
      <c r="QQS126" s="169"/>
      <c r="QQW126" s="169"/>
      <c r="QRA126" s="169"/>
      <c r="QRE126" s="169"/>
      <c r="QRI126" s="169"/>
      <c r="QRM126" s="169"/>
      <c r="QRQ126" s="169"/>
      <c r="QRU126" s="169"/>
      <c r="QRY126" s="169"/>
      <c r="QSC126" s="169"/>
      <c r="QSG126" s="169"/>
      <c r="QSK126" s="169"/>
      <c r="QSO126" s="169"/>
      <c r="QSS126" s="169"/>
      <c r="QSW126" s="169"/>
      <c r="QTA126" s="169"/>
      <c r="QTE126" s="169"/>
      <c r="QTI126" s="169"/>
      <c r="QTM126" s="169"/>
      <c r="QTQ126" s="169"/>
      <c r="QTU126" s="169"/>
      <c r="QTY126" s="169"/>
      <c r="QUC126" s="169"/>
      <c r="QUG126" s="169"/>
      <c r="QUK126" s="169"/>
      <c r="QUO126" s="169"/>
      <c r="QUS126" s="169"/>
      <c r="QUW126" s="169"/>
      <c r="QVA126" s="169"/>
      <c r="QVE126" s="169"/>
      <c r="QVI126" s="169"/>
      <c r="QVM126" s="169"/>
      <c r="QVQ126" s="169"/>
      <c r="QVU126" s="169"/>
      <c r="QVY126" s="169"/>
      <c r="QWC126" s="169"/>
      <c r="QWG126" s="169"/>
      <c r="QWK126" s="169"/>
      <c r="QWO126" s="169"/>
      <c r="QWS126" s="169"/>
      <c r="QWW126" s="169"/>
      <c r="QXA126" s="169"/>
      <c r="QXE126" s="169"/>
      <c r="QXI126" s="169"/>
      <c r="QXM126" s="169"/>
      <c r="QXQ126" s="169"/>
      <c r="QXU126" s="169"/>
      <c r="QXY126" s="169"/>
      <c r="QYC126" s="169"/>
      <c r="QYG126" s="169"/>
      <c r="QYK126" s="169"/>
      <c r="QYO126" s="169"/>
      <c r="QYS126" s="169"/>
      <c r="QYW126" s="169"/>
      <c r="QZA126" s="169"/>
      <c r="QZE126" s="169"/>
      <c r="QZI126" s="169"/>
      <c r="QZM126" s="169"/>
      <c r="QZQ126" s="169"/>
      <c r="QZU126" s="169"/>
      <c r="QZY126" s="169"/>
      <c r="RAC126" s="169"/>
      <c r="RAG126" s="169"/>
      <c r="RAK126" s="169"/>
      <c r="RAO126" s="169"/>
      <c r="RAS126" s="169"/>
      <c r="RAW126" s="169"/>
      <c r="RBA126" s="169"/>
      <c r="RBE126" s="169"/>
      <c r="RBI126" s="169"/>
      <c r="RBM126" s="169"/>
      <c r="RBQ126" s="169"/>
      <c r="RBU126" s="169"/>
      <c r="RBY126" s="169"/>
      <c r="RCC126" s="169"/>
      <c r="RCG126" s="169"/>
      <c r="RCK126" s="169"/>
      <c r="RCO126" s="169"/>
      <c r="RCS126" s="169"/>
      <c r="RCW126" s="169"/>
      <c r="RDA126" s="169"/>
      <c r="RDE126" s="169"/>
      <c r="RDI126" s="169"/>
      <c r="RDM126" s="169"/>
      <c r="RDQ126" s="169"/>
      <c r="RDU126" s="169"/>
      <c r="RDY126" s="169"/>
      <c r="REC126" s="169"/>
      <c r="REG126" s="169"/>
      <c r="REK126" s="169"/>
      <c r="REO126" s="169"/>
      <c r="RES126" s="169"/>
      <c r="REW126" s="169"/>
      <c r="RFA126" s="169"/>
      <c r="RFE126" s="169"/>
      <c r="RFI126" s="169"/>
      <c r="RFM126" s="169"/>
      <c r="RFQ126" s="169"/>
      <c r="RFU126" s="169"/>
      <c r="RFY126" s="169"/>
      <c r="RGC126" s="169"/>
      <c r="RGG126" s="169"/>
      <c r="RGK126" s="169"/>
      <c r="RGO126" s="169"/>
      <c r="RGS126" s="169"/>
      <c r="RGW126" s="169"/>
      <c r="RHA126" s="169"/>
      <c r="RHE126" s="169"/>
      <c r="RHI126" s="169"/>
      <c r="RHM126" s="169"/>
      <c r="RHQ126" s="169"/>
      <c r="RHU126" s="169"/>
      <c r="RHY126" s="169"/>
      <c r="RIC126" s="169"/>
      <c r="RIG126" s="169"/>
      <c r="RIK126" s="169"/>
      <c r="RIO126" s="169"/>
      <c r="RIS126" s="169"/>
      <c r="RIW126" s="169"/>
      <c r="RJA126" s="169"/>
      <c r="RJE126" s="169"/>
      <c r="RJI126" s="169"/>
      <c r="RJM126" s="169"/>
      <c r="RJQ126" s="169"/>
      <c r="RJU126" s="169"/>
      <c r="RJY126" s="169"/>
      <c r="RKC126" s="169"/>
      <c r="RKG126" s="169"/>
      <c r="RKK126" s="169"/>
      <c r="RKO126" s="169"/>
      <c r="RKS126" s="169"/>
      <c r="RKW126" s="169"/>
      <c r="RLA126" s="169"/>
      <c r="RLE126" s="169"/>
      <c r="RLI126" s="169"/>
      <c r="RLM126" s="169"/>
      <c r="RLQ126" s="169"/>
      <c r="RLU126" s="169"/>
      <c r="RLY126" s="169"/>
      <c r="RMC126" s="169"/>
      <c r="RMG126" s="169"/>
      <c r="RMK126" s="169"/>
      <c r="RMO126" s="169"/>
      <c r="RMS126" s="169"/>
      <c r="RMW126" s="169"/>
      <c r="RNA126" s="169"/>
      <c r="RNE126" s="169"/>
      <c r="RNI126" s="169"/>
      <c r="RNM126" s="169"/>
      <c r="RNQ126" s="169"/>
      <c r="RNU126" s="169"/>
      <c r="RNY126" s="169"/>
      <c r="ROC126" s="169"/>
      <c r="ROG126" s="169"/>
      <c r="ROK126" s="169"/>
      <c r="ROO126" s="169"/>
      <c r="ROS126" s="169"/>
      <c r="ROW126" s="169"/>
      <c r="RPA126" s="169"/>
      <c r="RPE126" s="169"/>
      <c r="RPI126" s="169"/>
      <c r="RPM126" s="169"/>
      <c r="RPQ126" s="169"/>
      <c r="RPU126" s="169"/>
      <c r="RPY126" s="169"/>
      <c r="RQC126" s="169"/>
      <c r="RQG126" s="169"/>
      <c r="RQK126" s="169"/>
      <c r="RQO126" s="169"/>
      <c r="RQS126" s="169"/>
      <c r="RQW126" s="169"/>
      <c r="RRA126" s="169"/>
      <c r="RRE126" s="169"/>
      <c r="RRI126" s="169"/>
      <c r="RRM126" s="169"/>
      <c r="RRQ126" s="169"/>
      <c r="RRU126" s="169"/>
      <c r="RRY126" s="169"/>
      <c r="RSC126" s="169"/>
      <c r="RSG126" s="169"/>
      <c r="RSK126" s="169"/>
      <c r="RSO126" s="169"/>
      <c r="RSS126" s="169"/>
      <c r="RSW126" s="169"/>
      <c r="RTA126" s="169"/>
      <c r="RTE126" s="169"/>
      <c r="RTI126" s="169"/>
      <c r="RTM126" s="169"/>
      <c r="RTQ126" s="169"/>
      <c r="RTU126" s="169"/>
      <c r="RTY126" s="169"/>
      <c r="RUC126" s="169"/>
      <c r="RUG126" s="169"/>
      <c r="RUK126" s="169"/>
      <c r="RUO126" s="169"/>
      <c r="RUS126" s="169"/>
      <c r="RUW126" s="169"/>
      <c r="RVA126" s="169"/>
      <c r="RVE126" s="169"/>
      <c r="RVI126" s="169"/>
      <c r="RVM126" s="169"/>
      <c r="RVQ126" s="169"/>
      <c r="RVU126" s="169"/>
      <c r="RVY126" s="169"/>
      <c r="RWC126" s="169"/>
      <c r="RWG126" s="169"/>
      <c r="RWK126" s="169"/>
      <c r="RWO126" s="169"/>
      <c r="RWS126" s="169"/>
      <c r="RWW126" s="169"/>
      <c r="RXA126" s="169"/>
      <c r="RXE126" s="169"/>
      <c r="RXI126" s="169"/>
      <c r="RXM126" s="169"/>
      <c r="RXQ126" s="169"/>
      <c r="RXU126" s="169"/>
      <c r="RXY126" s="169"/>
      <c r="RYC126" s="169"/>
      <c r="RYG126" s="169"/>
      <c r="RYK126" s="169"/>
      <c r="RYO126" s="169"/>
      <c r="RYS126" s="169"/>
      <c r="RYW126" s="169"/>
      <c r="RZA126" s="169"/>
      <c r="RZE126" s="169"/>
      <c r="RZI126" s="169"/>
      <c r="RZM126" s="169"/>
      <c r="RZQ126" s="169"/>
      <c r="RZU126" s="169"/>
      <c r="RZY126" s="169"/>
      <c r="SAC126" s="169"/>
      <c r="SAG126" s="169"/>
      <c r="SAK126" s="169"/>
      <c r="SAO126" s="169"/>
      <c r="SAS126" s="169"/>
      <c r="SAW126" s="169"/>
      <c r="SBA126" s="169"/>
      <c r="SBE126" s="169"/>
      <c r="SBI126" s="169"/>
      <c r="SBM126" s="169"/>
      <c r="SBQ126" s="169"/>
      <c r="SBU126" s="169"/>
      <c r="SBY126" s="169"/>
      <c r="SCC126" s="169"/>
      <c r="SCG126" s="169"/>
      <c r="SCK126" s="169"/>
      <c r="SCO126" s="169"/>
      <c r="SCS126" s="169"/>
      <c r="SCW126" s="169"/>
      <c r="SDA126" s="169"/>
      <c r="SDE126" s="169"/>
      <c r="SDI126" s="169"/>
      <c r="SDM126" s="169"/>
      <c r="SDQ126" s="169"/>
      <c r="SDU126" s="169"/>
      <c r="SDY126" s="169"/>
      <c r="SEC126" s="169"/>
      <c r="SEG126" s="169"/>
      <c r="SEK126" s="169"/>
      <c r="SEO126" s="169"/>
      <c r="SES126" s="169"/>
      <c r="SEW126" s="169"/>
      <c r="SFA126" s="169"/>
      <c r="SFE126" s="169"/>
      <c r="SFI126" s="169"/>
      <c r="SFM126" s="169"/>
      <c r="SFQ126" s="169"/>
      <c r="SFU126" s="169"/>
      <c r="SFY126" s="169"/>
      <c r="SGC126" s="169"/>
      <c r="SGG126" s="169"/>
      <c r="SGK126" s="169"/>
      <c r="SGO126" s="169"/>
      <c r="SGS126" s="169"/>
      <c r="SGW126" s="169"/>
      <c r="SHA126" s="169"/>
      <c r="SHE126" s="169"/>
      <c r="SHI126" s="169"/>
      <c r="SHM126" s="169"/>
      <c r="SHQ126" s="169"/>
      <c r="SHU126" s="169"/>
      <c r="SHY126" s="169"/>
      <c r="SIC126" s="169"/>
      <c r="SIG126" s="169"/>
      <c r="SIK126" s="169"/>
      <c r="SIO126" s="169"/>
      <c r="SIS126" s="169"/>
      <c r="SIW126" s="169"/>
      <c r="SJA126" s="169"/>
      <c r="SJE126" s="169"/>
      <c r="SJI126" s="169"/>
      <c r="SJM126" s="169"/>
      <c r="SJQ126" s="169"/>
      <c r="SJU126" s="169"/>
      <c r="SJY126" s="169"/>
      <c r="SKC126" s="169"/>
      <c r="SKG126" s="169"/>
      <c r="SKK126" s="169"/>
      <c r="SKO126" s="169"/>
      <c r="SKS126" s="169"/>
      <c r="SKW126" s="169"/>
      <c r="SLA126" s="169"/>
      <c r="SLE126" s="169"/>
      <c r="SLI126" s="169"/>
      <c r="SLM126" s="169"/>
      <c r="SLQ126" s="169"/>
      <c r="SLU126" s="169"/>
      <c r="SLY126" s="169"/>
      <c r="SMC126" s="169"/>
      <c r="SMG126" s="169"/>
      <c r="SMK126" s="169"/>
      <c r="SMO126" s="169"/>
      <c r="SMS126" s="169"/>
      <c r="SMW126" s="169"/>
      <c r="SNA126" s="169"/>
      <c r="SNE126" s="169"/>
      <c r="SNI126" s="169"/>
      <c r="SNM126" s="169"/>
      <c r="SNQ126" s="169"/>
      <c r="SNU126" s="169"/>
      <c r="SNY126" s="169"/>
      <c r="SOC126" s="169"/>
      <c r="SOG126" s="169"/>
      <c r="SOK126" s="169"/>
      <c r="SOO126" s="169"/>
      <c r="SOS126" s="169"/>
      <c r="SOW126" s="169"/>
      <c r="SPA126" s="169"/>
      <c r="SPE126" s="169"/>
      <c r="SPI126" s="169"/>
      <c r="SPM126" s="169"/>
      <c r="SPQ126" s="169"/>
      <c r="SPU126" s="169"/>
      <c r="SPY126" s="169"/>
      <c r="SQC126" s="169"/>
      <c r="SQG126" s="169"/>
      <c r="SQK126" s="169"/>
      <c r="SQO126" s="169"/>
      <c r="SQS126" s="169"/>
      <c r="SQW126" s="169"/>
      <c r="SRA126" s="169"/>
      <c r="SRE126" s="169"/>
      <c r="SRI126" s="169"/>
      <c r="SRM126" s="169"/>
      <c r="SRQ126" s="169"/>
      <c r="SRU126" s="169"/>
      <c r="SRY126" s="169"/>
      <c r="SSC126" s="169"/>
      <c r="SSG126" s="169"/>
      <c r="SSK126" s="169"/>
      <c r="SSO126" s="169"/>
      <c r="SSS126" s="169"/>
      <c r="SSW126" s="169"/>
      <c r="STA126" s="169"/>
      <c r="STE126" s="169"/>
      <c r="STI126" s="169"/>
      <c r="STM126" s="169"/>
      <c r="STQ126" s="169"/>
      <c r="STU126" s="169"/>
      <c r="STY126" s="169"/>
      <c r="SUC126" s="169"/>
      <c r="SUG126" s="169"/>
      <c r="SUK126" s="169"/>
      <c r="SUO126" s="169"/>
      <c r="SUS126" s="169"/>
      <c r="SUW126" s="169"/>
      <c r="SVA126" s="169"/>
      <c r="SVE126" s="169"/>
      <c r="SVI126" s="169"/>
      <c r="SVM126" s="169"/>
      <c r="SVQ126" s="169"/>
      <c r="SVU126" s="169"/>
      <c r="SVY126" s="169"/>
      <c r="SWC126" s="169"/>
      <c r="SWG126" s="169"/>
      <c r="SWK126" s="169"/>
      <c r="SWO126" s="169"/>
      <c r="SWS126" s="169"/>
      <c r="SWW126" s="169"/>
      <c r="SXA126" s="169"/>
      <c r="SXE126" s="169"/>
      <c r="SXI126" s="169"/>
      <c r="SXM126" s="169"/>
      <c r="SXQ126" s="169"/>
      <c r="SXU126" s="169"/>
      <c r="SXY126" s="169"/>
      <c r="SYC126" s="169"/>
      <c r="SYG126" s="169"/>
      <c r="SYK126" s="169"/>
      <c r="SYO126" s="169"/>
      <c r="SYS126" s="169"/>
      <c r="SYW126" s="169"/>
      <c r="SZA126" s="169"/>
      <c r="SZE126" s="169"/>
      <c r="SZI126" s="169"/>
      <c r="SZM126" s="169"/>
      <c r="SZQ126" s="169"/>
      <c r="SZU126" s="169"/>
      <c r="SZY126" s="169"/>
      <c r="TAC126" s="169"/>
      <c r="TAG126" s="169"/>
      <c r="TAK126" s="169"/>
      <c r="TAO126" s="169"/>
      <c r="TAS126" s="169"/>
      <c r="TAW126" s="169"/>
      <c r="TBA126" s="169"/>
      <c r="TBE126" s="169"/>
      <c r="TBI126" s="169"/>
      <c r="TBM126" s="169"/>
      <c r="TBQ126" s="169"/>
      <c r="TBU126" s="169"/>
      <c r="TBY126" s="169"/>
      <c r="TCC126" s="169"/>
      <c r="TCG126" s="169"/>
      <c r="TCK126" s="169"/>
      <c r="TCO126" s="169"/>
      <c r="TCS126" s="169"/>
      <c r="TCW126" s="169"/>
      <c r="TDA126" s="169"/>
      <c r="TDE126" s="169"/>
      <c r="TDI126" s="169"/>
      <c r="TDM126" s="169"/>
      <c r="TDQ126" s="169"/>
      <c r="TDU126" s="169"/>
      <c r="TDY126" s="169"/>
      <c r="TEC126" s="169"/>
      <c r="TEG126" s="169"/>
      <c r="TEK126" s="169"/>
      <c r="TEO126" s="169"/>
      <c r="TES126" s="169"/>
      <c r="TEW126" s="169"/>
      <c r="TFA126" s="169"/>
      <c r="TFE126" s="169"/>
      <c r="TFI126" s="169"/>
      <c r="TFM126" s="169"/>
      <c r="TFQ126" s="169"/>
      <c r="TFU126" s="169"/>
      <c r="TFY126" s="169"/>
      <c r="TGC126" s="169"/>
      <c r="TGG126" s="169"/>
      <c r="TGK126" s="169"/>
      <c r="TGO126" s="169"/>
      <c r="TGS126" s="169"/>
      <c r="TGW126" s="169"/>
      <c r="THA126" s="169"/>
      <c r="THE126" s="169"/>
      <c r="THI126" s="169"/>
      <c r="THM126" s="169"/>
      <c r="THQ126" s="169"/>
      <c r="THU126" s="169"/>
      <c r="THY126" s="169"/>
      <c r="TIC126" s="169"/>
      <c r="TIG126" s="169"/>
      <c r="TIK126" s="169"/>
      <c r="TIO126" s="169"/>
      <c r="TIS126" s="169"/>
      <c r="TIW126" s="169"/>
      <c r="TJA126" s="169"/>
      <c r="TJE126" s="169"/>
      <c r="TJI126" s="169"/>
      <c r="TJM126" s="169"/>
      <c r="TJQ126" s="169"/>
      <c r="TJU126" s="169"/>
      <c r="TJY126" s="169"/>
      <c r="TKC126" s="169"/>
      <c r="TKG126" s="169"/>
      <c r="TKK126" s="169"/>
      <c r="TKO126" s="169"/>
      <c r="TKS126" s="169"/>
      <c r="TKW126" s="169"/>
      <c r="TLA126" s="169"/>
      <c r="TLE126" s="169"/>
      <c r="TLI126" s="169"/>
      <c r="TLM126" s="169"/>
      <c r="TLQ126" s="169"/>
      <c r="TLU126" s="169"/>
      <c r="TLY126" s="169"/>
      <c r="TMC126" s="169"/>
      <c r="TMG126" s="169"/>
      <c r="TMK126" s="169"/>
      <c r="TMO126" s="169"/>
      <c r="TMS126" s="169"/>
      <c r="TMW126" s="169"/>
      <c r="TNA126" s="169"/>
      <c r="TNE126" s="169"/>
      <c r="TNI126" s="169"/>
      <c r="TNM126" s="169"/>
      <c r="TNQ126" s="169"/>
      <c r="TNU126" s="169"/>
      <c r="TNY126" s="169"/>
      <c r="TOC126" s="169"/>
      <c r="TOG126" s="169"/>
      <c r="TOK126" s="169"/>
      <c r="TOO126" s="169"/>
      <c r="TOS126" s="169"/>
      <c r="TOW126" s="169"/>
      <c r="TPA126" s="169"/>
      <c r="TPE126" s="169"/>
      <c r="TPI126" s="169"/>
      <c r="TPM126" s="169"/>
      <c r="TPQ126" s="169"/>
      <c r="TPU126" s="169"/>
      <c r="TPY126" s="169"/>
      <c r="TQC126" s="169"/>
      <c r="TQG126" s="169"/>
      <c r="TQK126" s="169"/>
      <c r="TQO126" s="169"/>
      <c r="TQS126" s="169"/>
      <c r="TQW126" s="169"/>
      <c r="TRA126" s="169"/>
      <c r="TRE126" s="169"/>
      <c r="TRI126" s="169"/>
      <c r="TRM126" s="169"/>
      <c r="TRQ126" s="169"/>
      <c r="TRU126" s="169"/>
      <c r="TRY126" s="169"/>
      <c r="TSC126" s="169"/>
      <c r="TSG126" s="169"/>
      <c r="TSK126" s="169"/>
      <c r="TSO126" s="169"/>
      <c r="TSS126" s="169"/>
      <c r="TSW126" s="169"/>
      <c r="TTA126" s="169"/>
      <c r="TTE126" s="169"/>
      <c r="TTI126" s="169"/>
      <c r="TTM126" s="169"/>
      <c r="TTQ126" s="169"/>
      <c r="TTU126" s="169"/>
      <c r="TTY126" s="169"/>
      <c r="TUC126" s="169"/>
      <c r="TUG126" s="169"/>
      <c r="TUK126" s="169"/>
      <c r="TUO126" s="169"/>
      <c r="TUS126" s="169"/>
      <c r="TUW126" s="169"/>
      <c r="TVA126" s="169"/>
      <c r="TVE126" s="169"/>
      <c r="TVI126" s="169"/>
      <c r="TVM126" s="169"/>
      <c r="TVQ126" s="169"/>
      <c r="TVU126" s="169"/>
      <c r="TVY126" s="169"/>
      <c r="TWC126" s="169"/>
      <c r="TWG126" s="169"/>
      <c r="TWK126" s="169"/>
      <c r="TWO126" s="169"/>
      <c r="TWS126" s="169"/>
      <c r="TWW126" s="169"/>
      <c r="TXA126" s="169"/>
      <c r="TXE126" s="169"/>
      <c r="TXI126" s="169"/>
      <c r="TXM126" s="169"/>
      <c r="TXQ126" s="169"/>
      <c r="TXU126" s="169"/>
      <c r="TXY126" s="169"/>
      <c r="TYC126" s="169"/>
      <c r="TYG126" s="169"/>
      <c r="TYK126" s="169"/>
      <c r="TYO126" s="169"/>
      <c r="TYS126" s="169"/>
      <c r="TYW126" s="169"/>
      <c r="TZA126" s="169"/>
      <c r="TZE126" s="169"/>
      <c r="TZI126" s="169"/>
      <c r="TZM126" s="169"/>
      <c r="TZQ126" s="169"/>
      <c r="TZU126" s="169"/>
      <c r="TZY126" s="169"/>
      <c r="UAC126" s="169"/>
      <c r="UAG126" s="169"/>
      <c r="UAK126" s="169"/>
      <c r="UAO126" s="169"/>
      <c r="UAS126" s="169"/>
      <c r="UAW126" s="169"/>
      <c r="UBA126" s="169"/>
      <c r="UBE126" s="169"/>
      <c r="UBI126" s="169"/>
      <c r="UBM126" s="169"/>
      <c r="UBQ126" s="169"/>
      <c r="UBU126" s="169"/>
      <c r="UBY126" s="169"/>
      <c r="UCC126" s="169"/>
      <c r="UCG126" s="169"/>
      <c r="UCK126" s="169"/>
      <c r="UCO126" s="169"/>
      <c r="UCS126" s="169"/>
      <c r="UCW126" s="169"/>
      <c r="UDA126" s="169"/>
      <c r="UDE126" s="169"/>
      <c r="UDI126" s="169"/>
      <c r="UDM126" s="169"/>
      <c r="UDQ126" s="169"/>
      <c r="UDU126" s="169"/>
      <c r="UDY126" s="169"/>
      <c r="UEC126" s="169"/>
      <c r="UEG126" s="169"/>
      <c r="UEK126" s="169"/>
      <c r="UEO126" s="169"/>
      <c r="UES126" s="169"/>
      <c r="UEW126" s="169"/>
      <c r="UFA126" s="169"/>
      <c r="UFE126" s="169"/>
      <c r="UFI126" s="169"/>
      <c r="UFM126" s="169"/>
      <c r="UFQ126" s="169"/>
      <c r="UFU126" s="169"/>
      <c r="UFY126" s="169"/>
      <c r="UGC126" s="169"/>
      <c r="UGG126" s="169"/>
      <c r="UGK126" s="169"/>
      <c r="UGO126" s="169"/>
      <c r="UGS126" s="169"/>
      <c r="UGW126" s="169"/>
      <c r="UHA126" s="169"/>
      <c r="UHE126" s="169"/>
      <c r="UHI126" s="169"/>
      <c r="UHM126" s="169"/>
      <c r="UHQ126" s="169"/>
      <c r="UHU126" s="169"/>
      <c r="UHY126" s="169"/>
      <c r="UIC126" s="169"/>
      <c r="UIG126" s="169"/>
      <c r="UIK126" s="169"/>
      <c r="UIO126" s="169"/>
      <c r="UIS126" s="169"/>
      <c r="UIW126" s="169"/>
      <c r="UJA126" s="169"/>
      <c r="UJE126" s="169"/>
      <c r="UJI126" s="169"/>
      <c r="UJM126" s="169"/>
      <c r="UJQ126" s="169"/>
      <c r="UJU126" s="169"/>
      <c r="UJY126" s="169"/>
      <c r="UKC126" s="169"/>
      <c r="UKG126" s="169"/>
      <c r="UKK126" s="169"/>
      <c r="UKO126" s="169"/>
      <c r="UKS126" s="169"/>
      <c r="UKW126" s="169"/>
      <c r="ULA126" s="169"/>
      <c r="ULE126" s="169"/>
      <c r="ULI126" s="169"/>
      <c r="ULM126" s="169"/>
      <c r="ULQ126" s="169"/>
      <c r="ULU126" s="169"/>
      <c r="ULY126" s="169"/>
      <c r="UMC126" s="169"/>
      <c r="UMG126" s="169"/>
      <c r="UMK126" s="169"/>
      <c r="UMO126" s="169"/>
      <c r="UMS126" s="169"/>
      <c r="UMW126" s="169"/>
      <c r="UNA126" s="169"/>
      <c r="UNE126" s="169"/>
      <c r="UNI126" s="169"/>
      <c r="UNM126" s="169"/>
      <c r="UNQ126" s="169"/>
      <c r="UNU126" s="169"/>
      <c r="UNY126" s="169"/>
      <c r="UOC126" s="169"/>
      <c r="UOG126" s="169"/>
      <c r="UOK126" s="169"/>
      <c r="UOO126" s="169"/>
      <c r="UOS126" s="169"/>
      <c r="UOW126" s="169"/>
      <c r="UPA126" s="169"/>
      <c r="UPE126" s="169"/>
      <c r="UPI126" s="169"/>
      <c r="UPM126" s="169"/>
      <c r="UPQ126" s="169"/>
      <c r="UPU126" s="169"/>
      <c r="UPY126" s="169"/>
      <c r="UQC126" s="169"/>
      <c r="UQG126" s="169"/>
      <c r="UQK126" s="169"/>
      <c r="UQO126" s="169"/>
      <c r="UQS126" s="169"/>
      <c r="UQW126" s="169"/>
      <c r="URA126" s="169"/>
      <c r="URE126" s="169"/>
      <c r="URI126" s="169"/>
      <c r="URM126" s="169"/>
      <c r="URQ126" s="169"/>
      <c r="URU126" s="169"/>
      <c r="URY126" s="169"/>
      <c r="USC126" s="169"/>
      <c r="USG126" s="169"/>
      <c r="USK126" s="169"/>
      <c r="USO126" s="169"/>
      <c r="USS126" s="169"/>
      <c r="USW126" s="169"/>
      <c r="UTA126" s="169"/>
      <c r="UTE126" s="169"/>
      <c r="UTI126" s="169"/>
      <c r="UTM126" s="169"/>
      <c r="UTQ126" s="169"/>
      <c r="UTU126" s="169"/>
      <c r="UTY126" s="169"/>
      <c r="UUC126" s="169"/>
      <c r="UUG126" s="169"/>
      <c r="UUK126" s="169"/>
      <c r="UUO126" s="169"/>
      <c r="UUS126" s="169"/>
      <c r="UUW126" s="169"/>
      <c r="UVA126" s="169"/>
      <c r="UVE126" s="169"/>
      <c r="UVI126" s="169"/>
      <c r="UVM126" s="169"/>
      <c r="UVQ126" s="169"/>
      <c r="UVU126" s="169"/>
      <c r="UVY126" s="169"/>
      <c r="UWC126" s="169"/>
      <c r="UWG126" s="169"/>
      <c r="UWK126" s="169"/>
      <c r="UWO126" s="169"/>
      <c r="UWS126" s="169"/>
      <c r="UWW126" s="169"/>
      <c r="UXA126" s="169"/>
      <c r="UXE126" s="169"/>
      <c r="UXI126" s="169"/>
      <c r="UXM126" s="169"/>
      <c r="UXQ126" s="169"/>
      <c r="UXU126" s="169"/>
      <c r="UXY126" s="169"/>
      <c r="UYC126" s="169"/>
      <c r="UYG126" s="169"/>
      <c r="UYK126" s="169"/>
      <c r="UYO126" s="169"/>
      <c r="UYS126" s="169"/>
      <c r="UYW126" s="169"/>
      <c r="UZA126" s="169"/>
      <c r="UZE126" s="169"/>
      <c r="UZI126" s="169"/>
      <c r="UZM126" s="169"/>
      <c r="UZQ126" s="169"/>
      <c r="UZU126" s="169"/>
      <c r="UZY126" s="169"/>
      <c r="VAC126" s="169"/>
      <c r="VAG126" s="169"/>
      <c r="VAK126" s="169"/>
      <c r="VAO126" s="169"/>
      <c r="VAS126" s="169"/>
      <c r="VAW126" s="169"/>
      <c r="VBA126" s="169"/>
      <c r="VBE126" s="169"/>
      <c r="VBI126" s="169"/>
      <c r="VBM126" s="169"/>
      <c r="VBQ126" s="169"/>
      <c r="VBU126" s="169"/>
      <c r="VBY126" s="169"/>
      <c r="VCC126" s="169"/>
      <c r="VCG126" s="169"/>
      <c r="VCK126" s="169"/>
      <c r="VCO126" s="169"/>
      <c r="VCS126" s="169"/>
      <c r="VCW126" s="169"/>
      <c r="VDA126" s="169"/>
      <c r="VDE126" s="169"/>
      <c r="VDI126" s="169"/>
      <c r="VDM126" s="169"/>
      <c r="VDQ126" s="169"/>
      <c r="VDU126" s="169"/>
      <c r="VDY126" s="169"/>
      <c r="VEC126" s="169"/>
      <c r="VEG126" s="169"/>
      <c r="VEK126" s="169"/>
      <c r="VEO126" s="169"/>
      <c r="VES126" s="169"/>
      <c r="VEW126" s="169"/>
      <c r="VFA126" s="169"/>
      <c r="VFE126" s="169"/>
      <c r="VFI126" s="169"/>
      <c r="VFM126" s="169"/>
      <c r="VFQ126" s="169"/>
      <c r="VFU126" s="169"/>
      <c r="VFY126" s="169"/>
      <c r="VGC126" s="169"/>
      <c r="VGG126" s="169"/>
      <c r="VGK126" s="169"/>
      <c r="VGO126" s="169"/>
      <c r="VGS126" s="169"/>
      <c r="VGW126" s="169"/>
      <c r="VHA126" s="169"/>
      <c r="VHE126" s="169"/>
      <c r="VHI126" s="169"/>
      <c r="VHM126" s="169"/>
      <c r="VHQ126" s="169"/>
      <c r="VHU126" s="169"/>
      <c r="VHY126" s="169"/>
      <c r="VIC126" s="169"/>
      <c r="VIG126" s="169"/>
      <c r="VIK126" s="169"/>
      <c r="VIO126" s="169"/>
      <c r="VIS126" s="169"/>
      <c r="VIW126" s="169"/>
      <c r="VJA126" s="169"/>
      <c r="VJE126" s="169"/>
      <c r="VJI126" s="169"/>
      <c r="VJM126" s="169"/>
      <c r="VJQ126" s="169"/>
      <c r="VJU126" s="169"/>
      <c r="VJY126" s="169"/>
      <c r="VKC126" s="169"/>
      <c r="VKG126" s="169"/>
      <c r="VKK126" s="169"/>
      <c r="VKO126" s="169"/>
      <c r="VKS126" s="169"/>
      <c r="VKW126" s="169"/>
      <c r="VLA126" s="169"/>
      <c r="VLE126" s="169"/>
      <c r="VLI126" s="169"/>
      <c r="VLM126" s="169"/>
      <c r="VLQ126" s="169"/>
      <c r="VLU126" s="169"/>
      <c r="VLY126" s="169"/>
      <c r="VMC126" s="169"/>
      <c r="VMG126" s="169"/>
      <c r="VMK126" s="169"/>
      <c r="VMO126" s="169"/>
      <c r="VMS126" s="169"/>
      <c r="VMW126" s="169"/>
      <c r="VNA126" s="169"/>
      <c r="VNE126" s="169"/>
      <c r="VNI126" s="169"/>
      <c r="VNM126" s="169"/>
      <c r="VNQ126" s="169"/>
      <c r="VNU126" s="169"/>
      <c r="VNY126" s="169"/>
      <c r="VOC126" s="169"/>
      <c r="VOG126" s="169"/>
      <c r="VOK126" s="169"/>
      <c r="VOO126" s="169"/>
      <c r="VOS126" s="169"/>
      <c r="VOW126" s="169"/>
      <c r="VPA126" s="169"/>
      <c r="VPE126" s="169"/>
      <c r="VPI126" s="169"/>
      <c r="VPM126" s="169"/>
      <c r="VPQ126" s="169"/>
      <c r="VPU126" s="169"/>
      <c r="VPY126" s="169"/>
      <c r="VQC126" s="169"/>
      <c r="VQG126" s="169"/>
      <c r="VQK126" s="169"/>
      <c r="VQO126" s="169"/>
      <c r="VQS126" s="169"/>
      <c r="VQW126" s="169"/>
      <c r="VRA126" s="169"/>
      <c r="VRE126" s="169"/>
      <c r="VRI126" s="169"/>
      <c r="VRM126" s="169"/>
      <c r="VRQ126" s="169"/>
      <c r="VRU126" s="169"/>
      <c r="VRY126" s="169"/>
      <c r="VSC126" s="169"/>
      <c r="VSG126" s="169"/>
      <c r="VSK126" s="169"/>
      <c r="VSO126" s="169"/>
      <c r="VSS126" s="169"/>
      <c r="VSW126" s="169"/>
      <c r="VTA126" s="169"/>
      <c r="VTE126" s="169"/>
      <c r="VTI126" s="169"/>
      <c r="VTM126" s="169"/>
      <c r="VTQ126" s="169"/>
      <c r="VTU126" s="169"/>
      <c r="VTY126" s="169"/>
      <c r="VUC126" s="169"/>
      <c r="VUG126" s="169"/>
      <c r="VUK126" s="169"/>
      <c r="VUO126" s="169"/>
      <c r="VUS126" s="169"/>
      <c r="VUW126" s="169"/>
      <c r="VVA126" s="169"/>
      <c r="VVE126" s="169"/>
      <c r="VVI126" s="169"/>
      <c r="VVM126" s="169"/>
      <c r="VVQ126" s="169"/>
      <c r="VVU126" s="169"/>
      <c r="VVY126" s="169"/>
      <c r="VWC126" s="169"/>
      <c r="VWG126" s="169"/>
      <c r="VWK126" s="169"/>
      <c r="VWO126" s="169"/>
      <c r="VWS126" s="169"/>
      <c r="VWW126" s="169"/>
      <c r="VXA126" s="169"/>
      <c r="VXE126" s="169"/>
      <c r="VXI126" s="169"/>
      <c r="VXM126" s="169"/>
      <c r="VXQ126" s="169"/>
      <c r="VXU126" s="169"/>
      <c r="VXY126" s="169"/>
      <c r="VYC126" s="169"/>
      <c r="VYG126" s="169"/>
      <c r="VYK126" s="169"/>
      <c r="VYO126" s="169"/>
      <c r="VYS126" s="169"/>
      <c r="VYW126" s="169"/>
      <c r="VZA126" s="169"/>
      <c r="VZE126" s="169"/>
      <c r="VZI126" s="169"/>
      <c r="VZM126" s="169"/>
      <c r="VZQ126" s="169"/>
      <c r="VZU126" s="169"/>
      <c r="VZY126" s="169"/>
      <c r="WAC126" s="169"/>
      <c r="WAG126" s="169"/>
      <c r="WAK126" s="169"/>
      <c r="WAO126" s="169"/>
      <c r="WAS126" s="169"/>
      <c r="WAW126" s="169"/>
      <c r="WBA126" s="169"/>
      <c r="WBE126" s="169"/>
      <c r="WBI126" s="169"/>
      <c r="WBM126" s="169"/>
      <c r="WBQ126" s="169"/>
      <c r="WBU126" s="169"/>
      <c r="WBY126" s="169"/>
      <c r="WCC126" s="169"/>
      <c r="WCG126" s="169"/>
      <c r="WCK126" s="169"/>
      <c r="WCO126" s="169"/>
      <c r="WCS126" s="169"/>
      <c r="WCW126" s="169"/>
      <c r="WDA126" s="169"/>
      <c r="WDE126" s="169"/>
      <c r="WDI126" s="169"/>
      <c r="WDM126" s="169"/>
      <c r="WDQ126" s="169"/>
      <c r="WDU126" s="169"/>
      <c r="WDY126" s="169"/>
      <c r="WEC126" s="169"/>
      <c r="WEG126" s="169"/>
      <c r="WEK126" s="169"/>
      <c r="WEO126" s="169"/>
      <c r="WES126" s="169"/>
      <c r="WEW126" s="169"/>
      <c r="WFA126" s="169"/>
      <c r="WFE126" s="169"/>
      <c r="WFI126" s="169"/>
      <c r="WFM126" s="169"/>
      <c r="WFQ126" s="169"/>
      <c r="WFU126" s="169"/>
      <c r="WFY126" s="169"/>
      <c r="WGC126" s="169"/>
      <c r="WGG126" s="169"/>
      <c r="WGK126" s="169"/>
      <c r="WGO126" s="169"/>
      <c r="WGS126" s="169"/>
      <c r="WGW126" s="169"/>
      <c r="WHA126" s="169"/>
      <c r="WHE126" s="169"/>
      <c r="WHI126" s="169"/>
      <c r="WHM126" s="169"/>
      <c r="WHQ126" s="169"/>
      <c r="WHU126" s="169"/>
      <c r="WHY126" s="169"/>
      <c r="WIC126" s="169"/>
      <c r="WIG126" s="169"/>
      <c r="WIK126" s="169"/>
      <c r="WIO126" s="169"/>
      <c r="WIS126" s="169"/>
      <c r="WIW126" s="169"/>
      <c r="WJA126" s="169"/>
      <c r="WJE126" s="169"/>
      <c r="WJI126" s="169"/>
      <c r="WJM126" s="169"/>
      <c r="WJQ126" s="169"/>
      <c r="WJU126" s="169"/>
      <c r="WJY126" s="169"/>
      <c r="WKC126" s="169"/>
      <c r="WKG126" s="169"/>
      <c r="WKK126" s="169"/>
      <c r="WKO126" s="169"/>
      <c r="WKS126" s="169"/>
      <c r="WKW126" s="169"/>
      <c r="WLA126" s="169"/>
      <c r="WLE126" s="169"/>
      <c r="WLI126" s="169"/>
      <c r="WLM126" s="169"/>
      <c r="WLQ126" s="169"/>
      <c r="WLU126" s="169"/>
      <c r="WLY126" s="169"/>
      <c r="WMC126" s="169"/>
      <c r="WMG126" s="169"/>
      <c r="WMK126" s="169"/>
      <c r="WMO126" s="169"/>
      <c r="WMS126" s="169"/>
      <c r="WMW126" s="169"/>
      <c r="WNA126" s="169"/>
      <c r="WNE126" s="169"/>
      <c r="WNI126" s="169"/>
      <c r="WNM126" s="169"/>
      <c r="WNQ126" s="169"/>
      <c r="WNU126" s="169"/>
      <c r="WNY126" s="169"/>
      <c r="WOC126" s="169"/>
      <c r="WOG126" s="169"/>
      <c r="WOK126" s="169"/>
      <c r="WOO126" s="169"/>
      <c r="WOS126" s="169"/>
      <c r="WOW126" s="169"/>
      <c r="WPA126" s="169"/>
      <c r="WPE126" s="169"/>
      <c r="WPI126" s="169"/>
      <c r="WPM126" s="169"/>
      <c r="WPQ126" s="169"/>
      <c r="WPU126" s="169"/>
      <c r="WPY126" s="169"/>
      <c r="WQC126" s="169"/>
      <c r="WQG126" s="169"/>
      <c r="WQK126" s="169"/>
      <c r="WQO126" s="169"/>
      <c r="WQS126" s="169"/>
      <c r="WQW126" s="169"/>
      <c r="WRA126" s="169"/>
      <c r="WRE126" s="169"/>
      <c r="WRI126" s="169"/>
      <c r="WRM126" s="169"/>
      <c r="WRQ126" s="169"/>
      <c r="WRU126" s="169"/>
      <c r="WRY126" s="169"/>
      <c r="WSC126" s="169"/>
      <c r="WSG126" s="169"/>
      <c r="WSK126" s="169"/>
      <c r="WSO126" s="169"/>
      <c r="WSS126" s="169"/>
      <c r="WSW126" s="169"/>
      <c r="WTA126" s="169"/>
      <c r="WTE126" s="169"/>
      <c r="WTI126" s="169"/>
      <c r="WTM126" s="169"/>
      <c r="WTQ126" s="169"/>
      <c r="WTU126" s="169"/>
      <c r="WTY126" s="169"/>
      <c r="WUC126" s="169"/>
      <c r="WUG126" s="169"/>
      <c r="WUK126" s="169"/>
      <c r="WUO126" s="169"/>
      <c r="WUS126" s="169"/>
      <c r="WUW126" s="169"/>
      <c r="WVA126" s="169"/>
      <c r="WVE126" s="169"/>
      <c r="WVI126" s="169"/>
      <c r="WVM126" s="169"/>
      <c r="WVQ126" s="169"/>
      <c r="WVU126" s="169"/>
      <c r="WVY126" s="169"/>
      <c r="WWC126" s="169"/>
      <c r="WWG126" s="169"/>
      <c r="WWK126" s="169"/>
      <c r="WWO126" s="169"/>
      <c r="WWS126" s="169"/>
      <c r="WWW126" s="169"/>
      <c r="WXA126" s="169"/>
      <c r="WXE126" s="169"/>
      <c r="WXI126" s="169"/>
      <c r="WXM126" s="169"/>
      <c r="WXQ126" s="169"/>
      <c r="WXU126" s="169"/>
      <c r="WXY126" s="169"/>
      <c r="WYC126" s="169"/>
      <c r="WYG126" s="169"/>
      <c r="WYK126" s="169"/>
      <c r="WYO126" s="169"/>
      <c r="WYS126" s="169"/>
      <c r="WYW126" s="169"/>
      <c r="WZA126" s="169"/>
      <c r="WZE126" s="169"/>
      <c r="WZI126" s="169"/>
      <c r="WZM126" s="169"/>
      <c r="WZQ126" s="169"/>
      <c r="WZU126" s="169"/>
      <c r="WZY126" s="169"/>
      <c r="XAC126" s="169"/>
      <c r="XAG126" s="169"/>
      <c r="XAK126" s="169"/>
      <c r="XAO126" s="169"/>
      <c r="XAS126" s="169"/>
      <c r="XAW126" s="169"/>
      <c r="XBA126" s="169"/>
      <c r="XBE126" s="169"/>
      <c r="XBI126" s="169"/>
      <c r="XBM126" s="169"/>
      <c r="XBQ126" s="169"/>
      <c r="XBU126" s="169"/>
      <c r="XBY126" s="169"/>
      <c r="XCC126" s="169"/>
      <c r="XCG126" s="169"/>
      <c r="XCK126" s="169"/>
      <c r="XCO126" s="169"/>
      <c r="XCS126" s="169"/>
      <c r="XCW126" s="169"/>
      <c r="XDA126" s="169"/>
      <c r="XDE126" s="169"/>
      <c r="XDI126" s="169"/>
      <c r="XDM126" s="169"/>
      <c r="XDQ126" s="169"/>
      <c r="XDU126" s="169"/>
      <c r="XDY126" s="169"/>
      <c r="XEC126" s="169"/>
      <c r="XEG126" s="169"/>
      <c r="XEK126" s="169"/>
      <c r="XEO126" s="169"/>
      <c r="XES126" s="169"/>
      <c r="XEW126" s="169"/>
      <c r="XFA126" s="169"/>
    </row>
    <row r="127" spans="1:1021 1025:2045 2049:3069 3073:4093 4097:5117 5121:6141 6145:7165 7169:8189 8193:9213 9217:10237 10241:11261 11265:12285 12289:13309 13313:14333 14337:15357 15361:16381">
      <c r="B127" s="1256" t="s">
        <v>827</v>
      </c>
      <c r="C127" s="1256"/>
      <c r="D127" s="1256"/>
      <c r="E127" s="1256"/>
      <c r="F127" s="1256"/>
      <c r="G127" s="1256"/>
      <c r="H127" s="1256"/>
      <c r="I127" s="1256"/>
    </row>
    <row r="131" spans="1:7" ht="13.5" thickBot="1"/>
    <row r="132" spans="1:7" ht="13.5" thickBot="1">
      <c r="A132" s="933" t="s">
        <v>1205</v>
      </c>
      <c r="B132" s="933" t="s">
        <v>471</v>
      </c>
      <c r="C132" s="933" t="s">
        <v>472</v>
      </c>
      <c r="D132" s="933" t="s">
        <v>473</v>
      </c>
      <c r="E132" s="933" t="s">
        <v>474</v>
      </c>
      <c r="F132" s="933" t="s">
        <v>475</v>
      </c>
      <c r="G132" s="933" t="s">
        <v>978</v>
      </c>
    </row>
    <row r="133" spans="1:7" ht="13.5" thickBot="1">
      <c r="A133" s="943" t="s">
        <v>818</v>
      </c>
      <c r="B133" s="963">
        <v>2392.7199999999998</v>
      </c>
      <c r="C133" s="963">
        <v>2703.7735999999995</v>
      </c>
      <c r="D133" s="963">
        <v>3109.3396399999992</v>
      </c>
      <c r="E133" s="963">
        <v>3637.9273787999987</v>
      </c>
      <c r="F133" s="963">
        <v>4329.1335807719979</v>
      </c>
      <c r="G133" s="964">
        <v>5238.2516327341173</v>
      </c>
    </row>
    <row r="134" spans="1:7">
      <c r="A134" s="944" t="s">
        <v>692</v>
      </c>
      <c r="B134" s="93">
        <v>0.1</v>
      </c>
      <c r="C134" s="93">
        <v>0.13</v>
      </c>
      <c r="D134" s="93">
        <v>0.15</v>
      </c>
      <c r="E134" s="93">
        <v>0.17</v>
      </c>
      <c r="F134" s="93">
        <v>0.19</v>
      </c>
      <c r="G134" s="868">
        <v>0.21</v>
      </c>
    </row>
    <row r="135" spans="1:7">
      <c r="A135" s="944" t="s">
        <v>835</v>
      </c>
      <c r="B135" s="93">
        <v>0.40429887756336558</v>
      </c>
      <c r="C135" s="93">
        <v>0.40074719761468575</v>
      </c>
      <c r="D135" s="93">
        <v>0.39720370273707062</v>
      </c>
      <c r="E135" s="93">
        <v>0.39367064599675367</v>
      </c>
      <c r="F135" s="93">
        <v>0.39015010584872212</v>
      </c>
      <c r="G135" s="868">
        <v>0.38664399709061764</v>
      </c>
    </row>
    <row r="136" spans="1:7" ht="13.5" thickBot="1">
      <c r="A136" s="945"/>
      <c r="G136" s="125"/>
    </row>
    <row r="137" spans="1:7" ht="13.5" thickBot="1">
      <c r="A137" s="943" t="s">
        <v>819</v>
      </c>
      <c r="B137" s="963">
        <v>2363.1060000000002</v>
      </c>
      <c r="C137" s="963">
        <v>2741.2029600000001</v>
      </c>
      <c r="D137" s="963">
        <v>3234.6194928</v>
      </c>
      <c r="E137" s="963">
        <v>3881.54339136</v>
      </c>
      <c r="F137" s="963">
        <v>4735.4829374592</v>
      </c>
      <c r="G137" s="964">
        <v>5871.9988424494077</v>
      </c>
    </row>
    <row r="138" spans="1:7">
      <c r="A138" s="944" t="s">
        <v>692</v>
      </c>
      <c r="B138" s="93">
        <v>0.14000000000000001</v>
      </c>
      <c r="C138" s="93">
        <v>0.16</v>
      </c>
      <c r="D138" s="93">
        <v>0.18</v>
      </c>
      <c r="E138" s="93">
        <v>0.2</v>
      </c>
      <c r="F138" s="93">
        <v>0.22</v>
      </c>
      <c r="G138" s="868">
        <v>0.24</v>
      </c>
    </row>
    <row r="139" spans="1:7">
      <c r="A139" s="944" t="s">
        <v>835</v>
      </c>
      <c r="B139" s="93">
        <v>0.39929498786454526</v>
      </c>
      <c r="C139" s="93">
        <v>0.40629489255797219</v>
      </c>
      <c r="D139" s="93">
        <v>0.41320762227366892</v>
      </c>
      <c r="E139" s="93">
        <v>0.42003303948446641</v>
      </c>
      <c r="F139" s="93">
        <v>0.42677111593425537</v>
      </c>
      <c r="G139" s="868">
        <v>0.4334219244391459</v>
      </c>
    </row>
    <row r="140" spans="1:7" ht="13.5" thickBot="1">
      <c r="A140" s="945"/>
      <c r="G140" s="125"/>
    </row>
    <row r="141" spans="1:7" ht="13.5" thickBot="1">
      <c r="A141" s="943" t="s">
        <v>820</v>
      </c>
      <c r="B141" s="963">
        <v>1162.3700000000001</v>
      </c>
      <c r="C141" s="963">
        <v>1301.8544000000002</v>
      </c>
      <c r="D141" s="963">
        <v>1484.1140160000004</v>
      </c>
      <c r="E141" s="963">
        <v>1721.5722585600004</v>
      </c>
      <c r="F141" s="963">
        <v>2031.4552651008003</v>
      </c>
      <c r="G141" s="964">
        <v>2437.74631812096</v>
      </c>
    </row>
    <row r="142" spans="1:7">
      <c r="A142" s="944" t="s">
        <v>692</v>
      </c>
      <c r="B142" s="93">
        <v>0.1</v>
      </c>
      <c r="C142" s="93">
        <v>0.12</v>
      </c>
      <c r="D142" s="93">
        <v>0.14000000000000001</v>
      </c>
      <c r="E142" s="93">
        <v>0.16</v>
      </c>
      <c r="F142" s="93">
        <v>0.18</v>
      </c>
      <c r="G142" s="868">
        <v>0.2</v>
      </c>
    </row>
    <row r="143" spans="1:7">
      <c r="A143" s="946" t="s">
        <v>835</v>
      </c>
      <c r="B143" s="93">
        <v>0.19640613457208922</v>
      </c>
      <c r="C143" s="93">
        <v>0.19295790982734215</v>
      </c>
      <c r="D143" s="93">
        <v>0.18958867498926055</v>
      </c>
      <c r="E143" s="93">
        <v>0.18629631451878004</v>
      </c>
      <c r="F143" s="93">
        <v>0.18307877821702251</v>
      </c>
      <c r="G143" s="868">
        <v>0.17993407847023637</v>
      </c>
    </row>
    <row r="144" spans="1:7" ht="13.5" thickBot="1">
      <c r="A144" s="947"/>
      <c r="G144" s="125"/>
    </row>
    <row r="145" spans="1:7" ht="13.5" thickBot="1">
      <c r="A145" s="943" t="s">
        <v>17</v>
      </c>
      <c r="B145" s="963">
        <v>5918.1959999999999</v>
      </c>
      <c r="C145" s="963">
        <v>6746.8309599999993</v>
      </c>
      <c r="D145" s="963">
        <v>7828.0731487999992</v>
      </c>
      <c r="E145" s="963">
        <v>9241.0430287199979</v>
      </c>
      <c r="F145" s="963">
        <v>11096.071783331998</v>
      </c>
      <c r="G145" s="964">
        <v>13547.996793304486</v>
      </c>
    </row>
    <row r="146" spans="1:7" ht="13.5" thickBot="1">
      <c r="A146" s="948" t="s">
        <v>692</v>
      </c>
      <c r="B146" s="95">
        <v>0.1156303724928367</v>
      </c>
      <c r="C146" s="95">
        <v>0.14001478829021541</v>
      </c>
      <c r="D146" s="95">
        <v>0.16025926767846577</v>
      </c>
      <c r="E146" s="95">
        <v>0.18050034191831732</v>
      </c>
      <c r="F146" s="95">
        <v>0.20073802803934626</v>
      </c>
      <c r="G146" s="871">
        <v>0.22097234569585744</v>
      </c>
    </row>
  </sheetData>
  <mergeCells count="4">
    <mergeCell ref="B127:I127"/>
    <mergeCell ref="L35:V36"/>
    <mergeCell ref="L38:V39"/>
    <mergeCell ref="L41:V42"/>
  </mergeCells>
  <phoneticPr fontId="0" type="noConversion"/>
  <pageMargins left="0.75" right="0.75" top="1" bottom="1" header="0.5" footer="0.5"/>
  <pageSetup scale="73" orientation="portrait" r:id="rId1"/>
  <headerFooter alignWithMargins="0"/>
  <colBreaks count="1" manualBreakCount="1">
    <brk id="9" max="1048575" man="1"/>
  </col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81"/>
  <sheetViews>
    <sheetView topLeftCell="A192" zoomScale="97" zoomScaleNormal="101" workbookViewId="0">
      <selection activeCell="E180" sqref="E180"/>
    </sheetView>
  </sheetViews>
  <sheetFormatPr defaultColWidth="9.140625" defaultRowHeight="12.75"/>
  <cols>
    <col min="1" max="1" width="47" style="17" customWidth="1"/>
    <col min="2" max="10" width="9.7109375" style="17" customWidth="1"/>
    <col min="11" max="11" width="13.5703125" style="17" customWidth="1"/>
    <col min="12" max="12" width="12" style="17" customWidth="1"/>
    <col min="13" max="13" width="12.140625" style="17" customWidth="1"/>
    <col min="14" max="15" width="9.140625" style="17"/>
    <col min="16" max="16" width="11" style="17" customWidth="1"/>
    <col min="17" max="16384" width="9.140625" style="17"/>
  </cols>
  <sheetData>
    <row r="1" spans="1:19">
      <c r="A1" s="143" t="str">
        <f>Data!A1</f>
        <v>Financial Statement Analysis Package (FSAP): Version 9.0</v>
      </c>
      <c r="B1" s="144"/>
      <c r="C1" s="144"/>
      <c r="D1" s="144"/>
      <c r="E1" s="144"/>
      <c r="F1" s="144"/>
      <c r="G1" s="144"/>
      <c r="H1" s="144"/>
      <c r="I1" s="144"/>
      <c r="J1" s="145"/>
      <c r="L1" s="5"/>
      <c r="M1" s="6"/>
      <c r="N1" s="6"/>
      <c r="O1" s="6"/>
      <c r="P1" s="7"/>
    </row>
    <row r="2" spans="1:19">
      <c r="A2" s="9" t="str">
        <f>Data!A2</f>
        <v>Financial Reporting, Financial Statement Analysis, and Valuation: A Strategic Perspective, 9th Edition</v>
      </c>
      <c r="B2" s="146"/>
      <c r="C2" s="146"/>
      <c r="D2" s="146"/>
      <c r="E2" s="146"/>
      <c r="F2" s="146"/>
      <c r="G2" s="146"/>
      <c r="H2" s="146"/>
      <c r="I2" s="146"/>
      <c r="J2" s="60"/>
      <c r="L2" s="9" t="s">
        <v>403</v>
      </c>
      <c r="M2" s="10"/>
      <c r="N2" s="10"/>
      <c r="O2" s="10"/>
      <c r="P2" s="11"/>
    </row>
    <row r="3" spans="1:19" ht="13.5" thickBot="1">
      <c r="A3" s="12" t="s">
        <v>364</v>
      </c>
      <c r="B3" s="97"/>
      <c r="C3" s="97"/>
      <c r="D3" s="97"/>
      <c r="E3" s="97"/>
      <c r="F3" s="97"/>
      <c r="G3" s="97"/>
      <c r="H3" s="97"/>
      <c r="I3" s="97"/>
      <c r="J3" s="98"/>
      <c r="L3" s="15"/>
      <c r="M3" s="13"/>
      <c r="N3" s="13"/>
      <c r="O3" s="13"/>
      <c r="P3" s="14"/>
    </row>
    <row r="4" spans="1:19">
      <c r="L4" s="24" t="s">
        <v>535</v>
      </c>
      <c r="M4" s="24"/>
      <c r="N4" s="24"/>
      <c r="O4" s="24"/>
      <c r="P4" s="24"/>
      <c r="Q4" s="24"/>
      <c r="R4" s="362"/>
      <c r="S4" s="363"/>
    </row>
    <row r="6" spans="1:19">
      <c r="A6" s="18" t="s">
        <v>522</v>
      </c>
      <c r="L6" s="61" t="s">
        <v>237</v>
      </c>
    </row>
    <row r="7" spans="1:19">
      <c r="L7" s="17" t="s">
        <v>1</v>
      </c>
    </row>
    <row r="9" spans="1:19">
      <c r="A9" s="147" t="s">
        <v>461</v>
      </c>
      <c r="B9" s="148" t="s">
        <v>27</v>
      </c>
      <c r="C9" s="149"/>
      <c r="D9" s="149"/>
      <c r="E9" s="148"/>
      <c r="F9" s="149"/>
      <c r="G9" s="149"/>
      <c r="H9" s="149"/>
      <c r="I9" s="149"/>
      <c r="J9" s="150"/>
    </row>
    <row r="10" spans="1:19">
      <c r="A10" s="151" t="str">
        <f>Data!A9</f>
        <v>Analyst Name:</v>
      </c>
      <c r="B10" s="152" t="str">
        <f>Data!B9</f>
        <v>CAI Zonghuan</v>
      </c>
      <c r="C10" s="153"/>
      <c r="D10" s="154"/>
      <c r="E10" s="153"/>
      <c r="F10" s="153"/>
      <c r="G10" s="153"/>
      <c r="H10" s="153"/>
      <c r="I10" s="153"/>
      <c r="J10" s="155"/>
    </row>
    <row r="11" spans="1:19">
      <c r="A11" s="151" t="str">
        <f>Data!A10</f>
        <v>Company Name:</v>
      </c>
      <c r="B11" s="152" t="str">
        <f>Data!B10</f>
        <v>FORTINET</v>
      </c>
      <c r="C11" s="149"/>
      <c r="D11" s="149"/>
      <c r="E11" s="153"/>
      <c r="F11" s="153"/>
      <c r="G11" s="153"/>
      <c r="H11" s="153"/>
      <c r="I11" s="153"/>
      <c r="J11" s="155"/>
    </row>
    <row r="12" spans="1:19">
      <c r="A12" s="156"/>
      <c r="B12" s="156"/>
      <c r="C12" s="156"/>
      <c r="D12" s="156"/>
      <c r="E12" s="156"/>
      <c r="F12" s="156"/>
      <c r="G12" s="156"/>
      <c r="H12" s="156"/>
      <c r="I12" s="156"/>
      <c r="J12" s="156"/>
    </row>
    <row r="13" spans="1:19">
      <c r="A13" s="156"/>
      <c r="B13" s="157" t="s">
        <v>294</v>
      </c>
      <c r="C13" s="156"/>
      <c r="D13" s="156"/>
      <c r="E13" s="157" t="s">
        <v>294</v>
      </c>
      <c r="F13" s="156"/>
      <c r="G13" s="156"/>
      <c r="H13" s="156"/>
      <c r="I13" s="156"/>
      <c r="J13" s="156"/>
    </row>
    <row r="14" spans="1:19">
      <c r="A14" s="156"/>
      <c r="B14" s="157" t="s">
        <v>462</v>
      </c>
      <c r="C14" s="156"/>
      <c r="D14" s="156"/>
      <c r="E14" s="158" t="s">
        <v>463</v>
      </c>
      <c r="F14" s="156"/>
      <c r="G14" s="156"/>
      <c r="H14" s="156"/>
      <c r="I14" s="156"/>
      <c r="J14" s="159" t="s">
        <v>23</v>
      </c>
      <c r="L14" s="61" t="s">
        <v>239</v>
      </c>
    </row>
    <row r="15" spans="1:19">
      <c r="A15" s="156"/>
      <c r="B15" s="156" t="s">
        <v>25</v>
      </c>
      <c r="C15" s="156"/>
      <c r="D15" s="156"/>
      <c r="E15" s="160" t="s">
        <v>465</v>
      </c>
      <c r="F15" s="156"/>
      <c r="G15" s="156"/>
      <c r="H15" s="156"/>
      <c r="I15" s="161" t="s">
        <v>24</v>
      </c>
      <c r="J15" s="162">
        <f>Valuation!$F$29</f>
        <v>0.03</v>
      </c>
      <c r="L15" s="457" t="s">
        <v>0</v>
      </c>
    </row>
    <row r="16" spans="1:19">
      <c r="A16" s="156"/>
      <c r="B16" s="156" t="s">
        <v>26</v>
      </c>
      <c r="C16" s="156"/>
      <c r="D16" s="156"/>
      <c r="E16" s="160" t="s">
        <v>467</v>
      </c>
      <c r="F16" s="156"/>
      <c r="G16" s="156"/>
      <c r="H16" s="156"/>
      <c r="I16" s="161" t="s">
        <v>468</v>
      </c>
      <c r="J16" s="86">
        <f>1+$J$15</f>
        <v>1.03</v>
      </c>
    </row>
    <row r="17" spans="1:20" ht="13.5" thickBot="1">
      <c r="A17" s="48"/>
      <c r="B17" s="163"/>
      <c r="C17" s="164"/>
      <c r="D17" s="164"/>
      <c r="E17" s="164"/>
      <c r="F17" s="164"/>
      <c r="G17" s="164"/>
      <c r="H17" s="164"/>
      <c r="I17" s="164"/>
      <c r="J17" s="164"/>
    </row>
    <row r="18" spans="1:20" ht="13.5" thickTop="1">
      <c r="A18" s="48"/>
      <c r="B18" s="165" t="s">
        <v>469</v>
      </c>
      <c r="C18" s="166"/>
      <c r="D18" s="166"/>
      <c r="E18" s="167" t="s">
        <v>470</v>
      </c>
      <c r="F18" s="168"/>
      <c r="G18" s="168"/>
      <c r="H18" s="168"/>
      <c r="I18" s="168"/>
      <c r="J18" s="167"/>
      <c r="L18" s="61" t="s">
        <v>237</v>
      </c>
    </row>
    <row r="19" spans="1:20">
      <c r="A19" s="120" t="s">
        <v>18</v>
      </c>
      <c r="B19" s="169">
        <f>Data!E11</f>
        <v>2021</v>
      </c>
      <c r="C19" s="169">
        <f>Data!F11</f>
        <v>2022</v>
      </c>
      <c r="D19" s="169">
        <f>Data!G11</f>
        <v>2023</v>
      </c>
      <c r="E19" s="169" t="s">
        <v>471</v>
      </c>
      <c r="F19" s="169" t="s">
        <v>472</v>
      </c>
      <c r="G19" s="169" t="s">
        <v>473</v>
      </c>
      <c r="H19" s="169" t="s">
        <v>474</v>
      </c>
      <c r="I19" s="169" t="s">
        <v>475</v>
      </c>
      <c r="J19" s="169" t="s">
        <v>476</v>
      </c>
      <c r="L19" s="457" t="s">
        <v>1</v>
      </c>
    </row>
    <row r="20" spans="1:20">
      <c r="A20" s="56" t="s">
        <v>477</v>
      </c>
    </row>
    <row r="21" spans="1:20">
      <c r="A21" s="120" t="str">
        <f>Data!A65</f>
        <v>Revenues</v>
      </c>
      <c r="B21" s="464">
        <f>Data!E65</f>
        <v>3342.2</v>
      </c>
      <c r="C21" s="464">
        <f>Data!F65</f>
        <v>4417.3999999999996</v>
      </c>
      <c r="D21" s="464">
        <f>Data!G65</f>
        <v>5304.8</v>
      </c>
      <c r="E21" s="567">
        <f>'Forecast Development'!E25</f>
        <v>5918.1959999999999</v>
      </c>
      <c r="F21" s="567">
        <f>'Forecast Development'!F25</f>
        <v>6746.8309599999993</v>
      </c>
      <c r="G21" s="567">
        <f>'Forecast Development'!G25</f>
        <v>7828.0731487999992</v>
      </c>
      <c r="H21" s="567">
        <f>'Forecast Development'!H25</f>
        <v>9241.0430287199979</v>
      </c>
      <c r="I21" s="567">
        <f>'Forecast Development'!I25</f>
        <v>11096.071783331998</v>
      </c>
      <c r="J21" s="567">
        <f>'Forecast Development'!J25</f>
        <v>13547.996793304486</v>
      </c>
      <c r="L21" s="61" t="s">
        <v>2</v>
      </c>
    </row>
    <row r="22" spans="1:20">
      <c r="A22" s="107" t="s">
        <v>478</v>
      </c>
      <c r="B22" s="170">
        <f>B21/B$21</f>
        <v>1</v>
      </c>
      <c r="C22" s="170">
        <f>C21/C$21</f>
        <v>1</v>
      </c>
      <c r="D22" s="170">
        <f t="shared" ref="D22" si="0">D21/D$21</f>
        <v>1</v>
      </c>
      <c r="E22" s="568">
        <f t="shared" ref="E22" si="1">E21/E$21</f>
        <v>1</v>
      </c>
      <c r="F22" s="568">
        <f t="shared" ref="F22" si="2">F21/F$21</f>
        <v>1</v>
      </c>
      <c r="G22" s="568">
        <f t="shared" ref="G22" si="3">G21/G$21</f>
        <v>1</v>
      </c>
      <c r="H22" s="568">
        <f t="shared" ref="H22" si="4">H21/H$21</f>
        <v>1</v>
      </c>
      <c r="I22" s="568">
        <f t="shared" ref="I22" si="5">I21/I$21</f>
        <v>1</v>
      </c>
      <c r="J22" s="568">
        <f t="shared" ref="J22" si="6">J21/J$21</f>
        <v>1</v>
      </c>
      <c r="L22" s="17" t="s">
        <v>3</v>
      </c>
    </row>
    <row r="23" spans="1:20">
      <c r="A23" s="107" t="s">
        <v>479</v>
      </c>
      <c r="B23" s="170"/>
      <c r="C23" s="170">
        <f>IF(ISERROR(C21/B21-1),"",C21/B21-1)</f>
        <v>0.32170426665070906</v>
      </c>
      <c r="D23" s="170">
        <f>IF(ISERROR(D21/C21-1),"",D21/C21-1)</f>
        <v>0.20088739982795323</v>
      </c>
      <c r="E23" s="568">
        <f t="shared" ref="E23:J23" si="7">IF(ISERROR(E21/D21-1),"",E21/D21-1)</f>
        <v>0.1156303724928367</v>
      </c>
      <c r="F23" s="568">
        <f t="shared" si="7"/>
        <v>0.14001478829021541</v>
      </c>
      <c r="G23" s="568">
        <f t="shared" si="7"/>
        <v>0.16025926767846577</v>
      </c>
      <c r="H23" s="568">
        <f t="shared" si="7"/>
        <v>0.18050034191831732</v>
      </c>
      <c r="I23" s="568">
        <f t="shared" si="7"/>
        <v>0.20073802803934626</v>
      </c>
      <c r="J23" s="568">
        <f t="shared" si="7"/>
        <v>0.22097234569585744</v>
      </c>
    </row>
    <row r="24" spans="1:20">
      <c r="A24" s="120" t="str">
        <f>Data!A66</f>
        <v>&lt;Cost of goods sold&gt;</v>
      </c>
      <c r="B24" s="464">
        <f>Data!E66</f>
        <v>-783</v>
      </c>
      <c r="C24" s="464">
        <f>Data!F66</f>
        <v>-1084.9000000000001</v>
      </c>
      <c r="D24" s="464">
        <f>Data!G66</f>
        <v>-1237.2</v>
      </c>
      <c r="E24" s="567">
        <f>-'Forecast Development'!E125</f>
        <v>-1242.82116</v>
      </c>
      <c r="F24" s="567">
        <f>-'Forecast Development'!F125</f>
        <v>-1416.8345015999998</v>
      </c>
      <c r="G24" s="567">
        <f>-'Forecast Development'!G125</f>
        <v>-1565.6146297599998</v>
      </c>
      <c r="H24" s="567">
        <f>-'Forecast Development'!H125</f>
        <v>-1755.7981754567995</v>
      </c>
      <c r="I24" s="567">
        <f>-'Forecast Development'!I125</f>
        <v>-1997.2929209997594</v>
      </c>
      <c r="J24" s="567">
        <f>-'Forecast Development'!J125</f>
        <v>-2438.6394227948076</v>
      </c>
      <c r="L24" s="457"/>
    </row>
    <row r="25" spans="1:20">
      <c r="A25" s="107" t="s">
        <v>478</v>
      </c>
      <c r="B25" s="170">
        <f>B24/B$21</f>
        <v>-0.23427682364909341</v>
      </c>
      <c r="C25" s="170">
        <f>C24/C$21</f>
        <v>-0.2455969574863042</v>
      </c>
      <c r="D25" s="170">
        <f>D24/D$21</f>
        <v>-0.23322274166792339</v>
      </c>
      <c r="E25" s="569">
        <f>'Forecast Development'!E126</f>
        <v>0.21</v>
      </c>
      <c r="F25" s="569">
        <f>'Forecast Development'!F126</f>
        <v>0.21</v>
      </c>
      <c r="G25" s="569">
        <f>'Forecast Development'!G126</f>
        <v>0.2</v>
      </c>
      <c r="H25" s="569">
        <f>'Forecast Development'!H126</f>
        <v>0.19</v>
      </c>
      <c r="I25" s="569">
        <f>'Forecast Development'!I126</f>
        <v>0.18</v>
      </c>
      <c r="J25" s="569">
        <f>'Forecast Development'!J126</f>
        <v>0.18</v>
      </c>
      <c r="M25" s="505"/>
      <c r="N25" s="505"/>
      <c r="O25" s="505"/>
      <c r="P25" s="505"/>
      <c r="Q25" s="505"/>
      <c r="R25" s="505"/>
      <c r="S25" s="505"/>
      <c r="T25" s="505"/>
    </row>
    <row r="26" spans="1:20">
      <c r="A26" s="107" t="s">
        <v>479</v>
      </c>
      <c r="B26" s="170"/>
      <c r="C26" s="170">
        <f>IF(ISERROR(C24/B24-1),"",C24/B24-1)</f>
        <v>0.38556832694763732</v>
      </c>
      <c r="D26" s="170">
        <f>IF(ISERROR(D24/C24-1),"",D24/C24-1)</f>
        <v>0.14038160199096694</v>
      </c>
      <c r="E26" s="570" t="s">
        <v>824</v>
      </c>
      <c r="F26" s="571"/>
      <c r="G26" s="571"/>
      <c r="H26" s="571"/>
      <c r="I26" s="571"/>
      <c r="J26" s="569"/>
    </row>
    <row r="27" spans="1:20">
      <c r="A27" s="120" t="str">
        <f>Data!A67</f>
        <v xml:space="preserve">  Gross Profit</v>
      </c>
      <c r="B27" s="466">
        <f>B21+B24</f>
        <v>2559.1999999999998</v>
      </c>
      <c r="C27" s="466">
        <f t="shared" ref="C27:J27" si="8">C21+C24</f>
        <v>3332.4999999999995</v>
      </c>
      <c r="D27" s="466">
        <f t="shared" si="8"/>
        <v>4067.6000000000004</v>
      </c>
      <c r="E27" s="567">
        <f t="shared" si="8"/>
        <v>4675.3748400000004</v>
      </c>
      <c r="F27" s="567">
        <f t="shared" si="8"/>
        <v>5329.996458399999</v>
      </c>
      <c r="G27" s="567">
        <f t="shared" si="8"/>
        <v>6262.4585190399994</v>
      </c>
      <c r="H27" s="567">
        <f t="shared" si="8"/>
        <v>7485.2448532631988</v>
      </c>
      <c r="I27" s="567">
        <f t="shared" si="8"/>
        <v>9098.7788623322376</v>
      </c>
      <c r="J27" s="567">
        <f t="shared" si="8"/>
        <v>11109.357370509679</v>
      </c>
    </row>
    <row r="28" spans="1:20">
      <c r="A28" s="107" t="s">
        <v>478</v>
      </c>
      <c r="B28" s="170">
        <f>B27/B$21</f>
        <v>0.76572317635090659</v>
      </c>
      <c r="C28" s="170">
        <f>C27/C$21</f>
        <v>0.75440304251369583</v>
      </c>
      <c r="D28" s="170">
        <f>D27/D$21</f>
        <v>0.76677725833207666</v>
      </c>
      <c r="E28" s="568">
        <f t="shared" ref="E28:J28" si="9">E27/E$21</f>
        <v>0.79</v>
      </c>
      <c r="F28" s="568">
        <f t="shared" si="9"/>
        <v>0.78999999999999992</v>
      </c>
      <c r="G28" s="568">
        <f t="shared" si="9"/>
        <v>0.8</v>
      </c>
      <c r="H28" s="568">
        <f t="shared" si="9"/>
        <v>0.81</v>
      </c>
      <c r="I28" s="568">
        <f t="shared" si="9"/>
        <v>0.82</v>
      </c>
      <c r="J28" s="568">
        <f t="shared" si="9"/>
        <v>0.82</v>
      </c>
    </row>
    <row r="29" spans="1:20">
      <c r="A29" s="107" t="s">
        <v>479</v>
      </c>
      <c r="B29" s="170"/>
      <c r="C29" s="170">
        <f t="shared" ref="C29:E29" si="10">IF(ISERROR(C27/B27-1),"",C27/B27-1)</f>
        <v>0.30216473898093144</v>
      </c>
      <c r="D29" s="170">
        <f t="shared" si="10"/>
        <v>0.220585146286572</v>
      </c>
      <c r="E29" s="568">
        <f t="shared" si="10"/>
        <v>0.1494185367292753</v>
      </c>
      <c r="F29" s="568">
        <f t="shared" ref="F29" si="11">IF(ISERROR(F27/E27-1),"",F27/E27-1)</f>
        <v>0.14001478829021519</v>
      </c>
      <c r="G29" s="568">
        <f t="shared" ref="G29" si="12">IF(ISERROR(G27/F27-1),"",G27/F27-1)</f>
        <v>0.17494609385161097</v>
      </c>
      <c r="H29" s="568">
        <f t="shared" ref="H29" si="13">IF(ISERROR(H27/G27-1),"",H27/G27-1)</f>
        <v>0.19525659619229629</v>
      </c>
      <c r="I29" s="568">
        <f t="shared" ref="I29" si="14">IF(ISERROR(I27/H27-1),"",I27/H27-1)</f>
        <v>0.21556195431143665</v>
      </c>
      <c r="J29" s="568">
        <f t="shared" ref="J29" si="15">IF(ISERROR(J27/I27-1),"",J27/I27-1)</f>
        <v>0.22097234569585766</v>
      </c>
    </row>
    <row r="30" spans="1:20">
      <c r="A30" s="106"/>
      <c r="B30" s="170"/>
      <c r="C30" s="170"/>
      <c r="D30" s="170"/>
      <c r="E30" s="171"/>
      <c r="F30" s="171"/>
      <c r="G30" s="171"/>
      <c r="H30" s="171"/>
      <c r="I30" s="171"/>
      <c r="J30" s="171"/>
    </row>
    <row r="31" spans="1:20">
      <c r="A31" s="120" t="str">
        <f>Data!A68</f>
        <v>&lt;Research and Development&gt;</v>
      </c>
      <c r="B31" s="464">
        <f>Data!E68</f>
        <v>-396.06666666666666</v>
      </c>
      <c r="C31" s="464">
        <f>Data!F68</f>
        <v>-477.63333333333333</v>
      </c>
      <c r="D31" s="464">
        <f>Data!G68</f>
        <v>-576</v>
      </c>
      <c r="E31" s="567">
        <f>E21*E32</f>
        <v>-645.08336399999996</v>
      </c>
      <c r="F31" s="567">
        <f t="shared" ref="F31:J31" si="16">F21*F32</f>
        <v>-735.40457463999996</v>
      </c>
      <c r="G31" s="567">
        <f t="shared" si="16"/>
        <v>-853.25997321919988</v>
      </c>
      <c r="H31" s="567">
        <f t="shared" si="16"/>
        <v>-1007.2736901304797</v>
      </c>
      <c r="I31" s="567">
        <f t="shared" si="16"/>
        <v>-1209.4718243831878</v>
      </c>
      <c r="J31" s="567">
        <f t="shared" si="16"/>
        <v>-1476.7316504701889</v>
      </c>
      <c r="L31" s="881"/>
      <c r="M31" s="881"/>
      <c r="N31" s="881"/>
      <c r="O31" s="881"/>
      <c r="P31" s="881"/>
      <c r="Q31" s="881"/>
    </row>
    <row r="32" spans="1:20">
      <c r="A32" s="107" t="s">
        <v>478</v>
      </c>
      <c r="B32" s="170">
        <f>B31/B$21</f>
        <v>-0.11850477729240222</v>
      </c>
      <c r="C32" s="170">
        <f>C31/C$21</f>
        <v>-0.10812544332261814</v>
      </c>
      <c r="D32" s="170">
        <f>D31/D$21</f>
        <v>-0.10858090785703513</v>
      </c>
      <c r="E32" s="569">
        <v>-0.109</v>
      </c>
      <c r="F32" s="569">
        <v>-0.109</v>
      </c>
      <c r="G32" s="569">
        <v>-0.109</v>
      </c>
      <c r="H32" s="569">
        <v>-0.109</v>
      </c>
      <c r="I32" s="569">
        <v>-0.109</v>
      </c>
      <c r="J32" s="569">
        <v>-0.109</v>
      </c>
      <c r="L32" s="882"/>
      <c r="M32" s="882"/>
      <c r="N32" s="882"/>
      <c r="O32" s="882"/>
      <c r="P32" s="882"/>
      <c r="Q32" s="882"/>
    </row>
    <row r="33" spans="1:19">
      <c r="A33" s="107" t="s">
        <v>479</v>
      </c>
      <c r="B33" s="170"/>
      <c r="C33" s="170">
        <f>IF(ISERROR(C31/B31-1),"",C31/B31-1)</f>
        <v>0.20594176064635583</v>
      </c>
      <c r="D33" s="170">
        <f>IF(ISERROR(D31/C31-1),"",D31/C31-1)</f>
        <v>0.20594598366948147</v>
      </c>
      <c r="E33" s="568">
        <f t="shared" ref="E33:J33" si="17">IF(ISERROR(E31/D31-1),"",E31/D31-1)</f>
        <v>0.11993639583333326</v>
      </c>
      <c r="F33" s="568">
        <f t="shared" si="17"/>
        <v>0.14001478829021541</v>
      </c>
      <c r="G33" s="568">
        <f t="shared" si="17"/>
        <v>0.16025926767846554</v>
      </c>
      <c r="H33" s="568">
        <f t="shared" si="17"/>
        <v>0.18050034191831732</v>
      </c>
      <c r="I33" s="568">
        <f t="shared" si="17"/>
        <v>0.20073802803934626</v>
      </c>
      <c r="J33" s="568">
        <f t="shared" si="17"/>
        <v>0.22097234569585744</v>
      </c>
      <c r="L33" s="883"/>
      <c r="M33" s="882"/>
      <c r="N33" s="882"/>
      <c r="O33" s="882"/>
      <c r="P33" s="882"/>
      <c r="Q33" s="882"/>
    </row>
    <row r="34" spans="1:19">
      <c r="A34" s="172" t="str">
        <f>Data!A69</f>
        <v>&lt;Sles and Marketing&gt;</v>
      </c>
      <c r="B34" s="464">
        <f>Data!E69</f>
        <v>-1317.5666666666666</v>
      </c>
      <c r="C34" s="464">
        <f>Data!F69</f>
        <v>-1651.3333333333333</v>
      </c>
      <c r="D34" s="464">
        <f>Data!G69</f>
        <v>-1968.2</v>
      </c>
      <c r="E34" s="567">
        <f>E21*E35</f>
        <v>-2071.3685999999998</v>
      </c>
      <c r="F34" s="567">
        <f t="shared" ref="F34:I34" si="18">F21*F35</f>
        <v>-2361.3908359999996</v>
      </c>
      <c r="G34" s="567">
        <f t="shared" si="18"/>
        <v>-2739.8256020799995</v>
      </c>
      <c r="H34" s="567">
        <f t="shared" si="18"/>
        <v>-3234.3650600519991</v>
      </c>
      <c r="I34" s="567">
        <f t="shared" si="18"/>
        <v>-3883.6251241661989</v>
      </c>
      <c r="J34" s="567">
        <f>I34*$J$16</f>
        <v>-4000.133877891185</v>
      </c>
      <c r="K34" s="457" t="s">
        <v>980</v>
      </c>
    </row>
    <row r="35" spans="1:19">
      <c r="A35" s="107" t="s">
        <v>478</v>
      </c>
      <c r="B35" s="170">
        <f>B34/B$21</f>
        <v>-0.39422137115273376</v>
      </c>
      <c r="C35" s="170">
        <f>C34/C$21</f>
        <v>-0.37382472344214546</v>
      </c>
      <c r="D35" s="170">
        <f>D34/D$21</f>
        <v>-0.37102247021565377</v>
      </c>
      <c r="E35" s="569">
        <v>-0.35</v>
      </c>
      <c r="F35" s="569">
        <v>-0.35</v>
      </c>
      <c r="G35" s="569">
        <v>-0.35</v>
      </c>
      <c r="H35" s="569">
        <v>-0.35</v>
      </c>
      <c r="I35" s="569">
        <v>-0.35</v>
      </c>
      <c r="J35" s="569">
        <v>-0.35</v>
      </c>
      <c r="M35" s="483"/>
      <c r="N35" s="484"/>
      <c r="O35" s="485"/>
      <c r="P35" s="485"/>
      <c r="Q35" s="485"/>
      <c r="R35" s="485"/>
      <c r="S35" s="485"/>
    </row>
    <row r="36" spans="1:19">
      <c r="A36" s="107" t="s">
        <v>479</v>
      </c>
      <c r="B36" s="170"/>
      <c r="C36" s="170">
        <f>IF(ISERROR(C34/B34-1),"",C34/B34-1)</f>
        <v>0.25332051509095055</v>
      </c>
      <c r="D36" s="170">
        <f>IF(ISERROR(D34/C34-1),"",D34/C34-1)</f>
        <v>0.19188534517561573</v>
      </c>
      <c r="E36" s="568">
        <f t="shared" ref="E36:J36" si="19">IF(ISERROR(E34/D34-1),"",E34/D34-1)</f>
        <v>5.2417742099380105E-2</v>
      </c>
      <c r="F36" s="568">
        <f t="shared" si="19"/>
        <v>0.14001478829021541</v>
      </c>
      <c r="G36" s="568">
        <f t="shared" si="19"/>
        <v>0.16025926767846577</v>
      </c>
      <c r="H36" s="568">
        <f t="shared" si="19"/>
        <v>0.18050034191831732</v>
      </c>
      <c r="I36" s="568">
        <f t="shared" si="19"/>
        <v>0.20073802803934626</v>
      </c>
      <c r="J36" s="568">
        <f t="shared" si="19"/>
        <v>3.0000000000000027E-2</v>
      </c>
      <c r="M36" s="478"/>
      <c r="N36" s="482"/>
      <c r="O36" s="482"/>
      <c r="P36" s="482"/>
      <c r="Q36" s="482"/>
      <c r="R36" s="482"/>
      <c r="S36" s="482"/>
    </row>
    <row r="37" spans="1:19">
      <c r="A37" s="172" t="str">
        <f>Data!A70</f>
        <v>&lt;Depreciation and Amortization&gt;</v>
      </c>
      <c r="B37" s="464">
        <f>Data!E70</f>
        <v>-84.4</v>
      </c>
      <c r="C37" s="464">
        <f>Data!F70</f>
        <v>-104.3</v>
      </c>
      <c r="D37" s="464">
        <f>Data!G70</f>
        <v>-113.4</v>
      </c>
      <c r="E37" s="567">
        <f>-'Forecast Development'!E89*0.95</f>
        <v>-131.05320101497048</v>
      </c>
      <c r="F37" s="567">
        <f>-'Forecast Development'!F89*0.95</f>
        <v>-142.82776901513012</v>
      </c>
      <c r="G37" s="567">
        <f>-'Forecast Development'!G89*0.95</f>
        <v>-152.6067590133658</v>
      </c>
      <c r="H37" s="567">
        <f>-'Forecast Development'!H89*0.95</f>
        <v>-160.72838567383414</v>
      </c>
      <c r="I37" s="567">
        <f>-'Forecast Development'!I89*0.95</f>
        <v>-575.27443438990633</v>
      </c>
      <c r="J37" s="567">
        <f>I37*$J$16</f>
        <v>-592.53266742160349</v>
      </c>
      <c r="M37" s="480"/>
      <c r="N37" s="479"/>
      <c r="O37" s="479"/>
      <c r="P37" s="479"/>
      <c r="Q37" s="479"/>
      <c r="R37" s="479"/>
      <c r="S37" s="479"/>
    </row>
    <row r="38" spans="1:19">
      <c r="A38" s="107" t="s">
        <v>478</v>
      </c>
      <c r="B38" s="170">
        <f>B37/B$21</f>
        <v>-2.5252827478906111E-2</v>
      </c>
      <c r="C38" s="170">
        <f>C37/C$21</f>
        <v>-2.3611173993751983E-2</v>
      </c>
      <c r="D38" s="170">
        <f>D37/D$21</f>
        <v>-2.1376866234353795E-2</v>
      </c>
      <c r="E38" s="572">
        <v>-2.1000000000000001E-2</v>
      </c>
      <c r="F38" s="572">
        <v>-2.1000000000000001E-2</v>
      </c>
      <c r="G38" s="572">
        <v>-2.1000000000000001E-2</v>
      </c>
      <c r="H38" s="572">
        <v>-2.1000000000000001E-2</v>
      </c>
      <c r="I38" s="572">
        <v>-2.1000000000000001E-2</v>
      </c>
      <c r="J38" s="572">
        <v>-2.1000000000000001E-2</v>
      </c>
      <c r="M38" s="480"/>
      <c r="N38" s="479"/>
      <c r="O38" s="479"/>
      <c r="P38" s="479"/>
      <c r="Q38" s="479"/>
      <c r="R38" s="479"/>
      <c r="S38" s="479"/>
    </row>
    <row r="39" spans="1:19">
      <c r="A39" s="107" t="s">
        <v>479</v>
      </c>
      <c r="B39" s="170"/>
      <c r="C39" s="170">
        <f>IF(ISERROR(C37/B37-1),"",C37/B37-1)</f>
        <v>0.23578199052132698</v>
      </c>
      <c r="D39" s="170">
        <f>IF(ISERROR(D37/C37-1),"",D37/C37-1)</f>
        <v>8.7248322147650992E-2</v>
      </c>
      <c r="E39" s="570" t="s">
        <v>693</v>
      </c>
      <c r="F39" s="570"/>
      <c r="G39" s="570"/>
      <c r="H39" s="570"/>
      <c r="I39" s="570"/>
      <c r="J39" s="573"/>
      <c r="M39" s="480"/>
      <c r="N39" s="479"/>
      <c r="O39" s="479"/>
      <c r="P39" s="479"/>
      <c r="Q39" s="479"/>
      <c r="R39" s="479"/>
      <c r="S39" s="479"/>
    </row>
    <row r="40" spans="1:19">
      <c r="A40" s="172" t="str">
        <f>Data!A71</f>
        <v>&lt;Selling, General and Administrative Expenses&gt;</v>
      </c>
      <c r="B40" s="464">
        <f>Data!E71</f>
        <v>-115.36666666666666</v>
      </c>
      <c r="C40" s="464">
        <f>Data!F71</f>
        <v>-134.23333333333335</v>
      </c>
      <c r="D40" s="464">
        <f>Data!G71</f>
        <v>-173.5</v>
      </c>
      <c r="E40" s="567">
        <f>E21*E41</f>
        <v>-195.300468</v>
      </c>
      <c r="F40" s="567">
        <f t="shared" ref="F40:I40" si="20">F21*F41</f>
        <v>-222.64542168</v>
      </c>
      <c r="G40" s="567">
        <f t="shared" si="20"/>
        <v>-258.32641391039999</v>
      </c>
      <c r="H40" s="567">
        <f t="shared" si="20"/>
        <v>-304.95441994775996</v>
      </c>
      <c r="I40" s="567">
        <f t="shared" si="20"/>
        <v>-366.17036884995593</v>
      </c>
      <c r="J40" s="567">
        <f>I40*$J$16</f>
        <v>-377.15547991545463</v>
      </c>
      <c r="M40" s="484"/>
      <c r="N40" s="479"/>
      <c r="O40" s="479"/>
      <c r="P40" s="479"/>
      <c r="Q40" s="479"/>
      <c r="R40" s="479"/>
      <c r="S40" s="479"/>
    </row>
    <row r="41" spans="1:19">
      <c r="A41" s="107" t="s">
        <v>478</v>
      </c>
      <c r="B41" s="170">
        <f>B40/B$21</f>
        <v>-3.4518181636845988E-2</v>
      </c>
      <c r="C41" s="170">
        <f>C40/C$21</f>
        <v>-3.0387407373870006E-2</v>
      </c>
      <c r="D41" s="170">
        <f>D40/D$21</f>
        <v>-3.2706228321520134E-2</v>
      </c>
      <c r="E41" s="569">
        <v>-3.3000000000000002E-2</v>
      </c>
      <c r="F41" s="569">
        <v>-3.3000000000000002E-2</v>
      </c>
      <c r="G41" s="569">
        <v>-3.3000000000000002E-2</v>
      </c>
      <c r="H41" s="569">
        <v>-3.3000000000000002E-2</v>
      </c>
      <c r="I41" s="569">
        <v>-3.3000000000000002E-2</v>
      </c>
      <c r="J41" s="569">
        <v>-3.3000000000000002E-2</v>
      </c>
      <c r="L41" s="483"/>
      <c r="M41" s="480"/>
      <c r="N41" s="479"/>
      <c r="O41" s="479"/>
      <c r="P41" s="479"/>
      <c r="Q41" s="479"/>
      <c r="R41" s="479"/>
      <c r="S41" s="479"/>
    </row>
    <row r="42" spans="1:19">
      <c r="A42" s="107" t="s">
        <v>479</v>
      </c>
      <c r="B42" s="170"/>
      <c r="C42" s="170">
        <f>IF(ISERROR(C40/B40-1),"",C40/B40-1)</f>
        <v>0.16353655013002033</v>
      </c>
      <c r="D42" s="170">
        <f>IF(ISERROR(D40/C40-1),"",D40/C40-1)</f>
        <v>0.2925254531909609</v>
      </c>
      <c r="E42" s="570" t="s">
        <v>828</v>
      </c>
      <c r="F42" s="570"/>
      <c r="G42" s="570"/>
      <c r="H42" s="570"/>
      <c r="I42" s="570"/>
      <c r="J42" s="573"/>
      <c r="L42" s="478"/>
      <c r="M42" s="484"/>
      <c r="N42" s="479"/>
      <c r="O42" s="479"/>
      <c r="P42" s="479"/>
      <c r="Q42" s="479"/>
      <c r="R42" s="479"/>
      <c r="S42" s="479"/>
    </row>
    <row r="43" spans="1:19">
      <c r="A43" s="172" t="str">
        <f>Data!A72</f>
        <v>Other operating expenses (1)</v>
      </c>
      <c r="B43" s="464">
        <f>Data!E72</f>
        <v>0</v>
      </c>
      <c r="C43" s="464">
        <f>Data!F72</f>
        <v>0</v>
      </c>
      <c r="D43" s="464">
        <f>Data!G72</f>
        <v>0</v>
      </c>
      <c r="E43" s="567">
        <f>E21*E44</f>
        <v>0</v>
      </c>
      <c r="F43" s="567">
        <f t="shared" ref="F43:I43" si="21">F21*F44</f>
        <v>0</v>
      </c>
      <c r="G43" s="567">
        <f t="shared" si="21"/>
        <v>0</v>
      </c>
      <c r="H43" s="567">
        <f t="shared" si="21"/>
        <v>0</v>
      </c>
      <c r="I43" s="567">
        <f t="shared" si="21"/>
        <v>0</v>
      </c>
      <c r="J43" s="567">
        <f>I43*$J$16</f>
        <v>0</v>
      </c>
      <c r="L43" s="480"/>
      <c r="M43" s="480"/>
      <c r="N43" s="486"/>
      <c r="O43" s="486"/>
      <c r="P43" s="486"/>
      <c r="Q43" s="486"/>
      <c r="R43" s="486"/>
      <c r="S43" s="486"/>
    </row>
    <row r="44" spans="1:19">
      <c r="A44" s="107" t="s">
        <v>478</v>
      </c>
      <c r="B44" s="170">
        <f>B43/B$21</f>
        <v>0</v>
      </c>
      <c r="C44" s="170">
        <f>C43/C$21</f>
        <v>0</v>
      </c>
      <c r="D44" s="170">
        <f>D43/D$21</f>
        <v>0</v>
      </c>
      <c r="E44" s="569">
        <v>0</v>
      </c>
      <c r="F44" s="569">
        <f>E44</f>
        <v>0</v>
      </c>
      <c r="G44" s="569">
        <f>F44</f>
        <v>0</v>
      </c>
      <c r="H44" s="569">
        <f>G44</f>
        <v>0</v>
      </c>
      <c r="I44" s="569">
        <f>H44</f>
        <v>0</v>
      </c>
      <c r="J44" s="569">
        <f>I44</f>
        <v>0</v>
      </c>
      <c r="L44" s="480"/>
      <c r="M44" s="480"/>
      <c r="N44" s="487"/>
      <c r="O44" s="487"/>
      <c r="P44" s="487"/>
      <c r="Q44" s="487"/>
      <c r="R44" s="487"/>
      <c r="S44" s="487"/>
    </row>
    <row r="45" spans="1:19">
      <c r="A45" s="107" t="s">
        <v>479</v>
      </c>
      <c r="B45" s="170"/>
      <c r="C45" s="170" t="str">
        <f>IF(ISERROR(C43/B43-1),"",C43/B43-1)</f>
        <v/>
      </c>
      <c r="D45" s="170" t="str">
        <f>IF(ISERROR(D43/C43-1),"",D43/C43-1)</f>
        <v/>
      </c>
      <c r="E45" s="570" t="s">
        <v>167</v>
      </c>
      <c r="F45" s="570"/>
      <c r="G45" s="570"/>
      <c r="H45" s="570"/>
      <c r="I45" s="570"/>
      <c r="J45" s="573"/>
      <c r="L45" s="480"/>
      <c r="M45" s="479"/>
      <c r="N45" s="479"/>
      <c r="O45" s="479"/>
      <c r="P45" s="479"/>
      <c r="Q45" s="479"/>
      <c r="R45" s="479"/>
    </row>
    <row r="46" spans="1:19">
      <c r="A46" s="172" t="str">
        <f>Data!A73</f>
        <v>Other operating expenses (2)</v>
      </c>
      <c r="B46" s="464">
        <f>Data!E73</f>
        <v>0</v>
      </c>
      <c r="C46" s="464">
        <f>Data!F73</f>
        <v>0</v>
      </c>
      <c r="D46" s="464">
        <f>Data!G73</f>
        <v>0</v>
      </c>
      <c r="E46" s="567">
        <f>E$21*E47</f>
        <v>0</v>
      </c>
      <c r="F46" s="567">
        <f t="shared" ref="F46:I46" si="22">F$21*F47</f>
        <v>0</v>
      </c>
      <c r="G46" s="567">
        <f t="shared" si="22"/>
        <v>0</v>
      </c>
      <c r="H46" s="567">
        <f t="shared" si="22"/>
        <v>0</v>
      </c>
      <c r="I46" s="567">
        <f t="shared" si="22"/>
        <v>0</v>
      </c>
      <c r="J46" s="567">
        <f>I46*$J$16</f>
        <v>0</v>
      </c>
      <c r="L46" s="484"/>
      <c r="M46" s="479"/>
      <c r="N46" s="479"/>
      <c r="O46" s="479"/>
      <c r="P46" s="479"/>
      <c r="Q46" s="479"/>
      <c r="R46" s="479"/>
    </row>
    <row r="47" spans="1:19">
      <c r="A47" s="107" t="s">
        <v>478</v>
      </c>
      <c r="B47" s="170">
        <f>B46/B$21</f>
        <v>0</v>
      </c>
      <c r="C47" s="170">
        <f>C46/C$21</f>
        <v>0</v>
      </c>
      <c r="D47" s="170">
        <f>D46/D$21</f>
        <v>0</v>
      </c>
      <c r="E47" s="569">
        <v>0</v>
      </c>
      <c r="F47" s="569">
        <f>E47</f>
        <v>0</v>
      </c>
      <c r="G47" s="569">
        <f>F47</f>
        <v>0</v>
      </c>
      <c r="H47" s="569">
        <f>G47</f>
        <v>0</v>
      </c>
      <c r="I47" s="569">
        <f>H47</f>
        <v>0</v>
      </c>
      <c r="J47" s="569">
        <f>I47</f>
        <v>0</v>
      </c>
      <c r="L47" s="480"/>
      <c r="M47" s="479"/>
      <c r="N47" s="479"/>
      <c r="O47" s="479"/>
      <c r="P47" s="479"/>
      <c r="Q47" s="479"/>
      <c r="R47" s="479"/>
    </row>
    <row r="48" spans="1:19">
      <c r="A48" s="107" t="s">
        <v>479</v>
      </c>
      <c r="B48" s="170"/>
      <c r="C48" s="170" t="str">
        <f>IF(ISERROR(C46/B46-1),"",C46/B46-1)</f>
        <v/>
      </c>
      <c r="D48" s="170" t="str">
        <f>IF(ISERROR(D46/C46-1),"",D46/C46-1)</f>
        <v/>
      </c>
      <c r="E48" s="570" t="s">
        <v>167</v>
      </c>
      <c r="F48" s="570"/>
      <c r="G48" s="570"/>
      <c r="H48" s="570"/>
      <c r="I48" s="570"/>
      <c r="J48" s="573"/>
      <c r="L48" s="484"/>
      <c r="M48" s="479"/>
      <c r="N48" s="479"/>
      <c r="O48" s="479"/>
      <c r="P48" s="479"/>
      <c r="Q48" s="479"/>
      <c r="R48" s="479"/>
    </row>
    <row r="49" spans="1:18">
      <c r="A49" s="172" t="str">
        <f>Data!A74</f>
        <v>Income from equity investees</v>
      </c>
      <c r="B49" s="464">
        <f>Data!E74</f>
        <v>0</v>
      </c>
      <c r="C49" s="464">
        <f>Data!F74</f>
        <v>0</v>
      </c>
      <c r="D49" s="464">
        <f>Data!G74</f>
        <v>0</v>
      </c>
      <c r="E49" s="567">
        <f>E$21*E50</f>
        <v>0</v>
      </c>
      <c r="F49" s="567">
        <f t="shared" ref="F49" si="23">F$21*F50</f>
        <v>0</v>
      </c>
      <c r="G49" s="567">
        <f t="shared" ref="G49" si="24">G$21*G50</f>
        <v>0</v>
      </c>
      <c r="H49" s="567">
        <f t="shared" ref="H49" si="25">H$21*H50</f>
        <v>0</v>
      </c>
      <c r="I49" s="567">
        <f t="shared" ref="I49" si="26">I$21*I50</f>
        <v>0</v>
      </c>
      <c r="J49" s="567">
        <f>I49*$J$16</f>
        <v>0</v>
      </c>
      <c r="L49" s="480"/>
      <c r="M49" s="486"/>
      <c r="N49" s="486"/>
      <c r="O49" s="486"/>
      <c r="P49" s="486"/>
      <c r="Q49" s="486"/>
      <c r="R49" s="486"/>
    </row>
    <row r="50" spans="1:18">
      <c r="A50" s="107" t="s">
        <v>478</v>
      </c>
      <c r="B50" s="170">
        <f>B49/B$21</f>
        <v>0</v>
      </c>
      <c r="C50" s="170">
        <f>C49/C$21</f>
        <v>0</v>
      </c>
      <c r="D50" s="170">
        <f>D49/D$21</f>
        <v>0</v>
      </c>
      <c r="E50" s="569">
        <v>0</v>
      </c>
      <c r="F50" s="569">
        <f>E50</f>
        <v>0</v>
      </c>
      <c r="G50" s="569">
        <f>F50</f>
        <v>0</v>
      </c>
      <c r="H50" s="569">
        <f>G50</f>
        <v>0</v>
      </c>
      <c r="I50" s="569">
        <f>H50</f>
        <v>0</v>
      </c>
      <c r="J50" s="569">
        <f>I50</f>
        <v>0</v>
      </c>
      <c r="L50" s="480"/>
      <c r="M50" s="487"/>
      <c r="N50" s="487"/>
      <c r="O50" s="487"/>
      <c r="P50" s="487"/>
      <c r="Q50" s="487"/>
      <c r="R50" s="487"/>
    </row>
    <row r="51" spans="1:18">
      <c r="A51" s="107" t="s">
        <v>479</v>
      </c>
      <c r="B51" s="170"/>
      <c r="C51" s="170" t="str">
        <f>IF(ISERROR(C49/B49-1),"",C49/B49-1)</f>
        <v/>
      </c>
      <c r="D51" s="170" t="str">
        <f>IF(ISERROR(D49/C49-1),"",D49/C49-1)</f>
        <v/>
      </c>
      <c r="E51" s="570" t="s">
        <v>167</v>
      </c>
      <c r="F51" s="570"/>
      <c r="G51" s="570"/>
      <c r="H51" s="570"/>
      <c r="I51" s="570"/>
      <c r="J51" s="573"/>
    </row>
    <row r="52" spans="1:18">
      <c r="A52" s="172" t="str">
        <f>Data!A75</f>
        <v>Gain on intellectual property matter</v>
      </c>
      <c r="B52" s="464">
        <f>Data!E75</f>
        <v>4.5999999999999996</v>
      </c>
      <c r="C52" s="464">
        <f>Data!F75</f>
        <v>4.5999999999999996</v>
      </c>
      <c r="D52" s="464">
        <f>Data!G75</f>
        <v>4.5999999999999996</v>
      </c>
      <c r="E52" s="567">
        <f>E$21*E53</f>
        <v>5.918196</v>
      </c>
      <c r="F52" s="567">
        <f t="shared" ref="F52:J52" si="27">F$21*F53</f>
        <v>6.7468309599999996</v>
      </c>
      <c r="G52" s="567">
        <f t="shared" si="27"/>
        <v>7.8280731487999997</v>
      </c>
      <c r="H52" s="567">
        <f t="shared" si="27"/>
        <v>9.2410430287199983</v>
      </c>
      <c r="I52" s="567">
        <f t="shared" si="27"/>
        <v>11.096071783331999</v>
      </c>
      <c r="J52" s="567">
        <f t="shared" si="27"/>
        <v>13.547996793304486</v>
      </c>
    </row>
    <row r="53" spans="1:18">
      <c r="A53" s="107" t="s">
        <v>478</v>
      </c>
      <c r="B53" s="170">
        <f>B52/B$21</f>
        <v>1.3763389384237926E-3</v>
      </c>
      <c r="C53" s="170">
        <f>C52/C$21</f>
        <v>1.0413365328021007E-3</v>
      </c>
      <c r="D53" s="170">
        <f>D52/D$21</f>
        <v>8.6713919469159993E-4</v>
      </c>
      <c r="E53" s="569">
        <v>1E-3</v>
      </c>
      <c r="F53" s="569">
        <v>1E-3</v>
      </c>
      <c r="G53" s="569">
        <v>1E-3</v>
      </c>
      <c r="H53" s="569">
        <v>1E-3</v>
      </c>
      <c r="I53" s="569">
        <v>1E-3</v>
      </c>
      <c r="J53" s="569">
        <v>1E-3</v>
      </c>
    </row>
    <row r="54" spans="1:18">
      <c r="A54" s="107" t="s">
        <v>479</v>
      </c>
      <c r="B54" s="170"/>
      <c r="C54" s="170">
        <f>IF(ISERROR(C52/B52-1),"",C52/B52-1)</f>
        <v>0</v>
      </c>
      <c r="D54" s="170">
        <f>IF(ISERROR(D52/C52-1),"",D52/C52-1)</f>
        <v>0</v>
      </c>
      <c r="E54" s="570" t="s">
        <v>167</v>
      </c>
      <c r="F54" s="570"/>
      <c r="G54" s="570"/>
      <c r="H54" s="570"/>
      <c r="I54" s="570"/>
      <c r="J54" s="573"/>
    </row>
    <row r="55" spans="1:18">
      <c r="A55" s="120" t="str">
        <f>Data!A76</f>
        <v xml:space="preserve">  Operating Income</v>
      </c>
      <c r="B55" s="464">
        <f>B27+B31+B34+B37+B40+B43+B46+B49+B52</f>
        <v>650.4</v>
      </c>
      <c r="C55" s="464">
        <f t="shared" ref="C55:J55" si="28">C27+C31+C34+C37+C40+C43+C46+C49+C52</f>
        <v>969.5999999999998</v>
      </c>
      <c r="D55" s="464">
        <f t="shared" si="28"/>
        <v>1241.1000000000001</v>
      </c>
      <c r="E55" s="574">
        <f t="shared" si="28"/>
        <v>1638.4874029850303</v>
      </c>
      <c r="F55" s="574">
        <f t="shared" si="28"/>
        <v>1874.4746880248697</v>
      </c>
      <c r="G55" s="574">
        <f t="shared" si="28"/>
        <v>2266.2678439658339</v>
      </c>
      <c r="H55" s="574">
        <f t="shared" si="28"/>
        <v>2787.1643404878459</v>
      </c>
      <c r="I55" s="574">
        <f t="shared" si="28"/>
        <v>3075.3331823263206</v>
      </c>
      <c r="J55" s="574">
        <f t="shared" si="28"/>
        <v>4676.3516916045519</v>
      </c>
      <c r="K55" s="457" t="s">
        <v>980</v>
      </c>
    </row>
    <row r="56" spans="1:18">
      <c r="A56" s="107" t="s">
        <v>478</v>
      </c>
      <c r="B56" s="170">
        <f t="shared" ref="B56:J56" si="29">B55/B$21</f>
        <v>0.19460235772844234</v>
      </c>
      <c r="C56" s="170">
        <f t="shared" si="29"/>
        <v>0.21949563091411234</v>
      </c>
      <c r="D56" s="170">
        <f t="shared" si="29"/>
        <v>0.23395792489820541</v>
      </c>
      <c r="E56" s="568">
        <f t="shared" si="29"/>
        <v>0.27685588699411617</v>
      </c>
      <c r="F56" s="568">
        <f t="shared" si="29"/>
        <v>0.27783039165173778</v>
      </c>
      <c r="G56" s="568">
        <f t="shared" si="29"/>
        <v>0.28950519507003336</v>
      </c>
      <c r="H56" s="568">
        <f t="shared" si="29"/>
        <v>0.30160711640728111</v>
      </c>
      <c r="I56" s="568">
        <f t="shared" si="29"/>
        <v>0.27715512682118215</v>
      </c>
      <c r="J56" s="568">
        <f t="shared" si="29"/>
        <v>0.34516923519760773</v>
      </c>
    </row>
    <row r="57" spans="1:18">
      <c r="A57" s="107" t="s">
        <v>479</v>
      </c>
      <c r="B57" s="170"/>
      <c r="C57" s="170">
        <f t="shared" ref="C57:E57" si="30">IF(ISERROR(C55/B55-1),"",C55/B55-1)</f>
        <v>0.49077490774907728</v>
      </c>
      <c r="D57" s="170">
        <f t="shared" si="30"/>
        <v>0.28001237623762409</v>
      </c>
      <c r="E57" s="568">
        <f t="shared" si="30"/>
        <v>0.32018967285877853</v>
      </c>
      <c r="F57" s="568">
        <f t="shared" ref="F57" si="31">IF(ISERROR(F55/E55-1),"",F55/E55-1)</f>
        <v>0.14402752478286551</v>
      </c>
      <c r="G57" s="568">
        <f t="shared" ref="G57" si="32">IF(ISERROR(G55/F55-1),"",G55/F55-1)</f>
        <v>0.20901490878694973</v>
      </c>
      <c r="H57" s="568">
        <f t="shared" ref="H57" si="33">IF(ISERROR(H55/G55-1),"",H55/G55-1)</f>
        <v>0.22984771985754082</v>
      </c>
      <c r="I57" s="568">
        <f t="shared" ref="I57" si="34">IF(ISERROR(I55/H55-1),"",I55/H55-1)</f>
        <v>0.10339140668972391</v>
      </c>
      <c r="J57" s="568">
        <f t="shared" ref="J57" si="35">IF(ISERROR(J55/I55-1),"",J55/I55-1)</f>
        <v>0.52060001774089026</v>
      </c>
    </row>
    <row r="58" spans="1:18">
      <c r="A58" s="120"/>
      <c r="B58" s="170"/>
      <c r="C58" s="170"/>
      <c r="D58" s="170"/>
      <c r="E58" s="171"/>
      <c r="F58" s="171"/>
      <c r="G58" s="171"/>
      <c r="H58" s="171"/>
      <c r="I58" s="171"/>
      <c r="J58" s="171"/>
      <c r="L58" s="173"/>
      <c r="M58" s="173"/>
      <c r="N58" s="173"/>
    </row>
    <row r="59" spans="1:18">
      <c r="A59" s="120" t="str">
        <f>Data!A77</f>
        <v>Interest income - NET</v>
      </c>
      <c r="B59" s="464">
        <f>Data!E77</f>
        <v>-10.4</v>
      </c>
      <c r="C59" s="464">
        <f>Data!F77</f>
        <v>-0.6</v>
      </c>
      <c r="D59" s="464">
        <f>Data!G77</f>
        <v>98.7</v>
      </c>
      <c r="E59" s="567">
        <f>E60*((D115+E115+D118+E118+D142+E142)/2)</f>
        <v>110.82062250000001</v>
      </c>
      <c r="F59" s="567">
        <f t="shared" ref="F59:I59" si="36">F60*((E115+F115+E118+F118+E142+F142)/2)</f>
        <v>114.78687727499998</v>
      </c>
      <c r="G59" s="567">
        <f t="shared" si="36"/>
        <v>118.89778513725001</v>
      </c>
      <c r="H59" s="567">
        <f t="shared" si="36"/>
        <v>123.15871229712754</v>
      </c>
      <c r="I59" s="567">
        <f t="shared" si="36"/>
        <v>127.57522701603175</v>
      </c>
      <c r="J59" s="567">
        <f>I59*$J$16</f>
        <v>131.40248382651271</v>
      </c>
    </row>
    <row r="60" spans="1:18">
      <c r="A60" s="107" t="s">
        <v>478</v>
      </c>
      <c r="B60" s="170">
        <f>B59/B$21</f>
        <v>-3.1117228173059663E-3</v>
      </c>
      <c r="C60" s="170">
        <f>C59/C$21</f>
        <v>-1.3582650427853489E-4</v>
      </c>
      <c r="D60" s="170">
        <f>D59/D$21</f>
        <v>1.8605790981752374E-2</v>
      </c>
      <c r="E60" s="569">
        <v>4.4999999999999998E-2</v>
      </c>
      <c r="F60" s="569">
        <v>4.4999999999999998E-2</v>
      </c>
      <c r="G60" s="569">
        <v>4.4999999999999998E-2</v>
      </c>
      <c r="H60" s="569">
        <v>4.4999999999999998E-2</v>
      </c>
      <c r="I60" s="569">
        <v>4.4999999999999998E-2</v>
      </c>
      <c r="J60" s="569">
        <v>4.4999999999999998E-2</v>
      </c>
    </row>
    <row r="61" spans="1:18">
      <c r="A61" s="107" t="s">
        <v>479</v>
      </c>
      <c r="B61" s="170"/>
      <c r="C61" s="170">
        <f>IF(ISERROR(C59/B59-1),"",C59/B59-1)</f>
        <v>-0.94230769230769229</v>
      </c>
      <c r="D61" s="170">
        <f>IF(ISERROR(D59/C59-1),"",D59/C59-1)</f>
        <v>-165.5</v>
      </c>
      <c r="E61" s="570" t="s">
        <v>740</v>
      </c>
      <c r="F61" s="570"/>
      <c r="G61" s="570"/>
      <c r="H61" s="570"/>
      <c r="I61" s="570"/>
      <c r="J61" s="573"/>
    </row>
    <row r="62" spans="1:18">
      <c r="A62" s="120" t="str">
        <f>Data!A78</f>
        <v>Other expense - NET</v>
      </c>
      <c r="B62" s="464">
        <f>Data!E78</f>
        <v>-11.6</v>
      </c>
      <c r="C62" s="464">
        <f>Data!F78</f>
        <v>-13.5</v>
      </c>
      <c r="D62" s="464">
        <f>Data!G78</f>
        <v>-6.1</v>
      </c>
      <c r="E62" s="567">
        <f>E63*((D177+E177+D180+E180+D198+E198)/2)</f>
        <v>-18.45</v>
      </c>
      <c r="F62" s="567">
        <f>F63*((E177+F177+E180+F180+E198+F198)/2)</f>
        <v>-19.372499999999999</v>
      </c>
      <c r="G62" s="567">
        <f>G63*((F177+G177+F180+G180+F198+G198)/2)</f>
        <v>-20.341124999999998</v>
      </c>
      <c r="H62" s="567">
        <f>H63*((G177+H177+G180+H180+G198+H198)/2)</f>
        <v>-21.358181250000001</v>
      </c>
      <c r="I62" s="567">
        <f>I63*((H177+I177+H180+I180+H198+I198)/2)</f>
        <v>-22.426090312500001</v>
      </c>
      <c r="J62" s="567">
        <f>I62*$J$16</f>
        <v>-23.098873021875001</v>
      </c>
      <c r="L62" s="173"/>
    </row>
    <row r="63" spans="1:18">
      <c r="A63" s="107" t="s">
        <v>478</v>
      </c>
      <c r="B63" s="170">
        <f>B62/B$21</f>
        <v>-3.470767757764347E-3</v>
      </c>
      <c r="C63" s="170">
        <f>C62/C$21</f>
        <v>-3.0560963462670353E-3</v>
      </c>
      <c r="D63" s="170">
        <f>D62/D$21</f>
        <v>-1.1499019755692955E-3</v>
      </c>
      <c r="E63" s="575">
        <f>-'Forecast Development'!$E$118</f>
        <v>-1.8139675501360475E-2</v>
      </c>
      <c r="F63" s="575">
        <f>-'Forecast Development'!$E$118</f>
        <v>-1.8139675501360475E-2</v>
      </c>
      <c r="G63" s="575">
        <f>-'Forecast Development'!$E$118</f>
        <v>-1.8139675501360475E-2</v>
      </c>
      <c r="H63" s="575">
        <f>-'Forecast Development'!$E$118</f>
        <v>-1.8139675501360475E-2</v>
      </c>
      <c r="I63" s="575">
        <f>-'Forecast Development'!$E$118</f>
        <v>-1.8139675501360475E-2</v>
      </c>
      <c r="J63" s="575">
        <f>-'Forecast Development'!$E$118</f>
        <v>-1.8139675501360475E-2</v>
      </c>
    </row>
    <row r="64" spans="1:18">
      <c r="A64" s="107" t="s">
        <v>479</v>
      </c>
      <c r="B64" s="170"/>
      <c r="C64" s="170">
        <f>IF(ISERROR(C62/B62-1),"",C62/B62-1)</f>
        <v>0.1637931034482758</v>
      </c>
      <c r="D64" s="170">
        <f>IF(ISERROR(D62/C62-1),"",D62/C62-1)</f>
        <v>-0.54814814814814816</v>
      </c>
      <c r="E64" s="570" t="s">
        <v>754</v>
      </c>
      <c r="F64" s="570"/>
      <c r="G64" s="570"/>
      <c r="H64" s="570"/>
      <c r="I64" s="570"/>
      <c r="J64" s="573"/>
    </row>
    <row r="65" spans="1:11">
      <c r="A65" s="172" t="str">
        <f>Data!A79</f>
        <v>Income &lt;Loss&gt; from equity affiliates</v>
      </c>
      <c r="B65" s="464">
        <f>Data!E79</f>
        <v>0</v>
      </c>
      <c r="C65" s="464">
        <f>Data!F79</f>
        <v>0</v>
      </c>
      <c r="D65" s="464">
        <f>Data!G79</f>
        <v>0</v>
      </c>
      <c r="E65" s="567">
        <f>E66*(D142+E142)/2</f>
        <v>0</v>
      </c>
      <c r="F65" s="567">
        <f>F66*(E142+F142)/2</f>
        <v>0</v>
      </c>
      <c r="G65" s="567">
        <f>G66*(F142+G142)/2</f>
        <v>0</v>
      </c>
      <c r="H65" s="567">
        <f>H66*(G142+H142)/2</f>
        <v>0</v>
      </c>
      <c r="I65" s="567">
        <f>I66*(H142+I142)/2</f>
        <v>0</v>
      </c>
      <c r="J65" s="567">
        <f>I65*$J$16</f>
        <v>0</v>
      </c>
    </row>
    <row r="66" spans="1:11">
      <c r="A66" s="107" t="s">
        <v>478</v>
      </c>
      <c r="B66" s="170">
        <f>B65/B$21</f>
        <v>0</v>
      </c>
      <c r="C66" s="170">
        <f>C65/C$21</f>
        <v>0</v>
      </c>
      <c r="D66" s="170">
        <f>D65/D$21</f>
        <v>0</v>
      </c>
      <c r="E66" s="569">
        <v>0</v>
      </c>
      <c r="F66" s="569">
        <v>0</v>
      </c>
      <c r="G66" s="569">
        <v>0</v>
      </c>
      <c r="H66" s="569">
        <v>0</v>
      </c>
      <c r="I66" s="569">
        <v>0</v>
      </c>
      <c r="J66" s="569">
        <v>0</v>
      </c>
    </row>
    <row r="67" spans="1:11">
      <c r="A67" s="107" t="s">
        <v>479</v>
      </c>
      <c r="B67" s="170"/>
      <c r="C67" s="170" t="str">
        <f>IF(ISERROR(C65/B65-1),"",C65/B65-1)</f>
        <v/>
      </c>
      <c r="D67" s="170" t="str">
        <f>IF(ISERROR(D65/C65-1),"",D65/C65-1)</f>
        <v/>
      </c>
      <c r="E67" s="570" t="s">
        <v>167</v>
      </c>
      <c r="F67" s="570"/>
      <c r="G67" s="570"/>
      <c r="H67" s="570"/>
      <c r="I67" s="570"/>
      <c r="J67" s="573"/>
    </row>
    <row r="68" spans="1:11">
      <c r="A68" s="172" t="str">
        <f>Data!A80</f>
        <v>Other income or gains &lt;Other expenses or losses&gt;</v>
      </c>
      <c r="B68" s="464">
        <f>Data!E80</f>
        <v>0</v>
      </c>
      <c r="C68" s="464">
        <f>Data!F80</f>
        <v>0</v>
      </c>
      <c r="D68" s="464">
        <f>Data!G80</f>
        <v>0</v>
      </c>
      <c r="E68" s="577">
        <v>0</v>
      </c>
      <c r="F68" s="577">
        <v>0</v>
      </c>
      <c r="G68" s="577">
        <v>0</v>
      </c>
      <c r="H68" s="577">
        <v>0</v>
      </c>
      <c r="I68" s="577">
        <v>0</v>
      </c>
      <c r="J68" s="567">
        <f>I68*$J$16</f>
        <v>0</v>
      </c>
    </row>
    <row r="69" spans="1:11">
      <c r="A69" s="107" t="s">
        <v>478</v>
      </c>
      <c r="B69" s="170">
        <f>B68/B$21</f>
        <v>0</v>
      </c>
      <c r="C69" s="170">
        <f>C68/C$21</f>
        <v>0</v>
      </c>
      <c r="D69" s="170">
        <f>D68/D$21</f>
        <v>0</v>
      </c>
      <c r="E69" s="572">
        <v>0</v>
      </c>
      <c r="F69" s="572">
        <v>0</v>
      </c>
      <c r="G69" s="572">
        <v>0</v>
      </c>
      <c r="H69" s="572">
        <v>0</v>
      </c>
      <c r="I69" s="572">
        <v>0</v>
      </c>
      <c r="J69" s="572">
        <v>0</v>
      </c>
    </row>
    <row r="70" spans="1:11">
      <c r="A70" s="107" t="s">
        <v>479</v>
      </c>
      <c r="B70" s="170"/>
      <c r="C70" s="170" t="str">
        <f>IF(ISERROR(C68/B68-1),"",C68/B68-1)</f>
        <v/>
      </c>
      <c r="D70" s="170" t="str">
        <f>IF(ISERROR(D68/C68-1),"",D68/C68-1)</f>
        <v/>
      </c>
      <c r="E70" s="570" t="s">
        <v>22</v>
      </c>
      <c r="F70" s="570"/>
      <c r="G70" s="570"/>
      <c r="H70" s="570"/>
      <c r="I70" s="570"/>
      <c r="J70" s="573"/>
    </row>
    <row r="71" spans="1:11">
      <c r="A71" s="172" t="str">
        <f>Data!A81</f>
        <v xml:space="preserve">  Income before Tax</v>
      </c>
      <c r="B71" s="466">
        <f>B55+B59+B62+B65+B68</f>
        <v>628.4</v>
      </c>
      <c r="C71" s="466">
        <f t="shared" ref="C71:J71" si="37">C55+C59+C62+C65+C68</f>
        <v>955.49999999999977</v>
      </c>
      <c r="D71" s="466">
        <f t="shared" si="37"/>
        <v>1333.7000000000003</v>
      </c>
      <c r="E71" s="574">
        <f t="shared" si="37"/>
        <v>1730.8580254850301</v>
      </c>
      <c r="F71" s="574">
        <f t="shared" si="37"/>
        <v>1969.8890652998698</v>
      </c>
      <c r="G71" s="574">
        <f t="shared" si="37"/>
        <v>2364.8245041030841</v>
      </c>
      <c r="H71" s="574">
        <f t="shared" si="37"/>
        <v>2888.9648715349736</v>
      </c>
      <c r="I71" s="574">
        <f t="shared" si="37"/>
        <v>3180.4823190298525</v>
      </c>
      <c r="J71" s="574">
        <f t="shared" si="37"/>
        <v>4784.6553024091891</v>
      </c>
      <c r="K71" s="457" t="s">
        <v>980</v>
      </c>
    </row>
    <row r="72" spans="1:11">
      <c r="A72" s="107" t="s">
        <v>478</v>
      </c>
      <c r="B72" s="170">
        <f t="shared" ref="B72:J72" si="38">B71/B$21</f>
        <v>0.18801986715337204</v>
      </c>
      <c r="C72" s="170">
        <f t="shared" si="38"/>
        <v>0.21630370806356677</v>
      </c>
      <c r="D72" s="170">
        <f t="shared" si="38"/>
        <v>0.25141381390438849</v>
      </c>
      <c r="E72" s="568">
        <f t="shared" si="38"/>
        <v>0.29246378887840657</v>
      </c>
      <c r="F72" s="568">
        <f t="shared" si="38"/>
        <v>0.29197249449093504</v>
      </c>
      <c r="G72" s="568">
        <f t="shared" si="38"/>
        <v>0.30209535081638816</v>
      </c>
      <c r="H72" s="568">
        <f t="shared" si="38"/>
        <v>0.31262324637559141</v>
      </c>
      <c r="I72" s="568">
        <f t="shared" si="38"/>
        <v>0.28663137560153717</v>
      </c>
      <c r="J72" s="568">
        <f t="shared" si="38"/>
        <v>0.35316330343197294</v>
      </c>
    </row>
    <row r="73" spans="1:11">
      <c r="A73" s="107" t="s">
        <v>479</v>
      </c>
      <c r="B73" s="170"/>
      <c r="C73" s="170">
        <f t="shared" ref="C73:E73" si="39">IF(ISERROR(C71/B71-1),"",C71/B71-1)</f>
        <v>0.52052832590706521</v>
      </c>
      <c r="D73" s="170">
        <f t="shared" si="39"/>
        <v>0.39581371009942501</v>
      </c>
      <c r="E73" s="568">
        <f t="shared" si="39"/>
        <v>0.29778662779112985</v>
      </c>
      <c r="F73" s="568">
        <f t="shared" ref="F73" si="40">IF(ISERROR(F71/E71-1),"",F71/E71-1)</f>
        <v>0.13809973798853736</v>
      </c>
      <c r="G73" s="568">
        <f t="shared" ref="G73" si="41">IF(ISERROR(G71/F71-1),"",G71/F71-1)</f>
        <v>0.20048613181326247</v>
      </c>
      <c r="H73" s="568">
        <f t="shared" ref="H73" si="42">IF(ISERROR(H71/G71-1),"",H71/G71-1)</f>
        <v>0.22164028092675836</v>
      </c>
      <c r="I73" s="568">
        <f t="shared" ref="I73" si="43">IF(ISERROR(I71/H71-1),"",I71/H71-1)</f>
        <v>0.10090723164106485</v>
      </c>
      <c r="J73" s="568">
        <f t="shared" ref="J73" si="44">IF(ISERROR(J71/I71-1),"",J71/I71-1)</f>
        <v>0.5043804122981761</v>
      </c>
    </row>
    <row r="74" spans="1:11">
      <c r="A74" s="107"/>
      <c r="B74" s="170"/>
      <c r="C74" s="170"/>
      <c r="D74" s="170"/>
      <c r="E74" s="171"/>
      <c r="F74" s="171"/>
      <c r="G74" s="171"/>
      <c r="H74" s="171"/>
      <c r="I74" s="171"/>
      <c r="J74" s="171"/>
    </row>
    <row r="75" spans="1:11">
      <c r="A75" s="120" t="str">
        <f>Data!A82</f>
        <v>Provision for (Benefit from) Income Taxes (+Benefit, - Provision)</v>
      </c>
      <c r="B75" s="464">
        <f>Data!E82</f>
        <v>-14.1</v>
      </c>
      <c r="C75" s="464">
        <f>Data!F82</f>
        <v>-30.8</v>
      </c>
      <c r="D75" s="464">
        <f>Data!G82</f>
        <v>-143.80000000000001</v>
      </c>
      <c r="E75" s="567">
        <f>E71*E76</f>
        <v>-294.24586433245514</v>
      </c>
      <c r="F75" s="567">
        <f t="shared" ref="F75:J75" si="45">F71*F76</f>
        <v>-334.88114110097791</v>
      </c>
      <c r="G75" s="567">
        <f t="shared" si="45"/>
        <v>-402.02016569752431</v>
      </c>
      <c r="H75" s="567">
        <f t="shared" si="45"/>
        <v>-491.12402816094556</v>
      </c>
      <c r="I75" s="567">
        <f t="shared" si="45"/>
        <v>-540.68199423507497</v>
      </c>
      <c r="J75" s="567">
        <f t="shared" si="45"/>
        <v>-813.39140140956215</v>
      </c>
    </row>
    <row r="76" spans="1:11">
      <c r="A76" s="107" t="s">
        <v>478</v>
      </c>
      <c r="B76" s="170">
        <f>B75/B$21</f>
        <v>-4.2187780503859735E-3</v>
      </c>
      <c r="C76" s="170">
        <f>C75/C$21</f>
        <v>-6.9724272196314578E-3</v>
      </c>
      <c r="D76" s="170">
        <f>D75/D$21</f>
        <v>-2.7107525260141759E-2</v>
      </c>
      <c r="E76" s="572">
        <v>-0.17</v>
      </c>
      <c r="F76" s="572">
        <v>-0.17</v>
      </c>
      <c r="G76" s="572">
        <v>-0.17</v>
      </c>
      <c r="H76" s="572">
        <v>-0.17</v>
      </c>
      <c r="I76" s="572">
        <v>-0.17</v>
      </c>
      <c r="J76" s="572">
        <v>-0.17</v>
      </c>
      <c r="K76" s="457" t="s">
        <v>980</v>
      </c>
    </row>
    <row r="77" spans="1:11">
      <c r="A77" s="107" t="s">
        <v>479</v>
      </c>
      <c r="B77" s="170"/>
      <c r="C77" s="170">
        <f>IF(ISERROR(C75/B75-1),"",C75/B75-1)</f>
        <v>1.1843971631205674</v>
      </c>
      <c r="D77" s="170">
        <f>IF(ISERROR(D75/C75-1),"",D75/C75-1)</f>
        <v>3.6688311688311694</v>
      </c>
      <c r="E77" s="570" t="s">
        <v>223</v>
      </c>
      <c r="F77" s="570"/>
      <c r="G77" s="570"/>
      <c r="H77" s="570"/>
      <c r="I77" s="570"/>
      <c r="J77" s="579"/>
    </row>
    <row r="78" spans="1:11">
      <c r="A78" s="120" t="str">
        <f>Data!A83</f>
        <v>Income &lt;Loss&gt; from discontinued operations (+Income, - Loss)</v>
      </c>
      <c r="B78" s="464">
        <f>Data!E83</f>
        <v>-7.6</v>
      </c>
      <c r="C78" s="464">
        <f>Data!F83</f>
        <v>-68.099999999999994</v>
      </c>
      <c r="D78" s="464">
        <f>Data!G83</f>
        <v>-42.1</v>
      </c>
      <c r="E78" s="577">
        <f>E$21*E79</f>
        <v>-47.345568</v>
      </c>
      <c r="F78" s="577">
        <f t="shared" ref="F78:J78" si="46">F$21*F79</f>
        <v>-53.974647679999997</v>
      </c>
      <c r="G78" s="577">
        <f t="shared" si="46"/>
        <v>-62.624585190399998</v>
      </c>
      <c r="H78" s="577">
        <f t="shared" si="46"/>
        <v>-73.928344229759986</v>
      </c>
      <c r="I78" s="577">
        <f t="shared" si="46"/>
        <v>-88.768574266655989</v>
      </c>
      <c r="J78" s="577">
        <f t="shared" si="46"/>
        <v>-108.38397434643589</v>
      </c>
    </row>
    <row r="79" spans="1:11">
      <c r="A79" s="107" t="s">
        <v>478</v>
      </c>
      <c r="B79" s="170">
        <f>B78/B$21</f>
        <v>-2.2739512895697447E-3</v>
      </c>
      <c r="C79" s="170">
        <f>C78/C$21</f>
        <v>-1.5416308235613709E-2</v>
      </c>
      <c r="D79" s="170">
        <f>D78/D$21</f>
        <v>-7.9362087166339919E-3</v>
      </c>
      <c r="E79" s="572">
        <v>-8.0000000000000002E-3</v>
      </c>
      <c r="F79" s="572">
        <v>-8.0000000000000002E-3</v>
      </c>
      <c r="G79" s="572">
        <v>-8.0000000000000002E-3</v>
      </c>
      <c r="H79" s="572">
        <v>-8.0000000000000002E-3</v>
      </c>
      <c r="I79" s="572">
        <v>-8.0000000000000002E-3</v>
      </c>
      <c r="J79" s="572">
        <v>-8.0000000000000002E-3</v>
      </c>
    </row>
    <row r="80" spans="1:11">
      <c r="A80" s="107" t="s">
        <v>479</v>
      </c>
      <c r="B80" s="170"/>
      <c r="C80" s="170">
        <f>IF(ISERROR(C78/B78-1),"",C78/B78-1)</f>
        <v>7.9605263157894726</v>
      </c>
      <c r="D80" s="170">
        <f>IF(ISERROR(D78/C78-1),"",D78/C78-1)</f>
        <v>-0.38179148311306899</v>
      </c>
      <c r="E80" s="570" t="s">
        <v>22</v>
      </c>
      <c r="F80" s="570"/>
      <c r="G80" s="570"/>
      <c r="H80" s="570"/>
      <c r="I80" s="570"/>
      <c r="J80" s="573"/>
    </row>
    <row r="81" spans="1:12">
      <c r="A81" s="120" t="str">
        <f>Data!A85</f>
        <v>Changes in accounting principles</v>
      </c>
      <c r="B81" s="464">
        <f>Data!E85</f>
        <v>0</v>
      </c>
      <c r="C81" s="464">
        <f>Data!F85</f>
        <v>0</v>
      </c>
      <c r="D81" s="464">
        <f>Data!G85</f>
        <v>0</v>
      </c>
      <c r="E81" s="577">
        <v>0</v>
      </c>
      <c r="F81" s="577">
        <v>0</v>
      </c>
      <c r="G81" s="577">
        <v>0</v>
      </c>
      <c r="H81" s="577">
        <v>0</v>
      </c>
      <c r="I81" s="577">
        <v>0</v>
      </c>
      <c r="J81" s="567">
        <f>I81*$J$16</f>
        <v>0</v>
      </c>
    </row>
    <row r="82" spans="1:12">
      <c r="A82" s="107" t="s">
        <v>478</v>
      </c>
      <c r="B82" s="170">
        <f>B81/B$21</f>
        <v>0</v>
      </c>
      <c r="C82" s="170">
        <f>C81/C$21</f>
        <v>0</v>
      </c>
      <c r="D82" s="170">
        <f>D81/D$21</f>
        <v>0</v>
      </c>
      <c r="E82" s="576">
        <v>0</v>
      </c>
      <c r="F82" s="576">
        <v>0</v>
      </c>
      <c r="G82" s="576">
        <v>0</v>
      </c>
      <c r="H82" s="576">
        <v>0</v>
      </c>
      <c r="I82" s="576">
        <v>0</v>
      </c>
      <c r="J82" s="576">
        <v>0</v>
      </c>
    </row>
    <row r="83" spans="1:12">
      <c r="A83" s="107" t="s">
        <v>479</v>
      </c>
      <c r="B83" s="170"/>
      <c r="C83" s="170" t="str">
        <f>IF(ISERROR(C81/B81-1),"",C81/B81-1)</f>
        <v/>
      </c>
      <c r="D83" s="170" t="str">
        <f>IF(ISERROR(D81/C81-1),"",D81/C81-1)</f>
        <v/>
      </c>
      <c r="E83" s="570" t="s">
        <v>22</v>
      </c>
      <c r="F83" s="571"/>
      <c r="G83" s="571"/>
      <c r="H83" s="571"/>
      <c r="I83" s="571"/>
      <c r="J83" s="573"/>
    </row>
    <row r="84" spans="1:12">
      <c r="A84" s="172" t="str">
        <f>Data!A86</f>
        <v xml:space="preserve">  Net Income </v>
      </c>
      <c r="B84" s="466">
        <f t="shared" ref="B84:J84" si="47">B71+B75+B78+B81</f>
        <v>606.69999999999993</v>
      </c>
      <c r="C84" s="466">
        <f t="shared" si="47"/>
        <v>856.5999999999998</v>
      </c>
      <c r="D84" s="466">
        <f t="shared" si="47"/>
        <v>1147.8000000000004</v>
      </c>
      <c r="E84" s="574">
        <f t="shared" si="47"/>
        <v>1389.2665931525751</v>
      </c>
      <c r="F84" s="574">
        <f t="shared" si="47"/>
        <v>1581.0332765188919</v>
      </c>
      <c r="G84" s="574">
        <f t="shared" si="47"/>
        <v>1900.1797532151597</v>
      </c>
      <c r="H84" s="574">
        <f t="shared" si="47"/>
        <v>2323.9124991442677</v>
      </c>
      <c r="I84" s="574">
        <f t="shared" si="47"/>
        <v>2551.0317505281218</v>
      </c>
      <c r="J84" s="574">
        <f t="shared" si="47"/>
        <v>3862.879926653191</v>
      </c>
      <c r="K84" s="457" t="s">
        <v>980</v>
      </c>
    </row>
    <row r="85" spans="1:12">
      <c r="A85" s="107" t="s">
        <v>478</v>
      </c>
      <c r="B85" s="170">
        <f t="shared" ref="B85:J85" si="48">B84/B$21</f>
        <v>0.18152713781341631</v>
      </c>
      <c r="C85" s="170">
        <f t="shared" si="48"/>
        <v>0.19391497260832161</v>
      </c>
      <c r="D85" s="170">
        <f>D84/D$21</f>
        <v>0.21637007992761279</v>
      </c>
      <c r="E85" s="568">
        <f t="shared" si="48"/>
        <v>0.23474494476907745</v>
      </c>
      <c r="F85" s="568">
        <f t="shared" si="48"/>
        <v>0.23433717042747607</v>
      </c>
      <c r="G85" s="568">
        <f t="shared" si="48"/>
        <v>0.24273914117760217</v>
      </c>
      <c r="H85" s="568">
        <f t="shared" si="48"/>
        <v>0.25147729449174083</v>
      </c>
      <c r="I85" s="568">
        <f t="shared" si="48"/>
        <v>0.22990404174927589</v>
      </c>
      <c r="J85" s="568">
        <f t="shared" si="48"/>
        <v>0.28512554184853756</v>
      </c>
      <c r="L85" s="895">
        <f>((E84/775)/(D84/761))-1</f>
        <v>0.18850859415668597</v>
      </c>
    </row>
    <row r="86" spans="1:12">
      <c r="A86" s="107" t="s">
        <v>479</v>
      </c>
      <c r="B86" s="170"/>
      <c r="C86" s="170">
        <f>IF(ISERROR(C84/B84-1),"",C84/B84-1)</f>
        <v>0.41190044503049261</v>
      </c>
      <c r="D86" s="170">
        <f>IF(ISERROR(D84/C84-1),"",D84/C84-1)</f>
        <v>0.33994863413495291</v>
      </c>
      <c r="E86" s="568">
        <f t="shared" ref="E86:J86" si="49">IF(ISERROR(E84/D84-1),"",E84/D84-1)</f>
        <v>0.21037340403604676</v>
      </c>
      <c r="F86" s="568">
        <f t="shared" si="49"/>
        <v>0.13803447395301771</v>
      </c>
      <c r="G86" s="568">
        <f t="shared" si="49"/>
        <v>0.20185943043460952</v>
      </c>
      <c r="H86" s="568">
        <f t="shared" si="49"/>
        <v>0.22299613771388715</v>
      </c>
      <c r="I86" s="568">
        <f t="shared" si="49"/>
        <v>9.7731412636011816E-2</v>
      </c>
      <c r="J86" s="568">
        <f t="shared" si="49"/>
        <v>0.51424219861375176</v>
      </c>
    </row>
    <row r="87" spans="1:12">
      <c r="A87" s="172" t="str">
        <f>Data!A87</f>
        <v>Less: Net loss attributable to non-controlling interestsm net of tax (- and loss = +)</v>
      </c>
      <c r="B87" s="474">
        <f>Data!E87</f>
        <v>0.1</v>
      </c>
      <c r="C87" s="474">
        <f>Data!F87</f>
        <v>0.7</v>
      </c>
      <c r="D87" s="474">
        <f>Data!G87</f>
        <v>0</v>
      </c>
      <c r="E87" s="577">
        <f>-E88*D237</f>
        <v>0</v>
      </c>
      <c r="F87" s="577">
        <f>-F88*E237</f>
        <v>0</v>
      </c>
      <c r="G87" s="577">
        <f>-G88*F237</f>
        <v>0</v>
      </c>
      <c r="H87" s="577">
        <f>-H88*G237</f>
        <v>0</v>
      </c>
      <c r="I87" s="577">
        <f>-I88*H237</f>
        <v>0</v>
      </c>
      <c r="J87" s="567">
        <f>I87*$J$16</f>
        <v>0</v>
      </c>
    </row>
    <row r="88" spans="1:12">
      <c r="A88" s="107" t="s">
        <v>478</v>
      </c>
      <c r="B88" s="170">
        <f>B87/B$21</f>
        <v>2.9920411704865063E-5</v>
      </c>
      <c r="C88" s="170">
        <f>C87/C$21</f>
        <v>1.5846425499162404E-4</v>
      </c>
      <c r="D88" s="170">
        <f>D87/D$21</f>
        <v>0</v>
      </c>
      <c r="E88" s="581">
        <v>0</v>
      </c>
      <c r="F88" s="581">
        <f>E88</f>
        <v>0</v>
      </c>
      <c r="G88" s="581">
        <f>F88</f>
        <v>0</v>
      </c>
      <c r="H88" s="581">
        <f>G88</f>
        <v>0</v>
      </c>
      <c r="I88" s="581">
        <f>H88</f>
        <v>0</v>
      </c>
      <c r="J88" s="581">
        <f>I88</f>
        <v>0</v>
      </c>
    </row>
    <row r="89" spans="1:12">
      <c r="A89" s="107" t="s">
        <v>479</v>
      </c>
      <c r="B89" s="170"/>
      <c r="C89" s="170">
        <f>IF(ISERROR(C87/B87-1),"",C87/B87-1)</f>
        <v>5.9999999999999991</v>
      </c>
      <c r="D89" s="170">
        <f>IF(ISERROR(D87/C87-1),"",D87/C87-1)</f>
        <v>-1</v>
      </c>
      <c r="E89" s="570" t="s">
        <v>22</v>
      </c>
      <c r="F89" s="570"/>
      <c r="G89" s="570"/>
      <c r="H89" s="570"/>
      <c r="I89" s="570"/>
      <c r="J89" s="573"/>
    </row>
    <row r="90" spans="1:12">
      <c r="A90" s="172" t="str">
        <f>Data!A88</f>
        <v xml:space="preserve">  Net Income attributable to common shareholders</v>
      </c>
      <c r="B90" s="475">
        <f>B84+B87</f>
        <v>606.79999999999995</v>
      </c>
      <c r="C90" s="475">
        <f t="shared" ref="C90:J90" si="50">C84+C87</f>
        <v>857.29999999999984</v>
      </c>
      <c r="D90" s="475">
        <f t="shared" si="50"/>
        <v>1147.8000000000004</v>
      </c>
      <c r="E90" s="582">
        <f t="shared" si="50"/>
        <v>1389.2665931525751</v>
      </c>
      <c r="F90" s="582">
        <f t="shared" si="50"/>
        <v>1581.0332765188919</v>
      </c>
      <c r="G90" s="582">
        <f t="shared" si="50"/>
        <v>1900.1797532151597</v>
      </c>
      <c r="H90" s="582">
        <f t="shared" si="50"/>
        <v>2323.9124991442677</v>
      </c>
      <c r="I90" s="582">
        <f>I84+I87</f>
        <v>2551.0317505281218</v>
      </c>
      <c r="J90" s="582">
        <f t="shared" si="50"/>
        <v>3862.879926653191</v>
      </c>
      <c r="K90" s="457" t="s">
        <v>980</v>
      </c>
    </row>
    <row r="91" spans="1:12">
      <c r="A91" s="107" t="s">
        <v>478</v>
      </c>
      <c r="B91" s="170">
        <f>B90/B$21</f>
        <v>0.18155705822512117</v>
      </c>
      <c r="C91" s="170">
        <f>C90/C$21</f>
        <v>0.19407343686331324</v>
      </c>
      <c r="D91" s="170">
        <f>D90/D$21</f>
        <v>0.21637007992761279</v>
      </c>
      <c r="E91" s="568">
        <f t="shared" ref="E91:J91" si="51">E90/E$21</f>
        <v>0.23474494476907745</v>
      </c>
      <c r="F91" s="568">
        <f t="shared" si="51"/>
        <v>0.23433717042747607</v>
      </c>
      <c r="G91" s="568">
        <f t="shared" si="51"/>
        <v>0.24273914117760217</v>
      </c>
      <c r="H91" s="568">
        <f t="shared" si="51"/>
        <v>0.25147729449174083</v>
      </c>
      <c r="I91" s="568">
        <f t="shared" si="51"/>
        <v>0.22990404174927589</v>
      </c>
      <c r="J91" s="568">
        <f t="shared" si="51"/>
        <v>0.28512554184853756</v>
      </c>
    </row>
    <row r="92" spans="1:12">
      <c r="A92" s="107" t="s">
        <v>479</v>
      </c>
      <c r="B92" s="170"/>
      <c r="C92" s="170">
        <f t="shared" ref="C92:E92" si="52">IF(ISERROR(C90/B90-1),"",C90/B90-1)</f>
        <v>0.4128213579433091</v>
      </c>
      <c r="D92" s="170">
        <f t="shared" si="52"/>
        <v>0.33885454333372289</v>
      </c>
      <c r="E92" s="568">
        <f t="shared" si="52"/>
        <v>0.21037340403604676</v>
      </c>
      <c r="F92" s="568">
        <f t="shared" ref="F92" si="53">IF(ISERROR(F90/E90-1),"",F90/E90-1)</f>
        <v>0.13803447395301771</v>
      </c>
      <c r="G92" s="568">
        <f t="shared" ref="G92" si="54">IF(ISERROR(G90/F90-1),"",G90/F90-1)</f>
        <v>0.20185943043460952</v>
      </c>
      <c r="H92" s="568">
        <f t="shared" ref="H92" si="55">IF(ISERROR(H90/G90-1),"",H90/G90-1)</f>
        <v>0.22299613771388715</v>
      </c>
      <c r="I92" s="568">
        <f t="shared" ref="I92" si="56">IF(ISERROR(I90/H90-1),"",I90/H90-1)</f>
        <v>9.7731412636011816E-2</v>
      </c>
      <c r="J92" s="568">
        <f t="shared" ref="J92" si="57">IF(ISERROR(J90/I90-1),"",J90/I90-1)</f>
        <v>0.51424219861375176</v>
      </c>
    </row>
    <row r="93" spans="1:12">
      <c r="A93" s="107"/>
      <c r="B93" s="170"/>
      <c r="C93" s="170"/>
      <c r="D93" s="170"/>
      <c r="E93" s="568"/>
      <c r="F93" s="568"/>
      <c r="G93" s="568"/>
      <c r="H93" s="568"/>
      <c r="I93" s="568"/>
      <c r="J93" s="568"/>
    </row>
    <row r="94" spans="1:12">
      <c r="A94" s="120" t="str">
        <f>Data!A91</f>
        <v>Other comprehensive income (loss)</v>
      </c>
      <c r="B94" s="464">
        <f>Data!E91</f>
        <v>-5.4</v>
      </c>
      <c r="C94" s="464">
        <f>Data!F91</f>
        <v>-14.7</v>
      </c>
      <c r="D94" s="464">
        <f>Data!G91</f>
        <v>1.3</v>
      </c>
      <c r="E94" s="583">
        <f>E$21*E95</f>
        <v>2.959098</v>
      </c>
      <c r="F94" s="583">
        <f t="shared" ref="F94:J94" si="58">F$21*F95</f>
        <v>3.3734154799999998</v>
      </c>
      <c r="G94" s="583">
        <f t="shared" si="58"/>
        <v>3.9140365743999999</v>
      </c>
      <c r="H94" s="583">
        <f t="shared" si="58"/>
        <v>4.6205215143599991</v>
      </c>
      <c r="I94" s="583">
        <f t="shared" si="58"/>
        <v>5.5480358916659993</v>
      </c>
      <c r="J94" s="583">
        <f t="shared" si="58"/>
        <v>6.7739983966522432</v>
      </c>
    </row>
    <row r="95" spans="1:12">
      <c r="A95" s="107" t="s">
        <v>478</v>
      </c>
      <c r="B95" s="564">
        <f>B94/B$21</f>
        <v>-1.6157022320627133E-3</v>
      </c>
      <c r="C95" s="564">
        <f>C94/C$21</f>
        <v>-3.3277493548241046E-3</v>
      </c>
      <c r="D95" s="564">
        <f>D94/D$21</f>
        <v>2.4506107676066957E-4</v>
      </c>
      <c r="E95" s="580">
        <v>5.0000000000000001E-4</v>
      </c>
      <c r="F95" s="580">
        <v>5.0000000000000001E-4</v>
      </c>
      <c r="G95" s="580">
        <v>5.0000000000000001E-4</v>
      </c>
      <c r="H95" s="580">
        <v>5.0000000000000001E-4</v>
      </c>
      <c r="I95" s="580">
        <v>5.0000000000000001E-4</v>
      </c>
      <c r="J95" s="580">
        <v>5.0000000000000001E-4</v>
      </c>
    </row>
    <row r="96" spans="1:12">
      <c r="A96" s="107" t="s">
        <v>479</v>
      </c>
      <c r="B96" s="170"/>
      <c r="C96" s="170">
        <f>IF(ISERROR(C94/B94-1),"",C94/B94-1)</f>
        <v>1.7222222222222219</v>
      </c>
      <c r="D96" s="170">
        <f>IF(ISERROR(D94/C94-1),"",D94/C94-1)</f>
        <v>-1.08843537414966</v>
      </c>
      <c r="E96" s="570" t="s">
        <v>694</v>
      </c>
      <c r="F96" s="571"/>
      <c r="G96" s="571"/>
      <c r="H96" s="571"/>
      <c r="I96" s="571"/>
      <c r="J96" s="573"/>
    </row>
    <row r="97" spans="1:12" ht="13.5" thickBot="1">
      <c r="A97" s="172" t="str">
        <f>Data!A92</f>
        <v>Comprehensive Income</v>
      </c>
      <c r="B97" s="467">
        <f t="shared" ref="B97:J97" si="59">B84+B94</f>
        <v>601.29999999999995</v>
      </c>
      <c r="C97" s="467">
        <f t="shared" si="59"/>
        <v>841.89999999999975</v>
      </c>
      <c r="D97" s="467">
        <f t="shared" si="59"/>
        <v>1149.1000000000004</v>
      </c>
      <c r="E97" s="574">
        <f t="shared" si="59"/>
        <v>1392.2256911525751</v>
      </c>
      <c r="F97" s="574">
        <f t="shared" si="59"/>
        <v>1584.4066919988918</v>
      </c>
      <c r="G97" s="574">
        <f t="shared" si="59"/>
        <v>1904.0937897895597</v>
      </c>
      <c r="H97" s="574">
        <f t="shared" si="59"/>
        <v>2328.5330206586277</v>
      </c>
      <c r="I97" s="574">
        <f t="shared" si="59"/>
        <v>2556.579786419788</v>
      </c>
      <c r="J97" s="574">
        <f t="shared" si="59"/>
        <v>3869.6539250498431</v>
      </c>
    </row>
    <row r="98" spans="1:12" ht="13.5" thickTop="1">
      <c r="A98" s="107" t="s">
        <v>478</v>
      </c>
      <c r="B98" s="170">
        <f t="shared" ref="B98:J98" si="60">B97/B$21</f>
        <v>0.17991143558135358</v>
      </c>
      <c r="C98" s="170">
        <f t="shared" si="60"/>
        <v>0.1905872232534975</v>
      </c>
      <c r="D98" s="170">
        <f t="shared" si="60"/>
        <v>0.21661514100437346</v>
      </c>
      <c r="E98" s="568">
        <f>E97/E$21</f>
        <v>0.23524494476907745</v>
      </c>
      <c r="F98" s="568">
        <f t="shared" si="60"/>
        <v>0.23483717042747607</v>
      </c>
      <c r="G98" s="568">
        <f t="shared" si="60"/>
        <v>0.24323914117760215</v>
      </c>
      <c r="H98" s="568">
        <f t="shared" si="60"/>
        <v>0.25197729449174083</v>
      </c>
      <c r="I98" s="568">
        <f t="shared" si="60"/>
        <v>0.2304040417492759</v>
      </c>
      <c r="J98" s="568">
        <f t="shared" si="60"/>
        <v>0.28562554184853756</v>
      </c>
    </row>
    <row r="99" spans="1:12">
      <c r="A99" s="107" t="s">
        <v>479</v>
      </c>
      <c r="B99" s="170"/>
      <c r="C99" s="170">
        <f>IF(ISERROR(C97/B97-1),"",C97/B97-1)</f>
        <v>0.40013304506901681</v>
      </c>
      <c r="D99" s="170">
        <f>IF(ISERROR(D97/C97-1),"",D97/C97-1)</f>
        <v>0.36488894167953512</v>
      </c>
      <c r="E99" s="568">
        <f t="shared" ref="E99:J99" si="61">IF(ISERROR(E97/D97-1),"",E97/D97-1)</f>
        <v>0.2115792282243274</v>
      </c>
      <c r="F99" s="568">
        <f t="shared" si="61"/>
        <v>0.13803868300061084</v>
      </c>
      <c r="G99" s="568">
        <f t="shared" si="61"/>
        <v>0.20177085807896322</v>
      </c>
      <c r="H99" s="568">
        <f t="shared" si="61"/>
        <v>0.22290878377161083</v>
      </c>
      <c r="I99" s="568">
        <f t="shared" si="61"/>
        <v>9.7935809257562845E-2</v>
      </c>
      <c r="J99" s="568">
        <f t="shared" si="61"/>
        <v>0.51360577346536584</v>
      </c>
    </row>
    <row r="100" spans="1:12">
      <c r="A100" s="120"/>
    </row>
    <row r="101" spans="1:12">
      <c r="A101" s="56"/>
    </row>
    <row r="102" spans="1:12">
      <c r="A102" s="147" t="s">
        <v>461</v>
      </c>
      <c r="B102" s="148" t="s">
        <v>27</v>
      </c>
      <c r="C102" s="149"/>
      <c r="D102" s="149"/>
      <c r="E102" s="148"/>
      <c r="F102" s="149"/>
      <c r="G102" s="149"/>
      <c r="H102" s="149"/>
      <c r="I102" s="149"/>
      <c r="J102" s="150"/>
    </row>
    <row r="103" spans="1:12">
      <c r="A103" s="151" t="str">
        <f>Data!A9</f>
        <v>Analyst Name:</v>
      </c>
      <c r="B103" s="174" t="str">
        <f>Data!B9</f>
        <v>CAI Zonghuan</v>
      </c>
      <c r="C103" s="149"/>
      <c r="D103" s="149"/>
      <c r="E103" s="148"/>
      <c r="F103" s="149"/>
      <c r="G103" s="149"/>
      <c r="H103" s="149"/>
      <c r="I103" s="149"/>
      <c r="J103" s="150"/>
    </row>
    <row r="104" spans="1:12">
      <c r="A104" s="151" t="str">
        <f>Data!A10</f>
        <v>Company Name:</v>
      </c>
      <c r="B104" s="175" t="str">
        <f>Data!B10</f>
        <v>FORTINET</v>
      </c>
      <c r="C104" s="166"/>
      <c r="D104" s="166"/>
      <c r="E104" s="165"/>
      <c r="F104" s="166"/>
      <c r="G104" s="166"/>
      <c r="H104" s="166"/>
      <c r="I104" s="166"/>
      <c r="J104" s="176"/>
    </row>
    <row r="105" spans="1:12">
      <c r="A105" s="177"/>
      <c r="B105" s="157"/>
      <c r="C105" s="48"/>
      <c r="D105" s="48"/>
      <c r="E105" s="56"/>
      <c r="F105" s="48"/>
      <c r="G105" s="48"/>
      <c r="H105" s="48"/>
      <c r="I105" s="48"/>
      <c r="J105" s="48"/>
    </row>
    <row r="106" spans="1:12">
      <c r="A106" s="56"/>
      <c r="B106" s="56" t="s">
        <v>294</v>
      </c>
      <c r="C106" s="48"/>
      <c r="D106" s="48"/>
      <c r="E106" s="157" t="s">
        <v>294</v>
      </c>
      <c r="F106" s="156"/>
      <c r="G106" s="156"/>
      <c r="H106" s="156"/>
      <c r="I106" s="156"/>
      <c r="J106" s="156"/>
    </row>
    <row r="107" spans="1:12">
      <c r="A107" s="48"/>
      <c r="B107" s="56" t="s">
        <v>462</v>
      </c>
      <c r="C107" s="48"/>
      <c r="D107" s="48"/>
      <c r="E107" s="158" t="s">
        <v>463</v>
      </c>
      <c r="F107" s="156"/>
      <c r="G107" s="156"/>
      <c r="H107" s="156"/>
      <c r="I107" s="156"/>
      <c r="J107" s="159" t="s">
        <v>23</v>
      </c>
    </row>
    <row r="108" spans="1:12">
      <c r="A108" s="48"/>
      <c r="B108" s="48" t="s">
        <v>464</v>
      </c>
      <c r="C108" s="48"/>
      <c r="D108" s="48"/>
      <c r="E108" s="160" t="s">
        <v>465</v>
      </c>
      <c r="F108" s="156"/>
      <c r="G108" s="156"/>
      <c r="H108" s="156"/>
      <c r="I108" s="161" t="s">
        <v>24</v>
      </c>
      <c r="J108" s="162">
        <f>$J$15</f>
        <v>0.03</v>
      </c>
    </row>
    <row r="109" spans="1:12">
      <c r="A109" s="48"/>
      <c r="B109" s="48" t="s">
        <v>466</v>
      </c>
      <c r="C109" s="48"/>
      <c r="D109" s="48"/>
      <c r="E109" s="160" t="s">
        <v>467</v>
      </c>
      <c r="F109" s="156"/>
      <c r="G109" s="156"/>
      <c r="H109" s="156"/>
      <c r="I109" s="161" t="s">
        <v>468</v>
      </c>
      <c r="J109" s="86">
        <f>1+$J$15</f>
        <v>1.03</v>
      </c>
    </row>
    <row r="110" spans="1:12" ht="13.5" thickBot="1">
      <c r="A110" s="48"/>
      <c r="B110" s="178"/>
      <c r="C110" s="48"/>
      <c r="D110" s="48"/>
      <c r="E110" s="164"/>
      <c r="F110" s="164"/>
      <c r="G110" s="164"/>
      <c r="H110" s="164"/>
      <c r="I110" s="164"/>
      <c r="J110" s="164"/>
    </row>
    <row r="111" spans="1:12" ht="13.5" thickTop="1">
      <c r="A111" s="48"/>
      <c r="B111" s="179" t="s">
        <v>469</v>
      </c>
      <c r="C111" s="180"/>
      <c r="D111" s="180"/>
      <c r="E111" s="181" t="s">
        <v>470</v>
      </c>
      <c r="F111" s="182"/>
      <c r="G111" s="182"/>
      <c r="H111" s="182"/>
      <c r="I111" s="182"/>
      <c r="J111" s="181"/>
      <c r="L111" s="61" t="s">
        <v>237</v>
      </c>
    </row>
    <row r="112" spans="1:12">
      <c r="A112" s="48"/>
      <c r="B112" s="169">
        <f>B19</f>
        <v>2021</v>
      </c>
      <c r="C112" s="169">
        <f>C19</f>
        <v>2022</v>
      </c>
      <c r="D112" s="169">
        <f>D19</f>
        <v>2023</v>
      </c>
      <c r="E112" s="169" t="str">
        <f t="shared" ref="E112:J112" si="62">E$19</f>
        <v>Year +1</v>
      </c>
      <c r="F112" s="169" t="str">
        <f t="shared" si="62"/>
        <v>Year +2</v>
      </c>
      <c r="G112" s="169" t="str">
        <f t="shared" si="62"/>
        <v>Year +3</v>
      </c>
      <c r="H112" s="169" t="str">
        <f t="shared" si="62"/>
        <v>Year +4</v>
      </c>
      <c r="I112" s="169" t="str">
        <f t="shared" si="62"/>
        <v>Year +5</v>
      </c>
      <c r="J112" s="169" t="str">
        <f t="shared" si="62"/>
        <v>Year +6</v>
      </c>
      <c r="L112" s="457" t="s">
        <v>1</v>
      </c>
    </row>
    <row r="113" spans="1:20">
      <c r="A113" s="56" t="s">
        <v>480</v>
      </c>
    </row>
    <row r="114" spans="1:20">
      <c r="A114" s="120" t="s">
        <v>449</v>
      </c>
    </row>
    <row r="115" spans="1:20">
      <c r="A115" s="120" t="str">
        <f>Data!A16</f>
        <v>Cash and cash equivalents</v>
      </c>
      <c r="B115" s="464">
        <f>Data!E16</f>
        <v>1319.1</v>
      </c>
      <c r="C115" s="464">
        <f>Data!F16</f>
        <v>1682.9</v>
      </c>
      <c r="D115" s="464">
        <f>Data!G16</f>
        <v>1397.9</v>
      </c>
      <c r="E115" s="574">
        <f>D115*(1+E116)</f>
        <v>1453.816</v>
      </c>
      <c r="F115" s="574">
        <f t="shared" ref="F115:J115" si="63">E115*(1+F116)</f>
        <v>1511.9686400000001</v>
      </c>
      <c r="G115" s="574">
        <f t="shared" si="63"/>
        <v>1572.4473856000002</v>
      </c>
      <c r="H115" s="574">
        <f t="shared" si="63"/>
        <v>1635.3452810240003</v>
      </c>
      <c r="I115" s="574">
        <f t="shared" si="63"/>
        <v>1700.7590922649604</v>
      </c>
      <c r="J115" s="574">
        <f t="shared" si="63"/>
        <v>1768.7894559555589</v>
      </c>
      <c r="L115" s="61" t="s">
        <v>4</v>
      </c>
    </row>
    <row r="116" spans="1:20">
      <c r="A116" s="107" t="s">
        <v>478</v>
      </c>
      <c r="B116" s="170">
        <f>B115/B$166</f>
        <v>0.22285482590258646</v>
      </c>
      <c r="C116" s="170">
        <f>C115/C$166</f>
        <v>0.27021515735388574</v>
      </c>
      <c r="D116" s="170">
        <f>D115/D$166</f>
        <v>0.19257738775847577</v>
      </c>
      <c r="E116" s="572">
        <v>0.04</v>
      </c>
      <c r="F116" s="572">
        <v>0.04</v>
      </c>
      <c r="G116" s="572">
        <v>0.04</v>
      </c>
      <c r="H116" s="572">
        <v>0.04</v>
      </c>
      <c r="I116" s="572">
        <v>0.04</v>
      </c>
      <c r="J116" s="572">
        <v>0.04</v>
      </c>
      <c r="L116" s="17" t="s">
        <v>5</v>
      </c>
    </row>
    <row r="117" spans="1:20">
      <c r="A117" s="107" t="s">
        <v>479</v>
      </c>
      <c r="B117" s="170"/>
      <c r="C117" s="170">
        <f>IF(ISERROR(C115/B115-1),"",C115/B115-1)</f>
        <v>0.27579410203926935</v>
      </c>
      <c r="D117" s="170">
        <f>IF(ISERROR(D115/C115-1),"",D115/C115-1)</f>
        <v>-0.16935052587794874</v>
      </c>
      <c r="E117" s="570" t="s">
        <v>979</v>
      </c>
      <c r="F117" s="571"/>
      <c r="G117" s="571"/>
      <c r="H117" s="571"/>
      <c r="I117" s="571"/>
      <c r="J117" s="584"/>
    </row>
    <row r="118" spans="1:20">
      <c r="A118" s="120" t="str">
        <f>Data!A17</f>
        <v>Short-term investments</v>
      </c>
      <c r="B118" s="464">
        <f>Data!E17</f>
        <v>1194</v>
      </c>
      <c r="C118" s="464">
        <f>Data!F17</f>
        <v>502.6</v>
      </c>
      <c r="D118" s="464">
        <f>Data!G17</f>
        <v>1021.5</v>
      </c>
      <c r="E118" s="574">
        <f>D118*(1+E119)</f>
        <v>1052.145</v>
      </c>
      <c r="F118" s="574">
        <f t="shared" ref="F118" si="64">E118*(1+F119)</f>
        <v>1083.7093500000001</v>
      </c>
      <c r="G118" s="574">
        <f t="shared" ref="G118" si="65">F118*(1+G119)</f>
        <v>1116.2206305000002</v>
      </c>
      <c r="H118" s="574">
        <f t="shared" ref="H118" si="66">G118*(1+H119)</f>
        <v>1149.7072494150002</v>
      </c>
      <c r="I118" s="574">
        <f t="shared" ref="I118" si="67">H118*(1+I119)</f>
        <v>1184.1984668974503</v>
      </c>
      <c r="J118" s="574">
        <f>I118*$J$109</f>
        <v>1219.7244209043738</v>
      </c>
    </row>
    <row r="119" spans="1:20">
      <c r="A119" s="107" t="s">
        <v>478</v>
      </c>
      <c r="B119" s="170">
        <f>B118/B$166</f>
        <v>0.20171985605919812</v>
      </c>
      <c r="C119" s="170">
        <f>C118/C$166</f>
        <v>8.0700064226075799E-2</v>
      </c>
      <c r="D119" s="170">
        <f>D118/D$166</f>
        <v>0.14072380112689248</v>
      </c>
      <c r="E119" s="572">
        <v>0.03</v>
      </c>
      <c r="F119" s="572">
        <v>0.03</v>
      </c>
      <c r="G119" s="572">
        <v>0.03</v>
      </c>
      <c r="H119" s="572">
        <v>0.03</v>
      </c>
      <c r="I119" s="572">
        <v>0.03</v>
      </c>
      <c r="J119" s="572">
        <v>0.03</v>
      </c>
    </row>
    <row r="120" spans="1:20">
      <c r="A120" s="107" t="s">
        <v>479</v>
      </c>
      <c r="B120" s="170"/>
      <c r="C120" s="170">
        <f>IF(ISERROR(C118/B118-1),"",C118/B118-1)</f>
        <v>-0.57906197654941371</v>
      </c>
      <c r="D120" s="170">
        <f>IF(ISERROR(D118/C118-1),"",D118/C118-1)</f>
        <v>1.0324313569438917</v>
      </c>
      <c r="E120" s="570" t="s">
        <v>22</v>
      </c>
      <c r="F120" s="571"/>
      <c r="G120" s="571"/>
      <c r="H120" s="571"/>
      <c r="I120" s="571"/>
      <c r="J120" s="579"/>
      <c r="L120" s="184"/>
      <c r="M120" s="184"/>
      <c r="N120" s="184"/>
      <c r="O120" s="184"/>
      <c r="P120" s="184"/>
      <c r="Q120" s="184"/>
      <c r="R120" s="184"/>
      <c r="S120" s="184"/>
      <c r="T120" s="184"/>
    </row>
    <row r="121" spans="1:20">
      <c r="A121" s="120" t="str">
        <f>Data!A18</f>
        <v>Accounts and notes receivable - net</v>
      </c>
      <c r="B121" s="464">
        <f>Data!E18</f>
        <v>807.7</v>
      </c>
      <c r="C121" s="464">
        <f>Data!F18</f>
        <v>1261.7</v>
      </c>
      <c r="D121" s="464">
        <f>Data!G18</f>
        <v>1402</v>
      </c>
      <c r="E121" s="574">
        <f>D121*(1+E122)</f>
        <v>1444.06</v>
      </c>
      <c r="F121" s="574">
        <f t="shared" ref="F121" si="68">E121*(1+F122)</f>
        <v>1487.3817999999999</v>
      </c>
      <c r="G121" s="574">
        <f t="shared" ref="G121" si="69">F121*(1+G122)</f>
        <v>1532.003254</v>
      </c>
      <c r="H121" s="574">
        <f t="shared" ref="H121" si="70">G121*(1+H122)</f>
        <v>1577.9633516199999</v>
      </c>
      <c r="I121" s="574">
        <f t="shared" ref="I121" si="71">H121*(1+I122)</f>
        <v>1625.3022521686</v>
      </c>
      <c r="J121" s="574">
        <f>I121*$J$109</f>
        <v>1674.0613197336581</v>
      </c>
    </row>
    <row r="122" spans="1:20">
      <c r="A122" s="107" t="s">
        <v>478</v>
      </c>
      <c r="B122" s="170">
        <f>B121/B$166</f>
        <v>0.13645655589532188</v>
      </c>
      <c r="C122" s="170">
        <f>C121/C$166</f>
        <v>0.20258509955041751</v>
      </c>
      <c r="D122" s="170">
        <f>D121/D$166</f>
        <v>0.19314221162986123</v>
      </c>
      <c r="E122" s="572">
        <v>0.03</v>
      </c>
      <c r="F122" s="572">
        <v>0.03</v>
      </c>
      <c r="G122" s="572">
        <v>0.03</v>
      </c>
      <c r="H122" s="572">
        <v>0.03</v>
      </c>
      <c r="I122" s="572">
        <v>0.03</v>
      </c>
      <c r="J122" s="572">
        <v>0.03</v>
      </c>
    </row>
    <row r="123" spans="1:20">
      <c r="A123" s="107" t="s">
        <v>479</v>
      </c>
      <c r="B123" s="170"/>
      <c r="C123" s="170">
        <f>IF(ISERROR(C121/B121-1),"",C121/B121-1)</f>
        <v>0.56208988485823941</v>
      </c>
      <c r="D123" s="170">
        <f>IF(ISERROR(D121/C121-1),"",D121/C121-1)</f>
        <v>0.1111991757153048</v>
      </c>
      <c r="E123" s="570" t="s">
        <v>22</v>
      </c>
      <c r="F123" s="571"/>
      <c r="G123" s="571"/>
      <c r="H123" s="571"/>
      <c r="I123" s="571"/>
      <c r="J123" s="584"/>
    </row>
    <row r="124" spans="1:20">
      <c r="A124" s="120" t="str">
        <f>Data!A19</f>
        <v>Inventories</v>
      </c>
      <c r="B124" s="464">
        <f>Data!E19</f>
        <v>175.8</v>
      </c>
      <c r="C124" s="464">
        <f>Data!F19</f>
        <v>264.60000000000002</v>
      </c>
      <c r="D124" s="464">
        <f>Data!G19</f>
        <v>484.8</v>
      </c>
      <c r="E124" s="574">
        <f>D124*(1+E125)</f>
        <v>499.34400000000005</v>
      </c>
      <c r="F124" s="574">
        <f t="shared" ref="F124" si="72">E124*(1+F125)</f>
        <v>514.32432000000006</v>
      </c>
      <c r="G124" s="574">
        <f t="shared" ref="G124" si="73">F124*(1+G125)</f>
        <v>529.75404960000003</v>
      </c>
      <c r="H124" s="574">
        <f t="shared" ref="H124" si="74">G124*(1+H125)</f>
        <v>545.64667108800006</v>
      </c>
      <c r="I124" s="574">
        <f t="shared" ref="I124" si="75">H124*(1+I125)</f>
        <v>562.01607122064013</v>
      </c>
      <c r="J124" s="574">
        <f>I124*$J$109</f>
        <v>578.87655335725935</v>
      </c>
    </row>
    <row r="125" spans="1:20">
      <c r="A125" s="107" t="s">
        <v>478</v>
      </c>
      <c r="B125" s="170">
        <f>B124/B$166</f>
        <v>2.9700461218766357E-2</v>
      </c>
      <c r="C125" s="170">
        <f>C124/C$166</f>
        <v>4.2485549132947983E-2</v>
      </c>
      <c r="D125" s="170">
        <f>D124/D$166</f>
        <v>6.6786978743335751E-2</v>
      </c>
      <c r="E125" s="572">
        <v>0.03</v>
      </c>
      <c r="F125" s="572">
        <v>0.03</v>
      </c>
      <c r="G125" s="572">
        <v>0.03</v>
      </c>
      <c r="H125" s="572">
        <v>0.03</v>
      </c>
      <c r="I125" s="572">
        <v>0.03</v>
      </c>
      <c r="J125" s="572">
        <v>0.03</v>
      </c>
    </row>
    <row r="126" spans="1:20">
      <c r="A126" s="107" t="s">
        <v>479</v>
      </c>
      <c r="B126" s="170"/>
      <c r="C126" s="170">
        <f>IF(ISERROR(C124/B124-1),"",C124/B124-1)</f>
        <v>0.50511945392491464</v>
      </c>
      <c r="D126" s="170">
        <f>IF(ISERROR(D124/C124-1),"",D124/C124-1)</f>
        <v>0.83219954648526073</v>
      </c>
      <c r="E126" s="570" t="s">
        <v>22</v>
      </c>
      <c r="F126" s="571"/>
      <c r="G126" s="571"/>
      <c r="H126" s="571"/>
      <c r="I126" s="571"/>
      <c r="J126" s="586"/>
    </row>
    <row r="127" spans="1:20">
      <c r="A127" s="172" t="str">
        <f>Data!A20</f>
        <v>Prepaid expenses and other current assets</v>
      </c>
      <c r="B127" s="464">
        <f>Data!E20</f>
        <v>65.400000000000006</v>
      </c>
      <c r="C127" s="464">
        <f>Data!F20</f>
        <v>73.099999999999994</v>
      </c>
      <c r="D127" s="464">
        <f>Data!G20</f>
        <v>101.1</v>
      </c>
      <c r="E127" s="574">
        <f>D127*(1+E128)</f>
        <v>104.133</v>
      </c>
      <c r="F127" s="574">
        <f t="shared" ref="F127" si="76">E127*(1+F128)</f>
        <v>107.25699</v>
      </c>
      <c r="G127" s="574">
        <f t="shared" ref="G127" si="77">F127*(1+G128)</f>
        <v>110.4746997</v>
      </c>
      <c r="H127" s="574">
        <f t="shared" ref="H127" si="78">G127*(1+H128)</f>
        <v>113.78894069100001</v>
      </c>
      <c r="I127" s="574">
        <f t="shared" ref="I127" si="79">H127*(1+I128)</f>
        <v>117.20260891173001</v>
      </c>
      <c r="J127" s="574">
        <f>I127*$J$109</f>
        <v>120.71868717908191</v>
      </c>
    </row>
    <row r="128" spans="1:20">
      <c r="A128" s="107" t="s">
        <v>478</v>
      </c>
      <c r="B128" s="170">
        <f>B127/B$166</f>
        <v>1.104897704042844E-2</v>
      </c>
      <c r="C128" s="170">
        <f>C127/C$166</f>
        <v>1.1737315350032114E-2</v>
      </c>
      <c r="D128" s="170">
        <f>D127/D$166</f>
        <v>1.3927730096846625E-2</v>
      </c>
      <c r="E128" s="572">
        <v>0.03</v>
      </c>
      <c r="F128" s="572">
        <v>0.03</v>
      </c>
      <c r="G128" s="572">
        <v>0.03</v>
      </c>
      <c r="H128" s="572">
        <v>0.03</v>
      </c>
      <c r="I128" s="572">
        <v>0.03</v>
      </c>
      <c r="J128" s="572">
        <v>0.03</v>
      </c>
    </row>
    <row r="129" spans="1:15">
      <c r="A129" s="107" t="s">
        <v>479</v>
      </c>
      <c r="B129" s="170"/>
      <c r="C129" s="170">
        <f>IF(ISERROR(C127/B127-1),"",C127/B127-1)</f>
        <v>0.11773700305810375</v>
      </c>
      <c r="D129" s="170">
        <f>IF(ISERROR(D127/C127-1),"",D127/C127-1)</f>
        <v>0.38303693570451447</v>
      </c>
      <c r="E129" s="570" t="s">
        <v>22</v>
      </c>
      <c r="F129" s="571"/>
      <c r="G129" s="571"/>
      <c r="H129" s="571"/>
      <c r="I129" s="571"/>
      <c r="J129" s="586"/>
    </row>
    <row r="130" spans="1:15">
      <c r="A130" s="172" t="str">
        <f>Data!A21</f>
        <v>Marketable equity securities</v>
      </c>
      <c r="B130" s="464">
        <f>Data!E21</f>
        <v>38.6</v>
      </c>
      <c r="C130" s="464">
        <f>Data!F21</f>
        <v>25.5</v>
      </c>
      <c r="D130" s="464">
        <f>Data!G21</f>
        <v>21</v>
      </c>
      <c r="E130" s="574">
        <f>D130*(1+E131)</f>
        <v>21.63</v>
      </c>
      <c r="F130" s="574">
        <f t="shared" ref="F130" si="80">E130*(1+F131)</f>
        <v>22.2789</v>
      </c>
      <c r="G130" s="574">
        <f t="shared" ref="G130" si="81">F130*(1+G131)</f>
        <v>22.947267</v>
      </c>
      <c r="H130" s="574">
        <f t="shared" ref="H130" si="82">G130*(1+H131)</f>
        <v>23.63568501</v>
      </c>
      <c r="I130" s="574">
        <f t="shared" ref="I130" si="83">H130*(1+I131)</f>
        <v>24.344755560300001</v>
      </c>
      <c r="J130" s="574">
        <f>I130*$J$109</f>
        <v>25.075098227109002</v>
      </c>
    </row>
    <row r="131" spans="1:15">
      <c r="A131" s="107" t="s">
        <v>478</v>
      </c>
      <c r="B131" s="170">
        <f>B130/B$166</f>
        <v>6.5212616782956848E-3</v>
      </c>
      <c r="C131" s="170">
        <f>C130/C$166</f>
        <v>4.0944123314065519E-3</v>
      </c>
      <c r="D131" s="170">
        <f>D130/D$166</f>
        <v>2.8930003168524151E-3</v>
      </c>
      <c r="E131" s="572">
        <v>0.03</v>
      </c>
      <c r="F131" s="572">
        <v>0.03</v>
      </c>
      <c r="G131" s="572">
        <v>0.03</v>
      </c>
      <c r="H131" s="572">
        <v>0.03</v>
      </c>
      <c r="I131" s="572">
        <v>0.03</v>
      </c>
      <c r="J131" s="572">
        <v>0.03</v>
      </c>
    </row>
    <row r="132" spans="1:15">
      <c r="A132" s="107" t="s">
        <v>479</v>
      </c>
      <c r="B132" s="170"/>
      <c r="C132" s="170">
        <f>IF(ISERROR(C130/B130-1),"",C130/B130-1)</f>
        <v>-0.3393782383419689</v>
      </c>
      <c r="D132" s="170">
        <f>IF(ISERROR(D130/C130-1),"",D130/C130-1)</f>
        <v>-0.17647058823529416</v>
      </c>
      <c r="E132" s="570" t="s">
        <v>22</v>
      </c>
      <c r="F132" s="571"/>
      <c r="G132" s="571"/>
      <c r="H132" s="571"/>
      <c r="I132" s="571"/>
      <c r="J132" s="586"/>
    </row>
    <row r="133" spans="1:15">
      <c r="A133" s="172" t="str">
        <f>Data!A22</f>
        <v>Other current assets (2)</v>
      </c>
      <c r="B133" s="464">
        <f>Data!E22</f>
        <v>0</v>
      </c>
      <c r="C133" s="464">
        <f>Data!F22</f>
        <v>0</v>
      </c>
      <c r="D133" s="464">
        <f>Data!G22</f>
        <v>0</v>
      </c>
      <c r="E133" s="574">
        <f>D133*(1+E134)</f>
        <v>0</v>
      </c>
      <c r="F133" s="574">
        <f t="shared" ref="F133" si="84">E133*(1+F134)</f>
        <v>0</v>
      </c>
      <c r="G133" s="574">
        <f t="shared" ref="G133" si="85">F133*(1+G134)</f>
        <v>0</v>
      </c>
      <c r="H133" s="574">
        <f t="shared" ref="H133" si="86">G133*(1+H134)</f>
        <v>0</v>
      </c>
      <c r="I133" s="574">
        <f t="shared" ref="I133" si="87">H133*(1+I134)</f>
        <v>0</v>
      </c>
      <c r="J133" s="574">
        <f>I133*$J$109</f>
        <v>0</v>
      </c>
    </row>
    <row r="134" spans="1:15">
      <c r="A134" s="107" t="s">
        <v>478</v>
      </c>
      <c r="B134" s="170">
        <f>B133/B$166</f>
        <v>0</v>
      </c>
      <c r="C134" s="170">
        <f>C133/C$166</f>
        <v>0</v>
      </c>
      <c r="D134" s="170">
        <f>D133/D$166</f>
        <v>0</v>
      </c>
      <c r="E134" s="578">
        <v>0</v>
      </c>
      <c r="F134" s="578">
        <v>0</v>
      </c>
      <c r="G134" s="578">
        <v>0</v>
      </c>
      <c r="H134" s="578">
        <v>0</v>
      </c>
      <c r="I134" s="578">
        <v>0</v>
      </c>
      <c r="J134" s="578">
        <v>0</v>
      </c>
    </row>
    <row r="135" spans="1:15">
      <c r="A135" s="107" t="s">
        <v>479</v>
      </c>
      <c r="B135" s="170"/>
      <c r="C135" s="170" t="str">
        <f>IF(ISERROR(C133/B133-1),"",C133/B133-1)</f>
        <v/>
      </c>
      <c r="D135" s="170" t="str">
        <f>IF(ISERROR(D133/C133-1),"",D133/C133-1)</f>
        <v/>
      </c>
      <c r="E135" s="570" t="s">
        <v>22</v>
      </c>
      <c r="F135" s="571"/>
      <c r="G135" s="571"/>
      <c r="H135" s="571"/>
      <c r="I135" s="571"/>
      <c r="J135" s="579"/>
    </row>
    <row r="136" spans="1:15">
      <c r="A136" s="120" t="str">
        <f>Data!A23</f>
        <v>Other current assets (3)</v>
      </c>
      <c r="B136" s="464">
        <f>Data!E23</f>
        <v>0</v>
      </c>
      <c r="C136" s="464">
        <f>Data!F23</f>
        <v>0</v>
      </c>
      <c r="D136" s="464">
        <f>Data!G23</f>
        <v>0</v>
      </c>
      <c r="E136" s="574">
        <f>D136*(1+E137)</f>
        <v>0</v>
      </c>
      <c r="F136" s="574">
        <f t="shared" ref="F136" si="88">E136*(1+F137)</f>
        <v>0</v>
      </c>
      <c r="G136" s="574">
        <f t="shared" ref="G136" si="89">F136*(1+G137)</f>
        <v>0</v>
      </c>
      <c r="H136" s="574">
        <f t="shared" ref="H136" si="90">G136*(1+H137)</f>
        <v>0</v>
      </c>
      <c r="I136" s="574">
        <f t="shared" ref="I136" si="91">H136*(1+I137)</f>
        <v>0</v>
      </c>
      <c r="J136" s="574">
        <f>I136*$J$109</f>
        <v>0</v>
      </c>
    </row>
    <row r="137" spans="1:15">
      <c r="A137" s="107" t="s">
        <v>478</v>
      </c>
      <c r="B137" s="170">
        <f>B136/B$166</f>
        <v>0</v>
      </c>
      <c r="C137" s="170">
        <f>C136/C$166</f>
        <v>0</v>
      </c>
      <c r="D137" s="170">
        <f>D136/D$166</f>
        <v>0</v>
      </c>
      <c r="E137" s="578">
        <v>0</v>
      </c>
      <c r="F137" s="578">
        <v>0</v>
      </c>
      <c r="G137" s="578">
        <v>0</v>
      </c>
      <c r="H137" s="578">
        <v>0</v>
      </c>
      <c r="I137" s="578">
        <v>0</v>
      </c>
      <c r="J137" s="578">
        <v>0</v>
      </c>
    </row>
    <row r="138" spans="1:15">
      <c r="A138" s="107" t="s">
        <v>479</v>
      </c>
      <c r="B138" s="170"/>
      <c r="C138" s="170" t="str">
        <f>IF(ISERROR(C136/B136-1),"",C136/B136-1)</f>
        <v/>
      </c>
      <c r="D138" s="170" t="str">
        <f>IF(ISERROR(D136/C136-1),"",D136/C136-1)</f>
        <v/>
      </c>
      <c r="E138" s="570" t="s">
        <v>22</v>
      </c>
      <c r="F138" s="571"/>
      <c r="G138" s="571"/>
      <c r="H138" s="571"/>
      <c r="I138" s="571"/>
      <c r="J138" s="579"/>
    </row>
    <row r="139" spans="1:15">
      <c r="A139" s="172" t="str">
        <f>Data!A24</f>
        <v xml:space="preserve">  Current Assets</v>
      </c>
      <c r="B139" s="466">
        <f>B115+B118+B121+B124+B127+B130+B133+B136</f>
        <v>3600.6000000000004</v>
      </c>
      <c r="C139" s="466">
        <f t="shared" ref="C139:I139" si="92">C115+C118+C121+C124+C127+C130+C133+C136</f>
        <v>3810.3999999999996</v>
      </c>
      <c r="D139" s="466">
        <f t="shared" si="92"/>
        <v>4428.3</v>
      </c>
      <c r="E139" s="574">
        <f>E115+E118+E121+E124+E127+E130+E133+E136</f>
        <v>4575.1279999999997</v>
      </c>
      <c r="F139" s="574">
        <f t="shared" si="92"/>
        <v>4726.92</v>
      </c>
      <c r="G139" s="574">
        <f t="shared" si="92"/>
        <v>4883.8472864000005</v>
      </c>
      <c r="H139" s="574">
        <f t="shared" si="92"/>
        <v>5046.0871788480008</v>
      </c>
      <c r="I139" s="574">
        <f t="shared" si="92"/>
        <v>5213.8232470236799</v>
      </c>
      <c r="J139" s="574">
        <f>J115+J118+J121+J124+J127+J130+J133+J136</f>
        <v>5387.2455353570413</v>
      </c>
    </row>
    <row r="140" spans="1:15">
      <c r="A140" s="107" t="s">
        <v>478</v>
      </c>
      <c r="B140" s="170">
        <f>B139/B$166</f>
        <v>0.60830193779459696</v>
      </c>
      <c r="C140" s="170">
        <f>C139/C$166</f>
        <v>0.61181759794476565</v>
      </c>
      <c r="D140" s="170">
        <f>D139/D$166</f>
        <v>0.61005110967226428</v>
      </c>
      <c r="E140" s="587">
        <f t="shared" ref="E140:J140" si="93">E139/E166</f>
        <v>0.61076040488897176</v>
      </c>
      <c r="F140" s="587">
        <f t="shared" si="93"/>
        <v>0.61482051603707166</v>
      </c>
      <c r="G140" s="587">
        <f t="shared" si="93"/>
        <v>0.62148501142516355</v>
      </c>
      <c r="H140" s="587">
        <f t="shared" si="93"/>
        <v>0.63020456016941129</v>
      </c>
      <c r="I140" s="587">
        <f t="shared" si="93"/>
        <v>0.6762237009945542</v>
      </c>
      <c r="J140" s="587">
        <f t="shared" si="93"/>
        <v>0.67691562057693089</v>
      </c>
    </row>
    <row r="141" spans="1:15">
      <c r="A141" s="107" t="s">
        <v>479</v>
      </c>
      <c r="B141" s="170"/>
      <c r="C141" s="170">
        <f>IF(ISERROR(C139/B139-1),"",C139/B139-1)</f>
        <v>5.8268066433371901E-2</v>
      </c>
      <c r="D141" s="170">
        <f>IF(ISERROR(D139/C139-1),"",D139/C139-1)</f>
        <v>0.16216145286584105</v>
      </c>
      <c r="E141" s="568">
        <f t="shared" ref="E141:J141" si="94">IF(ISERROR(E139/D139-1),"",E139/D139-1)</f>
        <v>3.3156741864823758E-2</v>
      </c>
      <c r="F141" s="568">
        <f t="shared" si="94"/>
        <v>3.3177650985939611E-2</v>
      </c>
      <c r="G141" s="568">
        <f t="shared" si="94"/>
        <v>3.3198633867296268E-2</v>
      </c>
      <c r="H141" s="568">
        <f t="shared" si="94"/>
        <v>3.3219689915323203E-2</v>
      </c>
      <c r="I141" s="568">
        <f t="shared" si="94"/>
        <v>3.3240818525448468E-2</v>
      </c>
      <c r="J141" s="568">
        <f t="shared" si="94"/>
        <v>3.3262019082131333E-2</v>
      </c>
    </row>
    <row r="142" spans="1:15">
      <c r="A142" s="172" t="str">
        <f>Data!A25</f>
        <v>Long-term investments</v>
      </c>
      <c r="B142" s="303">
        <f>Data!E25</f>
        <v>440.8</v>
      </c>
      <c r="C142" s="497">
        <f>Data!F25</f>
        <v>45.5</v>
      </c>
      <c r="D142" s="303">
        <f>Data!G25</f>
        <v>0</v>
      </c>
      <c r="E142" s="574">
        <f>D142*(1+E143)</f>
        <v>0</v>
      </c>
      <c r="F142" s="574">
        <f t="shared" ref="F142" si="95">E142*(1+F143)</f>
        <v>0</v>
      </c>
      <c r="G142" s="574">
        <f t="shared" ref="G142" si="96">F142*(1+G143)</f>
        <v>0</v>
      </c>
      <c r="H142" s="574">
        <f t="shared" ref="H142" si="97">G142*(1+H143)</f>
        <v>0</v>
      </c>
      <c r="I142" s="574">
        <f t="shared" ref="I142" si="98">H142*(1+I143)</f>
        <v>0</v>
      </c>
      <c r="J142" s="574">
        <f>I142*$J$109</f>
        <v>0</v>
      </c>
      <c r="L142" s="184"/>
      <c r="M142" s="184"/>
      <c r="N142" s="184"/>
      <c r="O142" s="184"/>
    </row>
    <row r="143" spans="1:15">
      <c r="A143" s="107" t="s">
        <v>478</v>
      </c>
      <c r="B143" s="170">
        <f t="shared" ref="B143:C143" si="99">B142/B$166</f>
        <v>7.4470781030899949E-2</v>
      </c>
      <c r="C143" s="170">
        <f t="shared" si="99"/>
        <v>7.3057161207450236E-3</v>
      </c>
      <c r="D143" s="170">
        <f>D142/D$166</f>
        <v>0</v>
      </c>
      <c r="E143" s="578">
        <v>0</v>
      </c>
      <c r="F143" s="578">
        <v>0</v>
      </c>
      <c r="G143" s="578">
        <v>0</v>
      </c>
      <c r="H143" s="578">
        <v>0</v>
      </c>
      <c r="I143" s="578">
        <v>0</v>
      </c>
      <c r="J143" s="578">
        <v>0</v>
      </c>
    </row>
    <row r="144" spans="1:15">
      <c r="A144" s="107" t="s">
        <v>479</v>
      </c>
      <c r="B144" s="170" t="str">
        <f t="shared" ref="B144:C144" si="100">IF(ISERROR(B142/A142-1),"",B142/A142-1)</f>
        <v/>
      </c>
      <c r="C144" s="170">
        <f t="shared" si="100"/>
        <v>-0.89677858439201452</v>
      </c>
      <c r="D144" s="170">
        <f>IF(ISERROR(D142/C142-1),"",D142/C142-1)</f>
        <v>-1</v>
      </c>
      <c r="E144" s="570" t="s">
        <v>22</v>
      </c>
      <c r="F144" s="571"/>
      <c r="G144" s="571"/>
      <c r="H144" s="571"/>
      <c r="I144" s="571"/>
      <c r="J144" s="579"/>
    </row>
    <row r="145" spans="1:10">
      <c r="A145" s="172" t="str">
        <f>Data!A26</f>
        <v xml:space="preserve">Equity and cost investments </v>
      </c>
      <c r="B145" s="303">
        <f>Data!E26</f>
        <v>0</v>
      </c>
      <c r="C145" s="497">
        <f>Data!F26</f>
        <v>0</v>
      </c>
      <c r="D145" s="303">
        <f>Data!G26</f>
        <v>0</v>
      </c>
      <c r="E145" s="574">
        <f>D145*(1+E146)</f>
        <v>0</v>
      </c>
      <c r="F145" s="574">
        <f t="shared" ref="F145" si="101">E145*(1+F146)</f>
        <v>0</v>
      </c>
      <c r="G145" s="574">
        <f t="shared" ref="G145" si="102">F145*(1+G146)</f>
        <v>0</v>
      </c>
      <c r="H145" s="574">
        <f t="shared" ref="H145" si="103">G145*(1+H146)</f>
        <v>0</v>
      </c>
      <c r="I145" s="574">
        <f t="shared" ref="I145" si="104">H145*(1+I146)</f>
        <v>0</v>
      </c>
      <c r="J145" s="574">
        <f>I145*$J$109</f>
        <v>0</v>
      </c>
    </row>
    <row r="146" spans="1:10">
      <c r="A146" s="107" t="s">
        <v>478</v>
      </c>
      <c r="B146" s="170">
        <f t="shared" ref="B146:C146" si="105">B145/B$166</f>
        <v>0</v>
      </c>
      <c r="C146" s="170">
        <f t="shared" si="105"/>
        <v>0</v>
      </c>
      <c r="D146" s="170">
        <f>D145/D$166</f>
        <v>0</v>
      </c>
      <c r="E146" s="578">
        <v>0</v>
      </c>
      <c r="F146" s="578">
        <v>0</v>
      </c>
      <c r="G146" s="578">
        <v>0</v>
      </c>
      <c r="H146" s="578">
        <v>0</v>
      </c>
      <c r="I146" s="578">
        <v>0</v>
      </c>
      <c r="J146" s="578">
        <v>0</v>
      </c>
    </row>
    <row r="147" spans="1:10">
      <c r="A147" s="107" t="s">
        <v>479</v>
      </c>
      <c r="B147" s="170" t="str">
        <f t="shared" ref="B147:C147" si="106">IF(ISERROR(B145/A145-1),"",B145/A145-1)</f>
        <v/>
      </c>
      <c r="C147" s="170" t="str">
        <f t="shared" si="106"/>
        <v/>
      </c>
      <c r="D147" s="170" t="str">
        <f>IF(ISERROR(D145/C145-1),"",D145/C145-1)</f>
        <v/>
      </c>
      <c r="E147" s="570" t="s">
        <v>22</v>
      </c>
      <c r="F147" s="571"/>
      <c r="G147" s="571"/>
      <c r="H147" s="571"/>
      <c r="I147" s="571"/>
      <c r="J147" s="588"/>
    </row>
    <row r="148" spans="1:10">
      <c r="A148" s="172" t="str">
        <f>Data!A27</f>
        <v>Property, plant, and equipment - at cost</v>
      </c>
      <c r="B148" s="303">
        <f>Data!E27</f>
        <v>899.3</v>
      </c>
      <c r="C148" s="497">
        <f>Data!F27</f>
        <v>1178.7</v>
      </c>
      <c r="D148" s="303">
        <f>Data!G27</f>
        <v>1397.4</v>
      </c>
      <c r="E148" s="574">
        <f>'Forecast Development'!E69</f>
        <v>1566.9087122188132</v>
      </c>
      <c r="F148" s="574">
        <f>'Forecast Development'!F69</f>
        <v>1707.6887392549741</v>
      </c>
      <c r="G148" s="574">
        <f>'Forecast Development'!G69</f>
        <v>1824.6090777607524</v>
      </c>
      <c r="H148" s="574">
        <f>'Forecast Development'!H69</f>
        <v>1921.7135168215177</v>
      </c>
      <c r="I148" s="574">
        <f>'Forecast Development'!I69</f>
        <v>2002.3604958314174</v>
      </c>
      <c r="J148" s="574">
        <f>I148*$J$109</f>
        <v>2062.4313107063599</v>
      </c>
    </row>
    <row r="149" spans="1:10">
      <c r="A149" s="107" t="s">
        <v>478</v>
      </c>
      <c r="B149" s="170">
        <f t="shared" ref="B149:C149" si="107">B148/B$166</f>
        <v>0.15193188153604426</v>
      </c>
      <c r="C149" s="170">
        <f t="shared" si="107"/>
        <v>0.18925818882466286</v>
      </c>
      <c r="D149" s="170">
        <f>D148/D$166</f>
        <v>0.19250850679855072</v>
      </c>
      <c r="E149" s="568">
        <f t="shared" ref="E149:J149" si="108">E148/E$166</f>
        <v>0.20917574317020632</v>
      </c>
      <c r="F149" s="568">
        <f t="shared" si="108"/>
        <v>0.22211547305633256</v>
      </c>
      <c r="G149" s="568">
        <f t="shared" si="108"/>
        <v>0.23218727512146933</v>
      </c>
      <c r="H149" s="568">
        <f t="shared" si="108"/>
        <v>0.24000231837385727</v>
      </c>
      <c r="I149" s="568">
        <f t="shared" si="108"/>
        <v>0.25970263299381502</v>
      </c>
      <c r="J149" s="568">
        <f t="shared" si="108"/>
        <v>0.25914764074171015</v>
      </c>
    </row>
    <row r="150" spans="1:10">
      <c r="A150" s="107" t="s">
        <v>479</v>
      </c>
      <c r="B150" s="170" t="str">
        <f t="shared" ref="B150:C150" si="109">IF(ISERROR(B148/A148-1),"",B148/A148-1)</f>
        <v/>
      </c>
      <c r="C150" s="170">
        <f t="shared" si="109"/>
        <v>0.31068608918047391</v>
      </c>
      <c r="D150" s="170">
        <f>IF(ISERROR(D148/C148-1),"",D148/C148-1)</f>
        <v>0.18554339526597108</v>
      </c>
      <c r="E150" s="570" t="s">
        <v>158</v>
      </c>
      <c r="F150" s="571"/>
      <c r="G150" s="571"/>
      <c r="H150" s="571"/>
      <c r="I150" s="571"/>
      <c r="J150" s="584"/>
    </row>
    <row r="151" spans="1:10">
      <c r="A151" s="172" t="str">
        <f>Data!A28</f>
        <v>&lt;Accumulated depreciation&gt;</v>
      </c>
      <c r="B151" s="303">
        <f>Data!E28</f>
        <v>-211.7</v>
      </c>
      <c r="C151" s="497">
        <f>Data!F28</f>
        <v>-280.2</v>
      </c>
      <c r="D151" s="303">
        <f>Data!G28</f>
        <v>-353</v>
      </c>
      <c r="E151" s="574">
        <f>'Forecast Development'!E74</f>
        <v>-490.95073791049526</v>
      </c>
      <c r="F151" s="574">
        <f>'Forecast Development'!F74</f>
        <v>-641.29575792642174</v>
      </c>
      <c r="G151" s="574">
        <f>'Forecast Development'!G74</f>
        <v>-801.93445162470152</v>
      </c>
      <c r="H151" s="574">
        <f>'Forecast Development'!H74</f>
        <v>-971.12222601821122</v>
      </c>
      <c r="I151" s="574">
        <f>'Forecast Development'!I74</f>
        <v>-1576.6742622181127</v>
      </c>
      <c r="J151" s="574">
        <f>I151*$J$109</f>
        <v>-1623.9744900846563</v>
      </c>
    </row>
    <row r="152" spans="1:10">
      <c r="A152" s="107" t="s">
        <v>478</v>
      </c>
      <c r="B152" s="170">
        <f t="shared" ref="B152:C152" si="110">B151/B$166</f>
        <v>-3.576557246878747E-2</v>
      </c>
      <c r="C152" s="170">
        <f t="shared" si="110"/>
        <v>-4.4990366088631988E-2</v>
      </c>
      <c r="D152" s="170">
        <f>D151/D$166</f>
        <v>-4.8629957707090596E-2</v>
      </c>
      <c r="E152" s="568">
        <f t="shared" ref="E152:J152" si="111">E151/E$166</f>
        <v>-6.5539864997603031E-2</v>
      </c>
      <c r="F152" s="568">
        <f t="shared" si="111"/>
        <v>-8.3411986837244462E-2</v>
      </c>
      <c r="G152" s="568">
        <f t="shared" si="111"/>
        <v>-0.1020486949332081</v>
      </c>
      <c r="H152" s="568">
        <f t="shared" si="111"/>
        <v>-0.12128321085769758</v>
      </c>
      <c r="I152" s="568">
        <f t="shared" si="111"/>
        <v>-0.20449187752358572</v>
      </c>
      <c r="J152" s="568">
        <f t="shared" si="111"/>
        <v>-0.20405487229827998</v>
      </c>
    </row>
    <row r="153" spans="1:10">
      <c r="A153" s="107" t="s">
        <v>479</v>
      </c>
      <c r="B153" s="170" t="str">
        <f t="shared" ref="B153:C153" si="112">IF(ISERROR(B151/A151-1),"",B151/A151-1)</f>
        <v/>
      </c>
      <c r="C153" s="170">
        <f t="shared" si="112"/>
        <v>0.32357109116674532</v>
      </c>
      <c r="D153" s="170">
        <f>IF(ISERROR(D151/C151-1),"",D151/C151-1)</f>
        <v>0.2598144182726625</v>
      </c>
      <c r="E153" s="570" t="s">
        <v>159</v>
      </c>
      <c r="F153" s="571"/>
      <c r="G153" s="571"/>
      <c r="H153" s="571"/>
      <c r="I153" s="571"/>
      <c r="J153" s="584"/>
    </row>
    <row r="154" spans="1:10">
      <c r="A154" s="172" t="str">
        <f>Data!A29</f>
        <v>Deferred Tax assets</v>
      </c>
      <c r="B154" s="303">
        <f>Data!E29</f>
        <v>342.3</v>
      </c>
      <c r="C154" s="497">
        <f>Data!F29</f>
        <v>569.4</v>
      </c>
      <c r="D154" s="303">
        <f>Data!G29</f>
        <v>868.8</v>
      </c>
      <c r="E154" s="574">
        <f>D154*(1+E155)</f>
        <v>894.86400000000003</v>
      </c>
      <c r="F154" s="574">
        <f t="shared" ref="F154" si="113">E154*(1+F155)</f>
        <v>921.70992000000001</v>
      </c>
      <c r="G154" s="574">
        <f t="shared" ref="G154" si="114">F154*(1+G155)</f>
        <v>949.36121760000003</v>
      </c>
      <c r="H154" s="574">
        <f t="shared" ref="H154" si="115">G154*(1+H155)</f>
        <v>977.84205412800009</v>
      </c>
      <c r="I154" s="574">
        <f t="shared" ref="I154" si="116">H154*(1+I155)</f>
        <v>1007.1773157518401</v>
      </c>
      <c r="J154" s="574">
        <f>I154*$J$109</f>
        <v>1037.3926352243952</v>
      </c>
    </row>
    <row r="155" spans="1:10">
      <c r="A155" s="107" t="s">
        <v>478</v>
      </c>
      <c r="B155" s="170">
        <f t="shared" ref="B155:C155" si="117">B154/B$166</f>
        <v>5.7829737629031423E-2</v>
      </c>
      <c r="C155" s="170">
        <f t="shared" si="117"/>
        <v>9.1425818882466287E-2</v>
      </c>
      <c r="D155" s="170">
        <f>D154/D$166</f>
        <v>0.11968755596577992</v>
      </c>
      <c r="E155" s="572">
        <v>0.03</v>
      </c>
      <c r="F155" s="572">
        <v>0.03</v>
      </c>
      <c r="G155" s="572">
        <v>0.03</v>
      </c>
      <c r="H155" s="572">
        <v>0.03</v>
      </c>
      <c r="I155" s="572">
        <v>0.03</v>
      </c>
      <c r="J155" s="572">
        <v>0.03</v>
      </c>
    </row>
    <row r="156" spans="1:10">
      <c r="A156" s="107" t="s">
        <v>479</v>
      </c>
      <c r="B156" s="170" t="str">
        <f t="shared" ref="B156:C156" si="118">IF(ISERROR(B154/A154-1),"",B154/A154-1)</f>
        <v/>
      </c>
      <c r="C156" s="170">
        <f t="shared" si="118"/>
        <v>0.66345311130587192</v>
      </c>
      <c r="D156" s="170">
        <f>IF(ISERROR(D154/C154-1),"",D154/C154-1)</f>
        <v>0.52581664910432035</v>
      </c>
      <c r="E156" s="570" t="s">
        <v>22</v>
      </c>
      <c r="F156" s="571"/>
      <c r="G156" s="571"/>
      <c r="H156" s="571"/>
      <c r="I156" s="571"/>
      <c r="J156" s="584"/>
    </row>
    <row r="157" spans="1:10">
      <c r="A157" s="172" t="str">
        <f>Data!A30</f>
        <v>Other assets</v>
      </c>
      <c r="B157" s="303">
        <f>Data!E30</f>
        <v>659.1</v>
      </c>
      <c r="C157" s="303">
        <f>Data!F30</f>
        <v>720.2</v>
      </c>
      <c r="D157" s="303">
        <f>Data!G30</f>
        <v>755.6</v>
      </c>
      <c r="E157" s="574">
        <f>D157*(1+E158)</f>
        <v>778.26800000000003</v>
      </c>
      <c r="F157" s="574">
        <f t="shared" ref="F157:J157" si="119">E157*(1+F158)</f>
        <v>801.61604</v>
      </c>
      <c r="G157" s="574">
        <f t="shared" si="119"/>
        <v>825.66452119999997</v>
      </c>
      <c r="H157" s="574">
        <f t="shared" si="119"/>
        <v>850.43445683599998</v>
      </c>
      <c r="I157" s="574">
        <f t="shared" si="119"/>
        <v>875.94749054108001</v>
      </c>
      <c r="J157" s="574">
        <f t="shared" si="119"/>
        <v>902.22591525731241</v>
      </c>
    </row>
    <row r="158" spans="1:10">
      <c r="A158" s="107" t="s">
        <v>478</v>
      </c>
      <c r="B158" s="170">
        <f t="shared" ref="B158:C158" si="120">B157/B$166</f>
        <v>0.11135138787991414</v>
      </c>
      <c r="C158" s="170">
        <f t="shared" si="120"/>
        <v>0.11563904945407838</v>
      </c>
      <c r="D158" s="170">
        <f>D157/D$166</f>
        <v>0.1040929066387469</v>
      </c>
      <c r="E158" s="572">
        <v>0.03</v>
      </c>
      <c r="F158" s="572">
        <v>0.03</v>
      </c>
      <c r="G158" s="572">
        <v>0.03</v>
      </c>
      <c r="H158" s="572">
        <v>0.03</v>
      </c>
      <c r="I158" s="572">
        <v>0.03</v>
      </c>
      <c r="J158" s="572">
        <v>0.03</v>
      </c>
    </row>
    <row r="159" spans="1:10">
      <c r="A159" s="107" t="s">
        <v>479</v>
      </c>
      <c r="B159" s="170" t="str">
        <f t="shared" ref="B159:C159" si="121">IF(ISERROR(B157/A157-1),"",B157/A157-1)</f>
        <v/>
      </c>
      <c r="C159" s="170">
        <f t="shared" si="121"/>
        <v>9.2702169625246578E-2</v>
      </c>
      <c r="D159" s="170">
        <f>IF(ISERROR(D157/C157-1),"",D157/C157-1)</f>
        <v>4.9153013051929983E-2</v>
      </c>
      <c r="E159" s="570" t="s">
        <v>22</v>
      </c>
      <c r="F159" s="571"/>
      <c r="G159" s="571"/>
      <c r="H159" s="571"/>
      <c r="I159" s="571"/>
      <c r="J159" s="584"/>
    </row>
    <row r="160" spans="1:10">
      <c r="A160" s="172" t="str">
        <f>Data!A31</f>
        <v>Other intangible assets - Net</v>
      </c>
      <c r="B160" s="303">
        <f>Data!E31</f>
        <v>63.6</v>
      </c>
      <c r="C160" s="303">
        <f>Data!F31</f>
        <v>56</v>
      </c>
      <c r="D160" s="303">
        <f>Data!G31</f>
        <v>35.299999999999997</v>
      </c>
      <c r="E160" s="574">
        <f>D160*(1+E161)</f>
        <v>36.358999999999995</v>
      </c>
      <c r="F160" s="574">
        <f t="shared" ref="F160" si="122">E160*(1+F161)</f>
        <v>37.449769999999994</v>
      </c>
      <c r="G160" s="574">
        <f t="shared" ref="G160" si="123">F160*(1+G161)</f>
        <v>38.573263099999991</v>
      </c>
      <c r="H160" s="574">
        <f t="shared" ref="H160" si="124">G160*(1+H161)</f>
        <v>39.730460992999994</v>
      </c>
      <c r="I160" s="574">
        <f t="shared" ref="I160" si="125">H160*(1+I161)</f>
        <v>40.922374822789997</v>
      </c>
      <c r="J160" s="574">
        <f>I160*$J$109</f>
        <v>42.150046067473696</v>
      </c>
    </row>
    <row r="161" spans="1:12">
      <c r="A161" s="107" t="s">
        <v>478</v>
      </c>
      <c r="B161" s="170">
        <f t="shared" ref="B161:C161" si="126">B160/B$166</f>
        <v>1.074487675491206E-2</v>
      </c>
      <c r="C161" s="170">
        <f t="shared" si="126"/>
        <v>8.9916506101477209E-3</v>
      </c>
      <c r="D161" s="170">
        <f>D160/D$166</f>
        <v>4.8629957707090592E-3</v>
      </c>
      <c r="E161" s="572">
        <v>0.03</v>
      </c>
      <c r="F161" s="572">
        <v>0.03</v>
      </c>
      <c r="G161" s="572">
        <v>0.03</v>
      </c>
      <c r="H161" s="572">
        <v>0.03</v>
      </c>
      <c r="I161" s="572">
        <v>0.03</v>
      </c>
      <c r="J161" s="572">
        <v>0.03</v>
      </c>
    </row>
    <row r="162" spans="1:12">
      <c r="A162" s="107" t="s">
        <v>479</v>
      </c>
      <c r="B162" s="170" t="str">
        <f t="shared" ref="B162:C162" si="127">IF(ISERROR(B160/A160-1),"",B160/A160-1)</f>
        <v/>
      </c>
      <c r="C162" s="170">
        <f t="shared" si="127"/>
        <v>-0.11949685534591192</v>
      </c>
      <c r="D162" s="170">
        <f>IF(ISERROR(D160/C160-1),"",D160/C160-1)</f>
        <v>-0.36964285714285716</v>
      </c>
      <c r="E162" s="570" t="s">
        <v>22</v>
      </c>
      <c r="F162" s="571"/>
      <c r="G162" s="571"/>
      <c r="H162" s="571"/>
      <c r="I162" s="571"/>
      <c r="J162" s="584"/>
    </row>
    <row r="163" spans="1:12">
      <c r="A163" s="172" t="str">
        <f>Data!A32</f>
        <v xml:space="preserve">Goodwill </v>
      </c>
      <c r="B163" s="303">
        <f>Data!E32</f>
        <v>125.1</v>
      </c>
      <c r="C163" s="303">
        <f>Data!F32</f>
        <v>128</v>
      </c>
      <c r="D163" s="303">
        <f>Data!G32</f>
        <v>126.5</v>
      </c>
      <c r="E163" s="574">
        <f>D163*(1+E164)</f>
        <v>130.29500000000002</v>
      </c>
      <c r="F163" s="574">
        <f t="shared" ref="F163" si="128">E163*(1+F164)</f>
        <v>134.20385000000002</v>
      </c>
      <c r="G163" s="574">
        <f t="shared" ref="G163" si="129">F163*(1+G164)</f>
        <v>138.22996550000002</v>
      </c>
      <c r="H163" s="574">
        <f t="shared" ref="H163" si="130">G163*(1+H164)</f>
        <v>142.37686446500001</v>
      </c>
      <c r="I163" s="574">
        <f t="shared" ref="I163" si="131">H163*(1+I164)</f>
        <v>146.64817039895001</v>
      </c>
      <c r="J163" s="574">
        <f>I163*$J$109</f>
        <v>151.04761551091852</v>
      </c>
    </row>
    <row r="164" spans="1:12">
      <c r="A164" s="107" t="s">
        <v>478</v>
      </c>
      <c r="B164" s="170">
        <f>B163/B$166</f>
        <v>2.1134969843388345E-2</v>
      </c>
      <c r="C164" s="170">
        <f>C163/C$166</f>
        <v>2.0552344251766219E-2</v>
      </c>
      <c r="D164" s="170">
        <f>D163/D$166</f>
        <v>1.7426882861039546E-2</v>
      </c>
      <c r="E164" s="572">
        <f>3%</f>
        <v>0.03</v>
      </c>
      <c r="F164" s="572">
        <f>3%</f>
        <v>0.03</v>
      </c>
      <c r="G164" s="572">
        <f>3%</f>
        <v>0.03</v>
      </c>
      <c r="H164" s="572">
        <f>3%</f>
        <v>0.03</v>
      </c>
      <c r="I164" s="572">
        <f>3%</f>
        <v>0.03</v>
      </c>
      <c r="J164" s="572">
        <f>3%</f>
        <v>0.03</v>
      </c>
    </row>
    <row r="165" spans="1:12">
      <c r="A165" s="107" t="s">
        <v>479</v>
      </c>
      <c r="B165" s="170"/>
      <c r="C165" s="170">
        <f>IF(ISERROR(C163/B163-1),"",C163/B163-1)</f>
        <v>2.3181454836131099E-2</v>
      </c>
      <c r="D165" s="170">
        <f>IF(ISERROR(D163/C163-1),"",D163/C163-1)</f>
        <v>-1.171875E-2</v>
      </c>
      <c r="E165" s="570" t="s">
        <v>22</v>
      </c>
      <c r="F165" s="571"/>
      <c r="G165" s="571"/>
      <c r="H165" s="571"/>
      <c r="I165" s="571"/>
      <c r="J165" s="579"/>
    </row>
    <row r="166" spans="1:12" ht="13.5" thickBot="1">
      <c r="A166" s="172" t="str">
        <f>Data!A33</f>
        <v xml:space="preserve">   Total Assets</v>
      </c>
      <c r="B166" s="467">
        <f>B139+B142+B145+B148+B151+B154+B157+B160+B163</f>
        <v>5919.1000000000022</v>
      </c>
      <c r="C166" s="467">
        <f t="shared" ref="C166:J166" si="132">C139+C142+C145+C148+C151+C154+C157+C160+C163</f>
        <v>6227.9999999999991</v>
      </c>
      <c r="D166" s="467">
        <f t="shared" si="132"/>
        <v>7258.9000000000015</v>
      </c>
      <c r="E166" s="574">
        <f>E139+E142+E145+E148+E151+E154+E157+E160+E163</f>
        <v>7490.8719743083184</v>
      </c>
      <c r="F166" s="574">
        <f t="shared" si="132"/>
        <v>7688.2925613285524</v>
      </c>
      <c r="G166" s="574">
        <f t="shared" si="132"/>
        <v>7858.3508799360507</v>
      </c>
      <c r="H166" s="574">
        <f t="shared" si="132"/>
        <v>8007.0623060733078</v>
      </c>
      <c r="I166" s="574">
        <f t="shared" si="132"/>
        <v>7710.204832151644</v>
      </c>
      <c r="J166" s="574">
        <f t="shared" si="132"/>
        <v>7958.518568038844</v>
      </c>
    </row>
    <row r="167" spans="1:12" ht="13.5" thickTop="1">
      <c r="A167" s="107" t="s">
        <v>478</v>
      </c>
      <c r="B167" s="170">
        <f t="shared" ref="B167:J167" si="133">B166/B$166</f>
        <v>1</v>
      </c>
      <c r="C167" s="170">
        <f t="shared" si="133"/>
        <v>1</v>
      </c>
      <c r="D167" s="170">
        <f t="shared" si="133"/>
        <v>1</v>
      </c>
      <c r="E167" s="568">
        <f t="shared" si="133"/>
        <v>1</v>
      </c>
      <c r="F167" s="568">
        <f t="shared" si="133"/>
        <v>1</v>
      </c>
      <c r="G167" s="568">
        <f t="shared" si="133"/>
        <v>1</v>
      </c>
      <c r="H167" s="568">
        <f t="shared" si="133"/>
        <v>1</v>
      </c>
      <c r="I167" s="568">
        <f t="shared" si="133"/>
        <v>1</v>
      </c>
      <c r="J167" s="568">
        <f t="shared" si="133"/>
        <v>1</v>
      </c>
    </row>
    <row r="168" spans="1:12">
      <c r="A168" s="107" t="s">
        <v>479</v>
      </c>
      <c r="B168" s="170"/>
      <c r="C168" s="170">
        <f t="shared" ref="C168:J168" si="134">IF(ISERROR(C166/B166-1),"",C166/B166-1)</f>
        <v>5.2186987886671421E-2</v>
      </c>
      <c r="D168" s="170">
        <f t="shared" si="134"/>
        <v>0.16552665382145193</v>
      </c>
      <c r="E168" s="568">
        <f t="shared" si="134"/>
        <v>3.1956904532135288E-2</v>
      </c>
      <c r="F168" s="568">
        <f t="shared" si="134"/>
        <v>2.6354820599969297E-2</v>
      </c>
      <c r="G168" s="568">
        <f t="shared" si="134"/>
        <v>2.2119126873875405E-2</v>
      </c>
      <c r="H168" s="568">
        <f t="shared" si="134"/>
        <v>1.8923999247341783E-2</v>
      </c>
      <c r="I168" s="568">
        <f t="shared" si="134"/>
        <v>-3.7074455346313373E-2</v>
      </c>
      <c r="J168" s="568">
        <f t="shared" si="134"/>
        <v>3.220585461643366E-2</v>
      </c>
    </row>
    <row r="169" spans="1:12">
      <c r="A169" s="120"/>
      <c r="J169" s="183"/>
      <c r="L169" s="468"/>
    </row>
    <row r="170" spans="1:12">
      <c r="A170" s="120" t="s">
        <v>450</v>
      </c>
      <c r="J170" s="183"/>
    </row>
    <row r="171" spans="1:12">
      <c r="A171" s="172" t="str">
        <f>Data!A36</f>
        <v>Accounts payable</v>
      </c>
      <c r="B171" s="464">
        <f>Data!E36</f>
        <v>148.4</v>
      </c>
      <c r="C171" s="464">
        <f>Data!F36</f>
        <v>243.4</v>
      </c>
      <c r="D171" s="464">
        <f>Data!G36</f>
        <v>204.3</v>
      </c>
      <c r="E171" s="574">
        <f>D171*(1+E172)</f>
        <v>210.42900000000003</v>
      </c>
      <c r="F171" s="574">
        <f t="shared" ref="F171" si="135">E171*(1+F172)</f>
        <v>216.74187000000003</v>
      </c>
      <c r="G171" s="574">
        <f t="shared" ref="G171" si="136">F171*(1+G172)</f>
        <v>223.24412610000005</v>
      </c>
      <c r="H171" s="574">
        <f t="shared" ref="H171" si="137">G171*(1+H172)</f>
        <v>229.94144988300005</v>
      </c>
      <c r="I171" s="574">
        <f t="shared" ref="I171" si="138">H171*(1+I172)</f>
        <v>236.83969337949006</v>
      </c>
      <c r="J171" s="574">
        <f>I171*$J$109</f>
        <v>243.94488418087477</v>
      </c>
    </row>
    <row r="172" spans="1:12">
      <c r="A172" s="107" t="s">
        <v>478</v>
      </c>
      <c r="B172" s="170">
        <f>B171/B$166</f>
        <v>2.5071379094794809E-2</v>
      </c>
      <c r="C172" s="170">
        <f>C171/C$166</f>
        <v>3.9081567116249202E-2</v>
      </c>
      <c r="D172" s="170">
        <f>D171/D$166</f>
        <v>2.8144760225378498E-2</v>
      </c>
      <c r="E172" s="572">
        <v>0.03</v>
      </c>
      <c r="F172" s="572">
        <v>0.03</v>
      </c>
      <c r="G172" s="572">
        <v>0.03</v>
      </c>
      <c r="H172" s="572">
        <v>0.03</v>
      </c>
      <c r="I172" s="572">
        <v>0.03</v>
      </c>
      <c r="J172" s="572">
        <v>0.03</v>
      </c>
    </row>
    <row r="173" spans="1:12">
      <c r="A173" s="107" t="s">
        <v>479</v>
      </c>
      <c r="B173" s="170"/>
      <c r="C173" s="170">
        <f>IF(ISERROR(C171/B171-1),"",C171/B171-1)</f>
        <v>0.64016172506738545</v>
      </c>
      <c r="D173" s="170">
        <f>IF(ISERROR(D171/C171-1),"",D171/C171-1)</f>
        <v>-0.16064092029580934</v>
      </c>
      <c r="E173" s="570" t="s">
        <v>22</v>
      </c>
      <c r="F173" s="571"/>
      <c r="G173" s="571"/>
      <c r="H173" s="571"/>
      <c r="I173" s="571"/>
      <c r="J173" s="584"/>
    </row>
    <row r="174" spans="1:12">
      <c r="A174" s="172" t="str">
        <f>Data!A37</f>
        <v>Accrued liabilities</v>
      </c>
      <c r="B174" s="464">
        <f>Data!E37</f>
        <v>197.3</v>
      </c>
      <c r="C174" s="464">
        <f>Data!F37</f>
        <v>266.3</v>
      </c>
      <c r="D174" s="464">
        <f>Data!G37</f>
        <v>423.7</v>
      </c>
      <c r="E174" s="574">
        <f>D174*(1+E175)</f>
        <v>436.411</v>
      </c>
      <c r="F174" s="574">
        <f t="shared" ref="F174" si="139">E174*(1+F175)</f>
        <v>449.50333000000001</v>
      </c>
      <c r="G174" s="574">
        <f t="shared" ref="G174" si="140">F174*(1+G175)</f>
        <v>462.98842990000003</v>
      </c>
      <c r="H174" s="574">
        <f t="shared" ref="H174" si="141">G174*(1+H175)</f>
        <v>476.87808279700005</v>
      </c>
      <c r="I174" s="574">
        <f t="shared" ref="I174" si="142">H174*(1+I175)</f>
        <v>491.18442528091003</v>
      </c>
      <c r="J174" s="574">
        <f>I174*$J$109</f>
        <v>505.91995803933736</v>
      </c>
    </row>
    <row r="175" spans="1:12">
      <c r="A175" s="107" t="s">
        <v>478</v>
      </c>
      <c r="B175" s="170">
        <f>B174/B$166</f>
        <v>3.3332770184656441E-2</v>
      </c>
      <c r="C175" s="170">
        <f>C174/C$166</f>
        <v>4.2758509955041754E-2</v>
      </c>
      <c r="D175" s="170">
        <f>D174/D$166</f>
        <v>5.8369725440493722E-2</v>
      </c>
      <c r="E175" s="572">
        <v>0.03</v>
      </c>
      <c r="F175" s="572">
        <v>0.03</v>
      </c>
      <c r="G175" s="572">
        <v>0.03</v>
      </c>
      <c r="H175" s="572">
        <v>0.03</v>
      </c>
      <c r="I175" s="572">
        <v>0.03</v>
      </c>
      <c r="J175" s="572">
        <v>0.03</v>
      </c>
    </row>
    <row r="176" spans="1:12">
      <c r="A176" s="107" t="s">
        <v>479</v>
      </c>
      <c r="B176" s="170"/>
      <c r="C176" s="170">
        <f>IF(ISERROR(C174/B174-1),"",C174/B174-1)</f>
        <v>0.34972123669538768</v>
      </c>
      <c r="D176" s="170">
        <f>IF(ISERROR(D174/C174-1),"",D174/C174-1)</f>
        <v>0.5910627112279383</v>
      </c>
      <c r="E176" s="570" t="s">
        <v>22</v>
      </c>
      <c r="F176" s="571"/>
      <c r="G176" s="571"/>
      <c r="H176" s="571"/>
      <c r="I176" s="571"/>
      <c r="J176" s="584"/>
    </row>
    <row r="177" spans="1:10">
      <c r="A177" s="172" t="str">
        <f>Data!A38</f>
        <v>Notes payable and short-term debt</v>
      </c>
      <c r="B177" s="464">
        <f>Data!E38</f>
        <v>0</v>
      </c>
      <c r="C177" s="464">
        <f>Data!F38</f>
        <v>0</v>
      </c>
      <c r="D177" s="464">
        <f>Data!G38</f>
        <v>0</v>
      </c>
      <c r="E177" s="574">
        <f>D177*(1+E178)</f>
        <v>0</v>
      </c>
      <c r="F177" s="574">
        <f t="shared" ref="F177" si="143">E177*(1+F178)</f>
        <v>0</v>
      </c>
      <c r="G177" s="574">
        <f t="shared" ref="G177" si="144">F177*(1+G178)</f>
        <v>0</v>
      </c>
      <c r="H177" s="574">
        <f t="shared" ref="H177" si="145">G177*(1+H178)</f>
        <v>0</v>
      </c>
      <c r="I177" s="574">
        <f t="shared" ref="I177" si="146">H177*(1+I178)</f>
        <v>0</v>
      </c>
      <c r="J177" s="574">
        <f>I177*$J$109</f>
        <v>0</v>
      </c>
    </row>
    <row r="178" spans="1:10">
      <c r="A178" s="107" t="s">
        <v>478</v>
      </c>
      <c r="B178" s="170">
        <f>B177/B$166</f>
        <v>0</v>
      </c>
      <c r="C178" s="170">
        <f>C177/C$166</f>
        <v>0</v>
      </c>
      <c r="D178" s="170">
        <f>D177/D$166</f>
        <v>0</v>
      </c>
      <c r="E178" s="578">
        <v>0</v>
      </c>
      <c r="F178" s="578">
        <v>0</v>
      </c>
      <c r="G178" s="578">
        <v>0</v>
      </c>
      <c r="H178" s="578">
        <v>0</v>
      </c>
      <c r="I178" s="578">
        <v>0</v>
      </c>
      <c r="J178" s="578">
        <v>0</v>
      </c>
    </row>
    <row r="179" spans="1:10">
      <c r="A179" s="107" t="s">
        <v>479</v>
      </c>
      <c r="B179" s="170"/>
      <c r="C179" s="170" t="str">
        <f>IF(ISERROR(C177/B177-1),"",C177/B177-1)</f>
        <v/>
      </c>
      <c r="D179" s="170" t="str">
        <f>IF(ISERROR(D177/C177-1),"",D177/C177-1)</f>
        <v/>
      </c>
      <c r="E179" s="570" t="s">
        <v>22</v>
      </c>
      <c r="F179" s="571"/>
      <c r="G179" s="571"/>
      <c r="H179" s="571"/>
      <c r="I179" s="571"/>
      <c r="J179" s="579"/>
    </row>
    <row r="180" spans="1:10">
      <c r="A180" s="120" t="str">
        <f>Data!A39</f>
        <v>Current maturities of long-term debt</v>
      </c>
      <c r="B180" s="464">
        <f>Data!E39</f>
        <v>0</v>
      </c>
      <c r="C180" s="464">
        <f>Data!F39</f>
        <v>0</v>
      </c>
      <c r="D180" s="464">
        <f>Data!G39</f>
        <v>0</v>
      </c>
      <c r="E180" s="574">
        <f>E181</f>
        <v>0</v>
      </c>
      <c r="F180" s="574">
        <f t="shared" ref="F180:I180" si="147">F181</f>
        <v>0</v>
      </c>
      <c r="G180" s="574">
        <f t="shared" si="147"/>
        <v>0</v>
      </c>
      <c r="H180" s="574">
        <f t="shared" si="147"/>
        <v>0</v>
      </c>
      <c r="I180" s="574">
        <f t="shared" si="147"/>
        <v>0</v>
      </c>
      <c r="J180" s="574">
        <f>I180*$J$109</f>
        <v>0</v>
      </c>
    </row>
    <row r="181" spans="1:10">
      <c r="A181" s="107" t="s">
        <v>478</v>
      </c>
      <c r="B181" s="170">
        <f>B180/B$166</f>
        <v>0</v>
      </c>
      <c r="C181" s="170">
        <f>C180/C$166</f>
        <v>0</v>
      </c>
      <c r="D181" s="170">
        <f>D180/D$166</f>
        <v>0</v>
      </c>
      <c r="E181" s="572">
        <v>0</v>
      </c>
      <c r="F181" s="572">
        <v>0</v>
      </c>
      <c r="G181" s="572">
        <v>0</v>
      </c>
      <c r="H181" s="572">
        <v>0</v>
      </c>
      <c r="I181" s="572">
        <v>0</v>
      </c>
      <c r="J181" s="572">
        <v>0</v>
      </c>
    </row>
    <row r="182" spans="1:10">
      <c r="A182" s="107" t="s">
        <v>479</v>
      </c>
      <c r="B182" s="170"/>
      <c r="C182" s="170" t="str">
        <f>IF(ISERROR(C180/B180-1),"",C180/B180-1)</f>
        <v/>
      </c>
      <c r="D182" s="170" t="str">
        <f>IF(ISERROR(D180/C180-1),"",D180/C180-1)</f>
        <v/>
      </c>
      <c r="E182" s="570" t="s">
        <v>771</v>
      </c>
      <c r="F182" s="571"/>
      <c r="G182" s="571"/>
      <c r="H182" s="571"/>
      <c r="I182" s="571"/>
      <c r="J182" s="589"/>
    </row>
    <row r="183" spans="1:10">
      <c r="A183" s="172" t="str">
        <f>Data!A40</f>
        <v>Deferred tax liabilities - current</v>
      </c>
      <c r="B183" s="464">
        <f>Data!E40</f>
        <v>0</v>
      </c>
      <c r="C183" s="464">
        <f>Data!F40</f>
        <v>0</v>
      </c>
      <c r="D183" s="464">
        <f>Data!G40</f>
        <v>0</v>
      </c>
      <c r="E183" s="574">
        <f>D183*(1+E184)</f>
        <v>0</v>
      </c>
      <c r="F183" s="574">
        <f t="shared" ref="F183" si="148">E183*(1+F184)</f>
        <v>0</v>
      </c>
      <c r="G183" s="574">
        <f t="shared" ref="G183" si="149">F183*(1+G184)</f>
        <v>0</v>
      </c>
      <c r="H183" s="574">
        <f t="shared" ref="H183" si="150">G183*(1+H184)</f>
        <v>0</v>
      </c>
      <c r="I183" s="574">
        <f t="shared" ref="I183" si="151">H183*(1+I184)</f>
        <v>0</v>
      </c>
      <c r="J183" s="574">
        <f>I183*$J$109</f>
        <v>0</v>
      </c>
    </row>
    <row r="184" spans="1:10">
      <c r="A184" s="107" t="s">
        <v>478</v>
      </c>
      <c r="B184" s="170">
        <f>B183/B$166</f>
        <v>0</v>
      </c>
      <c r="C184" s="170">
        <f>C183/C$166</f>
        <v>0</v>
      </c>
      <c r="D184" s="170">
        <f>D183/D$166</f>
        <v>0</v>
      </c>
      <c r="E184" s="578">
        <v>0</v>
      </c>
      <c r="F184" s="578">
        <v>0</v>
      </c>
      <c r="G184" s="578">
        <v>0</v>
      </c>
      <c r="H184" s="578">
        <v>0</v>
      </c>
      <c r="I184" s="578">
        <v>0</v>
      </c>
      <c r="J184" s="578">
        <v>0</v>
      </c>
    </row>
    <row r="185" spans="1:10">
      <c r="A185" s="107" t="s">
        <v>479</v>
      </c>
      <c r="B185" s="170"/>
      <c r="C185" s="170" t="str">
        <f>IF(ISERROR(C183/B183-1),"",C183/B183-1)</f>
        <v/>
      </c>
      <c r="D185" s="170" t="str">
        <f>IF(ISERROR(D183/C183-1),"",D183/C183-1)</f>
        <v/>
      </c>
      <c r="E185" s="570" t="s">
        <v>22</v>
      </c>
      <c r="F185" s="571"/>
      <c r="G185" s="571"/>
      <c r="H185" s="571"/>
      <c r="I185" s="571"/>
      <c r="J185" s="579"/>
    </row>
    <row r="186" spans="1:10">
      <c r="A186" s="172" t="str">
        <f>Data!A41</f>
        <v>Accrued payroll and compensation</v>
      </c>
      <c r="B186" s="464">
        <f>Data!E41</f>
        <v>195</v>
      </c>
      <c r="C186" s="464">
        <f>Data!F41</f>
        <v>219.4</v>
      </c>
      <c r="D186" s="464">
        <f>Data!G41</f>
        <v>242.3</v>
      </c>
      <c r="E186" s="574">
        <f>D186*(1+E187)</f>
        <v>249.56900000000002</v>
      </c>
      <c r="F186" s="574">
        <f t="shared" ref="F186" si="152">E186*(1+F187)</f>
        <v>257.05607000000003</v>
      </c>
      <c r="G186" s="574">
        <f t="shared" ref="G186" si="153">F186*(1+G187)</f>
        <v>264.76775210000005</v>
      </c>
      <c r="H186" s="574">
        <f t="shared" ref="H186" si="154">G186*(1+H187)</f>
        <v>272.71078466300008</v>
      </c>
      <c r="I186" s="574">
        <f t="shared" ref="I186" si="155">H186*(1+I187)</f>
        <v>280.89210820289009</v>
      </c>
      <c r="J186" s="574">
        <f>I186*$J$109</f>
        <v>289.31887144897678</v>
      </c>
    </row>
    <row r="187" spans="1:10">
      <c r="A187" s="107" t="s">
        <v>478</v>
      </c>
      <c r="B187" s="170">
        <f>B186/B$166</f>
        <v>3.2944197597607736E-2</v>
      </c>
      <c r="C187" s="170">
        <f>C186/C$166</f>
        <v>3.5228002569043036E-2</v>
      </c>
      <c r="D187" s="170">
        <f>D186/D$166</f>
        <v>3.3379713179682864E-2</v>
      </c>
      <c r="E187" s="572">
        <v>0.03</v>
      </c>
      <c r="F187" s="572">
        <v>0.03</v>
      </c>
      <c r="G187" s="572">
        <v>0.03</v>
      </c>
      <c r="H187" s="572">
        <v>0.03</v>
      </c>
      <c r="I187" s="572">
        <v>0.03</v>
      </c>
      <c r="J187" s="572">
        <v>0.03</v>
      </c>
    </row>
    <row r="188" spans="1:10">
      <c r="A188" s="107" t="s">
        <v>479</v>
      </c>
      <c r="B188" s="170"/>
      <c r="C188" s="170">
        <f>IF(ISERROR(C186/B186-1),"",C186/B186-1)</f>
        <v>0.12512820512820522</v>
      </c>
      <c r="D188" s="170">
        <f>IF(ISERROR(D186/C186-1),"",D186/C186-1)</f>
        <v>0.10437556973564277</v>
      </c>
      <c r="E188" s="570" t="s">
        <v>22</v>
      </c>
      <c r="F188" s="571"/>
      <c r="G188" s="571"/>
      <c r="H188" s="571"/>
      <c r="I188" s="571"/>
      <c r="J188" s="579"/>
    </row>
    <row r="189" spans="1:10">
      <c r="A189" s="172" t="str">
        <f>Data!A42</f>
        <v>Income taxes payable</v>
      </c>
      <c r="B189" s="464">
        <f>Data!E42</f>
        <v>0</v>
      </c>
      <c r="C189" s="464">
        <f>Data!F42</f>
        <v>0</v>
      </c>
      <c r="D189" s="464">
        <f>Data!G42</f>
        <v>0</v>
      </c>
      <c r="E189" s="574">
        <f>D189*(1+E190)</f>
        <v>0</v>
      </c>
      <c r="F189" s="574">
        <f t="shared" ref="F189" si="156">E189*(1+F190)</f>
        <v>0</v>
      </c>
      <c r="G189" s="574">
        <f t="shared" ref="G189" si="157">F189*(1+G190)</f>
        <v>0</v>
      </c>
      <c r="H189" s="574">
        <f t="shared" ref="H189" si="158">G189*(1+H190)</f>
        <v>0</v>
      </c>
      <c r="I189" s="574">
        <f t="shared" ref="I189" si="159">H189*(1+I190)</f>
        <v>0</v>
      </c>
      <c r="J189" s="574">
        <f>I189*$J$109</f>
        <v>0</v>
      </c>
    </row>
    <row r="190" spans="1:10">
      <c r="A190" s="107" t="s">
        <v>478</v>
      </c>
      <c r="B190" s="170">
        <f>B189/B$166</f>
        <v>0</v>
      </c>
      <c r="C190" s="170">
        <f>C189/C$166</f>
        <v>0</v>
      </c>
      <c r="D190" s="170">
        <f>D189/D$166</f>
        <v>0</v>
      </c>
      <c r="E190" s="578">
        <v>0</v>
      </c>
      <c r="F190" s="578">
        <v>0</v>
      </c>
      <c r="G190" s="578">
        <v>0</v>
      </c>
      <c r="H190" s="578">
        <v>0</v>
      </c>
      <c r="I190" s="578">
        <v>0</v>
      </c>
      <c r="J190" s="578">
        <v>0</v>
      </c>
    </row>
    <row r="191" spans="1:10">
      <c r="A191" s="107" t="s">
        <v>479</v>
      </c>
      <c r="B191" s="170"/>
      <c r="C191" s="170" t="str">
        <f>IF(ISERROR(C189/B189-1),"",C189/B189-1)</f>
        <v/>
      </c>
      <c r="D191" s="170" t="str">
        <f>IF(ISERROR(D189/C189-1),"",D189/C189-1)</f>
        <v/>
      </c>
      <c r="E191" s="570" t="s">
        <v>22</v>
      </c>
      <c r="F191" s="571"/>
      <c r="G191" s="571"/>
      <c r="H191" s="571"/>
      <c r="I191" s="571"/>
      <c r="J191" s="579"/>
    </row>
    <row r="192" spans="1:10">
      <c r="A192" s="172" t="str">
        <f>Data!A43</f>
        <v>Deferred revenue - current</v>
      </c>
      <c r="B192" s="464">
        <f>Data!E43</f>
        <v>1777.4</v>
      </c>
      <c r="C192" s="464">
        <f>Data!F43</f>
        <v>2349.3000000000002</v>
      </c>
      <c r="D192" s="464">
        <f>Data!G43</f>
        <v>2848.7</v>
      </c>
      <c r="E192" s="574">
        <f>D192*(1+E193)</f>
        <v>2934.1610000000001</v>
      </c>
      <c r="F192" s="574">
        <f t="shared" ref="F192" si="160">E192*(1+F193)</f>
        <v>3022.1858300000004</v>
      </c>
      <c r="G192" s="574">
        <f t="shared" ref="G192" si="161">F192*(1+G193)</f>
        <v>3112.8514049000005</v>
      </c>
      <c r="H192" s="574">
        <f t="shared" ref="H192" si="162">G192*(1+H193)</f>
        <v>3206.2369470470007</v>
      </c>
      <c r="I192" s="574">
        <f t="shared" ref="I192" si="163">H192*(1+I193)</f>
        <v>3302.4240554584107</v>
      </c>
      <c r="J192" s="574">
        <f>I192*$J$109</f>
        <v>3401.4967771221632</v>
      </c>
    </row>
    <row r="193" spans="1:10">
      <c r="A193" s="107" t="s">
        <v>478</v>
      </c>
      <c r="B193" s="170">
        <f>B192/B$166</f>
        <v>0.30028213748711791</v>
      </c>
      <c r="C193" s="170">
        <f>C192/C$166</f>
        <v>0.37721579961464363</v>
      </c>
      <c r="D193" s="170">
        <f>D192/D$166</f>
        <v>0.39244238107702256</v>
      </c>
      <c r="E193" s="572">
        <v>0.03</v>
      </c>
      <c r="F193" s="572">
        <v>0.03</v>
      </c>
      <c r="G193" s="572">
        <v>0.03</v>
      </c>
      <c r="H193" s="572">
        <v>0.03</v>
      </c>
      <c r="I193" s="572">
        <v>0.03</v>
      </c>
      <c r="J193" s="572">
        <v>0.03</v>
      </c>
    </row>
    <row r="194" spans="1:10">
      <c r="A194" s="107" t="s">
        <v>479</v>
      </c>
      <c r="B194" s="170"/>
      <c r="C194" s="170">
        <f>IF(ISERROR(C192/B192-1),"",C192/B192-1)</f>
        <v>0.32176212445144592</v>
      </c>
      <c r="D194" s="170">
        <f>IF(ISERROR(D192/C192-1),"",D192/C192-1)</f>
        <v>0.21257395820031477</v>
      </c>
      <c r="E194" s="570" t="s">
        <v>22</v>
      </c>
      <c r="F194" s="571"/>
      <c r="G194" s="571"/>
      <c r="H194" s="571"/>
      <c r="I194" s="571"/>
      <c r="J194" s="579"/>
    </row>
    <row r="195" spans="1:10">
      <c r="A195" s="172" t="str">
        <f>Data!A44</f>
        <v xml:space="preserve">  Current Liabilities</v>
      </c>
      <c r="B195" s="466">
        <f>B171+B174+B177+B180+B183+B186+B189+B192</f>
        <v>2318.1000000000004</v>
      </c>
      <c r="C195" s="466">
        <f t="shared" ref="C195:I195" si="164">C171+C174+C177+C180+C183+C186+C189+C192</f>
        <v>3078.4</v>
      </c>
      <c r="D195" s="466">
        <f t="shared" si="164"/>
        <v>3719</v>
      </c>
      <c r="E195" s="574">
        <f>E171+E174+E177+E180+E183+E186+E189+E192</f>
        <v>3830.57</v>
      </c>
      <c r="F195" s="574">
        <f t="shared" si="164"/>
        <v>3945.4871000000003</v>
      </c>
      <c r="G195" s="574">
        <f t="shared" si="164"/>
        <v>4063.8517130000005</v>
      </c>
      <c r="H195" s="574">
        <f t="shared" si="164"/>
        <v>4185.7672643900005</v>
      </c>
      <c r="I195" s="574">
        <f t="shared" si="164"/>
        <v>4311.3402823217011</v>
      </c>
      <c r="J195" s="574">
        <f>J171+J174+J177+J180+J183+J186+J189+J192</f>
        <v>4440.680490791352</v>
      </c>
    </row>
    <row r="196" spans="1:10">
      <c r="A196" s="107" t="s">
        <v>478</v>
      </c>
      <c r="B196" s="170">
        <f t="shared" ref="B196:J196" si="165">B195/B$166</f>
        <v>0.39163048436417691</v>
      </c>
      <c r="C196" s="170">
        <f t="shared" si="165"/>
        <v>0.49428387925497763</v>
      </c>
      <c r="D196" s="170">
        <f t="shared" si="165"/>
        <v>0.51233657992257775</v>
      </c>
      <c r="E196" s="568">
        <f t="shared" si="165"/>
        <v>0.51136503375545972</v>
      </c>
      <c r="F196" s="568">
        <f t="shared" si="165"/>
        <v>0.51318118665846035</v>
      </c>
      <c r="G196" s="568">
        <f t="shared" si="165"/>
        <v>0.51713798163121361</v>
      </c>
      <c r="H196" s="568">
        <f t="shared" si="165"/>
        <v>0.52275942216849258</v>
      </c>
      <c r="I196" s="568">
        <f t="shared" si="165"/>
        <v>0.55917324846460137</v>
      </c>
      <c r="J196" s="568">
        <f t="shared" si="165"/>
        <v>0.55797827859885663</v>
      </c>
    </row>
    <row r="197" spans="1:10">
      <c r="A197" s="107" t="s">
        <v>479</v>
      </c>
      <c r="B197" s="170"/>
      <c r="C197" s="170">
        <f t="shared" ref="C197:J197" si="166">IF(ISERROR(C195/B195-1),"",C195/B195-1)</f>
        <v>0.32798412492989937</v>
      </c>
      <c r="D197" s="170">
        <f t="shared" si="166"/>
        <v>0.20809511434511441</v>
      </c>
      <c r="E197" s="568">
        <f t="shared" si="166"/>
        <v>3.0000000000000027E-2</v>
      </c>
      <c r="F197" s="568">
        <f t="shared" si="166"/>
        <v>3.0000000000000027E-2</v>
      </c>
      <c r="G197" s="568">
        <f t="shared" si="166"/>
        <v>3.0000000000000027E-2</v>
      </c>
      <c r="H197" s="568">
        <f t="shared" si="166"/>
        <v>3.0000000000000027E-2</v>
      </c>
      <c r="I197" s="568">
        <f t="shared" si="166"/>
        <v>3.0000000000000249E-2</v>
      </c>
      <c r="J197" s="568">
        <f t="shared" si="166"/>
        <v>3.0000000000000027E-2</v>
      </c>
    </row>
    <row r="198" spans="1:10">
      <c r="A198" s="120" t="str">
        <f>Data!A45</f>
        <v xml:space="preserve">Long-term debt </v>
      </c>
      <c r="B198" s="464">
        <f>Data!E45</f>
        <v>988.4</v>
      </c>
      <c r="C198" s="464">
        <f>Data!F45</f>
        <v>990.4</v>
      </c>
      <c r="D198" s="464">
        <f>Data!G45</f>
        <v>992.3</v>
      </c>
      <c r="E198" s="574">
        <f>D198*(1+E199)</f>
        <v>1041.915</v>
      </c>
      <c r="F198" s="574">
        <f t="shared" ref="F198" si="167">E198*(1+F199)</f>
        <v>1094.0107499999999</v>
      </c>
      <c r="G198" s="574">
        <f t="shared" ref="G198" si="168">F198*(1+G199)</f>
        <v>1148.7112875</v>
      </c>
      <c r="H198" s="574">
        <f t="shared" ref="H198" si="169">G198*(1+H199)</f>
        <v>1206.146851875</v>
      </c>
      <c r="I198" s="574">
        <f t="shared" ref="I198" si="170">H198*(1+I199)</f>
        <v>1266.4541944687501</v>
      </c>
      <c r="J198" s="574">
        <f>I198*$J$109</f>
        <v>1304.4478203028127</v>
      </c>
    </row>
    <row r="199" spans="1:10">
      <c r="A199" s="107" t="s">
        <v>478</v>
      </c>
      <c r="B199" s="170">
        <f>B198/B$166</f>
        <v>0.16698484566910504</v>
      </c>
      <c r="C199" s="170">
        <f>C198/C$166</f>
        <v>0.15902376364804113</v>
      </c>
      <c r="D199" s="170">
        <f>D198/D$166</f>
        <v>0.1367011530672691</v>
      </c>
      <c r="E199" s="572">
        <v>0.05</v>
      </c>
      <c r="F199" s="572">
        <v>0.05</v>
      </c>
      <c r="G199" s="572">
        <v>0.05</v>
      </c>
      <c r="H199" s="572">
        <v>0.05</v>
      </c>
      <c r="I199" s="572">
        <v>0.05</v>
      </c>
      <c r="J199" s="572">
        <v>0.05</v>
      </c>
    </row>
    <row r="200" spans="1:10">
      <c r="A200" s="107" t="s">
        <v>479</v>
      </c>
      <c r="B200" s="170"/>
      <c r="C200" s="170">
        <f>IF(ISERROR(C198/B198-1),"",C198/B198-1)</f>
        <v>2.0234722784298054E-3</v>
      </c>
      <c r="D200" s="170">
        <f>IF(ISERROR(D198/C198-1),"",D198/C198-1)</f>
        <v>1.9184168012924552E-3</v>
      </c>
      <c r="E200" s="570" t="s">
        <v>981</v>
      </c>
      <c r="F200" s="571"/>
      <c r="G200" s="571"/>
      <c r="H200" s="571"/>
      <c r="I200" s="571"/>
      <c r="J200" s="584"/>
    </row>
    <row r="201" spans="1:10">
      <c r="A201" s="172" t="str">
        <f>Data!A46</f>
        <v>Long-term accrued liabilities</v>
      </c>
      <c r="B201" s="464">
        <f>Data!E46</f>
        <v>0</v>
      </c>
      <c r="C201" s="464">
        <f>Data!F46</f>
        <v>0</v>
      </c>
      <c r="D201" s="464">
        <f>Data!G46</f>
        <v>0</v>
      </c>
      <c r="E201" s="574">
        <f>D201*(1+E202)</f>
        <v>0</v>
      </c>
      <c r="F201" s="574">
        <f t="shared" ref="F201" si="171">E201*(1+F202)</f>
        <v>0</v>
      </c>
      <c r="G201" s="574">
        <f t="shared" ref="G201" si="172">F201*(1+G202)</f>
        <v>0</v>
      </c>
      <c r="H201" s="574">
        <f t="shared" ref="H201" si="173">G201*(1+H202)</f>
        <v>0</v>
      </c>
      <c r="I201" s="574">
        <f t="shared" ref="I201" si="174">H201*(1+I202)</f>
        <v>0</v>
      </c>
      <c r="J201" s="574">
        <f>I201*$J$109</f>
        <v>0</v>
      </c>
    </row>
    <row r="202" spans="1:10">
      <c r="A202" s="107" t="s">
        <v>478</v>
      </c>
      <c r="B202" s="170">
        <f>B201/B$166</f>
        <v>0</v>
      </c>
      <c r="C202" s="170">
        <f>C201/C$166</f>
        <v>0</v>
      </c>
      <c r="D202" s="170">
        <f>D201/D$166</f>
        <v>0</v>
      </c>
      <c r="E202" s="578">
        <v>0</v>
      </c>
      <c r="F202" s="578">
        <v>0</v>
      </c>
      <c r="G202" s="578">
        <v>0</v>
      </c>
      <c r="H202" s="578">
        <v>0</v>
      </c>
      <c r="I202" s="578">
        <v>0</v>
      </c>
      <c r="J202" s="578">
        <v>0</v>
      </c>
    </row>
    <row r="203" spans="1:10">
      <c r="A203" s="107" t="s">
        <v>479</v>
      </c>
      <c r="B203" s="170"/>
      <c r="C203" s="170" t="str">
        <f>IF(ISERROR(C201/B201-1),"",C201/B201-1)</f>
        <v/>
      </c>
      <c r="D203" s="170" t="str">
        <f>IF(ISERROR(D201/C201-1),"",D201/C201-1)</f>
        <v/>
      </c>
      <c r="E203" s="570" t="s">
        <v>22</v>
      </c>
      <c r="F203" s="571"/>
      <c r="G203" s="571"/>
      <c r="H203" s="571"/>
      <c r="I203" s="571"/>
      <c r="J203" s="584"/>
    </row>
    <row r="204" spans="1:10">
      <c r="A204" s="120" t="str">
        <f>Data!A47</f>
        <v>Income taxes liabilities</v>
      </c>
      <c r="B204" s="464">
        <f>Data!E47</f>
        <v>79.5</v>
      </c>
      <c r="C204" s="464">
        <f>Data!F47</f>
        <v>67.8</v>
      </c>
      <c r="D204" s="464">
        <f>Data!G47</f>
        <v>0</v>
      </c>
      <c r="E204" s="574">
        <f>D204*(1+E205)</f>
        <v>0</v>
      </c>
      <c r="F204" s="574">
        <f t="shared" ref="F204" si="175">E204*(1+F205)</f>
        <v>0</v>
      </c>
      <c r="G204" s="574">
        <f t="shared" ref="G204" si="176">F204*(1+G205)</f>
        <v>0</v>
      </c>
      <c r="H204" s="574">
        <f t="shared" ref="H204" si="177">G204*(1+H205)</f>
        <v>0</v>
      </c>
      <c r="I204" s="574">
        <f t="shared" ref="I204" si="178">H204*(1+I205)</f>
        <v>0</v>
      </c>
      <c r="J204" s="574">
        <f>I204*$J$109</f>
        <v>0</v>
      </c>
    </row>
    <row r="205" spans="1:10">
      <c r="A205" s="107" t="s">
        <v>478</v>
      </c>
      <c r="B205" s="170">
        <f>B204/B$166</f>
        <v>1.3431095943640075E-2</v>
      </c>
      <c r="C205" s="170">
        <f>C204/C$166</f>
        <v>1.0886319845857419E-2</v>
      </c>
      <c r="D205" s="170">
        <f>D204/D$166</f>
        <v>0</v>
      </c>
      <c r="E205" s="578">
        <v>0</v>
      </c>
      <c r="F205" s="578">
        <v>0</v>
      </c>
      <c r="G205" s="578">
        <v>0</v>
      </c>
      <c r="H205" s="578">
        <v>0</v>
      </c>
      <c r="I205" s="578">
        <v>0</v>
      </c>
      <c r="J205" s="578">
        <v>0</v>
      </c>
    </row>
    <row r="206" spans="1:10">
      <c r="A206" s="107" t="s">
        <v>479</v>
      </c>
      <c r="B206" s="170"/>
      <c r="C206" s="170">
        <f>IF(ISERROR(C204/B204-1),"",C204/B204-1)</f>
        <v>-0.1471698113207548</v>
      </c>
      <c r="D206" s="170">
        <f>IF(ISERROR(D204/C204-1),"",D204/C204-1)</f>
        <v>-1</v>
      </c>
      <c r="E206" s="570" t="s">
        <v>22</v>
      </c>
      <c r="F206" s="571"/>
      <c r="G206" s="571"/>
      <c r="H206" s="571"/>
      <c r="I206" s="571"/>
      <c r="J206" s="584"/>
    </row>
    <row r="207" spans="1:10">
      <c r="A207" s="120" t="str">
        <f>Data!A48</f>
        <v>Other noncurrent liabilities (1)</v>
      </c>
      <c r="B207" s="464">
        <f>Data!E48</f>
        <v>59.2</v>
      </c>
      <c r="C207" s="464">
        <f>Data!F48</f>
        <v>82</v>
      </c>
      <c r="D207" s="464">
        <f>Data!G48</f>
        <v>124.7</v>
      </c>
      <c r="E207" s="574">
        <f>D207*(1+E208)</f>
        <v>124.7</v>
      </c>
      <c r="F207" s="574">
        <f t="shared" ref="F207" si="179">E207*(1+F208)</f>
        <v>124.7</v>
      </c>
      <c r="G207" s="574">
        <f t="shared" ref="G207" si="180">F207*(1+G208)</f>
        <v>124.7</v>
      </c>
      <c r="H207" s="574">
        <f t="shared" ref="H207" si="181">G207*(1+H208)</f>
        <v>124.7</v>
      </c>
      <c r="I207" s="574">
        <f t="shared" ref="I207" si="182">H207*(1+I208)</f>
        <v>124.7</v>
      </c>
      <c r="J207" s="574">
        <f>I207*$J$109</f>
        <v>128.441</v>
      </c>
    </row>
    <row r="208" spans="1:10">
      <c r="A208" s="107" t="s">
        <v>478</v>
      </c>
      <c r="B208" s="170">
        <f>B207/B$166</f>
        <v>1.0001520501427578E-2</v>
      </c>
      <c r="C208" s="170">
        <f>C207/C$166</f>
        <v>1.3166345536287734E-2</v>
      </c>
      <c r="D208" s="170">
        <f>D207/D$166</f>
        <v>1.717891140530934E-2</v>
      </c>
      <c r="E208" s="578">
        <v>0</v>
      </c>
      <c r="F208" s="578">
        <v>0</v>
      </c>
      <c r="G208" s="578">
        <v>0</v>
      </c>
      <c r="H208" s="578">
        <v>0</v>
      </c>
      <c r="I208" s="578">
        <v>0</v>
      </c>
      <c r="J208" s="578">
        <v>0</v>
      </c>
    </row>
    <row r="209" spans="1:10">
      <c r="A209" s="107" t="s">
        <v>479</v>
      </c>
      <c r="B209" s="170"/>
      <c r="C209" s="170">
        <f>IF(ISERROR(C207/B207-1),"",C207/B207-1)</f>
        <v>0.38513513513513509</v>
      </c>
      <c r="D209" s="170">
        <f>IF(ISERROR(D207/C207-1),"",D207/C207-1)</f>
        <v>0.52073170731707319</v>
      </c>
      <c r="E209" s="570" t="s">
        <v>22</v>
      </c>
      <c r="F209" s="571"/>
      <c r="G209" s="571"/>
      <c r="H209" s="571"/>
      <c r="I209" s="571"/>
      <c r="J209" s="579"/>
    </row>
    <row r="210" spans="1:10">
      <c r="A210" s="120" t="str">
        <f>Data!A49</f>
        <v>Deferred revenue - noncurrent</v>
      </c>
      <c r="B210" s="464">
        <f>Data!E49</f>
        <v>1675.5</v>
      </c>
      <c r="C210" s="464">
        <f>Data!F49</f>
        <v>2291</v>
      </c>
      <c r="D210" s="464">
        <f>Data!G49</f>
        <v>2886.3</v>
      </c>
      <c r="E210" s="574">
        <f>D210*(1+E211)</f>
        <v>2886.3</v>
      </c>
      <c r="F210" s="574">
        <f t="shared" ref="F210" si="183">E210*(1+F211)</f>
        <v>2886.3</v>
      </c>
      <c r="G210" s="574">
        <f t="shared" ref="G210" si="184">F210*(1+G211)</f>
        <v>2886.3</v>
      </c>
      <c r="H210" s="574">
        <f t="shared" ref="H210" si="185">G210*(1+H211)</f>
        <v>2886.3</v>
      </c>
      <c r="I210" s="574">
        <f t="shared" ref="I210" si="186">H210*(1+I211)</f>
        <v>2886.3</v>
      </c>
      <c r="J210" s="574">
        <f>I210*$J$109</f>
        <v>2972.8890000000001</v>
      </c>
    </row>
    <row r="211" spans="1:10">
      <c r="A211" s="107" t="s">
        <v>478</v>
      </c>
      <c r="B211" s="170">
        <f>B210/B$166</f>
        <v>0.28306668243482952</v>
      </c>
      <c r="C211" s="170">
        <f>C210/C$166</f>
        <v>0.36785484906872196</v>
      </c>
      <c r="D211" s="170">
        <f>D210/D$166</f>
        <v>0.39762222926338697</v>
      </c>
      <c r="E211" s="578">
        <v>0</v>
      </c>
      <c r="F211" s="578">
        <v>0</v>
      </c>
      <c r="G211" s="578">
        <v>0</v>
      </c>
      <c r="H211" s="578">
        <v>0</v>
      </c>
      <c r="I211" s="578">
        <v>0</v>
      </c>
      <c r="J211" s="578">
        <v>0</v>
      </c>
    </row>
    <row r="212" spans="1:10">
      <c r="A212" s="107" t="s">
        <v>479</v>
      </c>
      <c r="B212" s="170"/>
      <c r="C212" s="170">
        <f>IF(ISERROR(C210/B210-1),"",C210/B210-1)</f>
        <v>0.36735302894658317</v>
      </c>
      <c r="D212" s="170">
        <f>IF(ISERROR(D210/C210-1),"",D210/C210-1)</f>
        <v>0.25984286337843754</v>
      </c>
      <c r="E212" s="570" t="s">
        <v>22</v>
      </c>
      <c r="F212" s="571"/>
      <c r="G212" s="571"/>
      <c r="H212" s="571"/>
      <c r="I212" s="571"/>
      <c r="J212" s="579"/>
    </row>
    <row r="213" spans="1:10">
      <c r="A213" s="172" t="str">
        <f>Data!A50</f>
        <v xml:space="preserve">  Total Liabilities</v>
      </c>
      <c r="B213" s="466">
        <f>B195+B198+B201+B204+B207+B210</f>
        <v>5120.7000000000007</v>
      </c>
      <c r="C213" s="466">
        <f t="shared" ref="C213:I213" si="187">C195+C198+C201+C204+C207+C210</f>
        <v>6509.6</v>
      </c>
      <c r="D213" s="466">
        <f t="shared" si="187"/>
        <v>7722.3</v>
      </c>
      <c r="E213" s="574">
        <f>E195+E198+E201+E204+E207+E210</f>
        <v>7883.4850000000006</v>
      </c>
      <c r="F213" s="574">
        <f t="shared" si="187"/>
        <v>8050.4978499999997</v>
      </c>
      <c r="G213" s="574">
        <f t="shared" si="187"/>
        <v>8223.5630005000003</v>
      </c>
      <c r="H213" s="574">
        <f>H195+H198+H201+H204+H207+H210</f>
        <v>8402.9141162650012</v>
      </c>
      <c r="I213" s="574">
        <f t="shared" si="187"/>
        <v>8588.7944767904519</v>
      </c>
      <c r="J213" s="574">
        <f>J195+J198+J201+J204+J207+J210</f>
        <v>8846.4583110941639</v>
      </c>
    </row>
    <row r="214" spans="1:10">
      <c r="A214" s="107" t="s">
        <v>478</v>
      </c>
      <c r="B214" s="170">
        <f t="shared" ref="B214:J214" si="188">B213/B$166</f>
        <v>0.86511462891317914</v>
      </c>
      <c r="C214" s="170">
        <f t="shared" si="188"/>
        <v>1.0452151573538859</v>
      </c>
      <c r="D214" s="170">
        <f t="shared" si="188"/>
        <v>1.0638388736585431</v>
      </c>
      <c r="E214" s="568">
        <f t="shared" si="188"/>
        <v>1.0524121927378067</v>
      </c>
      <c r="F214" s="568">
        <f t="shared" si="188"/>
        <v>1.0471112780610494</v>
      </c>
      <c r="G214" s="568">
        <f t="shared" si="188"/>
        <v>1.0464743972550792</v>
      </c>
      <c r="H214" s="568">
        <f t="shared" si="188"/>
        <v>1.0494378331353114</v>
      </c>
      <c r="I214" s="568">
        <f t="shared" si="188"/>
        <v>1.1139515309599919</v>
      </c>
      <c r="J214" s="568">
        <f t="shared" si="188"/>
        <v>1.1115709834015162</v>
      </c>
    </row>
    <row r="215" spans="1:10">
      <c r="A215" s="107" t="s">
        <v>479</v>
      </c>
      <c r="B215" s="170"/>
      <c r="C215" s="170">
        <f t="shared" ref="C215:I215" si="189">IF(ISERROR(C213/B213-1),"",C213/B213-1)</f>
        <v>0.2712324486886557</v>
      </c>
      <c r="D215" s="170">
        <f t="shared" si="189"/>
        <v>0.18629408873049025</v>
      </c>
      <c r="E215" s="568">
        <f t="shared" si="189"/>
        <v>2.087266746953631E-2</v>
      </c>
      <c r="F215" s="568">
        <f t="shared" si="189"/>
        <v>2.1185154788776694E-2</v>
      </c>
      <c r="G215" s="568">
        <f t="shared" si="189"/>
        <v>2.1497446956028954E-2</v>
      </c>
      <c r="H215" s="568">
        <f t="shared" si="189"/>
        <v>2.1809417129059039E-2</v>
      </c>
      <c r="I215" s="568">
        <f t="shared" si="189"/>
        <v>2.2120940182603244E-2</v>
      </c>
      <c r="J215" s="568"/>
    </row>
    <row r="216" spans="1:10">
      <c r="A216" s="107"/>
      <c r="B216" s="170"/>
      <c r="C216" s="170"/>
      <c r="D216" s="170"/>
      <c r="E216" s="171"/>
      <c r="F216" s="171"/>
      <c r="G216" s="171"/>
      <c r="H216" s="171"/>
      <c r="I216" s="171"/>
      <c r="J216" s="171"/>
    </row>
    <row r="217" spans="1:10">
      <c r="A217" s="120" t="s">
        <v>258</v>
      </c>
      <c r="B217" s="468"/>
      <c r="C217" s="468"/>
      <c r="D217" s="468"/>
      <c r="E217" s="468"/>
      <c r="F217" s="468"/>
      <c r="G217" s="468"/>
      <c r="H217" s="468"/>
      <c r="I217" s="468"/>
      <c r="J217" s="469"/>
    </row>
    <row r="218" spans="1:10">
      <c r="A218" s="120" t="str">
        <f>Data!A52</f>
        <v>Preferred stock</v>
      </c>
      <c r="B218" s="464">
        <f>Data!E52</f>
        <v>0</v>
      </c>
      <c r="C218" s="464">
        <f>Data!F52</f>
        <v>0</v>
      </c>
      <c r="D218" s="464">
        <f>Data!G52</f>
        <v>0</v>
      </c>
      <c r="E218" s="574">
        <f>D218*(1+E219)</f>
        <v>0</v>
      </c>
      <c r="F218" s="574">
        <f t="shared" ref="F218" si="190">E218*(1+F219)</f>
        <v>0</v>
      </c>
      <c r="G218" s="574">
        <f t="shared" ref="G218" si="191">F218*(1+G219)</f>
        <v>0</v>
      </c>
      <c r="H218" s="574">
        <f t="shared" ref="H218" si="192">G218*(1+H219)</f>
        <v>0</v>
      </c>
      <c r="I218" s="574">
        <f t="shared" ref="I218" si="193">H218*(1+I219)</f>
        <v>0</v>
      </c>
      <c r="J218" s="574">
        <f>I218*$J$109</f>
        <v>0</v>
      </c>
    </row>
    <row r="219" spans="1:10">
      <c r="A219" s="107" t="s">
        <v>478</v>
      </c>
      <c r="B219" s="170">
        <f>B218/B$166</f>
        <v>0</v>
      </c>
      <c r="C219" s="170">
        <f>C218/C$166</f>
        <v>0</v>
      </c>
      <c r="D219" s="170">
        <f>D218/D$166</f>
        <v>0</v>
      </c>
      <c r="E219" s="578">
        <v>0</v>
      </c>
      <c r="F219" s="578">
        <v>0</v>
      </c>
      <c r="G219" s="578">
        <v>0</v>
      </c>
      <c r="H219" s="578">
        <v>0</v>
      </c>
      <c r="I219" s="578">
        <v>0</v>
      </c>
      <c r="J219" s="578">
        <v>0</v>
      </c>
    </row>
    <row r="220" spans="1:10">
      <c r="A220" s="107" t="s">
        <v>479</v>
      </c>
      <c r="B220" s="170"/>
      <c r="C220" s="170" t="str">
        <f>IF(ISERROR(C218/B218-1),"",C218/B218-1)</f>
        <v/>
      </c>
      <c r="D220" s="170" t="str">
        <f>IF(ISERROR(D218/C218-1),"",D218/C218-1)</f>
        <v/>
      </c>
      <c r="E220" s="570" t="s">
        <v>22</v>
      </c>
      <c r="F220" s="571"/>
      <c r="G220" s="571"/>
      <c r="H220" s="571"/>
      <c r="I220" s="571"/>
      <c r="J220" s="584"/>
    </row>
    <row r="221" spans="1:10">
      <c r="A221" s="107"/>
      <c r="B221" s="170"/>
      <c r="C221" s="170"/>
      <c r="D221" s="170"/>
      <c r="E221" s="570"/>
      <c r="F221" s="571"/>
      <c r="G221" s="571"/>
      <c r="H221" s="571"/>
      <c r="I221" s="571"/>
      <c r="J221" s="584"/>
    </row>
    <row r="222" spans="1:10">
      <c r="A222" s="172" t="str">
        <f>Data!A53</f>
        <v>Common stock + Additional paid in capital</v>
      </c>
      <c r="B222" s="464">
        <f>Data!E53</f>
        <v>1254.3999999999999</v>
      </c>
      <c r="C222" s="464">
        <f>Data!F53</f>
        <v>1285</v>
      </c>
      <c r="D222" s="464">
        <f>Data!G53</f>
        <v>1417.2</v>
      </c>
      <c r="E222" s="574">
        <f>D222*(1+E223)</f>
        <v>1459.7160000000001</v>
      </c>
      <c r="F222" s="574">
        <f t="shared" ref="F222" si="194">E222*(1+F223)</f>
        <v>1503.5074800000002</v>
      </c>
      <c r="G222" s="574">
        <f t="shared" ref="G222" si="195">F222*(1+G223)</f>
        <v>1548.6127044000002</v>
      </c>
      <c r="H222" s="574">
        <f t="shared" ref="H222" si="196">G222*(1+H223)</f>
        <v>1595.0710855320003</v>
      </c>
      <c r="I222" s="574">
        <f t="shared" ref="I222" si="197">H222*(1+I223)</f>
        <v>1642.9232180979604</v>
      </c>
      <c r="J222" s="574">
        <f>I222*$J$109</f>
        <v>1692.2109146408993</v>
      </c>
    </row>
    <row r="223" spans="1:10">
      <c r="A223" s="107" t="s">
        <v>478</v>
      </c>
      <c r="B223" s="170">
        <f>B222/B$166</f>
        <v>0.21192411008430326</v>
      </c>
      <c r="C223" s="170">
        <f>C222/C$166</f>
        <v>0.20632626846499683</v>
      </c>
      <c r="D223" s="477">
        <f>D222/D$166</f>
        <v>0.195236192811583</v>
      </c>
      <c r="E223" s="572">
        <v>0.03</v>
      </c>
      <c r="F223" s="572">
        <v>0.03</v>
      </c>
      <c r="G223" s="572">
        <v>0.03</v>
      </c>
      <c r="H223" s="572">
        <v>0.03</v>
      </c>
      <c r="I223" s="572">
        <v>0.03</v>
      </c>
      <c r="J223" s="572">
        <v>0.03</v>
      </c>
    </row>
    <row r="224" spans="1:10">
      <c r="A224" s="107" t="s">
        <v>479</v>
      </c>
      <c r="B224" s="170"/>
      <c r="C224" s="170">
        <f>IF(ISERROR(C222/B222-1),"",C222/B222-1)</f>
        <v>2.4394132653061229E-2</v>
      </c>
      <c r="D224" s="170">
        <f>IF(ISERROR(D222/C222-1),"",D222/C222-1)</f>
        <v>0.10287937743190656</v>
      </c>
      <c r="E224" s="570" t="s">
        <v>22</v>
      </c>
      <c r="F224" s="571"/>
      <c r="G224" s="571"/>
      <c r="H224" s="571"/>
      <c r="I224" s="571"/>
      <c r="J224" s="584"/>
    </row>
    <row r="225" spans="1:14">
      <c r="A225" s="120" t="str">
        <f>Data!A54</f>
        <v>Accumulated retained earnings &lt;deficit&gt;</v>
      </c>
      <c r="B225" s="464">
        <f>Data!E54</f>
        <v>-467.9</v>
      </c>
      <c r="C225" s="464">
        <f>Data!F54</f>
        <v>-1546.4</v>
      </c>
      <c r="D225" s="464">
        <f>Data!G54</f>
        <v>-1861.7</v>
      </c>
      <c r="E225" s="574">
        <f t="shared" ref="E225:J225" si="198">D225+E90+E258+E268</f>
        <v>-1833.4290256916825</v>
      </c>
      <c r="F225" s="574">
        <f t="shared" si="198"/>
        <v>-1846.8127686714479</v>
      </c>
      <c r="G225" s="574">
        <f t="shared" si="198"/>
        <v>-1894.9248249639511</v>
      </c>
      <c r="H225" s="574">
        <f t="shared" si="198"/>
        <v>-1972.022895723693</v>
      </c>
      <c r="I225" s="574">
        <f>H225+I90+I258+I268</f>
        <v>-2502.6128627367689</v>
      </c>
      <c r="J225" s="574">
        <f t="shared" si="198"/>
        <v>-2568.0246560928704</v>
      </c>
    </row>
    <row r="226" spans="1:14">
      <c r="A226" s="107" t="s">
        <v>478</v>
      </c>
      <c r="B226" s="170">
        <f>B225/B$166</f>
        <v>-7.9049179773952094E-2</v>
      </c>
      <c r="C226" s="170">
        <f>C225/C$166</f>
        <v>-0.24829800899165066</v>
      </c>
      <c r="D226" s="170">
        <f>D225/D$166</f>
        <v>-0.25647136618495908</v>
      </c>
      <c r="E226" s="566">
        <f t="shared" ref="E226:I226" si="199">E225/E$166</f>
        <v>-0.24475508752250102</v>
      </c>
      <c r="F226" s="566">
        <f t="shared" si="199"/>
        <v>-0.24021104217089195</v>
      </c>
      <c r="G226" s="566">
        <f t="shared" si="199"/>
        <v>-0.24113517631314671</v>
      </c>
      <c r="H226" s="566">
        <f t="shared" si="199"/>
        <v>-0.24628544406703637</v>
      </c>
      <c r="I226" s="566">
        <f t="shared" si="199"/>
        <v>-0.32458448474687002</v>
      </c>
      <c r="J226" s="566">
        <f>J225/J$166</f>
        <v>-0.3226762159487791</v>
      </c>
    </row>
    <row r="227" spans="1:14">
      <c r="A227" s="107" t="s">
        <v>479</v>
      </c>
      <c r="B227" s="170"/>
      <c r="C227" s="170">
        <f>IF(ISERROR(C225/B225-1),"",C225/B225-1)</f>
        <v>2.3049796965163498</v>
      </c>
      <c r="D227" s="170">
        <f>IF(ISERROR(D225/C225-1),"",D225/C225-1)</f>
        <v>0.20389291257113284</v>
      </c>
      <c r="E227" s="570" t="s">
        <v>695</v>
      </c>
      <c r="F227" s="571"/>
      <c r="G227" s="571"/>
      <c r="H227" s="571"/>
      <c r="I227" s="571"/>
      <c r="J227" s="590"/>
      <c r="N227" s="498"/>
    </row>
    <row r="228" spans="1:14">
      <c r="A228" s="120" t="str">
        <f>Data!A55</f>
        <v>Accum. other comprehensive income &lt;loss&gt;</v>
      </c>
      <c r="B228" s="464">
        <f>Data!E55</f>
        <v>-4.8</v>
      </c>
      <c r="C228" s="464">
        <f>Data!F55</f>
        <v>-20.2</v>
      </c>
      <c r="D228" s="464">
        <f>Data!G55</f>
        <v>-18.899999999999999</v>
      </c>
      <c r="E228" s="574">
        <f>D228</f>
        <v>-18.899999999999999</v>
      </c>
      <c r="F228" s="574">
        <f>E228</f>
        <v>-18.899999999999999</v>
      </c>
      <c r="G228" s="574">
        <f>F228</f>
        <v>-18.899999999999999</v>
      </c>
      <c r="H228" s="574">
        <f>G228</f>
        <v>-18.899999999999999</v>
      </c>
      <c r="I228" s="574">
        <f>H228</f>
        <v>-18.899999999999999</v>
      </c>
      <c r="J228" s="574">
        <f>I228+J94</f>
        <v>-12.126001603347756</v>
      </c>
    </row>
    <row r="229" spans="1:14">
      <c r="A229" s="107" t="s">
        <v>478</v>
      </c>
      <c r="B229" s="170">
        <f>B228/B$166</f>
        <v>-8.1093409471034419E-4</v>
      </c>
      <c r="C229" s="170">
        <f>C228/C$166</f>
        <v>-3.2434168272318566E-3</v>
      </c>
      <c r="D229" s="170">
        <f>D228/D$166</f>
        <v>-2.6037002851671733E-3</v>
      </c>
      <c r="E229" s="566">
        <f t="shared" ref="E229:J229" si="200">E228/E$166</f>
        <v>-2.5230707539552043E-3</v>
      </c>
      <c r="F229" s="566">
        <f t="shared" si="200"/>
        <v>-2.4582831427442508E-3</v>
      </c>
      <c r="G229" s="566">
        <f t="shared" si="200"/>
        <v>-2.405084767626691E-3</v>
      </c>
      <c r="H229" s="566">
        <f t="shared" si="200"/>
        <v>-2.3604162522457787E-3</v>
      </c>
      <c r="I229" s="566">
        <f t="shared" si="200"/>
        <v>-2.4512967439187581E-3</v>
      </c>
      <c r="J229" s="566">
        <f t="shared" si="200"/>
        <v>-1.5236506015133759E-3</v>
      </c>
    </row>
    <row r="230" spans="1:14">
      <c r="A230" s="107" t="s">
        <v>479</v>
      </c>
      <c r="B230" s="170"/>
      <c r="C230" s="170">
        <f>IF(ISERROR(C228/B228-1),"",C228/B228-1)</f>
        <v>3.208333333333333</v>
      </c>
      <c r="D230" s="170">
        <f>IF(ISERROR(D228/C228-1),"",D228/C228-1)</f>
        <v>-6.4356435643564414E-2</v>
      </c>
      <c r="E230" s="570" t="s">
        <v>170</v>
      </c>
      <c r="F230" s="571"/>
      <c r="G230" s="571"/>
      <c r="H230" s="571"/>
      <c r="I230" s="571"/>
      <c r="J230" s="579"/>
    </row>
    <row r="231" spans="1:14">
      <c r="A231" s="120" t="str">
        <f>Data!A56</f>
        <v>&lt;Treasury stock&gt; and other equity adjustments</v>
      </c>
      <c r="B231" s="464">
        <f>Data!E56</f>
        <v>0</v>
      </c>
      <c r="C231" s="464">
        <f>Data!F56</f>
        <v>0</v>
      </c>
      <c r="D231" s="464">
        <f>Data!G56</f>
        <v>0</v>
      </c>
      <c r="E231" s="574">
        <f>D231+E232</f>
        <v>0</v>
      </c>
      <c r="F231" s="574">
        <f>E231+F232</f>
        <v>0</v>
      </c>
      <c r="G231" s="574">
        <f>F231+G232</f>
        <v>0</v>
      </c>
      <c r="H231" s="574">
        <f>G231+H232</f>
        <v>0</v>
      </c>
      <c r="I231" s="574">
        <f>H231+I232</f>
        <v>0</v>
      </c>
      <c r="J231" s="574">
        <f>I231*$J$109</f>
        <v>0</v>
      </c>
    </row>
    <row r="232" spans="1:14">
      <c r="A232" s="107" t="s">
        <v>478</v>
      </c>
      <c r="B232" s="170">
        <f>B231/B$166</f>
        <v>0</v>
      </c>
      <c r="C232" s="170">
        <f>C231/C$166</f>
        <v>0</v>
      </c>
      <c r="D232" s="170">
        <f>D231/D$166</f>
        <v>0</v>
      </c>
      <c r="E232" s="591">
        <v>0</v>
      </c>
      <c r="F232" s="591">
        <v>0</v>
      </c>
      <c r="G232" s="591">
        <v>0</v>
      </c>
      <c r="H232" s="591">
        <v>0</v>
      </c>
      <c r="I232" s="591">
        <v>0</v>
      </c>
      <c r="J232" s="585"/>
    </row>
    <row r="233" spans="1:14">
      <c r="A233" s="107" t="s">
        <v>479</v>
      </c>
      <c r="B233" s="170"/>
      <c r="C233" s="170" t="str">
        <f>IF(ISERROR(C231/B231-1),"",C231/B231-1)</f>
        <v/>
      </c>
      <c r="D233" s="170" t="str">
        <f>IF(ISERROR(D231/C231-1),"",D231/C231-1)</f>
        <v/>
      </c>
      <c r="E233" s="570" t="s">
        <v>772</v>
      </c>
      <c r="F233" s="571"/>
      <c r="G233" s="571"/>
      <c r="H233" s="571"/>
      <c r="I233" s="571"/>
      <c r="J233" s="579"/>
    </row>
    <row r="234" spans="1:14">
      <c r="A234" s="172" t="str">
        <f>Data!A57</f>
        <v xml:space="preserve"> Total Common Shareholders' Equity</v>
      </c>
      <c r="B234" s="466">
        <f>B222+B225+B228+B231</f>
        <v>781.69999999999993</v>
      </c>
      <c r="C234" s="466">
        <f t="shared" ref="C234:J234" si="201">C222+C225+C228+C231</f>
        <v>-281.60000000000008</v>
      </c>
      <c r="D234" s="466">
        <f t="shared" si="201"/>
        <v>-463.4</v>
      </c>
      <c r="E234" s="574">
        <f t="shared" si="201"/>
        <v>-392.61302569168231</v>
      </c>
      <c r="F234" s="574">
        <f t="shared" si="201"/>
        <v>-362.20528867144765</v>
      </c>
      <c r="G234" s="574">
        <f t="shared" si="201"/>
        <v>-365.21212056395086</v>
      </c>
      <c r="H234" s="574">
        <f t="shared" si="201"/>
        <v>-395.85181019169261</v>
      </c>
      <c r="I234" s="574">
        <f>I222+I225+I228+I231</f>
        <v>-878.58964463880841</v>
      </c>
      <c r="J234" s="574">
        <f t="shared" si="201"/>
        <v>-887.93974305531879</v>
      </c>
      <c r="K234" s="697" t="s">
        <v>980</v>
      </c>
    </row>
    <row r="235" spans="1:14" s="406" customFormat="1" ht="11.25">
      <c r="A235" s="107" t="s">
        <v>478</v>
      </c>
      <c r="B235" s="405">
        <f>B234/B$166</f>
        <v>0.13206399621564083</v>
      </c>
      <c r="C235" s="405">
        <f t="shared" ref="C235:J235" si="202">C234/C$166</f>
        <v>-4.5215157353885697E-2</v>
      </c>
      <c r="D235" s="405">
        <f t="shared" si="202"/>
        <v>-6.3838873658543294E-2</v>
      </c>
      <c r="E235" s="592">
        <f t="shared" si="202"/>
        <v>-5.2412192737806715E-2</v>
      </c>
      <c r="F235" s="592">
        <f t="shared" si="202"/>
        <v>-4.7111278061049471E-2</v>
      </c>
      <c r="G235" s="592">
        <f t="shared" si="202"/>
        <v>-4.647439725507941E-2</v>
      </c>
      <c r="H235" s="592">
        <f t="shared" si="202"/>
        <v>-4.9437833135311242E-2</v>
      </c>
      <c r="I235" s="592">
        <f t="shared" si="202"/>
        <v>-0.11395153095999205</v>
      </c>
      <c r="J235" s="592">
        <f t="shared" si="202"/>
        <v>-0.111570983401516</v>
      </c>
    </row>
    <row r="236" spans="1:14" s="406" customFormat="1" ht="11.25">
      <c r="A236" s="107" t="s">
        <v>479</v>
      </c>
      <c r="B236" s="405"/>
      <c r="C236" s="405">
        <f t="shared" ref="C236:J236" si="203">IF(ISERROR(C234/B234-1),"",C234/B234-1)</f>
        <v>-1.3602405014711527</v>
      </c>
      <c r="D236" s="405">
        <f t="shared" si="203"/>
        <v>0.64559659090909038</v>
      </c>
      <c r="E236" s="592">
        <f t="shared" si="203"/>
        <v>-0.15275566315994316</v>
      </c>
      <c r="F236" s="592">
        <f t="shared" si="203"/>
        <v>-7.7449638780231811E-2</v>
      </c>
      <c r="G236" s="592">
        <f t="shared" si="203"/>
        <v>8.3014577272797485E-3</v>
      </c>
      <c r="H236" s="592">
        <f t="shared" si="203"/>
        <v>8.3895599030034296E-2</v>
      </c>
      <c r="I236" s="592">
        <f t="shared" si="203"/>
        <v>1.2194912894634693</v>
      </c>
      <c r="J236" s="592">
        <f t="shared" si="203"/>
        <v>1.0642167789667312E-2</v>
      </c>
    </row>
    <row r="237" spans="1:14">
      <c r="A237" s="172" t="str">
        <f>Data!A58</f>
        <v>Noncontrolling interests</v>
      </c>
      <c r="B237" s="303">
        <f>Data!E58</f>
        <v>16.7</v>
      </c>
      <c r="C237" s="303">
        <f>Data!F58</f>
        <v>0</v>
      </c>
      <c r="D237" s="303">
        <f>Data!G58</f>
        <v>0</v>
      </c>
      <c r="E237" s="574">
        <v>0</v>
      </c>
      <c r="F237" s="574">
        <f>E237-F87</f>
        <v>0</v>
      </c>
      <c r="G237" s="574">
        <f>F237-G87</f>
        <v>0</v>
      </c>
      <c r="H237" s="574">
        <f>G237-H87</f>
        <v>0</v>
      </c>
      <c r="I237" s="574">
        <f>H237-I87</f>
        <v>0</v>
      </c>
      <c r="J237" s="574">
        <f>I237-J87</f>
        <v>0</v>
      </c>
    </row>
    <row r="238" spans="1:14">
      <c r="A238" s="107" t="s">
        <v>478</v>
      </c>
      <c r="B238" s="405">
        <f>B237/B$166</f>
        <v>2.8213748711797392E-3</v>
      </c>
      <c r="C238" s="405">
        <f>C237/C$166</f>
        <v>0</v>
      </c>
      <c r="D238" s="405">
        <f>D237/D$166</f>
        <v>0</v>
      </c>
      <c r="E238" s="593">
        <v>0</v>
      </c>
      <c r="F238" s="593">
        <v>0</v>
      </c>
      <c r="G238" s="593">
        <v>0</v>
      </c>
      <c r="H238" s="593">
        <v>0</v>
      </c>
      <c r="I238" s="593">
        <v>0</v>
      </c>
      <c r="J238" s="593">
        <v>0</v>
      </c>
    </row>
    <row r="239" spans="1:14">
      <c r="A239" s="107" t="s">
        <v>479</v>
      </c>
      <c r="B239" s="405"/>
      <c r="C239" s="170">
        <f>IF(ISERROR(C237/B237-1),"",C237/B237-1)</f>
        <v>-1</v>
      </c>
      <c r="D239" s="170" t="str">
        <f>IF(ISERROR(D237/C237-1),"",D237/C237-1)</f>
        <v/>
      </c>
      <c r="E239" s="570" t="s">
        <v>22</v>
      </c>
      <c r="F239" s="571"/>
      <c r="G239" s="571"/>
      <c r="H239" s="571"/>
      <c r="I239" s="571"/>
      <c r="J239" s="579"/>
    </row>
    <row r="240" spans="1:14">
      <c r="A240" s="172" t="str">
        <f>Data!A59</f>
        <v xml:space="preserve">  Total Equity</v>
      </c>
      <c r="B240" s="470">
        <f>B234+B237</f>
        <v>798.4</v>
      </c>
      <c r="C240" s="470">
        <f t="shared" ref="C240:J240" si="204">C234+C237</f>
        <v>-281.60000000000008</v>
      </c>
      <c r="D240" s="470">
        <f t="shared" si="204"/>
        <v>-463.4</v>
      </c>
      <c r="E240" s="594">
        <f t="shared" si="204"/>
        <v>-392.61302569168231</v>
      </c>
      <c r="F240" s="594">
        <f t="shared" si="204"/>
        <v>-362.20528867144765</v>
      </c>
      <c r="G240" s="594">
        <f t="shared" si="204"/>
        <v>-365.21212056395086</v>
      </c>
      <c r="H240" s="594">
        <f t="shared" si="204"/>
        <v>-395.85181019169261</v>
      </c>
      <c r="I240" s="594">
        <f t="shared" si="204"/>
        <v>-878.58964463880841</v>
      </c>
      <c r="J240" s="594">
        <f t="shared" si="204"/>
        <v>-887.93974305531879</v>
      </c>
      <c r="K240" s="426"/>
    </row>
    <row r="241" spans="1:16" s="406" customFormat="1" ht="11.25">
      <c r="A241" s="107" t="s">
        <v>478</v>
      </c>
      <c r="B241" s="405">
        <f t="shared" ref="B241:J241" si="205">B240/B$166</f>
        <v>0.13488537108682058</v>
      </c>
      <c r="C241" s="405">
        <f t="shared" si="205"/>
        <v>-4.5215157353885697E-2</v>
      </c>
      <c r="D241" s="405">
        <f t="shared" si="205"/>
        <v>-6.3838873658543294E-2</v>
      </c>
      <c r="E241" s="592">
        <f t="shared" si="205"/>
        <v>-5.2412192737806715E-2</v>
      </c>
      <c r="F241" s="592">
        <f t="shared" si="205"/>
        <v>-4.7111278061049471E-2</v>
      </c>
      <c r="G241" s="592">
        <f t="shared" si="205"/>
        <v>-4.647439725507941E-2</v>
      </c>
      <c r="H241" s="592">
        <f t="shared" si="205"/>
        <v>-4.9437833135311242E-2</v>
      </c>
      <c r="I241" s="592">
        <f t="shared" si="205"/>
        <v>-0.11395153095999205</v>
      </c>
      <c r="J241" s="592">
        <f t="shared" si="205"/>
        <v>-0.111570983401516</v>
      </c>
    </row>
    <row r="242" spans="1:16" s="406" customFormat="1" ht="11.25">
      <c r="A242" s="107" t="s">
        <v>479</v>
      </c>
      <c r="B242" s="405"/>
      <c r="C242" s="405">
        <f t="shared" ref="C242:J242" si="206">IF(ISERROR(C240/B240-1),"",C240/B240-1)</f>
        <v>-1.3527054108216434</v>
      </c>
      <c r="D242" s="405">
        <f t="shared" si="206"/>
        <v>0.64559659090909038</v>
      </c>
      <c r="E242" s="592">
        <f t="shared" si="206"/>
        <v>-0.15275566315994316</v>
      </c>
      <c r="F242" s="592">
        <f t="shared" si="206"/>
        <v>-7.7449638780231811E-2</v>
      </c>
      <c r="G242" s="592">
        <f t="shared" si="206"/>
        <v>8.3014577272797485E-3</v>
      </c>
      <c r="H242" s="592">
        <f t="shared" si="206"/>
        <v>8.3895599030034296E-2</v>
      </c>
      <c r="I242" s="592">
        <f t="shared" si="206"/>
        <v>1.2194912894634693</v>
      </c>
      <c r="J242" s="592">
        <f t="shared" si="206"/>
        <v>1.0642167789667312E-2</v>
      </c>
    </row>
    <row r="243" spans="1:16" ht="13.5" thickBot="1">
      <c r="A243" s="172" t="str">
        <f>Data!A60</f>
        <v xml:space="preserve">  Total Liabilities and Equities</v>
      </c>
      <c r="B243" s="467">
        <f>B213+B218+B240</f>
        <v>5919.1</v>
      </c>
      <c r="C243" s="467">
        <f t="shared" ref="C243:J243" si="207">C213+C218+C240</f>
        <v>6228</v>
      </c>
      <c r="D243" s="467">
        <f t="shared" si="207"/>
        <v>7258.9000000000005</v>
      </c>
      <c r="E243" s="574">
        <f>E213+E218+E240</f>
        <v>7490.8719743083184</v>
      </c>
      <c r="F243" s="574">
        <f t="shared" si="207"/>
        <v>7688.2925613285524</v>
      </c>
      <c r="G243" s="574">
        <f t="shared" si="207"/>
        <v>7858.3508799360498</v>
      </c>
      <c r="H243" s="574">
        <f>H213+H218+H240</f>
        <v>8007.0623060733087</v>
      </c>
      <c r="I243" s="574">
        <f t="shared" si="207"/>
        <v>7710.2048321516431</v>
      </c>
      <c r="J243" s="574">
        <f t="shared" si="207"/>
        <v>7958.5185680388449</v>
      </c>
    </row>
    <row r="244" spans="1:16" s="406" customFormat="1" ht="12" thickTop="1">
      <c r="A244" s="107" t="s">
        <v>478</v>
      </c>
      <c r="B244" s="405">
        <f>B243/B$166</f>
        <v>0.99999999999999967</v>
      </c>
      <c r="C244" s="405">
        <f>C243/C$166</f>
        <v>1.0000000000000002</v>
      </c>
      <c r="D244" s="405">
        <f>D243/D$166</f>
        <v>0.99999999999999989</v>
      </c>
      <c r="E244" s="595">
        <f t="shared" ref="E244:J244" si="208">E243/E243</f>
        <v>1</v>
      </c>
      <c r="F244" s="595">
        <f t="shared" si="208"/>
        <v>1</v>
      </c>
      <c r="G244" s="595">
        <f t="shared" si="208"/>
        <v>1</v>
      </c>
      <c r="H244" s="595">
        <f t="shared" si="208"/>
        <v>1</v>
      </c>
      <c r="I244" s="595">
        <f t="shared" si="208"/>
        <v>1</v>
      </c>
      <c r="J244" s="595">
        <f t="shared" si="208"/>
        <v>1</v>
      </c>
    </row>
    <row r="245" spans="1:16" s="406" customFormat="1" ht="11.25">
      <c r="A245" s="107" t="s">
        <v>479</v>
      </c>
      <c r="B245" s="405"/>
      <c r="C245" s="405">
        <f>IF(ISERROR(C243/B243-1),"",C243/B243-1)</f>
        <v>5.2186987886671865E-2</v>
      </c>
      <c r="D245" s="405">
        <f>IF(ISERROR(D243/C243-1),"",D243/C243-1)</f>
        <v>0.16552665382145149</v>
      </c>
      <c r="E245" s="592">
        <f t="shared" ref="E245:J245" si="209">IF(ISERROR(E243/D243-1),"",E243/D243-1)</f>
        <v>3.1956904532135511E-2</v>
      </c>
      <c r="F245" s="592">
        <f t="shared" si="209"/>
        <v>2.6354820599969297E-2</v>
      </c>
      <c r="G245" s="592">
        <f t="shared" si="209"/>
        <v>2.2119126873875183E-2</v>
      </c>
      <c r="H245" s="592">
        <f t="shared" si="209"/>
        <v>1.8923999247342005E-2</v>
      </c>
      <c r="I245" s="592">
        <f t="shared" si="209"/>
        <v>-3.7074455346313595E-2</v>
      </c>
      <c r="J245" s="592">
        <f t="shared" si="209"/>
        <v>3.2205854616433882E-2</v>
      </c>
    </row>
    <row r="246" spans="1:16" s="406" customFormat="1" ht="11.25">
      <c r="A246" s="407" t="s">
        <v>481</v>
      </c>
      <c r="B246" s="408">
        <f t="shared" ref="B246:J246" si="210">B166-B243</f>
        <v>0</v>
      </c>
      <c r="C246" s="408">
        <f t="shared" si="210"/>
        <v>0</v>
      </c>
      <c r="D246" s="409">
        <f t="shared" si="210"/>
        <v>0</v>
      </c>
      <c r="E246" s="596">
        <f t="shared" si="210"/>
        <v>0</v>
      </c>
      <c r="F246" s="596">
        <f t="shared" si="210"/>
        <v>0</v>
      </c>
      <c r="G246" s="596">
        <f t="shared" si="210"/>
        <v>0</v>
      </c>
      <c r="H246" s="596">
        <f t="shared" si="210"/>
        <v>0</v>
      </c>
      <c r="I246" s="596">
        <f t="shared" si="210"/>
        <v>0</v>
      </c>
      <c r="J246" s="596">
        <f t="shared" si="210"/>
        <v>0</v>
      </c>
      <c r="L246" s="406" t="s">
        <v>176</v>
      </c>
    </row>
    <row r="247" spans="1:16">
      <c r="A247" s="56"/>
      <c r="B247" s="170"/>
      <c r="C247" s="170"/>
      <c r="D247" s="189"/>
      <c r="E247" s="597" t="s">
        <v>39</v>
      </c>
      <c r="F247" s="571"/>
      <c r="G247" s="571"/>
      <c r="H247" s="571"/>
      <c r="I247" s="571"/>
      <c r="J247" s="584"/>
    </row>
    <row r="248" spans="1:16">
      <c r="A248" s="48"/>
      <c r="E248" s="574">
        <f t="shared" ref="E248:I248" si="211">E166-(E213+E218+E222+D225+E90+E258+E228+D231+E237+E263)</f>
        <v>-1360.9956188442575</v>
      </c>
      <c r="F248" s="574">
        <f t="shared" si="211"/>
        <v>-1594.4170194986573</v>
      </c>
      <c r="G248" s="574">
        <f t="shared" si="211"/>
        <v>-1948.2918095076629</v>
      </c>
      <c r="H248" s="574">
        <f t="shared" si="211"/>
        <v>-2401.0105699040096</v>
      </c>
      <c r="I248" s="574">
        <f t="shared" si="211"/>
        <v>-3081.6217175411975</v>
      </c>
      <c r="J248" s="574">
        <f>J166-(J213+J218+J222+I225+J90+J258+J228+I231+J237+J263)</f>
        <v>-3928.2917200092925</v>
      </c>
      <c r="L248" s="61" t="s">
        <v>238</v>
      </c>
    </row>
    <row r="249" spans="1:16">
      <c r="A249" s="48"/>
      <c r="E249" s="138"/>
      <c r="F249" s="138"/>
      <c r="G249" s="138"/>
      <c r="H249" s="138"/>
      <c r="I249" s="138"/>
      <c r="J249" s="138"/>
      <c r="L249" s="399" t="s">
        <v>679</v>
      </c>
    </row>
    <row r="250" spans="1:16" ht="13.5" thickBot="1">
      <c r="A250" s="48"/>
      <c r="D250" s="94"/>
      <c r="E250" s="199"/>
      <c r="F250" s="199"/>
      <c r="G250" s="199"/>
      <c r="H250" s="411"/>
      <c r="I250" s="411"/>
      <c r="J250" s="411"/>
      <c r="L250" s="399" t="s">
        <v>680</v>
      </c>
    </row>
    <row r="251" spans="1:16">
      <c r="A251" s="48"/>
      <c r="B251" s="190"/>
      <c r="C251" s="37"/>
      <c r="E251" s="138" t="s">
        <v>38</v>
      </c>
      <c r="F251" s="138"/>
      <c r="G251" s="138"/>
      <c r="H251" s="183"/>
      <c r="I251" s="183"/>
      <c r="J251" s="191"/>
      <c r="L251" s="399" t="s">
        <v>681</v>
      </c>
      <c r="O251" s="138"/>
      <c r="P251" s="138"/>
    </row>
    <row r="252" spans="1:16">
      <c r="A252" s="48"/>
      <c r="B252" s="117"/>
      <c r="D252" s="169" t="s">
        <v>602</v>
      </c>
      <c r="E252" s="465">
        <f>E90*E253</f>
        <v>0</v>
      </c>
      <c r="F252" s="465">
        <f>F90*F253</f>
        <v>0</v>
      </c>
      <c r="G252" s="465">
        <f>G90*G253</f>
        <v>0</v>
      </c>
      <c r="H252" s="465">
        <f>H90*H253</f>
        <v>0</v>
      </c>
      <c r="I252" s="465">
        <f>I90*I253</f>
        <v>0</v>
      </c>
      <c r="J252" s="471">
        <f>I252*$J$109</f>
        <v>0</v>
      </c>
      <c r="O252" s="192"/>
      <c r="P252" s="192"/>
    </row>
    <row r="253" spans="1:16">
      <c r="A253" s="48"/>
      <c r="B253" s="117"/>
      <c r="D253" s="193"/>
      <c r="E253" s="193">
        <v>0</v>
      </c>
      <c r="F253" s="193">
        <f>E253</f>
        <v>0</v>
      </c>
      <c r="G253" s="193">
        <f>F253</f>
        <v>0</v>
      </c>
      <c r="H253" s="193">
        <f>G253</f>
        <v>0</v>
      </c>
      <c r="I253" s="193">
        <f>H253</f>
        <v>0</v>
      </c>
      <c r="J253" s="194"/>
      <c r="O253" s="195"/>
      <c r="P253" s="195"/>
    </row>
    <row r="254" spans="1:16">
      <c r="A254" s="48"/>
      <c r="B254" s="117"/>
      <c r="D254" s="169"/>
      <c r="E254" s="196" t="s">
        <v>775</v>
      </c>
      <c r="J254" s="194"/>
      <c r="O254" s="195"/>
      <c r="P254" s="195"/>
    </row>
    <row r="255" spans="1:16">
      <c r="A255" s="48"/>
      <c r="B255" s="117"/>
      <c r="D255" s="169" t="s">
        <v>603</v>
      </c>
      <c r="E255" s="465">
        <f>E256</f>
        <v>0</v>
      </c>
      <c r="F255" s="465">
        <f>F256</f>
        <v>0</v>
      </c>
      <c r="G255" s="465">
        <f>G256</f>
        <v>0</v>
      </c>
      <c r="H255" s="465">
        <f>H256</f>
        <v>0</v>
      </c>
      <c r="I255" s="465">
        <f>I256</f>
        <v>0</v>
      </c>
      <c r="J255" s="471">
        <f>I255*$J$109</f>
        <v>0</v>
      </c>
      <c r="O255" s="195"/>
      <c r="P255" s="195"/>
    </row>
    <row r="256" spans="1:16">
      <c r="A256" s="48"/>
      <c r="B256" s="117"/>
      <c r="D256" s="169"/>
      <c r="E256" s="197">
        <v>0</v>
      </c>
      <c r="F256" s="197">
        <v>0</v>
      </c>
      <c r="G256" s="197">
        <f>F256</f>
        <v>0</v>
      </c>
      <c r="H256" s="197">
        <f>G256</f>
        <v>0</v>
      </c>
      <c r="I256" s="197">
        <f>H256</f>
        <v>0</v>
      </c>
      <c r="J256" s="194"/>
      <c r="O256" s="138"/>
      <c r="P256" s="138"/>
    </row>
    <row r="257" spans="1:16">
      <c r="A257" s="48"/>
      <c r="B257" s="117"/>
      <c r="D257" s="169"/>
      <c r="E257" s="196" t="s">
        <v>774</v>
      </c>
      <c r="J257" s="194"/>
      <c r="O257" s="138"/>
      <c r="P257" s="138"/>
    </row>
    <row r="258" spans="1:16" ht="13.5" thickBot="1">
      <c r="A258" s="48"/>
      <c r="B258" s="117"/>
      <c r="D258" s="169" t="s">
        <v>604</v>
      </c>
      <c r="E258" s="472">
        <f t="shared" ref="E258:J258" si="212">E252+E255</f>
        <v>0</v>
      </c>
      <c r="F258" s="472">
        <f t="shared" si="212"/>
        <v>0</v>
      </c>
      <c r="G258" s="472">
        <f t="shared" si="212"/>
        <v>0</v>
      </c>
      <c r="H258" s="472">
        <f t="shared" si="212"/>
        <v>0</v>
      </c>
      <c r="I258" s="472">
        <f t="shared" si="212"/>
        <v>0</v>
      </c>
      <c r="J258" s="473">
        <f t="shared" si="212"/>
        <v>0</v>
      </c>
      <c r="O258" s="138"/>
      <c r="P258" s="138"/>
    </row>
    <row r="259" spans="1:16" ht="14.25" thickTop="1" thickBot="1">
      <c r="A259" s="48"/>
      <c r="B259" s="198"/>
      <c r="C259" s="94"/>
      <c r="D259" s="94"/>
      <c r="E259" s="199" t="s">
        <v>37</v>
      </c>
      <c r="F259" s="199"/>
      <c r="G259" s="199"/>
      <c r="H259" s="199"/>
      <c r="I259" s="199"/>
      <c r="J259" s="200"/>
      <c r="O259" s="138"/>
      <c r="P259" s="138"/>
    </row>
    <row r="260" spans="1:16" ht="13.5" thickBot="1">
      <c r="A260" s="48"/>
      <c r="E260" s="138"/>
      <c r="F260" s="138"/>
      <c r="G260" s="138"/>
      <c r="H260" s="138"/>
      <c r="I260" s="138"/>
      <c r="J260" s="138"/>
      <c r="O260" s="195"/>
      <c r="P260" s="195"/>
    </row>
    <row r="261" spans="1:16">
      <c r="A261" s="48"/>
      <c r="B261" s="190"/>
      <c r="C261" s="37"/>
      <c r="D261" s="413" t="s">
        <v>682</v>
      </c>
      <c r="E261" s="414" t="s">
        <v>688</v>
      </c>
      <c r="F261" s="414"/>
      <c r="G261" s="414"/>
      <c r="H261" s="414"/>
      <c r="I261" s="37"/>
      <c r="J261" s="415"/>
      <c r="O261" s="195"/>
      <c r="P261" s="195"/>
    </row>
    <row r="262" spans="1:16">
      <c r="A262" s="48"/>
      <c r="B262" s="117"/>
      <c r="D262" s="169" t="s">
        <v>683</v>
      </c>
      <c r="E262" s="138"/>
      <c r="F262" s="138"/>
      <c r="G262" s="138"/>
      <c r="H262" s="138"/>
      <c r="I262" s="138"/>
      <c r="J262" s="194"/>
      <c r="O262" s="195"/>
      <c r="P262" s="195"/>
    </row>
    <row r="263" spans="1:16">
      <c r="A263" s="48"/>
      <c r="B263" s="117"/>
      <c r="D263" s="412" t="str">
        <f>E261</f>
        <v>Treasury Stock Purchases:</v>
      </c>
      <c r="E263" s="465">
        <f>E264</f>
        <v>0</v>
      </c>
      <c r="F263" s="465">
        <f t="shared" ref="F263:I263" si="213">F264</f>
        <v>0</v>
      </c>
      <c r="G263" s="465">
        <f t="shared" si="213"/>
        <v>0</v>
      </c>
      <c r="H263" s="465">
        <f t="shared" si="213"/>
        <v>0</v>
      </c>
      <c r="I263" s="465">
        <f t="shared" si="213"/>
        <v>0</v>
      </c>
      <c r="J263" s="194"/>
      <c r="O263" s="195"/>
      <c r="P263" s="195"/>
    </row>
    <row r="264" spans="1:16">
      <c r="A264" s="48"/>
      <c r="B264" s="117"/>
      <c r="E264" s="197">
        <v>0</v>
      </c>
      <c r="F264" s="197">
        <v>0</v>
      </c>
      <c r="G264" s="197">
        <f>F264</f>
        <v>0</v>
      </c>
      <c r="H264" s="197">
        <f>G264</f>
        <v>0</v>
      </c>
      <c r="I264" s="197">
        <f>H264</f>
        <v>0</v>
      </c>
      <c r="J264" s="194"/>
      <c r="O264" s="195"/>
      <c r="P264" s="195"/>
    </row>
    <row r="265" spans="1:16">
      <c r="A265" s="48"/>
      <c r="B265" s="117"/>
      <c r="E265" s="196" t="s">
        <v>773</v>
      </c>
      <c r="J265" s="194"/>
      <c r="O265" s="195"/>
      <c r="P265" s="195"/>
    </row>
    <row r="266" spans="1:16">
      <c r="A266" s="48"/>
      <c r="B266" s="117"/>
      <c r="D266" s="169" t="s">
        <v>684</v>
      </c>
      <c r="E266" s="489">
        <f t="shared" ref="E266:J266" si="214">E248</f>
        <v>-1360.9956188442575</v>
      </c>
      <c r="F266" s="489">
        <f t="shared" si="214"/>
        <v>-1594.4170194986573</v>
      </c>
      <c r="G266" s="489">
        <f t="shared" si="214"/>
        <v>-1948.2918095076629</v>
      </c>
      <c r="H266" s="489">
        <f t="shared" si="214"/>
        <v>-2401.0105699040096</v>
      </c>
      <c r="I266" s="489">
        <f t="shared" si="214"/>
        <v>-3081.6217175411975</v>
      </c>
      <c r="J266" s="490">
        <f t="shared" si="214"/>
        <v>-3928.2917200092925</v>
      </c>
      <c r="O266" s="195"/>
      <c r="P266" s="195"/>
    </row>
    <row r="267" spans="1:16">
      <c r="A267" s="48"/>
      <c r="B267" s="117"/>
      <c r="E267" s="491" t="s">
        <v>686</v>
      </c>
      <c r="F267" s="492"/>
      <c r="G267" s="492"/>
      <c r="H267" s="492"/>
      <c r="I267" s="492"/>
      <c r="J267" s="493"/>
      <c r="O267" s="195"/>
      <c r="P267" s="195"/>
    </row>
    <row r="268" spans="1:16" ht="13.5" thickBot="1">
      <c r="A268" s="48"/>
      <c r="B268" s="117"/>
      <c r="D268" s="169" t="s">
        <v>685</v>
      </c>
      <c r="E268" s="494">
        <f t="shared" ref="E268:J268" si="215">E263+E266</f>
        <v>-1360.9956188442575</v>
      </c>
      <c r="F268" s="494">
        <f t="shared" si="215"/>
        <v>-1594.4170194986573</v>
      </c>
      <c r="G268" s="494">
        <f t="shared" si="215"/>
        <v>-1948.2918095076629</v>
      </c>
      <c r="H268" s="494">
        <f t="shared" si="215"/>
        <v>-2401.0105699040096</v>
      </c>
      <c r="I268" s="494">
        <f t="shared" si="215"/>
        <v>-3081.6217175411975</v>
      </c>
      <c r="J268" s="495">
        <f t="shared" si="215"/>
        <v>-3928.2917200092925</v>
      </c>
      <c r="O268" s="195"/>
      <c r="P268" s="195"/>
    </row>
    <row r="269" spans="1:16" ht="14.25" thickTop="1" thickBot="1">
      <c r="A269" s="48"/>
      <c r="B269" s="198"/>
      <c r="C269" s="94"/>
      <c r="D269" s="94"/>
      <c r="E269" s="199" t="s">
        <v>687</v>
      </c>
      <c r="F269" s="199"/>
      <c r="G269" s="199"/>
      <c r="H269" s="199"/>
      <c r="I269" s="199"/>
      <c r="J269" s="200"/>
      <c r="O269" s="195"/>
      <c r="P269" s="195"/>
    </row>
    <row r="270" spans="1:16">
      <c r="A270" s="48"/>
      <c r="E270" s="138"/>
      <c r="F270" s="138"/>
      <c r="G270" s="138"/>
      <c r="H270" s="138"/>
      <c r="I270" s="138"/>
      <c r="J270" s="138"/>
      <c r="O270" s="195"/>
      <c r="P270" s="195"/>
    </row>
    <row r="271" spans="1:16">
      <c r="A271" s="48"/>
      <c r="E271" s="138"/>
      <c r="F271" s="138"/>
      <c r="G271" s="138"/>
      <c r="H271" s="138"/>
      <c r="I271" s="138"/>
      <c r="J271" s="138"/>
      <c r="O271" s="195"/>
      <c r="P271" s="195"/>
    </row>
    <row r="272" spans="1:16">
      <c r="A272" s="48"/>
      <c r="E272" s="138"/>
      <c r="F272" s="138"/>
      <c r="G272" s="138"/>
      <c r="H272" s="138"/>
      <c r="I272" s="138"/>
      <c r="J272" s="138"/>
      <c r="O272" s="192"/>
      <c r="P272" s="192"/>
    </row>
    <row r="273" spans="1:16">
      <c r="A273" s="147" t="s">
        <v>461</v>
      </c>
      <c r="B273" s="148" t="s">
        <v>27</v>
      </c>
      <c r="C273" s="149"/>
      <c r="D273" s="149"/>
      <c r="E273" s="148"/>
      <c r="F273" s="149"/>
      <c r="G273" s="149"/>
      <c r="H273" s="149"/>
      <c r="I273" s="149"/>
      <c r="J273" s="150"/>
      <c r="O273" s="195"/>
      <c r="P273" s="195"/>
    </row>
    <row r="274" spans="1:16">
      <c r="A274" s="151" t="str">
        <f>Data!A9</f>
        <v>Analyst Name:</v>
      </c>
      <c r="B274" s="201" t="str">
        <f>Data!B9</f>
        <v>CAI Zonghuan</v>
      </c>
      <c r="C274" s="149"/>
      <c r="D274" s="149"/>
      <c r="E274" s="148"/>
      <c r="F274" s="149"/>
      <c r="G274" s="149"/>
      <c r="H274" s="149"/>
      <c r="I274" s="149"/>
      <c r="J274" s="150"/>
      <c r="O274" s="195"/>
      <c r="P274" s="195"/>
    </row>
    <row r="275" spans="1:16">
      <c r="A275" s="151" t="str">
        <f>Data!A10</f>
        <v>Company Name:</v>
      </c>
      <c r="B275" s="202" t="str">
        <f>Data!B10</f>
        <v>FORTINET</v>
      </c>
      <c r="C275" s="146"/>
      <c r="D275" s="146"/>
      <c r="E275" s="203"/>
      <c r="F275" s="146"/>
      <c r="G275" s="146"/>
      <c r="H275" s="146"/>
      <c r="I275" s="146"/>
      <c r="J275" s="176"/>
      <c r="O275" s="195"/>
      <c r="P275" s="195"/>
    </row>
    <row r="276" spans="1:16" ht="13.5" thickBot="1">
      <c r="A276" s="48"/>
      <c r="B276" s="55"/>
      <c r="C276" s="204"/>
      <c r="D276" s="204"/>
      <c r="E276" s="204"/>
      <c r="F276" s="204"/>
      <c r="G276" s="204"/>
      <c r="H276" s="204"/>
      <c r="I276" s="204"/>
      <c r="J276" s="204"/>
      <c r="O276" s="138"/>
      <c r="P276" s="138"/>
    </row>
    <row r="277" spans="1:16" ht="13.5" thickTop="1">
      <c r="A277" s="56"/>
      <c r="C277" s="165" t="s">
        <v>469</v>
      </c>
      <c r="D277" s="166"/>
      <c r="E277" s="167" t="s">
        <v>470</v>
      </c>
      <c r="F277" s="168"/>
      <c r="G277" s="168"/>
      <c r="H277" s="168"/>
      <c r="I277" s="168"/>
      <c r="J277" s="167"/>
      <c r="L277" s="61" t="s">
        <v>6</v>
      </c>
      <c r="O277" s="138"/>
      <c r="P277" s="138"/>
    </row>
    <row r="278" spans="1:16">
      <c r="A278" s="56" t="s">
        <v>483</v>
      </c>
      <c r="B278" s="169"/>
      <c r="C278" s="169">
        <f>C19</f>
        <v>2022</v>
      </c>
      <c r="D278" s="169">
        <f>D19</f>
        <v>2023</v>
      </c>
      <c r="E278" s="602" t="str">
        <f t="shared" ref="E278:J278" si="216">E$19</f>
        <v>Year +1</v>
      </c>
      <c r="F278" s="602" t="str">
        <f t="shared" si="216"/>
        <v>Year +2</v>
      </c>
      <c r="G278" s="602" t="str">
        <f t="shared" si="216"/>
        <v>Year +3</v>
      </c>
      <c r="H278" s="602" t="str">
        <f t="shared" si="216"/>
        <v>Year +4</v>
      </c>
      <c r="I278" s="602" t="str">
        <f t="shared" si="216"/>
        <v>Year +5</v>
      </c>
      <c r="J278" s="602" t="str">
        <f t="shared" si="216"/>
        <v>Year +6</v>
      </c>
      <c r="L278" s="17" t="s">
        <v>171</v>
      </c>
      <c r="O278" s="195"/>
      <c r="P278" s="195"/>
    </row>
    <row r="279" spans="1:16">
      <c r="A279" s="56"/>
      <c r="E279" s="597"/>
      <c r="F279" s="571"/>
      <c r="G279" s="571"/>
      <c r="H279" s="571"/>
      <c r="I279" s="571"/>
      <c r="J279" s="584"/>
      <c r="O279" s="195"/>
      <c r="P279" s="195"/>
    </row>
    <row r="280" spans="1:16">
      <c r="A280" s="56" t="s">
        <v>411</v>
      </c>
      <c r="B280" s="61"/>
      <c r="C280" s="464">
        <f t="shared" ref="C280:J280" si="217">C84</f>
        <v>856.5999999999998</v>
      </c>
      <c r="D280" s="464">
        <f t="shared" si="217"/>
        <v>1147.8000000000004</v>
      </c>
      <c r="E280" s="574">
        <f t="shared" si="217"/>
        <v>1389.2665931525751</v>
      </c>
      <c r="F280" s="574">
        <f t="shared" si="217"/>
        <v>1581.0332765188919</v>
      </c>
      <c r="G280" s="574">
        <f t="shared" si="217"/>
        <v>1900.1797532151597</v>
      </c>
      <c r="H280" s="574">
        <f t="shared" si="217"/>
        <v>2323.9124991442677</v>
      </c>
      <c r="I280" s="574">
        <f t="shared" si="217"/>
        <v>2551.0317505281218</v>
      </c>
      <c r="J280" s="574">
        <f t="shared" si="217"/>
        <v>3862.879926653191</v>
      </c>
      <c r="K280" s="17">
        <v>1</v>
      </c>
      <c r="O280" s="138"/>
      <c r="P280" s="138"/>
    </row>
    <row r="281" spans="1:16">
      <c r="A281" s="374" t="s">
        <v>605</v>
      </c>
      <c r="B281" s="61"/>
      <c r="C281" s="464">
        <f t="shared" ref="C281:J281" si="218">B151-C151</f>
        <v>68.5</v>
      </c>
      <c r="D281" s="464">
        <f t="shared" si="218"/>
        <v>72.800000000000011</v>
      </c>
      <c r="E281" s="574">
        <f t="shared" si="218"/>
        <v>137.95073791049526</v>
      </c>
      <c r="F281" s="574">
        <f t="shared" si="218"/>
        <v>150.34502001592648</v>
      </c>
      <c r="G281" s="574">
        <f t="shared" si="218"/>
        <v>160.63869369827978</v>
      </c>
      <c r="H281" s="574">
        <f t="shared" si="218"/>
        <v>169.1877743935097</v>
      </c>
      <c r="I281" s="574">
        <f t="shared" si="218"/>
        <v>605.55203619990152</v>
      </c>
      <c r="J281" s="574">
        <f t="shared" si="218"/>
        <v>47.300227866543537</v>
      </c>
      <c r="K281" s="17">
        <v>2</v>
      </c>
      <c r="L281" s="17" t="s">
        <v>172</v>
      </c>
      <c r="O281" s="138"/>
      <c r="P281" s="138"/>
    </row>
    <row r="282" spans="1:16">
      <c r="A282" s="374" t="s">
        <v>606</v>
      </c>
      <c r="B282" s="61"/>
      <c r="C282" s="464">
        <v>0</v>
      </c>
      <c r="D282" s="464">
        <v>0</v>
      </c>
      <c r="E282" s="574">
        <v>0</v>
      </c>
      <c r="F282" s="574">
        <v>0</v>
      </c>
      <c r="G282" s="574">
        <v>0</v>
      </c>
      <c r="H282" s="574">
        <v>0</v>
      </c>
      <c r="I282" s="574">
        <v>0</v>
      </c>
      <c r="J282" s="574">
        <v>0</v>
      </c>
      <c r="K282" s="17">
        <v>3</v>
      </c>
      <c r="L282" s="17" t="s">
        <v>516</v>
      </c>
      <c r="O282" s="138"/>
      <c r="P282" s="138"/>
    </row>
    <row r="283" spans="1:16">
      <c r="A283" s="374" t="s">
        <v>607</v>
      </c>
      <c r="B283" s="61"/>
      <c r="C283" s="464">
        <f t="shared" ref="C283:J283" si="219">B121-C121</f>
        <v>-454</v>
      </c>
      <c r="D283" s="464">
        <f t="shared" si="219"/>
        <v>-140.29999999999995</v>
      </c>
      <c r="E283" s="574">
        <f t="shared" si="219"/>
        <v>-42.059999999999945</v>
      </c>
      <c r="F283" s="574">
        <f t="shared" si="219"/>
        <v>-43.321799999999939</v>
      </c>
      <c r="G283" s="574">
        <f t="shared" si="219"/>
        <v>-44.621454000000085</v>
      </c>
      <c r="H283" s="574">
        <f t="shared" si="219"/>
        <v>-45.960097619999942</v>
      </c>
      <c r="I283" s="574">
        <f t="shared" si="219"/>
        <v>-47.338900548600122</v>
      </c>
      <c r="J283" s="574">
        <f t="shared" si="219"/>
        <v>-48.759067565058103</v>
      </c>
      <c r="K283" s="17">
        <v>4</v>
      </c>
      <c r="O283" s="195"/>
      <c r="P283" s="195"/>
    </row>
    <row r="284" spans="1:16">
      <c r="A284" s="374" t="s">
        <v>570</v>
      </c>
      <c r="B284" s="61"/>
      <c r="C284" s="464">
        <f t="shared" ref="C284:J284" si="220">B124-C124</f>
        <v>-88.800000000000011</v>
      </c>
      <c r="D284" s="464">
        <f t="shared" si="220"/>
        <v>-220.2</v>
      </c>
      <c r="E284" s="574">
        <f t="shared" si="220"/>
        <v>-14.54400000000004</v>
      </c>
      <c r="F284" s="574">
        <f t="shared" si="220"/>
        <v>-14.980320000000006</v>
      </c>
      <c r="G284" s="574">
        <f t="shared" si="220"/>
        <v>-15.429729599999973</v>
      </c>
      <c r="H284" s="574">
        <f t="shared" si="220"/>
        <v>-15.892621488000032</v>
      </c>
      <c r="I284" s="574">
        <f t="shared" si="220"/>
        <v>-16.369400132640067</v>
      </c>
      <c r="J284" s="574">
        <f t="shared" si="220"/>
        <v>-16.860482136619225</v>
      </c>
      <c r="K284" s="17">
        <v>5</v>
      </c>
      <c r="O284" s="138"/>
      <c r="P284" s="138"/>
    </row>
    <row r="285" spans="1:16">
      <c r="A285" s="374" t="s">
        <v>571</v>
      </c>
      <c r="B285" s="61"/>
      <c r="C285" s="464">
        <f t="shared" ref="C285:J285" si="221">B127-C127</f>
        <v>-7.6999999999999886</v>
      </c>
      <c r="D285" s="464">
        <f t="shared" si="221"/>
        <v>-28</v>
      </c>
      <c r="E285" s="574">
        <f t="shared" si="221"/>
        <v>-3.0330000000000013</v>
      </c>
      <c r="F285" s="574">
        <f t="shared" si="221"/>
        <v>-3.1239900000000063</v>
      </c>
      <c r="G285" s="574">
        <f t="shared" si="221"/>
        <v>-3.2177097000000003</v>
      </c>
      <c r="H285" s="574">
        <f t="shared" si="221"/>
        <v>-3.3142409910000055</v>
      </c>
      <c r="I285" s="574">
        <f t="shared" si="221"/>
        <v>-3.4136682207300026</v>
      </c>
      <c r="J285" s="574">
        <f t="shared" si="221"/>
        <v>-3.5160782673519009</v>
      </c>
      <c r="K285" s="17">
        <v>6</v>
      </c>
      <c r="O285" s="138"/>
      <c r="P285" s="138"/>
    </row>
    <row r="286" spans="1:16">
      <c r="A286" s="374" t="s">
        <v>572</v>
      </c>
      <c r="B286" s="61"/>
      <c r="C286" s="464">
        <f t="shared" ref="C286:J286" si="222">B133-C133</f>
        <v>0</v>
      </c>
      <c r="D286" s="464">
        <f t="shared" si="222"/>
        <v>0</v>
      </c>
      <c r="E286" s="574">
        <f t="shared" si="222"/>
        <v>0</v>
      </c>
      <c r="F286" s="574">
        <f t="shared" si="222"/>
        <v>0</v>
      </c>
      <c r="G286" s="574">
        <f t="shared" si="222"/>
        <v>0</v>
      </c>
      <c r="H286" s="574">
        <f t="shared" si="222"/>
        <v>0</v>
      </c>
      <c r="I286" s="574">
        <f t="shared" si="222"/>
        <v>0</v>
      </c>
      <c r="J286" s="574">
        <f t="shared" si="222"/>
        <v>0</v>
      </c>
      <c r="K286" s="17">
        <v>7</v>
      </c>
      <c r="L286" s="138"/>
      <c r="N286" s="138"/>
      <c r="O286" s="192"/>
      <c r="P286" s="192"/>
    </row>
    <row r="287" spans="1:16">
      <c r="A287" s="374" t="s">
        <v>573</v>
      </c>
      <c r="B287" s="61"/>
      <c r="C287" s="464">
        <f t="shared" ref="C287:J287" si="223">B136-C136</f>
        <v>0</v>
      </c>
      <c r="D287" s="464">
        <f t="shared" si="223"/>
        <v>0</v>
      </c>
      <c r="E287" s="574">
        <f t="shared" si="223"/>
        <v>0</v>
      </c>
      <c r="F287" s="574">
        <f t="shared" si="223"/>
        <v>0</v>
      </c>
      <c r="G287" s="574">
        <f t="shared" si="223"/>
        <v>0</v>
      </c>
      <c r="H287" s="574">
        <f t="shared" si="223"/>
        <v>0</v>
      </c>
      <c r="I287" s="574">
        <f t="shared" si="223"/>
        <v>0</v>
      </c>
      <c r="J287" s="574">
        <f t="shared" si="223"/>
        <v>0</v>
      </c>
      <c r="K287" s="17">
        <v>8</v>
      </c>
      <c r="L287" s="138"/>
      <c r="N287" s="138"/>
      <c r="O287" s="195"/>
      <c r="P287" s="195"/>
    </row>
    <row r="288" spans="1:16">
      <c r="A288" s="374" t="s">
        <v>608</v>
      </c>
      <c r="B288" s="61"/>
      <c r="C288" s="464">
        <f t="shared" ref="C288:J288" si="224">C171-B171</f>
        <v>95</v>
      </c>
      <c r="D288" s="464">
        <f t="shared" si="224"/>
        <v>-39.099999999999994</v>
      </c>
      <c r="E288" s="574">
        <f t="shared" si="224"/>
        <v>6.1290000000000191</v>
      </c>
      <c r="F288" s="574">
        <f t="shared" si="224"/>
        <v>6.3128700000000038</v>
      </c>
      <c r="G288" s="574">
        <f t="shared" si="224"/>
        <v>6.502256100000011</v>
      </c>
      <c r="H288" s="574">
        <f t="shared" si="224"/>
        <v>6.6973237830000016</v>
      </c>
      <c r="I288" s="574">
        <f t="shared" si="224"/>
        <v>6.8982434964900108</v>
      </c>
      <c r="J288" s="574">
        <f t="shared" si="224"/>
        <v>7.1051908013847083</v>
      </c>
      <c r="K288" s="17">
        <v>9</v>
      </c>
      <c r="L288" s="138"/>
      <c r="N288" s="138"/>
      <c r="O288" s="195"/>
      <c r="P288" s="195"/>
    </row>
    <row r="289" spans="1:16">
      <c r="A289" s="374" t="s">
        <v>609</v>
      </c>
      <c r="B289" s="61"/>
      <c r="C289" s="464">
        <f t="shared" ref="C289:J289" si="225">C174-B174</f>
        <v>69</v>
      </c>
      <c r="D289" s="464">
        <f t="shared" si="225"/>
        <v>157.39999999999998</v>
      </c>
      <c r="E289" s="574">
        <f t="shared" si="225"/>
        <v>12.711000000000013</v>
      </c>
      <c r="F289" s="574">
        <f t="shared" si="225"/>
        <v>13.092330000000004</v>
      </c>
      <c r="G289" s="574">
        <f t="shared" si="225"/>
        <v>13.485099900000023</v>
      </c>
      <c r="H289" s="574">
        <f t="shared" si="225"/>
        <v>13.889652897000019</v>
      </c>
      <c r="I289" s="574">
        <f t="shared" si="225"/>
        <v>14.306342483909987</v>
      </c>
      <c r="J289" s="574">
        <f t="shared" si="225"/>
        <v>14.735532758427325</v>
      </c>
      <c r="K289" s="17">
        <v>10</v>
      </c>
      <c r="L289" s="138"/>
      <c r="N289" s="138"/>
      <c r="O289" s="195"/>
      <c r="P289" s="195"/>
    </row>
    <row r="290" spans="1:16">
      <c r="A290" s="496" t="s">
        <v>745</v>
      </c>
      <c r="B290" s="61"/>
      <c r="C290" s="464">
        <f t="shared" ref="C290:J290" si="226">C186-B186</f>
        <v>24.400000000000006</v>
      </c>
      <c r="D290" s="464">
        <f t="shared" si="226"/>
        <v>22.900000000000006</v>
      </c>
      <c r="E290" s="574">
        <f t="shared" si="226"/>
        <v>7.2690000000000055</v>
      </c>
      <c r="F290" s="574">
        <f t="shared" si="226"/>
        <v>7.487070000000017</v>
      </c>
      <c r="G290" s="574">
        <f t="shared" si="226"/>
        <v>7.7116821000000186</v>
      </c>
      <c r="H290" s="574">
        <f t="shared" si="226"/>
        <v>7.9430325630000311</v>
      </c>
      <c r="I290" s="574">
        <f t="shared" si="226"/>
        <v>8.1813235398900019</v>
      </c>
      <c r="J290" s="574">
        <f t="shared" si="226"/>
        <v>8.4267632460866935</v>
      </c>
      <c r="K290" s="17">
        <v>11</v>
      </c>
      <c r="L290" s="138"/>
      <c r="N290" s="138"/>
      <c r="O290" s="195"/>
      <c r="P290" s="195"/>
    </row>
    <row r="291" spans="1:16">
      <c r="A291" s="496" t="s">
        <v>746</v>
      </c>
      <c r="B291" s="61"/>
      <c r="C291" s="464">
        <f t="shared" ref="C291:J291" si="227">C189-B189</f>
        <v>0</v>
      </c>
      <c r="D291" s="464">
        <f t="shared" si="227"/>
        <v>0</v>
      </c>
      <c r="E291" s="574">
        <f t="shared" si="227"/>
        <v>0</v>
      </c>
      <c r="F291" s="574">
        <f t="shared" si="227"/>
        <v>0</v>
      </c>
      <c r="G291" s="574">
        <f t="shared" si="227"/>
        <v>0</v>
      </c>
      <c r="H291" s="574">
        <f t="shared" si="227"/>
        <v>0</v>
      </c>
      <c r="I291" s="574">
        <f t="shared" si="227"/>
        <v>0</v>
      </c>
      <c r="J291" s="574">
        <f t="shared" si="227"/>
        <v>0</v>
      </c>
      <c r="K291" s="17">
        <v>12</v>
      </c>
      <c r="L291" s="138"/>
      <c r="N291" s="138"/>
      <c r="O291" s="195"/>
      <c r="P291" s="195"/>
    </row>
    <row r="292" spans="1:16">
      <c r="A292" s="374" t="s">
        <v>575</v>
      </c>
      <c r="B292" s="61"/>
      <c r="C292" s="464">
        <f t="shared" ref="C292:J292" si="228">C192-B192</f>
        <v>571.90000000000009</v>
      </c>
      <c r="D292" s="464">
        <f t="shared" si="228"/>
        <v>499.39999999999964</v>
      </c>
      <c r="E292" s="574">
        <f t="shared" si="228"/>
        <v>85.46100000000024</v>
      </c>
      <c r="F292" s="574">
        <f t="shared" si="228"/>
        <v>88.024830000000293</v>
      </c>
      <c r="G292" s="574">
        <f t="shared" si="228"/>
        <v>90.665574900000138</v>
      </c>
      <c r="H292" s="574">
        <f t="shared" si="228"/>
        <v>93.385542147000251</v>
      </c>
      <c r="I292" s="574">
        <f t="shared" si="228"/>
        <v>96.187108411410009</v>
      </c>
      <c r="J292" s="574">
        <f t="shared" si="228"/>
        <v>99.072721663752418</v>
      </c>
      <c r="K292" s="17">
        <v>13</v>
      </c>
      <c r="L292" s="138"/>
      <c r="N292" s="138"/>
      <c r="O292" s="138"/>
      <c r="P292" s="138"/>
    </row>
    <row r="293" spans="1:16">
      <c r="A293" s="374" t="s">
        <v>610</v>
      </c>
      <c r="B293" s="61"/>
      <c r="C293" s="464">
        <f t="shared" ref="C293:J293" si="229">(B130-C130)+(B154-C154)+(C183-B183)+(C204-B204)</f>
        <v>-225.7</v>
      </c>
      <c r="D293" s="464">
        <f t="shared" si="229"/>
        <v>-362.7</v>
      </c>
      <c r="E293" s="574">
        <f t="shared" si="229"/>
        <v>-26.694000000000077</v>
      </c>
      <c r="F293" s="574">
        <f t="shared" si="229"/>
        <v>-27.494819999999979</v>
      </c>
      <c r="G293" s="574">
        <f t="shared" si="229"/>
        <v>-28.319664600000021</v>
      </c>
      <c r="H293" s="574">
        <f t="shared" si="229"/>
        <v>-29.169254538000054</v>
      </c>
      <c r="I293" s="574">
        <f t="shared" si="229"/>
        <v>-30.044332174139985</v>
      </c>
      <c r="J293" s="574">
        <f t="shared" si="229"/>
        <v>-30.945662139364167</v>
      </c>
      <c r="K293" s="17">
        <v>14</v>
      </c>
      <c r="L293" s="138"/>
      <c r="M293" s="138"/>
      <c r="N293" s="138"/>
      <c r="O293" s="138"/>
      <c r="P293" s="138"/>
    </row>
    <row r="294" spans="1:16">
      <c r="A294" s="374" t="s">
        <v>611</v>
      </c>
      <c r="B294" s="61"/>
      <c r="C294" s="464">
        <f t="shared" ref="C294:J294" si="230">C201-B201</f>
        <v>0</v>
      </c>
      <c r="D294" s="464">
        <f t="shared" si="230"/>
        <v>0</v>
      </c>
      <c r="E294" s="574">
        <f t="shared" si="230"/>
        <v>0</v>
      </c>
      <c r="F294" s="574">
        <f t="shared" si="230"/>
        <v>0</v>
      </c>
      <c r="G294" s="574">
        <f t="shared" si="230"/>
        <v>0</v>
      </c>
      <c r="H294" s="574">
        <f t="shared" si="230"/>
        <v>0</v>
      </c>
      <c r="I294" s="574">
        <f t="shared" si="230"/>
        <v>0</v>
      </c>
      <c r="J294" s="574">
        <f t="shared" si="230"/>
        <v>0</v>
      </c>
      <c r="K294" s="17">
        <v>15</v>
      </c>
      <c r="L294" s="138"/>
      <c r="M294" s="138"/>
      <c r="N294" s="138"/>
      <c r="O294" s="138"/>
      <c r="P294" s="138"/>
    </row>
    <row r="295" spans="1:16">
      <c r="A295" s="374" t="s">
        <v>576</v>
      </c>
      <c r="B295" s="61"/>
      <c r="C295" s="464">
        <f t="shared" ref="C295:J295" si="231">C207-B207</f>
        <v>22.799999999999997</v>
      </c>
      <c r="D295" s="464">
        <f t="shared" si="231"/>
        <v>42.7</v>
      </c>
      <c r="E295" s="574">
        <f t="shared" si="231"/>
        <v>0</v>
      </c>
      <c r="F295" s="574">
        <f t="shared" si="231"/>
        <v>0</v>
      </c>
      <c r="G295" s="574">
        <f t="shared" si="231"/>
        <v>0</v>
      </c>
      <c r="H295" s="574">
        <f t="shared" si="231"/>
        <v>0</v>
      </c>
      <c r="I295" s="574">
        <f t="shared" si="231"/>
        <v>0</v>
      </c>
      <c r="J295" s="574">
        <f t="shared" si="231"/>
        <v>3.7409999999999997</v>
      </c>
      <c r="K295" s="17">
        <v>16</v>
      </c>
      <c r="L295" s="138"/>
      <c r="M295" s="138"/>
      <c r="N295" s="138"/>
      <c r="O295" s="195"/>
      <c r="P295" s="195"/>
    </row>
    <row r="296" spans="1:16">
      <c r="A296" s="374" t="s">
        <v>577</v>
      </c>
      <c r="B296" s="61"/>
      <c r="C296" s="464">
        <f t="shared" ref="C296:J296" si="232">C210-B210</f>
        <v>615.5</v>
      </c>
      <c r="D296" s="464">
        <f t="shared" si="232"/>
        <v>595.30000000000018</v>
      </c>
      <c r="E296" s="574">
        <f t="shared" si="232"/>
        <v>0</v>
      </c>
      <c r="F296" s="574">
        <f t="shared" si="232"/>
        <v>0</v>
      </c>
      <c r="G296" s="574">
        <f t="shared" si="232"/>
        <v>0</v>
      </c>
      <c r="H296" s="574">
        <f t="shared" si="232"/>
        <v>0</v>
      </c>
      <c r="I296" s="574">
        <f t="shared" si="232"/>
        <v>0</v>
      </c>
      <c r="J296" s="574">
        <f t="shared" si="232"/>
        <v>86.588999999999942</v>
      </c>
      <c r="K296" s="17">
        <v>17</v>
      </c>
      <c r="L296" s="138"/>
      <c r="M296" s="138"/>
      <c r="N296" s="138"/>
      <c r="O296" s="195"/>
      <c r="P296" s="195"/>
    </row>
    <row r="297" spans="1:16">
      <c r="A297" s="56" t="s">
        <v>173</v>
      </c>
      <c r="B297" s="61"/>
      <c r="C297" s="466">
        <f>SUM(C280:C296)</f>
        <v>1547.4999999999998</v>
      </c>
      <c r="D297" s="466">
        <f t="shared" ref="D297:J297" si="233">SUM(D280:D296)</f>
        <v>1748</v>
      </c>
      <c r="E297" s="574">
        <f t="shared" si="233"/>
        <v>1552.4563310630704</v>
      </c>
      <c r="F297" s="574">
        <f t="shared" si="233"/>
        <v>1757.3744665348186</v>
      </c>
      <c r="G297" s="574">
        <f t="shared" si="233"/>
        <v>2087.5945020134395</v>
      </c>
      <c r="H297" s="574">
        <f t="shared" si="233"/>
        <v>2520.6796102907779</v>
      </c>
      <c r="I297" s="574">
        <f t="shared" si="233"/>
        <v>3184.9905035836136</v>
      </c>
      <c r="J297" s="574">
        <f t="shared" si="233"/>
        <v>4029.7690728809916</v>
      </c>
      <c r="K297" s="17">
        <v>18</v>
      </c>
      <c r="L297" s="138"/>
      <c r="M297" s="138"/>
      <c r="N297" s="138"/>
      <c r="O297" s="138"/>
      <c r="P297" s="138"/>
    </row>
    <row r="298" spans="1:16">
      <c r="A298" s="374" t="s">
        <v>612</v>
      </c>
      <c r="B298" s="61"/>
      <c r="C298" s="464">
        <f t="shared" ref="C298:J298" si="234">B148-C148</f>
        <v>-279.40000000000009</v>
      </c>
      <c r="D298" s="464">
        <f t="shared" si="234"/>
        <v>-218.70000000000005</v>
      </c>
      <c r="E298" s="574">
        <f t="shared" si="234"/>
        <v>-169.50871221881312</v>
      </c>
      <c r="F298" s="574">
        <f t="shared" si="234"/>
        <v>-140.78002703616085</v>
      </c>
      <c r="G298" s="574">
        <f t="shared" si="234"/>
        <v>-116.92033850577832</v>
      </c>
      <c r="H298" s="574">
        <f t="shared" si="234"/>
        <v>-97.104439060765344</v>
      </c>
      <c r="I298" s="574">
        <f t="shared" si="234"/>
        <v>-80.646979009899724</v>
      </c>
      <c r="J298" s="574">
        <f t="shared" si="234"/>
        <v>-60.070814874942471</v>
      </c>
      <c r="K298" s="17">
        <v>19</v>
      </c>
      <c r="L298" s="138"/>
      <c r="M298" s="138"/>
      <c r="N298" s="138"/>
      <c r="O298" s="138"/>
      <c r="P298" s="138"/>
    </row>
    <row r="299" spans="1:16">
      <c r="A299" s="496" t="s">
        <v>747</v>
      </c>
      <c r="B299" s="61"/>
      <c r="C299" s="464">
        <f t="shared" ref="C299:J299" si="235">B118-C118</f>
        <v>691.4</v>
      </c>
      <c r="D299" s="464">
        <f t="shared" si="235"/>
        <v>-518.9</v>
      </c>
      <c r="E299" s="574">
        <f t="shared" si="235"/>
        <v>-30.644999999999982</v>
      </c>
      <c r="F299" s="574">
        <f t="shared" si="235"/>
        <v>-31.564350000000104</v>
      </c>
      <c r="G299" s="574">
        <f t="shared" si="235"/>
        <v>-32.511280500000112</v>
      </c>
      <c r="H299" s="574">
        <f t="shared" si="235"/>
        <v>-33.486618915000008</v>
      </c>
      <c r="I299" s="574">
        <f t="shared" si="235"/>
        <v>-34.491217482450111</v>
      </c>
      <c r="J299" s="574">
        <f t="shared" si="235"/>
        <v>-35.525954006923484</v>
      </c>
      <c r="K299" s="17">
        <v>20</v>
      </c>
      <c r="L299" s="138"/>
      <c r="M299" s="138"/>
      <c r="N299" s="138"/>
      <c r="O299" s="195"/>
      <c r="P299" s="195"/>
    </row>
    <row r="300" spans="1:16">
      <c r="A300" s="496" t="s">
        <v>748</v>
      </c>
      <c r="B300" s="61"/>
      <c r="C300" s="464">
        <f t="shared" ref="C300:J300" si="236">(B142-C142)+(B145-C145)</f>
        <v>395.3</v>
      </c>
      <c r="D300" s="464">
        <f t="shared" si="236"/>
        <v>45.5</v>
      </c>
      <c r="E300" s="574">
        <f t="shared" si="236"/>
        <v>0</v>
      </c>
      <c r="F300" s="574">
        <f t="shared" si="236"/>
        <v>0</v>
      </c>
      <c r="G300" s="574">
        <f t="shared" si="236"/>
        <v>0</v>
      </c>
      <c r="H300" s="574">
        <f t="shared" si="236"/>
        <v>0</v>
      </c>
      <c r="I300" s="574">
        <f t="shared" si="236"/>
        <v>0</v>
      </c>
      <c r="J300" s="574">
        <f t="shared" si="236"/>
        <v>0</v>
      </c>
      <c r="K300" s="17">
        <v>21</v>
      </c>
      <c r="L300" s="138"/>
      <c r="M300" s="138"/>
      <c r="N300" s="138"/>
      <c r="O300" s="138"/>
      <c r="P300" s="138"/>
    </row>
    <row r="301" spans="1:16">
      <c r="A301" s="496" t="s">
        <v>613</v>
      </c>
      <c r="B301" s="61"/>
      <c r="C301" s="464">
        <f t="shared" ref="C301:J301" si="237">B160-C160-C282</f>
        <v>7.6000000000000014</v>
      </c>
      <c r="D301" s="464">
        <f t="shared" si="237"/>
        <v>20.700000000000003</v>
      </c>
      <c r="E301" s="574">
        <f t="shared" si="237"/>
        <v>-1.0589999999999975</v>
      </c>
      <c r="F301" s="574">
        <f t="shared" si="237"/>
        <v>-1.0907699999999991</v>
      </c>
      <c r="G301" s="574">
        <f t="shared" si="237"/>
        <v>-1.1234930999999975</v>
      </c>
      <c r="H301" s="574">
        <f t="shared" si="237"/>
        <v>-1.1571978930000029</v>
      </c>
      <c r="I301" s="574">
        <f t="shared" si="237"/>
        <v>-1.1919138297900034</v>
      </c>
      <c r="J301" s="574">
        <f t="shared" si="237"/>
        <v>-1.2276712446836981</v>
      </c>
      <c r="K301" s="17">
        <v>22</v>
      </c>
      <c r="L301" s="138"/>
      <c r="M301" s="138"/>
      <c r="N301" s="138"/>
      <c r="O301" s="192"/>
      <c r="P301" s="192"/>
    </row>
    <row r="302" spans="1:16">
      <c r="A302" s="374" t="s">
        <v>614</v>
      </c>
      <c r="B302" s="61"/>
      <c r="C302" s="464">
        <f t="shared" ref="C302:J302" si="238">B163-C163</f>
        <v>-2.9000000000000057</v>
      </c>
      <c r="D302" s="464">
        <f t="shared" si="238"/>
        <v>1.5</v>
      </c>
      <c r="E302" s="574">
        <f t="shared" si="238"/>
        <v>-3.7950000000000159</v>
      </c>
      <c r="F302" s="574">
        <f t="shared" si="238"/>
        <v>-3.908850000000001</v>
      </c>
      <c r="G302" s="574">
        <f t="shared" si="238"/>
        <v>-4.0261155000000031</v>
      </c>
      <c r="H302" s="574">
        <f t="shared" si="238"/>
        <v>-4.1468989649999912</v>
      </c>
      <c r="I302" s="574">
        <f t="shared" si="238"/>
        <v>-4.2713059339500035</v>
      </c>
      <c r="J302" s="574">
        <f t="shared" si="238"/>
        <v>-4.3994451119685039</v>
      </c>
      <c r="K302" s="17">
        <v>23</v>
      </c>
      <c r="L302" s="138"/>
      <c r="M302" s="138"/>
      <c r="N302" s="138"/>
      <c r="O302" s="195"/>
      <c r="P302" s="195"/>
    </row>
    <row r="303" spans="1:16">
      <c r="A303" s="496" t="s">
        <v>749</v>
      </c>
      <c r="B303" s="61"/>
      <c r="C303" s="464">
        <f t="shared" ref="C303:J303" si="239">B157-C157</f>
        <v>-61.100000000000023</v>
      </c>
      <c r="D303" s="464">
        <f t="shared" si="239"/>
        <v>-35.399999999999977</v>
      </c>
      <c r="E303" s="574">
        <f t="shared" si="239"/>
        <v>-22.668000000000006</v>
      </c>
      <c r="F303" s="574">
        <f t="shared" si="239"/>
        <v>-23.348039999999969</v>
      </c>
      <c r="G303" s="574">
        <f t="shared" si="239"/>
        <v>-24.048481199999969</v>
      </c>
      <c r="H303" s="574">
        <f t="shared" si="239"/>
        <v>-24.769935636000014</v>
      </c>
      <c r="I303" s="574">
        <f t="shared" si="239"/>
        <v>-25.513033705080034</v>
      </c>
      <c r="J303" s="574">
        <f t="shared" si="239"/>
        <v>-26.278424716232394</v>
      </c>
      <c r="K303" s="17">
        <v>24</v>
      </c>
      <c r="L303" s="138"/>
      <c r="M303" s="138"/>
      <c r="N303" s="138"/>
      <c r="O303" s="195"/>
      <c r="P303" s="195"/>
    </row>
    <row r="304" spans="1:16">
      <c r="A304" s="374" t="s">
        <v>615</v>
      </c>
      <c r="B304" s="61"/>
      <c r="C304" s="464">
        <v>0</v>
      </c>
      <c r="D304" s="464">
        <v>0</v>
      </c>
      <c r="E304" s="574">
        <v>0</v>
      </c>
      <c r="F304" s="574">
        <v>0</v>
      </c>
      <c r="G304" s="574">
        <v>0</v>
      </c>
      <c r="H304" s="574">
        <v>0</v>
      </c>
      <c r="I304" s="574">
        <v>0</v>
      </c>
      <c r="J304" s="574">
        <v>0</v>
      </c>
      <c r="K304" s="17">
        <v>25</v>
      </c>
      <c r="L304" s="138"/>
      <c r="M304" s="138"/>
      <c r="N304" s="138"/>
      <c r="O304" s="195"/>
      <c r="P304" s="195"/>
    </row>
    <row r="305" spans="1:16">
      <c r="A305" s="56" t="s">
        <v>517</v>
      </c>
      <c r="B305" s="61"/>
      <c r="C305" s="466">
        <f>SUM(C298:C304)</f>
        <v>750.9</v>
      </c>
      <c r="D305" s="466">
        <f t="shared" ref="D305:J305" si="240">SUM(D298:D304)</f>
        <v>-705.3</v>
      </c>
      <c r="E305" s="574">
        <f t="shared" si="240"/>
        <v>-227.67571221881312</v>
      </c>
      <c r="F305" s="574">
        <f t="shared" si="240"/>
        <v>-200.69203703616091</v>
      </c>
      <c r="G305" s="574">
        <f t="shared" si="240"/>
        <v>-178.62970880577839</v>
      </c>
      <c r="H305" s="574">
        <f t="shared" si="240"/>
        <v>-160.66509046976535</v>
      </c>
      <c r="I305" s="574">
        <f t="shared" si="240"/>
        <v>-146.11444996116987</v>
      </c>
      <c r="J305" s="574">
        <f t="shared" si="240"/>
        <v>-127.50230995475056</v>
      </c>
      <c r="K305" s="17">
        <v>26</v>
      </c>
      <c r="L305" s="138"/>
      <c r="M305" s="138"/>
      <c r="N305" s="138"/>
      <c r="O305" s="138"/>
      <c r="P305" s="138"/>
    </row>
    <row r="306" spans="1:16">
      <c r="A306" s="374" t="s">
        <v>616</v>
      </c>
      <c r="B306" s="61"/>
      <c r="C306" s="464">
        <f t="shared" ref="C306:J306" si="241">C177+C180-B177-B180</f>
        <v>0</v>
      </c>
      <c r="D306" s="464">
        <f t="shared" si="241"/>
        <v>0</v>
      </c>
      <c r="E306" s="574">
        <f t="shared" si="241"/>
        <v>0</v>
      </c>
      <c r="F306" s="574">
        <f t="shared" si="241"/>
        <v>0</v>
      </c>
      <c r="G306" s="574">
        <f t="shared" si="241"/>
        <v>0</v>
      </c>
      <c r="H306" s="574">
        <f t="shared" si="241"/>
        <v>0</v>
      </c>
      <c r="I306" s="574">
        <f t="shared" si="241"/>
        <v>0</v>
      </c>
      <c r="J306" s="574">
        <f t="shared" si="241"/>
        <v>0</v>
      </c>
      <c r="K306" s="17">
        <v>27</v>
      </c>
      <c r="L306" s="138"/>
      <c r="M306" s="138"/>
      <c r="N306" s="138"/>
      <c r="O306" s="138"/>
      <c r="P306" s="138"/>
    </row>
    <row r="307" spans="1:16">
      <c r="A307" s="374" t="s">
        <v>617</v>
      </c>
      <c r="B307" s="61"/>
      <c r="C307" s="464">
        <f t="shared" ref="C307:J307" si="242">C198-B198</f>
        <v>2</v>
      </c>
      <c r="D307" s="464">
        <f t="shared" si="242"/>
        <v>1.8999999999999773</v>
      </c>
      <c r="E307" s="574">
        <f t="shared" si="242"/>
        <v>49.615000000000009</v>
      </c>
      <c r="F307" s="574">
        <f t="shared" si="242"/>
        <v>52.095749999999953</v>
      </c>
      <c r="G307" s="574">
        <f t="shared" si="242"/>
        <v>54.70053750000011</v>
      </c>
      <c r="H307" s="574">
        <f t="shared" si="242"/>
        <v>57.435564375000013</v>
      </c>
      <c r="I307" s="574">
        <f t="shared" si="242"/>
        <v>60.307342593750036</v>
      </c>
      <c r="J307" s="574">
        <f t="shared" si="242"/>
        <v>37.993625834062641</v>
      </c>
      <c r="K307" s="17">
        <v>28</v>
      </c>
      <c r="L307" s="138"/>
      <c r="M307" s="138"/>
      <c r="N307" s="138"/>
      <c r="O307" s="195"/>
      <c r="P307" s="195"/>
    </row>
    <row r="308" spans="1:16">
      <c r="A308" s="374" t="s">
        <v>678</v>
      </c>
      <c r="B308" s="61"/>
      <c r="C308" s="464">
        <f t="shared" ref="C308:J308" si="243">C218-B218</f>
        <v>0</v>
      </c>
      <c r="D308" s="464">
        <f t="shared" si="243"/>
        <v>0</v>
      </c>
      <c r="E308" s="574">
        <f t="shared" si="243"/>
        <v>0</v>
      </c>
      <c r="F308" s="574">
        <f t="shared" si="243"/>
        <v>0</v>
      </c>
      <c r="G308" s="574">
        <f t="shared" si="243"/>
        <v>0</v>
      </c>
      <c r="H308" s="574">
        <f t="shared" si="243"/>
        <v>0</v>
      </c>
      <c r="I308" s="574">
        <f t="shared" si="243"/>
        <v>0</v>
      </c>
      <c r="J308" s="574">
        <f t="shared" si="243"/>
        <v>0</v>
      </c>
      <c r="K308" s="17">
        <v>29</v>
      </c>
      <c r="L308" s="138"/>
      <c r="M308" s="138"/>
      <c r="N308" s="138"/>
      <c r="O308" s="195"/>
      <c r="P308" s="195"/>
    </row>
    <row r="309" spans="1:16">
      <c r="A309" s="374" t="s">
        <v>618</v>
      </c>
      <c r="B309" s="61"/>
      <c r="C309" s="464">
        <f t="shared" ref="C309:J309" si="244">C222-B222</f>
        <v>30.600000000000136</v>
      </c>
      <c r="D309" s="464">
        <f t="shared" si="244"/>
        <v>132.20000000000005</v>
      </c>
      <c r="E309" s="574">
        <f t="shared" si="244"/>
        <v>42.516000000000076</v>
      </c>
      <c r="F309" s="574">
        <f t="shared" si="244"/>
        <v>43.791480000000092</v>
      </c>
      <c r="G309" s="574">
        <f t="shared" si="244"/>
        <v>45.105224399999997</v>
      </c>
      <c r="H309" s="574">
        <f t="shared" si="244"/>
        <v>46.458381132000113</v>
      </c>
      <c r="I309" s="574">
        <f t="shared" si="244"/>
        <v>47.852132565960119</v>
      </c>
      <c r="J309" s="574">
        <f t="shared" si="244"/>
        <v>49.287696542938875</v>
      </c>
      <c r="K309" s="17">
        <v>30</v>
      </c>
      <c r="L309" s="138"/>
      <c r="M309" s="138"/>
      <c r="N309" s="138"/>
      <c r="O309" s="138"/>
      <c r="P309" s="138"/>
    </row>
    <row r="310" spans="1:16">
      <c r="A310" s="374" t="s">
        <v>673</v>
      </c>
      <c r="B310" s="61"/>
      <c r="C310" s="464">
        <f t="shared" ref="C310:J310" si="245">C228-B228</f>
        <v>-15.399999999999999</v>
      </c>
      <c r="D310" s="464">
        <f t="shared" si="245"/>
        <v>1.3000000000000007</v>
      </c>
      <c r="E310" s="574">
        <f t="shared" si="245"/>
        <v>0</v>
      </c>
      <c r="F310" s="574">
        <f t="shared" si="245"/>
        <v>0</v>
      </c>
      <c r="G310" s="574">
        <f t="shared" si="245"/>
        <v>0</v>
      </c>
      <c r="H310" s="574">
        <f t="shared" si="245"/>
        <v>0</v>
      </c>
      <c r="I310" s="574">
        <f t="shared" si="245"/>
        <v>0</v>
      </c>
      <c r="J310" s="574">
        <f t="shared" si="245"/>
        <v>6.7739983966522423</v>
      </c>
      <c r="K310" s="17">
        <v>31</v>
      </c>
      <c r="L310" s="138"/>
      <c r="M310" s="138"/>
      <c r="N310" s="138"/>
      <c r="O310" s="138"/>
      <c r="P310" s="138"/>
    </row>
    <row r="311" spans="1:16">
      <c r="A311" s="374" t="s">
        <v>674</v>
      </c>
      <c r="B311" s="61"/>
      <c r="C311" s="464">
        <f t="shared" ref="C311:J311" si="246">C231-B231</f>
        <v>0</v>
      </c>
      <c r="D311" s="464">
        <f t="shared" si="246"/>
        <v>0</v>
      </c>
      <c r="E311" s="574">
        <f t="shared" si="246"/>
        <v>0</v>
      </c>
      <c r="F311" s="574">
        <f t="shared" si="246"/>
        <v>0</v>
      </c>
      <c r="G311" s="574">
        <f t="shared" si="246"/>
        <v>0</v>
      </c>
      <c r="H311" s="574">
        <f t="shared" si="246"/>
        <v>0</v>
      </c>
      <c r="I311" s="574">
        <f t="shared" si="246"/>
        <v>0</v>
      </c>
      <c r="J311" s="574">
        <f t="shared" si="246"/>
        <v>0</v>
      </c>
      <c r="K311" s="17">
        <v>32</v>
      </c>
      <c r="L311" s="138"/>
      <c r="M311" s="138"/>
      <c r="N311" s="138"/>
      <c r="O311" s="195"/>
      <c r="P311" s="195"/>
    </row>
    <row r="312" spans="1:16">
      <c r="A312" s="496" t="s">
        <v>744</v>
      </c>
      <c r="B312" s="61"/>
      <c r="C312" s="464">
        <f t="shared" ref="C312:J312" si="247">C225-B225-C90</f>
        <v>-1935.7999999999997</v>
      </c>
      <c r="D312" s="464">
        <f t="shared" si="247"/>
        <v>-1463.1000000000004</v>
      </c>
      <c r="E312" s="574">
        <f t="shared" si="247"/>
        <v>-1360.9956188442575</v>
      </c>
      <c r="F312" s="574">
        <f t="shared" si="247"/>
        <v>-1594.4170194986573</v>
      </c>
      <c r="G312" s="574">
        <f t="shared" si="247"/>
        <v>-1948.2918095076629</v>
      </c>
      <c r="H312" s="574">
        <f t="shared" si="247"/>
        <v>-2401.0105699040096</v>
      </c>
      <c r="I312" s="574">
        <f t="shared" si="247"/>
        <v>-3081.6217175411975</v>
      </c>
      <c r="J312" s="574">
        <f t="shared" si="247"/>
        <v>-3928.2917200092925</v>
      </c>
      <c r="K312" s="17">
        <v>33</v>
      </c>
      <c r="L312" s="138"/>
      <c r="M312" s="138"/>
      <c r="N312" s="138"/>
      <c r="O312" s="138"/>
      <c r="P312" s="138"/>
    </row>
    <row r="313" spans="1:16">
      <c r="A313" s="374" t="s">
        <v>675</v>
      </c>
      <c r="B313" s="61"/>
      <c r="C313" s="464">
        <f t="shared" ref="C313:J313" si="248">C237-B237+C87</f>
        <v>-16</v>
      </c>
      <c r="D313" s="464">
        <f t="shared" si="248"/>
        <v>0</v>
      </c>
      <c r="E313" s="574">
        <f t="shared" si="248"/>
        <v>0</v>
      </c>
      <c r="F313" s="574">
        <f t="shared" si="248"/>
        <v>0</v>
      </c>
      <c r="G313" s="574">
        <f t="shared" si="248"/>
        <v>0</v>
      </c>
      <c r="H313" s="574">
        <f t="shared" si="248"/>
        <v>0</v>
      </c>
      <c r="I313" s="574">
        <f t="shared" si="248"/>
        <v>0</v>
      </c>
      <c r="J313" s="574">
        <f t="shared" si="248"/>
        <v>0</v>
      </c>
      <c r="L313" s="138"/>
      <c r="M313" s="138"/>
      <c r="N313" s="138"/>
      <c r="O313" s="138"/>
      <c r="P313" s="138"/>
    </row>
    <row r="314" spans="1:16">
      <c r="A314" s="56" t="s">
        <v>518</v>
      </c>
      <c r="B314" s="61"/>
      <c r="C314" s="466">
        <f>SUM(C306:C313)</f>
        <v>-1934.5999999999997</v>
      </c>
      <c r="D314" s="466">
        <f t="shared" ref="D314:J314" si="249">SUM(D306:D313)</f>
        <v>-1327.7000000000003</v>
      </c>
      <c r="E314" s="574">
        <f t="shared" si="249"/>
        <v>-1268.8646188442574</v>
      </c>
      <c r="F314" s="574">
        <f t="shared" si="249"/>
        <v>-1498.5297894986572</v>
      </c>
      <c r="G314" s="574">
        <f t="shared" si="249"/>
        <v>-1848.4860476076628</v>
      </c>
      <c r="H314" s="574">
        <f t="shared" si="249"/>
        <v>-2297.1166243970092</v>
      </c>
      <c r="I314" s="574">
        <f t="shared" si="249"/>
        <v>-2973.4622423814872</v>
      </c>
      <c r="J314" s="574">
        <f t="shared" si="249"/>
        <v>-3834.2363992356386</v>
      </c>
      <c r="K314" s="17">
        <v>34</v>
      </c>
      <c r="L314" s="138"/>
      <c r="M314" s="138"/>
      <c r="N314" s="138"/>
      <c r="O314" s="192"/>
      <c r="P314" s="192"/>
    </row>
    <row r="315" spans="1:16" ht="13.5" thickBot="1">
      <c r="A315" s="56" t="s">
        <v>361</v>
      </c>
      <c r="B315" s="61"/>
      <c r="C315" s="467">
        <f>C297+C305+C314</f>
        <v>363.79999999999995</v>
      </c>
      <c r="D315" s="467">
        <f>D297+D305+D314</f>
        <v>-285.00000000000023</v>
      </c>
      <c r="E315" s="574">
        <f t="shared" ref="E315:J315" si="250">E297+E305+E314</f>
        <v>55.91599999999994</v>
      </c>
      <c r="F315" s="574">
        <f t="shared" si="250"/>
        <v>58.152640000000474</v>
      </c>
      <c r="G315" s="574">
        <f t="shared" si="250"/>
        <v>60.478745599998319</v>
      </c>
      <c r="H315" s="574">
        <f t="shared" si="250"/>
        <v>62.897895424003309</v>
      </c>
      <c r="I315" s="574">
        <f t="shared" si="250"/>
        <v>65.41381124095642</v>
      </c>
      <c r="J315" s="574">
        <f t="shared" si="250"/>
        <v>68.030363690602371</v>
      </c>
      <c r="K315" s="17">
        <v>35</v>
      </c>
      <c r="L315" s="138"/>
      <c r="M315" s="138"/>
      <c r="N315" s="138"/>
      <c r="O315" s="195"/>
      <c r="P315" s="195"/>
    </row>
    <row r="316" spans="1:16" ht="13.5" thickTop="1">
      <c r="A316" s="371" t="s">
        <v>582</v>
      </c>
      <c r="C316" s="17">
        <v>1319.1</v>
      </c>
      <c r="D316" s="17">
        <v>1682.9</v>
      </c>
      <c r="E316" s="17">
        <f>D317</f>
        <v>1397.9</v>
      </c>
      <c r="F316" s="76">
        <f t="shared" ref="F316:J316" si="251">E317</f>
        <v>1453.816</v>
      </c>
      <c r="G316" s="76">
        <f t="shared" si="251"/>
        <v>1511.9686400000005</v>
      </c>
      <c r="H316" s="76">
        <f t="shared" si="251"/>
        <v>1572.4473855999988</v>
      </c>
      <c r="I316" s="76">
        <f t="shared" si="251"/>
        <v>1635.3452810240021</v>
      </c>
      <c r="J316" s="76">
        <f t="shared" si="251"/>
        <v>1700.7590922649586</v>
      </c>
      <c r="K316" s="183"/>
      <c r="L316" s="183"/>
      <c r="M316" s="183"/>
      <c r="N316" s="183"/>
      <c r="O316" s="195"/>
      <c r="P316" s="195"/>
    </row>
    <row r="317" spans="1:16">
      <c r="A317" s="371" t="s">
        <v>583</v>
      </c>
      <c r="C317" s="17">
        <v>1682.9</v>
      </c>
      <c r="D317" s="17">
        <v>1397.9</v>
      </c>
      <c r="E317" s="468">
        <f>E316+E315</f>
        <v>1453.816</v>
      </c>
      <c r="F317" s="468">
        <f t="shared" ref="F317:J317" si="252">F316+F315</f>
        <v>1511.9686400000005</v>
      </c>
      <c r="G317" s="468">
        <f t="shared" si="252"/>
        <v>1572.4473855999988</v>
      </c>
      <c r="H317" s="468">
        <f t="shared" si="252"/>
        <v>1635.3452810240021</v>
      </c>
      <c r="I317" s="468">
        <f t="shared" si="252"/>
        <v>1700.7590922649586</v>
      </c>
      <c r="J317" s="468">
        <f t="shared" si="252"/>
        <v>1768.7894559555609</v>
      </c>
      <c r="K317" s="205"/>
      <c r="L317" s="184" t="s">
        <v>174</v>
      </c>
      <c r="M317" s="205"/>
      <c r="N317" s="205"/>
      <c r="O317" s="195"/>
      <c r="P317" s="195"/>
    </row>
    <row r="318" spans="1:16">
      <c r="A318" s="187" t="s">
        <v>11</v>
      </c>
      <c r="C318" s="184"/>
      <c r="D318" s="184"/>
      <c r="E318" s="183"/>
      <c r="F318" s="183"/>
      <c r="G318" s="183"/>
      <c r="H318" s="183"/>
      <c r="I318" s="183"/>
      <c r="J318" s="183"/>
      <c r="K318" s="205"/>
      <c r="L318" s="205"/>
      <c r="M318" s="205"/>
      <c r="N318" s="205"/>
      <c r="O318" s="138"/>
      <c r="P318" s="138"/>
    </row>
    <row r="319" spans="1:16">
      <c r="A319" s="187" t="s">
        <v>12</v>
      </c>
      <c r="B319" s="188"/>
      <c r="C319" s="205">
        <f t="shared" ref="C319:J319" si="253">C315-(C115-B115)</f>
        <v>0</v>
      </c>
      <c r="D319" s="205">
        <f t="shared" si="253"/>
        <v>0</v>
      </c>
      <c r="E319" s="205">
        <f t="shared" si="253"/>
        <v>0</v>
      </c>
      <c r="F319" s="205">
        <f t="shared" si="253"/>
        <v>4.5474735088646412E-13</v>
      </c>
      <c r="G319" s="205">
        <f t="shared" si="253"/>
        <v>-1.8189894035458565E-12</v>
      </c>
      <c r="H319" s="205">
        <f t="shared" si="253"/>
        <v>3.1832314562052488E-12</v>
      </c>
      <c r="I319" s="205">
        <f t="shared" si="253"/>
        <v>-3.637978807091713E-12</v>
      </c>
      <c r="J319" s="205">
        <f t="shared" si="253"/>
        <v>3.865352482534945E-12</v>
      </c>
      <c r="K319" s="138"/>
      <c r="L319" s="138"/>
      <c r="M319" s="138"/>
      <c r="N319" s="138"/>
      <c r="O319" s="138"/>
      <c r="P319" s="138"/>
    </row>
    <row r="320" spans="1:16">
      <c r="A320" s="147" t="s">
        <v>461</v>
      </c>
      <c r="B320" s="148" t="s">
        <v>27</v>
      </c>
      <c r="C320" s="149"/>
      <c r="D320" s="149"/>
      <c r="E320" s="148"/>
      <c r="F320" s="149"/>
      <c r="G320" s="149"/>
      <c r="H320" s="149"/>
      <c r="I320" s="149"/>
      <c r="J320" s="150"/>
      <c r="K320" s="138"/>
      <c r="L320" s="138"/>
      <c r="M320" s="138"/>
      <c r="N320" s="138"/>
      <c r="O320" s="195"/>
      <c r="P320" s="195"/>
    </row>
    <row r="321" spans="1:16">
      <c r="A321" s="151" t="str">
        <f>Data!A9</f>
        <v>Analyst Name:</v>
      </c>
      <c r="B321" s="201" t="str">
        <f>Data!B9</f>
        <v>CAI Zonghuan</v>
      </c>
      <c r="C321" s="149"/>
      <c r="D321" s="149"/>
      <c r="E321" s="148"/>
      <c r="F321" s="149"/>
      <c r="G321" s="149"/>
      <c r="H321" s="149"/>
      <c r="I321" s="149"/>
      <c r="J321" s="150"/>
      <c r="K321" s="138"/>
      <c r="L321" s="138"/>
      <c r="M321" s="138"/>
      <c r="N321" s="138"/>
      <c r="O321" s="195"/>
      <c r="P321" s="195"/>
    </row>
    <row r="322" spans="1:16">
      <c r="A322" s="151" t="str">
        <f>Data!A10</f>
        <v>Company Name:</v>
      </c>
      <c r="B322" s="202" t="str">
        <f>Data!B10</f>
        <v>FORTINET</v>
      </c>
      <c r="C322" s="146"/>
      <c r="D322" s="146"/>
      <c r="E322" s="203"/>
      <c r="F322" s="146"/>
      <c r="G322" s="146"/>
      <c r="H322" s="146"/>
      <c r="I322" s="146"/>
      <c r="J322" s="176"/>
      <c r="K322" s="138"/>
      <c r="L322" s="138"/>
      <c r="M322" s="138"/>
      <c r="N322" s="138"/>
      <c r="O322" s="138"/>
      <c r="P322" s="138"/>
    </row>
    <row r="323" spans="1:16" ht="13.5" thickBot="1">
      <c r="A323" s="48"/>
      <c r="B323" s="204"/>
      <c r="C323" s="204"/>
      <c r="D323" s="204"/>
      <c r="E323" s="206"/>
      <c r="F323" s="206"/>
      <c r="G323" s="206"/>
      <c r="H323" s="206"/>
      <c r="I323" s="206"/>
      <c r="J323" s="206"/>
      <c r="K323" s="138"/>
      <c r="L323" s="138"/>
      <c r="M323" s="138"/>
      <c r="N323" s="138"/>
      <c r="O323" s="138"/>
      <c r="P323" s="138"/>
    </row>
    <row r="324" spans="1:16" ht="13.5" thickTop="1">
      <c r="A324" s="48"/>
      <c r="B324" s="165" t="s">
        <v>469</v>
      </c>
      <c r="C324" s="166"/>
      <c r="D324" s="166"/>
      <c r="E324" s="181" t="s">
        <v>470</v>
      </c>
      <c r="F324" s="182"/>
      <c r="G324" s="182"/>
      <c r="H324" s="182"/>
      <c r="I324" s="182"/>
      <c r="J324" s="181"/>
      <c r="K324" s="138"/>
      <c r="L324" s="138"/>
      <c r="M324" s="138"/>
      <c r="N324" s="138"/>
      <c r="O324" s="195"/>
      <c r="P324" s="195"/>
    </row>
    <row r="325" spans="1:16">
      <c r="A325" s="48"/>
      <c r="B325" s="169">
        <f>Data!E11</f>
        <v>2021</v>
      </c>
      <c r="C325" s="169">
        <f>Data!F11</f>
        <v>2022</v>
      </c>
      <c r="D325" s="169">
        <f>Data!G11</f>
        <v>2023</v>
      </c>
      <c r="E325" s="169" t="str">
        <f t="shared" ref="E325:J325" si="254">E$19</f>
        <v>Year +1</v>
      </c>
      <c r="F325" s="169" t="str">
        <f t="shared" si="254"/>
        <v>Year +2</v>
      </c>
      <c r="G325" s="169" t="str">
        <f t="shared" si="254"/>
        <v>Year +3</v>
      </c>
      <c r="H325" s="169" t="str">
        <f t="shared" si="254"/>
        <v>Year +4</v>
      </c>
      <c r="I325" s="169" t="str">
        <f t="shared" si="254"/>
        <v>Year +5</v>
      </c>
      <c r="J325" s="169" t="str">
        <f t="shared" si="254"/>
        <v>Year +6</v>
      </c>
      <c r="K325" s="169"/>
      <c r="L325" s="169"/>
      <c r="M325" s="169"/>
      <c r="N325" s="169"/>
      <c r="O325" s="138"/>
      <c r="P325" s="138"/>
    </row>
    <row r="326" spans="1:16">
      <c r="A326" s="207" t="s">
        <v>13</v>
      </c>
      <c r="L326" s="61" t="s">
        <v>7</v>
      </c>
      <c r="O326" s="192"/>
      <c r="P326" s="192"/>
    </row>
    <row r="327" spans="1:16">
      <c r="A327" s="120" t="s">
        <v>447</v>
      </c>
      <c r="L327" s="17" t="s">
        <v>8</v>
      </c>
      <c r="O327" s="195"/>
      <c r="P327" s="195"/>
    </row>
    <row r="328" spans="1:16">
      <c r="A328" s="106" t="s">
        <v>28</v>
      </c>
      <c r="B328" s="208">
        <f>Analysis!D165</f>
        <v>0.28823620104841186</v>
      </c>
      <c r="C328" s="208">
        <f>Analysis!E165</f>
        <v>0.32170426665070906</v>
      </c>
      <c r="D328" s="208">
        <f>Analysis!F165</f>
        <v>0.20088739982795323</v>
      </c>
      <c r="E328" s="209">
        <f t="shared" ref="E328:J328" si="255">E21/D21-1</f>
        <v>0.1156303724928367</v>
      </c>
      <c r="F328" s="209">
        <f t="shared" si="255"/>
        <v>0.14001478829021541</v>
      </c>
      <c r="G328" s="209">
        <f t="shared" si="255"/>
        <v>0.16025926767846577</v>
      </c>
      <c r="H328" s="209">
        <f t="shared" si="255"/>
        <v>0.18050034191831732</v>
      </c>
      <c r="I328" s="209">
        <f t="shared" si="255"/>
        <v>0.20073802803934626</v>
      </c>
      <c r="J328" s="209">
        <f t="shared" si="255"/>
        <v>0.22097234569585744</v>
      </c>
      <c r="K328" s="192"/>
      <c r="L328" s="192"/>
      <c r="M328" s="192"/>
      <c r="N328" s="192"/>
      <c r="O328" s="195"/>
      <c r="P328" s="195"/>
    </row>
    <row r="329" spans="1:16">
      <c r="A329" s="106" t="s">
        <v>14</v>
      </c>
      <c r="B329" s="208">
        <f>Analysis!D186</f>
        <v>0.24196519959058294</v>
      </c>
      <c r="C329" s="208">
        <f>Analysis!E186</f>
        <v>0.41190044503049261</v>
      </c>
      <c r="D329" s="208">
        <f>Analysis!F186</f>
        <v>0.33994863413495291</v>
      </c>
      <c r="E329" s="209">
        <f t="shared" ref="E329:J329" si="256">E84/D84-1</f>
        <v>0.21037340403604676</v>
      </c>
      <c r="F329" s="209">
        <f t="shared" si="256"/>
        <v>0.13803447395301771</v>
      </c>
      <c r="G329" s="209">
        <f t="shared" si="256"/>
        <v>0.20185943043460952</v>
      </c>
      <c r="H329" s="209">
        <f t="shared" si="256"/>
        <v>0.22299613771388715</v>
      </c>
      <c r="I329" s="209">
        <f t="shared" si="256"/>
        <v>9.7731412636011816E-2</v>
      </c>
      <c r="J329" s="209">
        <f t="shared" si="256"/>
        <v>0.51424219861375176</v>
      </c>
      <c r="K329" s="192"/>
      <c r="L329" s="192"/>
      <c r="M329" s="192"/>
      <c r="N329" s="192"/>
      <c r="O329" s="195"/>
      <c r="P329" s="195"/>
    </row>
    <row r="330" spans="1:16">
      <c r="A330" s="106" t="s">
        <v>15</v>
      </c>
      <c r="B330" s="208">
        <f>Analysis!D268</f>
        <v>0.46349363332921278</v>
      </c>
      <c r="C330" s="208">
        <f>Analysis!E268</f>
        <v>5.2186987886671421E-2</v>
      </c>
      <c r="D330" s="208">
        <f>Analysis!F268</f>
        <v>0.16552665382145193</v>
      </c>
      <c r="E330" s="209">
        <f t="shared" ref="E330:J330" si="257">E166/D166-1</f>
        <v>3.1956904532135288E-2</v>
      </c>
      <c r="F330" s="209">
        <f t="shared" si="257"/>
        <v>2.6354820599969297E-2</v>
      </c>
      <c r="G330" s="209">
        <f t="shared" si="257"/>
        <v>2.2119126873875405E-2</v>
      </c>
      <c r="H330" s="209">
        <f t="shared" si="257"/>
        <v>1.8923999247341783E-2</v>
      </c>
      <c r="I330" s="209">
        <f t="shared" si="257"/>
        <v>-3.7074455346313373E-2</v>
      </c>
      <c r="J330" s="209">
        <f t="shared" si="257"/>
        <v>3.220585461643366E-2</v>
      </c>
      <c r="K330" s="192"/>
      <c r="L330" s="192"/>
      <c r="M330" s="192"/>
      <c r="N330" s="192"/>
      <c r="O330" s="138"/>
      <c r="P330" s="138"/>
    </row>
    <row r="331" spans="1:16">
      <c r="A331" s="106"/>
      <c r="E331" s="138"/>
      <c r="F331" s="138"/>
      <c r="G331" s="138"/>
      <c r="H331" s="138"/>
      <c r="I331" s="138"/>
      <c r="J331" s="138"/>
      <c r="K331" s="138"/>
      <c r="L331" s="138"/>
      <c r="M331" s="138"/>
      <c r="N331" s="138"/>
      <c r="O331" s="138"/>
      <c r="P331" s="138"/>
    </row>
    <row r="332" spans="1:16">
      <c r="A332" s="210" t="s">
        <v>164</v>
      </c>
      <c r="E332" s="61"/>
      <c r="F332" s="61"/>
      <c r="G332" s="61"/>
      <c r="H332" s="61"/>
      <c r="I332" s="61"/>
      <c r="J332" s="61"/>
      <c r="K332" s="61"/>
      <c r="L332" s="61"/>
      <c r="M332" s="61"/>
      <c r="N332" s="61"/>
      <c r="O332" s="195"/>
      <c r="P332" s="195"/>
    </row>
    <row r="333" spans="1:16">
      <c r="A333" s="106" t="s">
        <v>426</v>
      </c>
      <c r="B333" s="208">
        <f>Analysis!D24</f>
        <v>0.18378313685596312</v>
      </c>
      <c r="C333" s="208">
        <f>Analysis!E24</f>
        <v>0.19590143523339518</v>
      </c>
      <c r="D333" s="208">
        <f>Analysis!F24</f>
        <v>0.21711751621173284</v>
      </c>
      <c r="E333" s="209">
        <f t="shared" ref="E333:J333" si="258">(E84+(1+(E75/E71))*-E62)/E21</f>
        <v>0.23733247313076064</v>
      </c>
      <c r="F333" s="209">
        <f t="shared" si="258"/>
        <v>0.23672038931873463</v>
      </c>
      <c r="G333" s="209">
        <f t="shared" si="258"/>
        <v>0.24489588312789784</v>
      </c>
      <c r="H333" s="209">
        <f t="shared" si="258"/>
        <v>0.25339561587412224</v>
      </c>
      <c r="I333" s="209">
        <f t="shared" si="258"/>
        <v>0.23158154125746538</v>
      </c>
      <c r="J333" s="209">
        <f t="shared" si="258"/>
        <v>0.28654066357469793</v>
      </c>
      <c r="K333" s="192"/>
      <c r="L333" s="192"/>
      <c r="M333" s="192"/>
      <c r="N333" s="192"/>
      <c r="O333" s="195"/>
      <c r="P333" s="195"/>
    </row>
    <row r="334" spans="1:16">
      <c r="A334" s="106" t="s">
        <v>427</v>
      </c>
      <c r="B334" s="211">
        <f>Analysis!D25</f>
        <v>0.67088201051828633</v>
      </c>
      <c r="C334" s="211">
        <f>Analysis!E25</f>
        <v>0.7273176313688039</v>
      </c>
      <c r="D334" s="211">
        <f>Analysis!F25</f>
        <v>0.78665964750980577</v>
      </c>
      <c r="E334" s="195">
        <f t="shared" ref="E334:J334" si="259">E21/((E166+D166)/2)</f>
        <v>0.80247966006640992</v>
      </c>
      <c r="F334" s="195">
        <f t="shared" si="259"/>
        <v>0.88895946073449983</v>
      </c>
      <c r="G334" s="195">
        <f t="shared" si="259"/>
        <v>1.0070435047120685</v>
      </c>
      <c r="H334" s="195">
        <f t="shared" si="259"/>
        <v>1.1649293870101098</v>
      </c>
      <c r="I334" s="195">
        <f t="shared" si="259"/>
        <v>1.4119594310827686</v>
      </c>
      <c r="J334" s="195">
        <f t="shared" si="259"/>
        <v>1.7293044809431994</v>
      </c>
      <c r="K334" s="195"/>
      <c r="L334" s="195"/>
      <c r="M334" s="195"/>
      <c r="N334" s="195"/>
      <c r="O334" s="138"/>
      <c r="P334" s="138"/>
    </row>
    <row r="335" spans="1:16">
      <c r="A335" s="212" t="s">
        <v>428</v>
      </c>
      <c r="B335" s="208">
        <f>Analysis!D26</f>
        <v>0.12329680035328591</v>
      </c>
      <c r="C335" s="208">
        <f>Analysis!E26</f>
        <v>0.14248256785570212</v>
      </c>
      <c r="D335" s="208">
        <f>Analysis!F26</f>
        <v>0.17079758877132628</v>
      </c>
      <c r="E335" s="209">
        <f t="shared" ref="E335:J335" si="260">(E84+(1+(E75/E71))*-E62)/((E166+D166)/2)</f>
        <v>0.19045448236069315</v>
      </c>
      <c r="F335" s="209">
        <f t="shared" si="260"/>
        <v>0.21043482963364321</v>
      </c>
      <c r="G335" s="209">
        <f t="shared" si="260"/>
        <v>0.24662080843467535</v>
      </c>
      <c r="H335" s="209">
        <f t="shared" si="260"/>
        <v>0.29518799947129049</v>
      </c>
      <c r="I335" s="209">
        <f t="shared" si="260"/>
        <v>0.32698374124316149</v>
      </c>
      <c r="J335" s="209">
        <f t="shared" si="260"/>
        <v>0.49551605349216293</v>
      </c>
      <c r="K335" s="192"/>
      <c r="L335" s="192"/>
      <c r="M335" s="192"/>
      <c r="N335" s="192"/>
      <c r="O335" s="138"/>
      <c r="P335" s="138"/>
    </row>
    <row r="336" spans="1:16">
      <c r="A336" s="212"/>
      <c r="B336" s="208"/>
      <c r="C336" s="208"/>
      <c r="D336" s="208"/>
      <c r="E336" s="209"/>
      <c r="F336" s="209"/>
      <c r="G336" s="209"/>
      <c r="H336" s="209"/>
      <c r="I336" s="209"/>
      <c r="J336" s="209"/>
      <c r="K336" s="192"/>
      <c r="L336" s="192"/>
      <c r="M336" s="192"/>
      <c r="N336" s="192"/>
      <c r="O336" s="195"/>
      <c r="P336" s="195"/>
    </row>
    <row r="337" spans="1:16">
      <c r="A337" s="210" t="s">
        <v>165</v>
      </c>
      <c r="E337" s="61"/>
      <c r="F337" s="61"/>
      <c r="G337" s="61"/>
      <c r="H337" s="61"/>
      <c r="I337" s="61"/>
      <c r="J337" s="61"/>
      <c r="K337" s="192"/>
      <c r="L337" s="192"/>
      <c r="M337" s="192"/>
      <c r="N337" s="192"/>
      <c r="O337" s="138"/>
      <c r="P337" s="138"/>
    </row>
    <row r="338" spans="1:16">
      <c r="A338" s="106" t="s">
        <v>426</v>
      </c>
      <c r="B338" s="208">
        <f>Analysis!D29</f>
        <v>0.1851624678355574</v>
      </c>
      <c r="C338" s="208">
        <f>Analysis!E29</f>
        <v>0.21064087472268753</v>
      </c>
      <c r="D338" s="208">
        <f>Analysis!F29</f>
        <v>0.22449008445181726</v>
      </c>
      <c r="E338" s="209">
        <f t="shared" ref="E338:J338" si="261">(E71-E62-E52-E68)*(1+(E75/E71))/E21</f>
        <v>0.24450247313076062</v>
      </c>
      <c r="F338" s="209">
        <f t="shared" si="261"/>
        <v>0.24389038931873461</v>
      </c>
      <c r="G338" s="209">
        <f t="shared" si="261"/>
        <v>0.25206588312789785</v>
      </c>
      <c r="H338" s="209">
        <f t="shared" si="261"/>
        <v>0.2605656158741223</v>
      </c>
      <c r="I338" s="209">
        <f t="shared" si="261"/>
        <v>0.23875154125746542</v>
      </c>
      <c r="J338" s="209">
        <f t="shared" si="261"/>
        <v>0.29371066357469794</v>
      </c>
      <c r="K338" s="192"/>
      <c r="L338" s="192"/>
      <c r="M338" s="192"/>
      <c r="N338" s="192"/>
      <c r="O338" s="192"/>
      <c r="P338" s="192"/>
    </row>
    <row r="339" spans="1:16">
      <c r="A339" s="106" t="s">
        <v>427</v>
      </c>
      <c r="B339" s="211">
        <f>Analysis!D30</f>
        <v>0.67088201051828633</v>
      </c>
      <c r="C339" s="211">
        <f>Analysis!E30</f>
        <v>0.7273176313688039</v>
      </c>
      <c r="D339" s="211">
        <f>Analysis!F30</f>
        <v>0.78665964750980577</v>
      </c>
      <c r="E339" s="195">
        <f t="shared" ref="E339:J339" si="262">E21/((E166+D166)/2)</f>
        <v>0.80247966006640992</v>
      </c>
      <c r="F339" s="195">
        <f t="shared" si="262"/>
        <v>0.88895946073449983</v>
      </c>
      <c r="G339" s="195">
        <f t="shared" si="262"/>
        <v>1.0070435047120685</v>
      </c>
      <c r="H339" s="195">
        <f t="shared" si="262"/>
        <v>1.1649293870101098</v>
      </c>
      <c r="I339" s="195">
        <f t="shared" si="262"/>
        <v>1.4119594310827686</v>
      </c>
      <c r="J339" s="195">
        <f t="shared" si="262"/>
        <v>1.7293044809431994</v>
      </c>
      <c r="K339" s="192"/>
      <c r="L339" s="192"/>
      <c r="M339" s="192"/>
      <c r="N339" s="192"/>
      <c r="O339" s="195"/>
      <c r="P339" s="195"/>
    </row>
    <row r="340" spans="1:16">
      <c r="A340" s="212" t="s">
        <v>428</v>
      </c>
      <c r="B340" s="208">
        <f>Analysis!D31</f>
        <v>0.12422216869404629</v>
      </c>
      <c r="C340" s="208">
        <f>Analysis!E31</f>
        <v>0.15320282207275804</v>
      </c>
      <c r="D340" s="208">
        <f>Analysis!F31</f>
        <v>0.1765972907043131</v>
      </c>
      <c r="E340" s="209">
        <f t="shared" ref="E340:J340" si="263">(E71-E62-E52-E68)*(1+(E75/E71))/((E166+D166)/2)</f>
        <v>0.19620826152336929</v>
      </c>
      <c r="F340" s="209">
        <f t="shared" si="263"/>
        <v>0.21680866896710954</v>
      </c>
      <c r="G340" s="209">
        <f t="shared" si="263"/>
        <v>0.25384131036346086</v>
      </c>
      <c r="H340" s="209">
        <f t="shared" si="263"/>
        <v>0.30354054317615303</v>
      </c>
      <c r="I340" s="209">
        <f t="shared" si="263"/>
        <v>0.33710749036402499</v>
      </c>
      <c r="J340" s="209">
        <f t="shared" si="263"/>
        <v>0.50791516662052572</v>
      </c>
      <c r="K340" s="192"/>
      <c r="L340" s="192"/>
      <c r="M340" s="192"/>
      <c r="N340" s="192"/>
      <c r="O340" s="195"/>
      <c r="P340" s="195"/>
    </row>
    <row r="341" spans="1:16">
      <c r="A341" s="212"/>
      <c r="E341" s="61"/>
      <c r="F341" s="61"/>
      <c r="G341" s="61"/>
      <c r="H341" s="61"/>
      <c r="I341" s="61"/>
      <c r="J341" s="61"/>
      <c r="K341" s="61"/>
      <c r="L341" s="61"/>
      <c r="M341" s="61"/>
      <c r="N341" s="61"/>
      <c r="O341" s="195"/>
      <c r="P341" s="195"/>
    </row>
    <row r="342" spans="1:16">
      <c r="A342" s="210" t="s">
        <v>166</v>
      </c>
      <c r="E342" s="61"/>
      <c r="F342" s="61"/>
      <c r="G342" s="61"/>
      <c r="H342" s="61"/>
      <c r="I342" s="61"/>
      <c r="J342" s="61"/>
      <c r="K342" s="61"/>
      <c r="L342" s="61"/>
      <c r="M342" s="61"/>
      <c r="N342" s="61"/>
      <c r="O342" s="138"/>
      <c r="P342" s="138"/>
    </row>
    <row r="343" spans="1:16">
      <c r="A343" s="106" t="s">
        <v>429</v>
      </c>
      <c r="B343" s="208">
        <f>Analysis!D34</f>
        <v>0.18155705822512117</v>
      </c>
      <c r="C343" s="208">
        <f>Analysis!E34</f>
        <v>0.19407343686331324</v>
      </c>
      <c r="D343" s="208">
        <f>Analysis!F34</f>
        <v>0.21637007992761279</v>
      </c>
      <c r="E343" s="209">
        <f t="shared" ref="E343:J343" si="264">(E84-E255)/E21</f>
        <v>0.23474494476907745</v>
      </c>
      <c r="F343" s="209">
        <f t="shared" si="264"/>
        <v>0.23433717042747607</v>
      </c>
      <c r="G343" s="209">
        <f t="shared" si="264"/>
        <v>0.24273914117760217</v>
      </c>
      <c r="H343" s="209">
        <f t="shared" si="264"/>
        <v>0.25147729449174083</v>
      </c>
      <c r="I343" s="209">
        <f t="shared" si="264"/>
        <v>0.22990404174927589</v>
      </c>
      <c r="J343" s="209">
        <f t="shared" si="264"/>
        <v>0.28512554184853756</v>
      </c>
      <c r="K343" s="192"/>
      <c r="L343" s="192"/>
      <c r="M343" s="192"/>
      <c r="N343" s="192"/>
      <c r="O343" s="138"/>
      <c r="P343" s="138"/>
    </row>
    <row r="344" spans="1:16">
      <c r="A344" s="106" t="s">
        <v>427</v>
      </c>
      <c r="B344" s="195">
        <f>Analysis!D35</f>
        <v>0.67088201051828633</v>
      </c>
      <c r="C344" s="195">
        <f>Analysis!E35</f>
        <v>0.7273176313688039</v>
      </c>
      <c r="D344" s="195">
        <f>Analysis!F35</f>
        <v>0.78665964750980577</v>
      </c>
      <c r="E344" s="195">
        <f t="shared" ref="E344:J344" si="265">E21/((E166+D166)/2)</f>
        <v>0.80247966006640992</v>
      </c>
      <c r="F344" s="195">
        <f t="shared" si="265"/>
        <v>0.88895946073449983</v>
      </c>
      <c r="G344" s="195">
        <f t="shared" si="265"/>
        <v>1.0070435047120685</v>
      </c>
      <c r="H344" s="195">
        <f t="shared" si="265"/>
        <v>1.1649293870101098</v>
      </c>
      <c r="I344" s="195">
        <f t="shared" si="265"/>
        <v>1.4119594310827686</v>
      </c>
      <c r="J344" s="195">
        <f t="shared" si="265"/>
        <v>1.7293044809431994</v>
      </c>
      <c r="K344" s="195"/>
      <c r="L344" s="195"/>
      <c r="M344" s="195"/>
      <c r="N344" s="195"/>
      <c r="O344" s="195"/>
      <c r="P344" s="195"/>
    </row>
    <row r="345" spans="1:16">
      <c r="A345" s="106" t="s">
        <v>430</v>
      </c>
      <c r="B345" s="195">
        <f>Analysis!D36</f>
        <v>6.0838981498442948</v>
      </c>
      <c r="C345" s="195">
        <f>Analysis!E36</f>
        <v>24.289342131573697</v>
      </c>
      <c r="D345" s="195">
        <f>Analysis!F36</f>
        <v>-18.103221476510068</v>
      </c>
      <c r="E345" s="195">
        <f t="shared" ref="E345:J345" si="266">((E166+D166)/2)/((E234+D234)/2)</f>
        <v>-17.230779826498662</v>
      </c>
      <c r="F345" s="195">
        <f t="shared" si="266"/>
        <v>-20.10969295100389</v>
      </c>
      <c r="G345" s="195">
        <f t="shared" si="266"/>
        <v>-21.372382959057799</v>
      </c>
      <c r="H345" s="195">
        <f t="shared" si="266"/>
        <v>-20.846360660210163</v>
      </c>
      <c r="I345" s="195">
        <f t="shared" si="266"/>
        <v>-12.332670974136922</v>
      </c>
      <c r="J345" s="195">
        <f t="shared" si="266"/>
        <v>-8.8697779438829869</v>
      </c>
      <c r="K345" s="195"/>
      <c r="L345" s="195"/>
      <c r="M345" s="195"/>
      <c r="N345" s="195"/>
      <c r="O345" s="195"/>
      <c r="P345" s="195"/>
    </row>
    <row r="346" spans="1:16">
      <c r="A346" s="212" t="s">
        <v>431</v>
      </c>
      <c r="B346" s="208">
        <f>Analysis!D37</f>
        <v>0.74103926238016726</v>
      </c>
      <c r="C346" s="208">
        <f>Analysis!E37</f>
        <v>3.4285142971405724</v>
      </c>
      <c r="D346" s="208">
        <f>Analysis!F37</f>
        <v>-3.0813422818791958</v>
      </c>
      <c r="E346" s="209">
        <f t="shared" ref="E346:J346" si="267">(E84-E255)/((E234+D234)/2)</f>
        <v>-3.2459005913607659</v>
      </c>
      <c r="F346" s="209">
        <f t="shared" si="267"/>
        <v>-4.1891757166832182</v>
      </c>
      <c r="G346" s="209">
        <f t="shared" si="267"/>
        <v>-5.2244549802910898</v>
      </c>
      <c r="H346" s="209">
        <f t="shared" si="267"/>
        <v>-6.1070099507590818</v>
      </c>
      <c r="I346" s="209">
        <f t="shared" si="267"/>
        <v>-4.0033722080507896</v>
      </c>
      <c r="J346" s="209">
        <f t="shared" si="267"/>
        <v>-4.3734114513605187</v>
      </c>
      <c r="K346" s="192"/>
      <c r="L346" s="192"/>
      <c r="M346" s="192"/>
      <c r="N346" s="192"/>
      <c r="O346" s="138"/>
      <c r="P346" s="138"/>
    </row>
    <row r="347" spans="1:16">
      <c r="A347" s="212"/>
      <c r="B347" s="208"/>
      <c r="C347" s="208"/>
      <c r="D347" s="208"/>
      <c r="E347" s="209"/>
      <c r="F347" s="209"/>
      <c r="G347" s="209"/>
      <c r="H347" s="209"/>
      <c r="I347" s="209"/>
      <c r="J347" s="209"/>
      <c r="K347" s="192"/>
      <c r="L347" s="192"/>
      <c r="M347" s="192"/>
      <c r="N347" s="192"/>
      <c r="O347" s="138"/>
      <c r="P347" s="138"/>
    </row>
    <row r="348" spans="1:16">
      <c r="A348" s="210" t="s">
        <v>222</v>
      </c>
      <c r="E348" s="61"/>
      <c r="F348" s="61"/>
      <c r="G348" s="61"/>
      <c r="H348" s="61"/>
      <c r="I348" s="61"/>
      <c r="J348" s="61"/>
      <c r="K348" s="192"/>
      <c r="L348" s="192"/>
      <c r="M348" s="192"/>
      <c r="N348" s="192"/>
      <c r="O348" s="195"/>
      <c r="P348" s="195"/>
    </row>
    <row r="349" spans="1:16">
      <c r="A349" s="106" t="s">
        <v>429</v>
      </c>
      <c r="B349" s="208">
        <f>Analysis!D40</f>
        <v>0.18293638920471544</v>
      </c>
      <c r="C349" s="208">
        <f>Analysis!E40</f>
        <v>0.20881287635260559</v>
      </c>
      <c r="D349" s="208">
        <f>Analysis!F40</f>
        <v>0.22374264816769723</v>
      </c>
      <c r="E349" s="209">
        <f t="shared" ref="E349:J349" si="268">(E84-E255-((1+(E75/E71))*(E52+E68))-E78-E81)/E21</f>
        <v>0.24191494476907743</v>
      </c>
      <c r="F349" s="209">
        <f t="shared" si="268"/>
        <v>0.2415071704274761</v>
      </c>
      <c r="G349" s="209">
        <f t="shared" si="268"/>
        <v>0.24990914117760216</v>
      </c>
      <c r="H349" s="209">
        <f t="shared" si="268"/>
        <v>0.25864729449174084</v>
      </c>
      <c r="I349" s="209">
        <f t="shared" si="268"/>
        <v>0.23707404174927588</v>
      </c>
      <c r="J349" s="209">
        <f t="shared" si="268"/>
        <v>0.29229554184853757</v>
      </c>
      <c r="K349" s="192"/>
      <c r="L349" s="192"/>
      <c r="M349" s="192"/>
      <c r="N349" s="192"/>
      <c r="O349" s="138"/>
      <c r="P349" s="138"/>
    </row>
    <row r="350" spans="1:16">
      <c r="A350" s="106" t="s">
        <v>427</v>
      </c>
      <c r="B350" s="195">
        <f>Analysis!D41</f>
        <v>0.67088201051828633</v>
      </c>
      <c r="C350" s="195">
        <f>Analysis!E41</f>
        <v>0.7273176313688039</v>
      </c>
      <c r="D350" s="195">
        <f>Analysis!F41</f>
        <v>0.78665964750980577</v>
      </c>
      <c r="E350" s="195">
        <f t="shared" ref="E350:J350" si="269">E21/((E166+D166)/2)</f>
        <v>0.80247966006640992</v>
      </c>
      <c r="F350" s="195">
        <f t="shared" si="269"/>
        <v>0.88895946073449983</v>
      </c>
      <c r="G350" s="195">
        <f t="shared" si="269"/>
        <v>1.0070435047120685</v>
      </c>
      <c r="H350" s="195">
        <f t="shared" si="269"/>
        <v>1.1649293870101098</v>
      </c>
      <c r="I350" s="195">
        <f t="shared" si="269"/>
        <v>1.4119594310827686</v>
      </c>
      <c r="J350" s="195">
        <f t="shared" si="269"/>
        <v>1.7293044809431994</v>
      </c>
      <c r="K350" s="192"/>
      <c r="L350" s="192"/>
      <c r="M350" s="192"/>
      <c r="N350" s="192"/>
      <c r="O350" s="192"/>
      <c r="P350" s="192"/>
    </row>
    <row r="351" spans="1:16">
      <c r="A351" s="106" t="s">
        <v>430</v>
      </c>
      <c r="B351" s="195">
        <f>Analysis!D42</f>
        <v>6.0838981498442948</v>
      </c>
      <c r="C351" s="195">
        <f>Analysis!E42</f>
        <v>24.289342131573697</v>
      </c>
      <c r="D351" s="195">
        <f>Analysis!F42</f>
        <v>-18.103221476510068</v>
      </c>
      <c r="E351" s="195">
        <f t="shared" ref="E351:J351" si="270">((E166+D166)/2)/((E234+D234)/2)</f>
        <v>-17.230779826498662</v>
      </c>
      <c r="F351" s="195">
        <f t="shared" si="270"/>
        <v>-20.10969295100389</v>
      </c>
      <c r="G351" s="195">
        <f t="shared" si="270"/>
        <v>-21.372382959057799</v>
      </c>
      <c r="H351" s="195">
        <f t="shared" si="270"/>
        <v>-20.846360660210163</v>
      </c>
      <c r="I351" s="195">
        <f t="shared" si="270"/>
        <v>-12.332670974136922</v>
      </c>
      <c r="J351" s="195">
        <f t="shared" si="270"/>
        <v>-8.8697779438829869</v>
      </c>
      <c r="K351" s="192"/>
      <c r="L351" s="192"/>
      <c r="M351" s="192"/>
      <c r="N351" s="192"/>
      <c r="O351" s="195"/>
      <c r="P351" s="195"/>
    </row>
    <row r="352" spans="1:16">
      <c r="A352" s="212" t="s">
        <v>431</v>
      </c>
      <c r="B352" s="208">
        <f>Analysis!D43</f>
        <v>0.74666910911644369</v>
      </c>
      <c r="C352" s="208">
        <f>Analysis!E43</f>
        <v>3.6889022195560894</v>
      </c>
      <c r="D352" s="208">
        <f>Analysis!F43</f>
        <v>-3.1863355704697995</v>
      </c>
      <c r="E352" s="209">
        <f t="shared" ref="E352:J352" si="271">(E84-E255-((1+(E75/E71))*(E52+E68))-E78-E81)/((E234+D234)/2)</f>
        <v>-3.3450426932831343</v>
      </c>
      <c r="F352" s="209">
        <f t="shared" si="271"/>
        <v>-4.3173516685982589</v>
      </c>
      <c r="G352" s="209">
        <f t="shared" si="271"/>
        <v>-5.3787743126697096</v>
      </c>
      <c r="H352" s="209">
        <f t="shared" si="271"/>
        <v>-6.2811300892608131</v>
      </c>
      <c r="I352" s="209">
        <f t="shared" si="271"/>
        <v>-4.1282250749831064</v>
      </c>
      <c r="J352" s="209">
        <f t="shared" si="271"/>
        <v>-4.4833888315101804</v>
      </c>
      <c r="K352" s="192"/>
      <c r="L352" s="192"/>
      <c r="M352" s="192"/>
      <c r="N352" s="192"/>
      <c r="O352" s="195"/>
      <c r="P352" s="195"/>
    </row>
    <row r="353" spans="1:16">
      <c r="A353" s="212"/>
      <c r="E353" s="61"/>
      <c r="F353" s="61"/>
      <c r="G353" s="61"/>
      <c r="H353" s="61"/>
      <c r="I353" s="61"/>
      <c r="J353" s="61"/>
      <c r="K353" s="61"/>
      <c r="L353" s="61"/>
      <c r="M353" s="61"/>
      <c r="N353" s="61"/>
      <c r="O353" s="195"/>
      <c r="P353" s="195"/>
    </row>
    <row r="354" spans="1:16">
      <c r="A354" s="120" t="s">
        <v>432</v>
      </c>
      <c r="E354" s="61"/>
      <c r="F354" s="61"/>
      <c r="G354" s="61"/>
      <c r="H354" s="61"/>
      <c r="I354" s="61"/>
      <c r="J354" s="61"/>
      <c r="K354" s="61"/>
      <c r="L354" s="61"/>
      <c r="M354" s="61"/>
      <c r="N354" s="61"/>
      <c r="O354" s="138"/>
      <c r="P354" s="138"/>
    </row>
    <row r="355" spans="1:16">
      <c r="A355" s="106" t="s">
        <v>29</v>
      </c>
      <c r="B355" s="208">
        <f>Analysis!D46</f>
        <v>0.76572317635090659</v>
      </c>
      <c r="C355" s="208">
        <f>Analysis!E46</f>
        <v>0.75440304251369583</v>
      </c>
      <c r="D355" s="208">
        <f>Analysis!F46</f>
        <v>0.76677725833207666</v>
      </c>
      <c r="E355" s="209">
        <f t="shared" ref="E355:J355" si="272">E27/E21</f>
        <v>0.79</v>
      </c>
      <c r="F355" s="209">
        <f t="shared" si="272"/>
        <v>0.78999999999999992</v>
      </c>
      <c r="G355" s="209">
        <f t="shared" si="272"/>
        <v>0.8</v>
      </c>
      <c r="H355" s="209">
        <f t="shared" si="272"/>
        <v>0.81</v>
      </c>
      <c r="I355" s="209">
        <f t="shared" si="272"/>
        <v>0.82</v>
      </c>
      <c r="J355" s="209">
        <f t="shared" si="272"/>
        <v>0.82</v>
      </c>
      <c r="K355" s="192"/>
      <c r="L355" s="192"/>
      <c r="M355" s="192"/>
      <c r="N355" s="192"/>
      <c r="O355" s="138"/>
      <c r="P355" s="138"/>
    </row>
    <row r="356" spans="1:16">
      <c r="A356" s="106" t="s">
        <v>433</v>
      </c>
      <c r="B356" s="208">
        <f>Analysis!D47</f>
        <v>0.19460235772844234</v>
      </c>
      <c r="C356" s="208">
        <f>Analysis!E47</f>
        <v>0.21949563091411234</v>
      </c>
      <c r="D356" s="208">
        <f>Analysis!F47</f>
        <v>0.23395792489820541</v>
      </c>
      <c r="E356" s="209">
        <f t="shared" ref="E356:J356" si="273">E55/E21</f>
        <v>0.27685588699411617</v>
      </c>
      <c r="F356" s="209">
        <f t="shared" si="273"/>
        <v>0.27783039165173778</v>
      </c>
      <c r="G356" s="209">
        <f t="shared" si="273"/>
        <v>0.28950519507003336</v>
      </c>
      <c r="H356" s="209">
        <f t="shared" si="273"/>
        <v>0.30160711640728111</v>
      </c>
      <c r="I356" s="209">
        <f t="shared" si="273"/>
        <v>0.27715512682118215</v>
      </c>
      <c r="J356" s="209">
        <f t="shared" si="273"/>
        <v>0.34516923519760773</v>
      </c>
      <c r="K356" s="192"/>
      <c r="L356" s="192"/>
      <c r="M356" s="192"/>
      <c r="N356" s="192"/>
      <c r="O356" s="195"/>
      <c r="P356" s="195"/>
    </row>
    <row r="357" spans="1:16">
      <c r="A357" s="106"/>
      <c r="E357" s="138"/>
      <c r="F357" s="138"/>
      <c r="G357" s="138"/>
      <c r="H357" s="138"/>
      <c r="I357" s="138"/>
      <c r="J357" s="138"/>
      <c r="K357" s="138"/>
      <c r="L357" s="138"/>
      <c r="M357" s="138"/>
      <c r="N357" s="138"/>
      <c r="O357" s="195"/>
      <c r="P357" s="195"/>
    </row>
    <row r="358" spans="1:16">
      <c r="A358" s="120" t="s">
        <v>435</v>
      </c>
      <c r="E358" s="138"/>
      <c r="F358" s="138"/>
      <c r="G358" s="209"/>
      <c r="H358" s="209"/>
      <c r="I358" s="209"/>
      <c r="J358" s="209"/>
      <c r="K358" s="192"/>
      <c r="L358" s="192"/>
      <c r="M358" s="192"/>
      <c r="N358" s="192"/>
      <c r="O358" s="138"/>
      <c r="P358" s="138"/>
    </row>
    <row r="359" spans="1:16">
      <c r="A359" s="106" t="s">
        <v>30</v>
      </c>
      <c r="B359" s="195">
        <f>Analysis!D88</f>
        <v>4.3754663873797206</v>
      </c>
      <c r="C359" s="195">
        <f>Analysis!E88</f>
        <v>4.2692567894075575</v>
      </c>
      <c r="D359" s="195">
        <f>Analysis!F88</f>
        <v>3.9830311221233625</v>
      </c>
      <c r="E359" s="195">
        <f t="shared" ref="E359:J359" si="274">E21/((E121+D121)/2)</f>
        <v>4.1588694546144493</v>
      </c>
      <c r="F359" s="195">
        <f t="shared" si="274"/>
        <v>4.6030802726494517</v>
      </c>
      <c r="G359" s="195">
        <f t="shared" si="274"/>
        <v>5.1852102390382964</v>
      </c>
      <c r="H359" s="195">
        <f t="shared" si="274"/>
        <v>5.9428567573816196</v>
      </c>
      <c r="I359" s="195">
        <f t="shared" si="274"/>
        <v>6.9279748580375822</v>
      </c>
      <c r="J359" s="195">
        <f t="shared" si="274"/>
        <v>8.2124909838253117</v>
      </c>
      <c r="K359" s="195"/>
      <c r="L359" s="195"/>
      <c r="M359" s="195"/>
      <c r="N359" s="195"/>
      <c r="O359" s="138"/>
      <c r="P359" s="138"/>
    </row>
    <row r="360" spans="1:16">
      <c r="A360" s="106" t="s">
        <v>436</v>
      </c>
      <c r="B360" s="195">
        <f>Analysis!D90</f>
        <v>4.9619771863117865</v>
      </c>
      <c r="C360" s="195">
        <f>Analysis!E90</f>
        <v>4.9268846503178931</v>
      </c>
      <c r="D360" s="195">
        <f>Analysis!F90</f>
        <v>3.3018414731785426</v>
      </c>
      <c r="E360" s="195">
        <f t="shared" ref="E360:J360" si="275">-E24/((E124+D124)/2)</f>
        <v>2.5256896551724135</v>
      </c>
      <c r="F360" s="195">
        <f t="shared" si="275"/>
        <v>2.7954597645904524</v>
      </c>
      <c r="G360" s="195">
        <f t="shared" si="275"/>
        <v>2.9990366151533379</v>
      </c>
      <c r="H360" s="195">
        <f t="shared" si="275"/>
        <v>3.265384040906179</v>
      </c>
      <c r="I360" s="195">
        <f t="shared" si="275"/>
        <v>3.6063195857557009</v>
      </c>
      <c r="J360" s="195">
        <f t="shared" si="275"/>
        <v>4.274967460144711</v>
      </c>
      <c r="K360" s="195"/>
      <c r="L360" s="195"/>
      <c r="M360" s="195"/>
      <c r="N360" s="195"/>
      <c r="O360" s="195"/>
      <c r="P360" s="195"/>
    </row>
    <row r="361" spans="1:16">
      <c r="A361" s="106" t="s">
        <v>31</v>
      </c>
      <c r="B361" s="195">
        <f>Analysis!D95</f>
        <v>5.88622754491018</v>
      </c>
      <c r="C361" s="195">
        <f>Analysis!E95</f>
        <v>5.5701405964314983</v>
      </c>
      <c r="D361" s="195">
        <f>Analysis!F95</f>
        <v>5.4607030727263366</v>
      </c>
      <c r="E361" s="195">
        <f t="shared" ref="E361:J361" si="276">E21/((E145+E148+D145+D148)/2)</f>
        <v>3.9929687320388254</v>
      </c>
      <c r="F361" s="195">
        <f t="shared" si="276"/>
        <v>4.1207086122683414</v>
      </c>
      <c r="G361" s="195">
        <f t="shared" si="276"/>
        <v>4.4322837735203047</v>
      </c>
      <c r="H361" s="195">
        <f t="shared" si="276"/>
        <v>4.9333941727729993</v>
      </c>
      <c r="I361" s="195">
        <f t="shared" si="276"/>
        <v>5.6553835363723497</v>
      </c>
      <c r="J361" s="195">
        <f t="shared" si="276"/>
        <v>6.6660224868166686</v>
      </c>
      <c r="K361" s="195"/>
      <c r="L361" s="195"/>
      <c r="M361" s="195"/>
      <c r="N361" s="195"/>
      <c r="O361" s="138"/>
      <c r="P361" s="138"/>
    </row>
    <row r="362" spans="1:16">
      <c r="A362" s="106"/>
      <c r="E362" s="61"/>
      <c r="F362" s="61"/>
      <c r="G362" s="138"/>
      <c r="H362" s="138"/>
      <c r="I362" s="138"/>
      <c r="J362" s="138"/>
      <c r="K362" s="138"/>
      <c r="L362" s="138"/>
      <c r="M362" s="138"/>
      <c r="N362" s="138"/>
      <c r="O362" s="192"/>
      <c r="P362" s="192"/>
    </row>
    <row r="363" spans="1:16">
      <c r="A363" s="120" t="s">
        <v>438</v>
      </c>
      <c r="E363" s="61"/>
      <c r="F363" s="61"/>
      <c r="G363" s="138"/>
      <c r="H363" s="138"/>
      <c r="I363" s="138"/>
      <c r="J363" s="138"/>
      <c r="K363" s="138"/>
      <c r="L363" s="138"/>
      <c r="M363" s="138"/>
      <c r="N363" s="138"/>
      <c r="O363" s="195"/>
      <c r="P363" s="195"/>
    </row>
    <row r="364" spans="1:16">
      <c r="A364" s="106" t="s">
        <v>439</v>
      </c>
      <c r="B364" s="195">
        <f>Analysis!D81</f>
        <v>1.5532548207583796</v>
      </c>
      <c r="C364" s="195">
        <f>Analysis!E81</f>
        <v>1.2377858627858627</v>
      </c>
      <c r="D364" s="195">
        <f>Analysis!F81</f>
        <v>1.1907233127184726</v>
      </c>
      <c r="E364" s="195">
        <f t="shared" ref="E364:J364" si="277">E139/E195</f>
        <v>1.1943726390589389</v>
      </c>
      <c r="F364" s="195">
        <f t="shared" si="277"/>
        <v>1.1980573957522254</v>
      </c>
      <c r="G364" s="195">
        <f t="shared" si="277"/>
        <v>1.2017779267823396</v>
      </c>
      <c r="H364" s="195">
        <f t="shared" si="277"/>
        <v>1.2055345794729408</v>
      </c>
      <c r="I364" s="195">
        <f t="shared" si="277"/>
        <v>1.2093277045197608</v>
      </c>
      <c r="J364" s="195">
        <f t="shared" si="277"/>
        <v>1.2131576560233466</v>
      </c>
      <c r="K364" s="195"/>
      <c r="L364" s="195"/>
      <c r="M364" s="195"/>
      <c r="N364" s="195"/>
      <c r="O364" s="195"/>
      <c r="P364" s="195"/>
    </row>
    <row r="365" spans="1:16">
      <c r="A365" s="106" t="s">
        <v>440</v>
      </c>
      <c r="B365" s="195">
        <f>Analysis!D82</f>
        <v>1.1599585867736506</v>
      </c>
      <c r="C365" s="195">
        <f>Analysis!E82</f>
        <v>0.79590046777546775</v>
      </c>
      <c r="D365" s="195">
        <f>Analysis!F82</f>
        <v>1.0275342834095187</v>
      </c>
      <c r="E365" s="195">
        <f t="shared" ref="E365:J365" si="278">(E115+E118+E121)/E195</f>
        <v>1.0311836097499849</v>
      </c>
      <c r="F365" s="195">
        <f t="shared" si="278"/>
        <v>1.0348683664432714</v>
      </c>
      <c r="G365" s="195">
        <f t="shared" si="278"/>
        <v>1.0385888974733857</v>
      </c>
      <c r="H365" s="195">
        <f t="shared" si="278"/>
        <v>1.0423455501639867</v>
      </c>
      <c r="I365" s="195">
        <f t="shared" si="278"/>
        <v>1.0461386752108068</v>
      </c>
      <c r="J365" s="195">
        <f t="shared" si="278"/>
        <v>1.0499686267143926</v>
      </c>
      <c r="K365" s="195"/>
      <c r="L365" s="195"/>
      <c r="M365" s="195"/>
      <c r="N365" s="195"/>
      <c r="O365" s="195"/>
      <c r="P365" s="195"/>
    </row>
    <row r="366" spans="1:16">
      <c r="A366" s="106"/>
      <c r="E366" s="138"/>
      <c r="F366" s="138"/>
      <c r="G366" s="138"/>
      <c r="H366" s="138"/>
      <c r="I366" s="138"/>
      <c r="J366" s="138"/>
      <c r="K366" s="138"/>
      <c r="L366" s="138"/>
      <c r="M366" s="138"/>
      <c r="N366" s="138"/>
      <c r="O366" s="138"/>
      <c r="P366" s="138"/>
    </row>
    <row r="367" spans="1:16">
      <c r="A367" s="120" t="s">
        <v>442</v>
      </c>
      <c r="E367" s="138"/>
      <c r="F367" s="138"/>
      <c r="G367" s="138"/>
      <c r="H367" s="138"/>
      <c r="I367" s="138"/>
      <c r="J367" s="138"/>
      <c r="K367" s="138"/>
      <c r="L367" s="138"/>
      <c r="M367" s="138"/>
      <c r="N367" s="138"/>
      <c r="O367" s="138"/>
      <c r="P367" s="138"/>
    </row>
    <row r="368" spans="1:16">
      <c r="A368" s="106" t="s">
        <v>443</v>
      </c>
      <c r="B368" s="208">
        <f>Analysis!D102</f>
        <v>0.86511462891317914</v>
      </c>
      <c r="C368" s="208">
        <f>Analysis!E102</f>
        <v>1.0452151573538859</v>
      </c>
      <c r="D368" s="208">
        <f>Analysis!F102</f>
        <v>1.0638388736585431</v>
      </c>
      <c r="E368" s="209">
        <f t="shared" ref="E368:J368" si="279">E213/E166</f>
        <v>1.0524121927378067</v>
      </c>
      <c r="F368" s="209">
        <f t="shared" si="279"/>
        <v>1.0471112780610494</v>
      </c>
      <c r="G368" s="209">
        <f t="shared" si="279"/>
        <v>1.0464743972550792</v>
      </c>
      <c r="H368" s="209">
        <f t="shared" si="279"/>
        <v>1.0494378331353114</v>
      </c>
      <c r="I368" s="209">
        <f t="shared" si="279"/>
        <v>1.1139515309599919</v>
      </c>
      <c r="J368" s="209">
        <f t="shared" si="279"/>
        <v>1.1115709834015162</v>
      </c>
      <c r="K368" s="195"/>
      <c r="L368" s="195"/>
      <c r="M368" s="195"/>
      <c r="N368" s="195"/>
      <c r="O368" s="195"/>
      <c r="P368" s="195"/>
    </row>
    <row r="369" spans="1:16">
      <c r="A369" s="106" t="s">
        <v>16</v>
      </c>
      <c r="B369" s="209">
        <f>Analysis!D103</f>
        <v>6.4137024048096203</v>
      </c>
      <c r="C369" s="209">
        <f>Analysis!E103</f>
        <v>-23.116477272727266</v>
      </c>
      <c r="D369" s="209">
        <f>Analysis!F103</f>
        <v>-16.664436771687527</v>
      </c>
      <c r="E369" s="209">
        <f t="shared" ref="E369:J369" si="280">E213/E234</f>
        <v>-20.07952992927666</v>
      </c>
      <c r="F369" s="209">
        <f t="shared" si="280"/>
        <v>-22.226339873525468</v>
      </c>
      <c r="G369" s="209">
        <f t="shared" si="280"/>
        <v>-22.517223655670005</v>
      </c>
      <c r="H369" s="209">
        <f t="shared" si="280"/>
        <v>-21.227423747780417</v>
      </c>
      <c r="I369" s="209">
        <f t="shared" si="280"/>
        <v>-9.7756609461534669</v>
      </c>
      <c r="J369" s="209">
        <f t="shared" si="280"/>
        <v>-9.9629038797771532</v>
      </c>
      <c r="K369" s="195"/>
      <c r="L369" s="195"/>
      <c r="M369" s="195"/>
      <c r="N369" s="195"/>
      <c r="O369" s="195"/>
      <c r="P369" s="195"/>
    </row>
    <row r="370" spans="1:16">
      <c r="A370" s="106" t="s">
        <v>445</v>
      </c>
      <c r="B370" s="195">
        <f>Analysis!D107</f>
        <v>55.172413793103452</v>
      </c>
      <c r="C370" s="195">
        <f>Analysis!E107</f>
        <v>71.777777777777757</v>
      </c>
      <c r="D370" s="195">
        <f>Analysis!F107</f>
        <v>219.63934426229511</v>
      </c>
      <c r="E370" s="195">
        <f t="shared" ref="E370:J370" si="281">(E71-E62)/(-E62)</f>
        <v>94.813443115719792</v>
      </c>
      <c r="F370" s="195">
        <f t="shared" si="281"/>
        <v>102.68481431409833</v>
      </c>
      <c r="G370" s="195">
        <f t="shared" si="281"/>
        <v>117.25829466674455</v>
      </c>
      <c r="H370" s="195">
        <f t="shared" si="281"/>
        <v>136.262681673093</v>
      </c>
      <c r="I370" s="195">
        <f t="shared" si="281"/>
        <v>142.82063278578229</v>
      </c>
      <c r="J370" s="195">
        <f t="shared" si="281"/>
        <v>208.13804079870235</v>
      </c>
      <c r="K370" s="195"/>
      <c r="L370" s="195"/>
      <c r="M370" s="195"/>
      <c r="N370" s="195"/>
      <c r="O370" s="138"/>
      <c r="P370" s="138"/>
    </row>
    <row r="371" spans="1:16">
      <c r="O371" s="138"/>
      <c r="P371" s="138"/>
    </row>
    <row r="372" spans="1:16">
      <c r="O372" s="195"/>
      <c r="P372" s="195"/>
    </row>
    <row r="373" spans="1:16">
      <c r="O373" s="138"/>
      <c r="P373" s="138"/>
    </row>
    <row r="374" spans="1:16">
      <c r="O374" s="192"/>
      <c r="P374" s="192"/>
    </row>
    <row r="375" spans="1:16">
      <c r="O375" s="195"/>
      <c r="P375" s="195"/>
    </row>
    <row r="376" spans="1:16">
      <c r="O376" s="195"/>
      <c r="P376" s="195"/>
    </row>
    <row r="377" spans="1:16">
      <c r="O377" s="195"/>
      <c r="P377" s="195"/>
    </row>
    <row r="378" spans="1:16">
      <c r="O378" s="138"/>
      <c r="P378" s="138"/>
    </row>
    <row r="379" spans="1:16">
      <c r="O379" s="138"/>
      <c r="P379" s="138"/>
    </row>
    <row r="380" spans="1:16">
      <c r="O380" s="195"/>
      <c r="P380" s="195"/>
    </row>
    <row r="381" spans="1:16">
      <c r="O381" s="195"/>
      <c r="P381" s="195"/>
    </row>
  </sheetData>
  <phoneticPr fontId="0" type="noConversion"/>
  <pageMargins left="0.75" right="0.75" top="1" bottom="1" header="0.5" footer="0.5"/>
  <pageSetup scale="79" orientation="landscape" r:id="rId1"/>
  <headerFooter alignWithMargins="0"/>
  <rowBreaks count="9" manualBreakCount="9">
    <brk id="30" max="9" man="1"/>
    <brk id="58" max="9" man="1"/>
    <brk id="74" max="9" man="1"/>
    <brk id="100" max="9" man="1"/>
    <brk id="141" max="9" man="1"/>
    <brk id="169" max="9" man="1"/>
    <brk id="215" max="9" man="1"/>
    <brk id="259" max="9" man="1"/>
    <brk id="353" max="9"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9972-7108-49C6-A0A1-6AE8F8D74D58}">
  <dimension ref="C2:E46"/>
  <sheetViews>
    <sheetView zoomScale="80" zoomScaleNormal="80" workbookViewId="0">
      <selection activeCell="C3" sqref="C3:E22"/>
    </sheetView>
  </sheetViews>
  <sheetFormatPr defaultColWidth="8.7109375" defaultRowHeight="12.75"/>
  <cols>
    <col min="1" max="3" width="8.7109375" style="1227"/>
    <col min="4" max="4" width="79.28515625" style="1227" customWidth="1"/>
    <col min="5" max="5" width="93.85546875" style="1227" customWidth="1"/>
    <col min="6" max="16384" width="8.7109375" style="1227"/>
  </cols>
  <sheetData>
    <row r="2" spans="3:5" ht="13.5" thickBot="1">
      <c r="D2" s="1227" t="s">
        <v>1270</v>
      </c>
    </row>
    <row r="3" spans="3:5" ht="13.5" thickBot="1">
      <c r="C3" s="1177" t="s">
        <v>1271</v>
      </c>
      <c r="D3" s="1177" t="s">
        <v>1272</v>
      </c>
      <c r="E3" s="1177" t="s">
        <v>1273</v>
      </c>
    </row>
    <row r="4" spans="3:5" ht="13.5" thickBot="1">
      <c r="C4" s="1177">
        <v>1</v>
      </c>
      <c r="D4" s="1230" t="s">
        <v>1275</v>
      </c>
      <c r="E4" s="1231" t="s">
        <v>1274</v>
      </c>
    </row>
    <row r="5" spans="3:5" ht="13.5" thickBot="1">
      <c r="C5" s="1177">
        <v>2</v>
      </c>
      <c r="D5" s="1230" t="s">
        <v>1276</v>
      </c>
      <c r="E5" s="1231" t="s">
        <v>1274</v>
      </c>
    </row>
    <row r="6" spans="3:5" ht="13.5" thickBot="1">
      <c r="C6" s="1177">
        <v>3</v>
      </c>
      <c r="D6" s="1230" t="s">
        <v>1277</v>
      </c>
      <c r="E6" s="1231" t="s">
        <v>1274</v>
      </c>
    </row>
    <row r="7" spans="3:5" ht="13.5" thickBot="1">
      <c r="C7" s="1177">
        <v>4</v>
      </c>
      <c r="D7" s="1230" t="s">
        <v>1278</v>
      </c>
      <c r="E7" s="1231" t="s">
        <v>1274</v>
      </c>
    </row>
    <row r="8" spans="3:5" ht="13.5" thickBot="1">
      <c r="C8" s="1177">
        <v>5</v>
      </c>
      <c r="D8" s="1230" t="s">
        <v>1279</v>
      </c>
      <c r="E8" s="1231" t="s">
        <v>1274</v>
      </c>
    </row>
    <row r="9" spans="3:5" ht="13.5" thickBot="1">
      <c r="C9" s="1177">
        <v>6</v>
      </c>
      <c r="D9" s="1230" t="s">
        <v>1280</v>
      </c>
      <c r="E9" s="1231" t="s">
        <v>1274</v>
      </c>
    </row>
    <row r="10" spans="3:5" ht="13.5" thickBot="1">
      <c r="C10" s="1177">
        <v>7</v>
      </c>
      <c r="D10" s="1230" t="s">
        <v>1281</v>
      </c>
      <c r="E10" s="1231" t="s">
        <v>1282</v>
      </c>
    </row>
    <row r="11" spans="3:5" ht="13.5" thickBot="1">
      <c r="C11" s="1177">
        <v>8</v>
      </c>
      <c r="D11" s="1230" t="s">
        <v>1283</v>
      </c>
      <c r="E11" s="1231" t="s">
        <v>1284</v>
      </c>
    </row>
    <row r="12" spans="3:5" ht="13.5" thickBot="1">
      <c r="C12" s="1177">
        <v>9</v>
      </c>
      <c r="D12" s="1230" t="s">
        <v>1285</v>
      </c>
      <c r="E12" s="1231" t="s">
        <v>1287</v>
      </c>
    </row>
    <row r="13" spans="3:5" ht="13.5" thickBot="1">
      <c r="C13" s="1177">
        <v>10</v>
      </c>
      <c r="D13" s="1230" t="s">
        <v>1286</v>
      </c>
      <c r="E13" s="1231" t="s">
        <v>1288</v>
      </c>
    </row>
    <row r="14" spans="3:5" ht="13.5" thickBot="1">
      <c r="C14" s="1177">
        <v>11</v>
      </c>
      <c r="D14" s="1230" t="s">
        <v>1289</v>
      </c>
      <c r="E14" s="1231" t="s">
        <v>1290</v>
      </c>
    </row>
    <row r="15" spans="3:5" ht="13.5" thickBot="1">
      <c r="C15" s="1177">
        <v>12</v>
      </c>
      <c r="D15" s="1230" t="s">
        <v>1292</v>
      </c>
      <c r="E15" s="1231" t="s">
        <v>1291</v>
      </c>
    </row>
    <row r="16" spans="3:5" ht="13.5" thickBot="1">
      <c r="C16" s="1177">
        <v>13</v>
      </c>
      <c r="D16" s="1230" t="s">
        <v>1298</v>
      </c>
      <c r="E16" s="1231" t="s">
        <v>1293</v>
      </c>
    </row>
    <row r="17" spans="3:5" ht="13.5" thickBot="1">
      <c r="C17" s="1177">
        <v>14</v>
      </c>
      <c r="D17" s="1230" t="s">
        <v>1299</v>
      </c>
      <c r="E17" s="1231" t="s">
        <v>1294</v>
      </c>
    </row>
    <row r="18" spans="3:5" ht="13.5" thickBot="1">
      <c r="C18" s="1177">
        <v>15</v>
      </c>
      <c r="D18" s="1230" t="s">
        <v>1300</v>
      </c>
      <c r="E18" s="1231" t="s">
        <v>1295</v>
      </c>
    </row>
    <row r="19" spans="3:5" ht="13.5" thickBot="1">
      <c r="C19" s="1177">
        <v>16</v>
      </c>
      <c r="D19" s="1230" t="s">
        <v>1301</v>
      </c>
      <c r="E19" s="1231" t="s">
        <v>1296</v>
      </c>
    </row>
    <row r="20" spans="3:5" ht="13.5" thickBot="1">
      <c r="C20" s="1177">
        <v>17</v>
      </c>
      <c r="D20" s="1230" t="s">
        <v>1302</v>
      </c>
      <c r="E20" s="1231" t="s">
        <v>1297</v>
      </c>
    </row>
    <row r="21" spans="3:5" ht="13.5" thickBot="1">
      <c r="C21" s="1177">
        <v>18</v>
      </c>
      <c r="D21" s="1230" t="s">
        <v>1303</v>
      </c>
      <c r="E21" s="1231" t="s">
        <v>1304</v>
      </c>
    </row>
    <row r="22" spans="3:5" ht="13.5" thickBot="1">
      <c r="C22" s="1232">
        <v>19</v>
      </c>
      <c r="D22" s="1233" t="s">
        <v>1305</v>
      </c>
      <c r="E22" s="1234" t="s">
        <v>1306</v>
      </c>
    </row>
    <row r="23" spans="3:5">
      <c r="C23" s="1228"/>
      <c r="D23" s="1229"/>
      <c r="E23" s="1229"/>
    </row>
    <row r="24" spans="3:5">
      <c r="C24" s="1228"/>
      <c r="D24" s="1229"/>
      <c r="E24" s="1229"/>
    </row>
    <row r="25" spans="3:5">
      <c r="C25" s="1228"/>
      <c r="D25" s="1229"/>
      <c r="E25" s="1229"/>
    </row>
    <row r="26" spans="3:5">
      <c r="C26" s="1228"/>
      <c r="D26" s="1229"/>
      <c r="E26" s="1229"/>
    </row>
    <row r="27" spans="3:5">
      <c r="C27" s="1228"/>
      <c r="D27" s="1229"/>
      <c r="E27" s="1229"/>
    </row>
    <row r="28" spans="3:5">
      <c r="C28" s="1228"/>
      <c r="D28" s="1229"/>
      <c r="E28" s="1229"/>
    </row>
    <row r="29" spans="3:5">
      <c r="C29" s="1228"/>
      <c r="D29" s="1229"/>
      <c r="E29" s="1229"/>
    </row>
    <row r="30" spans="3:5">
      <c r="C30" s="1228"/>
      <c r="D30" s="1229"/>
      <c r="E30" s="1229"/>
    </row>
    <row r="31" spans="3:5">
      <c r="C31" s="1228"/>
      <c r="D31" s="1229"/>
      <c r="E31" s="1229"/>
    </row>
    <row r="32" spans="3:5">
      <c r="C32" s="1228"/>
      <c r="D32" s="1229"/>
      <c r="E32" s="1229"/>
    </row>
    <row r="33" spans="3:5">
      <c r="C33" s="1228"/>
      <c r="D33" s="1229"/>
      <c r="E33" s="1229"/>
    </row>
    <row r="34" spans="3:5">
      <c r="C34" s="1228"/>
      <c r="D34" s="1229"/>
      <c r="E34" s="1229"/>
    </row>
    <row r="35" spans="3:5">
      <c r="C35" s="1228"/>
      <c r="D35" s="1229"/>
      <c r="E35" s="1229"/>
    </row>
    <row r="36" spans="3:5">
      <c r="C36" s="1228"/>
      <c r="D36" s="1229"/>
      <c r="E36" s="1229"/>
    </row>
    <row r="37" spans="3:5">
      <c r="C37" s="1228"/>
      <c r="D37" s="1229"/>
      <c r="E37" s="1229"/>
    </row>
    <row r="38" spans="3:5">
      <c r="C38" s="1228"/>
      <c r="D38" s="1229"/>
      <c r="E38" s="1229"/>
    </row>
    <row r="39" spans="3:5">
      <c r="C39" s="1228"/>
      <c r="D39" s="1229"/>
      <c r="E39" s="1229"/>
    </row>
    <row r="40" spans="3:5">
      <c r="C40" s="1228"/>
      <c r="D40" s="1229"/>
      <c r="E40" s="1229"/>
    </row>
    <row r="41" spans="3:5">
      <c r="C41" s="1228"/>
      <c r="D41" s="1229"/>
      <c r="E41" s="1229"/>
    </row>
    <row r="42" spans="3:5">
      <c r="C42" s="1228"/>
      <c r="D42" s="1229"/>
      <c r="E42" s="1229"/>
    </row>
    <row r="43" spans="3:5">
      <c r="C43" s="1228"/>
      <c r="D43" s="1229"/>
      <c r="E43" s="1229"/>
    </row>
    <row r="44" spans="3:5">
      <c r="C44" s="1228"/>
      <c r="D44" s="1229"/>
      <c r="E44" s="1229"/>
    </row>
    <row r="45" spans="3:5">
      <c r="C45" s="1228"/>
      <c r="D45" s="1229"/>
      <c r="E45" s="1229"/>
    </row>
    <row r="46" spans="3:5">
      <c r="C46" s="1228"/>
      <c r="D46" s="1229"/>
      <c r="E46" s="1229"/>
    </row>
  </sheetData>
  <phoneticPr fontId="8" type="noConversion"/>
  <hyperlinks>
    <hyperlink ref="E10" r:id="rId1" xr:uid="{CD809374-0531-4275-92F5-084981BABE29}"/>
    <hyperlink ref="E11" r:id="rId2" xr:uid="{C2136612-B422-455C-8897-9FE607C976EB}"/>
    <hyperlink ref="E12" r:id="rId3" xr:uid="{663FF699-F68D-4177-B699-F94D309417A7}"/>
    <hyperlink ref="E13" r:id="rId4" xr:uid="{2F77E646-8E57-4AB3-B6B5-D7B7FC1A9E55}"/>
    <hyperlink ref="E14" r:id="rId5" xr:uid="{1F4AE19E-8270-48F8-9DBF-CA18FFFBD8EF}"/>
    <hyperlink ref="E15" r:id="rId6" xr:uid="{09EC3795-2C8F-40BB-B709-59A1B183B256}"/>
    <hyperlink ref="E16" r:id="rId7" xr:uid="{B7AADE19-D8CF-4005-97B6-3320C98606E6}"/>
    <hyperlink ref="E17:E19" r:id="rId8" display="https://finance.yahoo.com/quote/PANW/" xr:uid="{E40EB005-1838-4E82-A7D5-286184061064}"/>
    <hyperlink ref="E17" r:id="rId9" xr:uid="{EAD5688D-337C-41FC-B483-A79567A752CD}"/>
    <hyperlink ref="E18" r:id="rId10" xr:uid="{189FCEC3-F0AD-4450-9FFD-8A4F581C7843}"/>
    <hyperlink ref="E19" r:id="rId11" xr:uid="{B7B94ED0-7033-483C-8E5C-8B84D0D91844}"/>
    <hyperlink ref="E20" r:id="rId12" xr:uid="{62F4ADEB-A9D6-48AF-8652-BE4B43FA8F99}"/>
    <hyperlink ref="D21" r:id="rId13" display="https://finbox.com/NASDAQGS:FTNT" xr:uid="{BC01C92A-D7F5-4882-8467-86ED4D5AD86C}"/>
    <hyperlink ref="E21" r:id="rId14" xr:uid="{8B1983F2-D560-4540-9F2A-4DB8332A8DE6}"/>
    <hyperlink ref="E22" r:id="rId15" xr:uid="{7ABAE357-69DF-42E6-BF52-0E837F960F3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72"/>
  <sheetViews>
    <sheetView topLeftCell="A62" zoomScale="87" zoomScaleNormal="114" workbookViewId="0">
      <selection activeCell="G58" sqref="G58"/>
    </sheetView>
  </sheetViews>
  <sheetFormatPr defaultColWidth="9.140625" defaultRowHeight="12.75"/>
  <cols>
    <col min="1" max="3" width="11.7109375" style="17" customWidth="1"/>
    <col min="4" max="4" width="13" style="17" customWidth="1"/>
    <col min="5" max="5" width="12.28515625" style="17" bestFit="1" customWidth="1"/>
    <col min="6" max="6" width="12.85546875" style="17" customWidth="1"/>
    <col min="7" max="13" width="11.7109375" style="17" customWidth="1"/>
    <col min="14" max="14" width="13.140625" style="17" bestFit="1" customWidth="1"/>
    <col min="15" max="15" width="11.7109375" style="17" bestFit="1" customWidth="1"/>
    <col min="16" max="21" width="9.140625" style="17"/>
    <col min="22" max="22" width="12" style="17" customWidth="1"/>
    <col min="23" max="16384" width="9.140625" style="17"/>
  </cols>
  <sheetData>
    <row r="1" spans="1:23">
      <c r="A1" s="1" t="str">
        <f>Data!A1</f>
        <v>Financial Statement Analysis Package (FSAP): Version 9.0</v>
      </c>
      <c r="B1" s="144"/>
      <c r="C1" s="144"/>
      <c r="D1" s="144"/>
      <c r="E1" s="144"/>
      <c r="F1" s="144"/>
      <c r="G1" s="144"/>
      <c r="H1" s="144"/>
      <c r="I1" s="144"/>
      <c r="J1" s="247"/>
      <c r="L1" s="5"/>
      <c r="M1" s="6"/>
      <c r="N1" s="6"/>
      <c r="O1" s="6"/>
      <c r="P1" s="7"/>
    </row>
    <row r="2" spans="1:23">
      <c r="A2" s="9" t="str">
        <f>Data!A2</f>
        <v>Financial Reporting, Financial Statement Analysis, and Valuation: A Strategic Perspective, 9th Edition</v>
      </c>
      <c r="B2" s="146"/>
      <c r="C2" s="146"/>
      <c r="D2" s="146"/>
      <c r="E2" s="146"/>
      <c r="F2" s="146"/>
      <c r="G2" s="146"/>
      <c r="H2" s="146"/>
      <c r="I2" s="146"/>
      <c r="J2" s="60"/>
      <c r="L2" s="9" t="s">
        <v>403</v>
      </c>
      <c r="M2" s="10"/>
      <c r="N2" s="10"/>
      <c r="O2" s="10"/>
      <c r="P2" s="11"/>
    </row>
    <row r="3" spans="1:23" ht="13.5" thickBot="1">
      <c r="A3" s="12" t="s">
        <v>404</v>
      </c>
      <c r="B3" s="97"/>
      <c r="C3" s="97"/>
      <c r="D3" s="97"/>
      <c r="E3" s="97"/>
      <c r="F3" s="97"/>
      <c r="G3" s="97"/>
      <c r="H3" s="97"/>
      <c r="I3" s="97"/>
      <c r="J3" s="98"/>
      <c r="L3" s="15"/>
      <c r="M3" s="13"/>
      <c r="N3" s="13"/>
      <c r="O3" s="13"/>
      <c r="P3" s="14"/>
    </row>
    <row r="4" spans="1:23">
      <c r="L4" s="24" t="s">
        <v>535</v>
      </c>
      <c r="M4" s="24"/>
      <c r="N4" s="24"/>
      <c r="O4" s="24"/>
      <c r="P4" s="24"/>
      <c r="Q4" s="24"/>
      <c r="R4" s="24"/>
      <c r="S4" s="24"/>
    </row>
    <row r="6" spans="1:23">
      <c r="A6" s="18" t="s">
        <v>522</v>
      </c>
      <c r="L6" s="61" t="s">
        <v>254</v>
      </c>
    </row>
    <row r="7" spans="1:23">
      <c r="A7" s="18"/>
      <c r="L7" s="17" t="s">
        <v>186</v>
      </c>
    </row>
    <row r="8" spans="1:23">
      <c r="A8" s="18" t="s">
        <v>387</v>
      </c>
    </row>
    <row r="9" spans="1:23">
      <c r="A9" s="248" t="s">
        <v>383</v>
      </c>
      <c r="B9" s="249"/>
      <c r="C9" s="249"/>
      <c r="D9" s="249"/>
      <c r="E9" s="250"/>
      <c r="F9" s="251">
        <f>E83</f>
        <v>80.332069034213092</v>
      </c>
      <c r="L9" s="17" t="s">
        <v>389</v>
      </c>
    </row>
    <row r="10" spans="1:23">
      <c r="A10" s="252" t="s">
        <v>384</v>
      </c>
      <c r="B10" s="253"/>
      <c r="C10" s="253"/>
      <c r="D10" s="253"/>
      <c r="E10" s="254"/>
      <c r="F10" s="255">
        <f>E113</f>
        <v>80.210322681166645</v>
      </c>
      <c r="L10" s="17" t="s">
        <v>389</v>
      </c>
    </row>
    <row r="11" spans="1:23">
      <c r="A11" s="252" t="s">
        <v>385</v>
      </c>
      <c r="B11" s="253"/>
      <c r="C11" s="253"/>
      <c r="D11" s="253"/>
      <c r="E11" s="254"/>
      <c r="F11" s="255">
        <f>E170</f>
        <v>80.698856482293024</v>
      </c>
      <c r="L11" s="17" t="s">
        <v>389</v>
      </c>
    </row>
    <row r="12" spans="1:23">
      <c r="A12" s="252" t="s">
        <v>386</v>
      </c>
      <c r="B12" s="253"/>
      <c r="C12" s="253"/>
      <c r="D12" s="253"/>
      <c r="E12" s="254"/>
      <c r="F12" s="255">
        <f>E231</f>
        <v>80.698856482293024</v>
      </c>
      <c r="L12" s="17" t="s">
        <v>389</v>
      </c>
    </row>
    <row r="13" spans="1:23">
      <c r="A13" s="256" t="s">
        <v>388</v>
      </c>
      <c r="B13" s="257"/>
      <c r="C13" s="257"/>
      <c r="D13" s="257"/>
      <c r="E13" s="258"/>
      <c r="F13" s="259">
        <f>E267</f>
        <v>79.985474444872068</v>
      </c>
      <c r="L13" s="17" t="s">
        <v>389</v>
      </c>
    </row>
    <row r="14" spans="1:23">
      <c r="A14" s="187" t="s">
        <v>619</v>
      </c>
      <c r="B14" s="48"/>
      <c r="C14" s="48"/>
      <c r="D14" s="48"/>
      <c r="E14" s="260"/>
    </row>
    <row r="15" spans="1:23" ht="13.5" thickBot="1">
      <c r="A15" s="376" t="s">
        <v>620</v>
      </c>
    </row>
    <row r="16" spans="1:23" ht="13.5" thickBot="1">
      <c r="R16" s="1292" t="s">
        <v>251</v>
      </c>
      <c r="S16" s="1293"/>
      <c r="T16" s="1293"/>
      <c r="U16" s="1293"/>
      <c r="V16" s="1293"/>
      <c r="W16" s="933">
        <v>1</v>
      </c>
    </row>
    <row r="17" spans="1:23" ht="13.5" thickBot="1">
      <c r="R17" s="1294" t="s">
        <v>252</v>
      </c>
      <c r="S17" s="1256"/>
      <c r="T17" s="1256"/>
      <c r="U17" s="1256"/>
      <c r="V17" s="1256"/>
      <c r="W17" s="1018">
        <v>3.7400000000000003E-2</v>
      </c>
    </row>
    <row r="18" spans="1:23" ht="13.5" thickTop="1">
      <c r="A18" s="261" t="s">
        <v>461</v>
      </c>
      <c r="B18" s="180"/>
      <c r="C18" s="262" t="s">
        <v>177</v>
      </c>
      <c r="D18" s="179"/>
      <c r="E18" s="179"/>
      <c r="F18" s="179"/>
      <c r="G18" s="179"/>
      <c r="H18" s="179" t="s">
        <v>40</v>
      </c>
      <c r="I18" s="179"/>
      <c r="J18" s="263"/>
      <c r="R18" s="1294" t="s">
        <v>44</v>
      </c>
      <c r="S18" s="1256"/>
      <c r="T18" s="1256"/>
      <c r="U18" s="1256"/>
      <c r="V18" s="1256"/>
      <c r="W18" s="1018">
        <v>4.5999999999999999E-2</v>
      </c>
    </row>
    <row r="19" spans="1:23" ht="13.5" thickBot="1">
      <c r="A19" s="264" t="str">
        <f>Data!$A$9</f>
        <v>Analyst Name:</v>
      </c>
      <c r="B19" s="265"/>
      <c r="C19" s="152" t="str">
        <f>Data!$B$9</f>
        <v>CAI Zonghuan</v>
      </c>
      <c r="D19" s="154"/>
      <c r="E19" s="149"/>
      <c r="F19" s="153"/>
      <c r="G19" s="153"/>
      <c r="H19" s="153"/>
      <c r="I19" s="153"/>
      <c r="J19" s="266"/>
      <c r="L19" s="457" t="s">
        <v>1196</v>
      </c>
      <c r="M19" s="17">
        <v>2023</v>
      </c>
      <c r="N19" s="17">
        <v>2024</v>
      </c>
      <c r="O19" s="17">
        <v>2025</v>
      </c>
      <c r="R19" s="1295" t="s">
        <v>46</v>
      </c>
      <c r="S19" s="1296"/>
      <c r="T19" s="1296"/>
      <c r="U19" s="1296"/>
      <c r="V19" s="1296"/>
      <c r="W19" s="1022">
        <f>W17+W16*W18</f>
        <v>8.3400000000000002E-2</v>
      </c>
    </row>
    <row r="20" spans="1:23">
      <c r="A20" s="264" t="str">
        <f>Data!$A$10</f>
        <v>Company Name:</v>
      </c>
      <c r="B20" s="267"/>
      <c r="C20" s="152" t="str">
        <f>Data!$B$10</f>
        <v>FORTINET</v>
      </c>
      <c r="D20" s="149"/>
      <c r="E20" s="166"/>
      <c r="F20" s="153"/>
      <c r="G20" s="153"/>
      <c r="H20" s="153"/>
      <c r="I20" s="153"/>
      <c r="J20" s="266"/>
      <c r="M20" s="17">
        <f>Valuation!F25*58.53+Forecasts!D198-Forecasts!D115</f>
        <v>44254.545899999997</v>
      </c>
      <c r="N20" s="184">
        <f>770*Valuation!F11+Forecasts!E198-Forecasts!E115</f>
        <v>61726.218491365631</v>
      </c>
      <c r="O20" s="896">
        <f>750*(F10*1.0781)+Forecasts!F198-Forecasts!F115</f>
        <v>64438.103771924325</v>
      </c>
    </row>
    <row r="21" spans="1:23" ht="13.5" thickBot="1">
      <c r="A21" s="268"/>
      <c r="B21" s="56"/>
      <c r="C21" s="56"/>
      <c r="D21" s="56"/>
      <c r="E21" s="56"/>
      <c r="F21" s="56"/>
      <c r="G21" s="56"/>
      <c r="H21" s="56"/>
      <c r="I21" s="56"/>
      <c r="J21" s="269"/>
    </row>
    <row r="22" spans="1:23" ht="13.5" thickTop="1">
      <c r="A22" s="270" t="s">
        <v>41</v>
      </c>
      <c r="B22" s="225"/>
      <c r="C22" s="225"/>
      <c r="D22" s="271"/>
      <c r="E22" s="272"/>
      <c r="F22" s="272"/>
      <c r="G22" s="272"/>
      <c r="H22" s="272"/>
      <c r="I22" s="272"/>
      <c r="J22" s="273"/>
    </row>
    <row r="23" spans="1:23">
      <c r="A23" s="268"/>
      <c r="B23" s="56"/>
      <c r="C23" s="56"/>
      <c r="D23" s="56"/>
      <c r="E23" s="56"/>
      <c r="F23" s="56"/>
      <c r="G23" s="56"/>
      <c r="H23" s="56"/>
      <c r="I23" s="56"/>
      <c r="J23" s="274"/>
      <c r="L23" s="61" t="s">
        <v>179</v>
      </c>
    </row>
    <row r="24" spans="1:23">
      <c r="A24" s="268" t="s">
        <v>48</v>
      </c>
      <c r="B24" s="56"/>
      <c r="C24" s="56"/>
      <c r="D24" s="56"/>
      <c r="F24" s="275">
        <v>82.92</v>
      </c>
      <c r="G24" s="56"/>
      <c r="H24" s="56"/>
      <c r="I24" s="56"/>
      <c r="J24" s="274"/>
      <c r="L24" s="17" t="s">
        <v>533</v>
      </c>
    </row>
    <row r="25" spans="1:23">
      <c r="A25" s="268" t="s">
        <v>247</v>
      </c>
      <c r="B25" s="56"/>
      <c r="C25" s="56"/>
      <c r="D25" s="56"/>
      <c r="E25" s="56"/>
      <c r="F25" s="377">
        <f>Data!$G$147</f>
        <v>763.03</v>
      </c>
      <c r="G25" s="56"/>
      <c r="H25" s="56"/>
      <c r="I25" s="56"/>
      <c r="J25" s="274"/>
      <c r="L25" s="17" t="s">
        <v>534</v>
      </c>
    </row>
    <row r="26" spans="1:23">
      <c r="A26" s="268" t="s">
        <v>248</v>
      </c>
      <c r="B26" s="56"/>
      <c r="C26" s="56"/>
      <c r="D26" s="56"/>
      <c r="E26" s="56"/>
      <c r="F26" s="276">
        <f>F24*F25</f>
        <v>63270.4476</v>
      </c>
      <c r="G26" s="56"/>
      <c r="H26" s="56"/>
      <c r="I26" s="56"/>
      <c r="J26" s="274"/>
      <c r="L26" s="17" t="s">
        <v>526</v>
      </c>
    </row>
    <row r="27" spans="1:23">
      <c r="A27" s="268"/>
      <c r="B27" s="56"/>
      <c r="C27" s="56"/>
      <c r="D27" s="56"/>
      <c r="E27" s="56"/>
      <c r="F27" s="277"/>
      <c r="G27" s="56"/>
      <c r="H27" s="56"/>
      <c r="I27" s="56"/>
      <c r="J27" s="274"/>
    </row>
    <row r="28" spans="1:23">
      <c r="A28" s="268" t="s">
        <v>241</v>
      </c>
      <c r="B28" s="56"/>
      <c r="C28" s="56"/>
      <c r="D28" s="56"/>
      <c r="E28" s="56"/>
      <c r="F28" s="278">
        <f>Forecasts!$J$15</f>
        <v>0.03</v>
      </c>
      <c r="G28" s="56"/>
      <c r="H28" s="56"/>
      <c r="I28" s="56"/>
      <c r="J28" s="274"/>
      <c r="L28" s="61" t="s">
        <v>180</v>
      </c>
    </row>
    <row r="29" spans="1:23">
      <c r="A29" s="268" t="s">
        <v>242</v>
      </c>
      <c r="B29" s="56"/>
      <c r="C29" s="56"/>
      <c r="D29" s="56"/>
      <c r="E29" s="56"/>
      <c r="F29" s="279">
        <v>0.03</v>
      </c>
      <c r="G29" s="56"/>
      <c r="H29" s="56"/>
      <c r="I29" s="56"/>
      <c r="J29" s="274"/>
      <c r="L29" s="17" t="s">
        <v>185</v>
      </c>
    </row>
    <row r="30" spans="1:23">
      <c r="A30" s="268" t="s">
        <v>243</v>
      </c>
      <c r="B30" s="56"/>
      <c r="C30" s="56"/>
      <c r="D30" s="56"/>
      <c r="E30" s="56"/>
      <c r="F30" s="56"/>
      <c r="G30" s="56"/>
      <c r="H30" s="56"/>
      <c r="I30" s="425"/>
      <c r="J30" s="274"/>
    </row>
    <row r="31" spans="1:23">
      <c r="A31" s="280"/>
      <c r="B31" s="56"/>
      <c r="C31" s="56"/>
      <c r="D31" s="56"/>
      <c r="E31" s="56"/>
      <c r="F31" s="56"/>
      <c r="G31" s="56"/>
      <c r="H31" s="56"/>
      <c r="I31" s="56"/>
      <c r="J31" s="274"/>
    </row>
    <row r="32" spans="1:23" ht="13.5" thickBot="1">
      <c r="A32" s="268" t="s">
        <v>42</v>
      </c>
      <c r="B32" s="56"/>
      <c r="C32" s="56"/>
      <c r="D32" s="56"/>
      <c r="E32" s="56"/>
      <c r="F32" s="56"/>
      <c r="G32" s="56"/>
      <c r="H32" s="56"/>
      <c r="I32" s="56"/>
      <c r="J32" s="274"/>
      <c r="L32" s="61" t="s">
        <v>181</v>
      </c>
    </row>
    <row r="33" spans="1:12" ht="13.5" thickBot="1">
      <c r="A33" s="1283" t="s">
        <v>251</v>
      </c>
      <c r="B33" s="1284"/>
      <c r="C33" s="1284"/>
      <c r="D33" s="1284"/>
      <c r="E33" s="1285"/>
      <c r="F33" s="933">
        <v>1</v>
      </c>
      <c r="G33" s="56"/>
      <c r="H33" s="56"/>
      <c r="I33" s="56"/>
      <c r="J33" s="274"/>
      <c r="L33" s="17" t="s">
        <v>527</v>
      </c>
    </row>
    <row r="34" spans="1:12" ht="13.5" thickBot="1">
      <c r="A34" s="1286" t="s">
        <v>252</v>
      </c>
      <c r="B34" s="1287"/>
      <c r="C34" s="1287"/>
      <c r="D34" s="1287"/>
      <c r="E34" s="1288"/>
      <c r="F34" s="1018">
        <v>3.7400000000000003E-2</v>
      </c>
      <c r="G34" s="56"/>
      <c r="H34" s="56"/>
      <c r="I34" s="56"/>
      <c r="J34" s="274"/>
      <c r="L34" s="457" t="s">
        <v>776</v>
      </c>
    </row>
    <row r="35" spans="1:12">
      <c r="A35" s="1286" t="s">
        <v>44</v>
      </c>
      <c r="B35" s="1287"/>
      <c r="C35" s="1287"/>
      <c r="D35" s="1287"/>
      <c r="E35" s="1288"/>
      <c r="F35" s="1018">
        <v>4.5999999999999999E-2</v>
      </c>
      <c r="G35" s="56"/>
      <c r="H35" s="56"/>
      <c r="I35" s="56"/>
      <c r="J35" s="274"/>
      <c r="L35" s="17" t="s">
        <v>528</v>
      </c>
    </row>
    <row r="36" spans="1:12" ht="13.5" thickBot="1">
      <c r="A36" s="1289" t="s">
        <v>46</v>
      </c>
      <c r="B36" s="1290"/>
      <c r="C36" s="1290"/>
      <c r="D36" s="1290"/>
      <c r="E36" s="1291"/>
      <c r="F36" s="1021">
        <f>F34+F33*F35</f>
        <v>8.3400000000000002E-2</v>
      </c>
      <c r="G36" s="56"/>
      <c r="H36" s="56"/>
      <c r="I36" s="56"/>
      <c r="J36" s="274"/>
      <c r="L36" s="17" t="s">
        <v>529</v>
      </c>
    </row>
    <row r="37" spans="1:12">
      <c r="A37" s="268"/>
      <c r="B37" s="56"/>
      <c r="C37" s="56"/>
      <c r="D37" s="56"/>
      <c r="E37" s="56"/>
      <c r="F37" s="56"/>
      <c r="G37" s="56"/>
      <c r="H37" s="56"/>
      <c r="I37" s="56"/>
      <c r="J37" s="274"/>
    </row>
    <row r="38" spans="1:12">
      <c r="A38" s="268" t="s">
        <v>245</v>
      </c>
      <c r="B38" s="56"/>
      <c r="C38" s="56"/>
      <c r="D38" s="56"/>
      <c r="E38" s="56"/>
      <c r="F38" s="56"/>
      <c r="G38" s="56"/>
      <c r="H38" s="56"/>
      <c r="I38" s="56"/>
      <c r="J38" s="274"/>
      <c r="L38" s="61" t="s">
        <v>182</v>
      </c>
    </row>
    <row r="39" spans="1:12">
      <c r="A39" s="268" t="s">
        <v>43</v>
      </c>
      <c r="B39" s="56"/>
      <c r="C39" s="56"/>
      <c r="D39" s="56"/>
      <c r="E39" s="56"/>
      <c r="F39" s="603">
        <f>Forecasts!D177+Forecasts!D180+Forecasts!D198</f>
        <v>992.3</v>
      </c>
      <c r="G39" s="56"/>
      <c r="H39" s="56"/>
      <c r="I39" s="56"/>
      <c r="J39" s="274"/>
      <c r="L39" s="17" t="s">
        <v>530</v>
      </c>
    </row>
    <row r="40" spans="1:12">
      <c r="A40" s="268" t="s">
        <v>246</v>
      </c>
      <c r="B40" s="56"/>
      <c r="C40" s="56"/>
      <c r="D40" s="56"/>
      <c r="E40" s="56"/>
      <c r="F40" s="378">
        <f>-Forecasts!E63</f>
        <v>1.8139675501360475E-2</v>
      </c>
      <c r="G40" s="56"/>
      <c r="H40" s="56"/>
      <c r="I40" s="56"/>
      <c r="J40" s="274"/>
      <c r="L40" s="17" t="s">
        <v>531</v>
      </c>
    </row>
    <row r="41" spans="1:12">
      <c r="A41" s="268" t="s">
        <v>45</v>
      </c>
      <c r="B41" s="56"/>
      <c r="C41" s="56"/>
      <c r="D41" s="56"/>
      <c r="E41" s="56"/>
      <c r="F41" s="378">
        <f>Forecasts!E76</f>
        <v>-0.17</v>
      </c>
      <c r="G41" s="56"/>
      <c r="H41" s="56"/>
      <c r="I41" s="56"/>
      <c r="J41" s="274"/>
      <c r="L41" s="17" t="s">
        <v>532</v>
      </c>
    </row>
    <row r="42" spans="1:12">
      <c r="A42" s="268" t="s">
        <v>178</v>
      </c>
      <c r="B42" s="56"/>
      <c r="C42" s="56"/>
      <c r="D42" s="56"/>
      <c r="E42" s="56"/>
      <c r="F42" s="283">
        <f>F40*(1+F41)</f>
        <v>1.5055930666129194E-2</v>
      </c>
      <c r="G42" s="56"/>
      <c r="H42" s="56"/>
      <c r="I42" s="56"/>
      <c r="J42" s="274"/>
      <c r="L42" s="17" t="s">
        <v>187</v>
      </c>
    </row>
    <row r="43" spans="1:12">
      <c r="A43" s="268"/>
      <c r="B43" s="56"/>
      <c r="C43" s="56"/>
      <c r="D43" s="56"/>
      <c r="E43" s="56"/>
      <c r="F43" s="56"/>
      <c r="G43" s="56"/>
      <c r="H43" s="56"/>
      <c r="I43" s="56"/>
      <c r="J43" s="274"/>
    </row>
    <row r="44" spans="1:12">
      <c r="A44" s="268" t="s">
        <v>47</v>
      </c>
      <c r="B44" s="56"/>
      <c r="C44" s="56"/>
      <c r="D44" s="56"/>
      <c r="E44" s="56"/>
      <c r="F44" s="56"/>
      <c r="G44" s="56"/>
      <c r="H44" s="56"/>
      <c r="I44" s="56"/>
      <c r="J44" s="274"/>
      <c r="L44" s="61" t="s">
        <v>183</v>
      </c>
    </row>
    <row r="45" spans="1:12">
      <c r="A45" s="268" t="s">
        <v>249</v>
      </c>
      <c r="B45" s="56"/>
      <c r="C45" s="56"/>
      <c r="D45" s="56"/>
      <c r="E45" s="56"/>
      <c r="F45" s="282">
        <v>0</v>
      </c>
      <c r="G45" s="56"/>
      <c r="H45" s="56"/>
      <c r="I45" s="56"/>
      <c r="J45" s="274"/>
      <c r="L45" s="399" t="s">
        <v>711</v>
      </c>
    </row>
    <row r="46" spans="1:12">
      <c r="A46" s="268" t="s">
        <v>250</v>
      </c>
      <c r="B46" s="56"/>
      <c r="C46" s="56"/>
      <c r="D46" s="56"/>
      <c r="E46" s="56"/>
      <c r="F46" s="282">
        <v>0</v>
      </c>
      <c r="G46" s="56"/>
      <c r="H46" s="56"/>
      <c r="I46" s="56"/>
      <c r="J46" s="274"/>
      <c r="L46" s="17" t="s">
        <v>540</v>
      </c>
    </row>
    <row r="47" spans="1:12">
      <c r="A47" s="268" t="s">
        <v>253</v>
      </c>
      <c r="B47" s="56"/>
      <c r="C47" s="56"/>
      <c r="D47" s="56"/>
      <c r="E47" s="56"/>
      <c r="F47" s="281">
        <v>0</v>
      </c>
      <c r="G47" s="56"/>
      <c r="H47" s="56"/>
      <c r="I47" s="56"/>
      <c r="J47" s="274"/>
      <c r="L47" s="17" t="s">
        <v>525</v>
      </c>
    </row>
    <row r="48" spans="1:12">
      <c r="A48" s="268"/>
      <c r="B48" s="56"/>
      <c r="C48" s="56"/>
      <c r="D48" s="56"/>
      <c r="E48" s="56"/>
      <c r="F48" s="56"/>
      <c r="G48" s="56"/>
      <c r="H48" s="56"/>
      <c r="I48" s="56"/>
      <c r="J48" s="274"/>
    </row>
    <row r="49" spans="1:12">
      <c r="A49" s="268" t="s">
        <v>699</v>
      </c>
      <c r="B49" s="56"/>
      <c r="C49" s="56"/>
      <c r="D49" s="56"/>
      <c r="E49" s="56"/>
      <c r="F49" s="56"/>
      <c r="G49" s="56"/>
      <c r="H49" s="56"/>
      <c r="I49" s="56"/>
      <c r="J49" s="274"/>
      <c r="L49" s="61" t="s">
        <v>702</v>
      </c>
    </row>
    <row r="50" spans="1:12">
      <c r="A50" s="268" t="s">
        <v>700</v>
      </c>
      <c r="B50" s="56"/>
      <c r="C50" s="56"/>
      <c r="D50" s="56"/>
      <c r="E50" s="56"/>
      <c r="F50" s="428">
        <v>0</v>
      </c>
      <c r="G50" s="56"/>
      <c r="H50" s="56"/>
      <c r="I50" s="56"/>
      <c r="J50" s="274"/>
      <c r="L50" s="399" t="s">
        <v>703</v>
      </c>
    </row>
    <row r="51" spans="1:12">
      <c r="A51" s="268" t="s">
        <v>701</v>
      </c>
      <c r="B51" s="56"/>
      <c r="C51" s="56"/>
      <c r="D51" s="56"/>
      <c r="E51" s="56"/>
      <c r="F51" s="428">
        <v>0</v>
      </c>
      <c r="G51" s="56"/>
      <c r="H51" s="56"/>
      <c r="I51" s="56"/>
      <c r="J51" s="274"/>
      <c r="L51" s="399" t="s">
        <v>704</v>
      </c>
    </row>
    <row r="52" spans="1:12">
      <c r="A52" s="268" t="s">
        <v>253</v>
      </c>
      <c r="B52" s="56"/>
      <c r="C52" s="56"/>
      <c r="D52" s="56"/>
      <c r="E52" s="56"/>
      <c r="F52" s="427">
        <v>0</v>
      </c>
      <c r="G52" s="56"/>
      <c r="H52" s="56"/>
      <c r="I52" s="56"/>
      <c r="J52" s="274"/>
      <c r="L52" s="399" t="s">
        <v>705</v>
      </c>
    </row>
    <row r="53" spans="1:12">
      <c r="A53" s="268"/>
      <c r="B53" s="56"/>
      <c r="C53" s="56"/>
      <c r="D53" s="56"/>
      <c r="E53" s="56"/>
      <c r="F53" s="56"/>
      <c r="G53" s="56"/>
      <c r="H53" s="56"/>
      <c r="I53" s="56"/>
      <c r="J53" s="274"/>
    </row>
    <row r="54" spans="1:12">
      <c r="A54" s="268" t="s">
        <v>49</v>
      </c>
      <c r="B54" s="56"/>
      <c r="C54" s="56"/>
      <c r="D54" s="56"/>
      <c r="E54" s="56"/>
      <c r="F54" s="284"/>
      <c r="G54" s="56"/>
      <c r="H54" s="56"/>
      <c r="I54" s="56"/>
      <c r="J54" s="274"/>
      <c r="L54" s="61" t="s">
        <v>184</v>
      </c>
    </row>
    <row r="55" spans="1:12">
      <c r="A55" s="268" t="s">
        <v>50</v>
      </c>
      <c r="B55" s="56"/>
      <c r="C55" s="56"/>
      <c r="D55" s="56"/>
      <c r="E55" s="56"/>
      <c r="F55" s="506">
        <f>$F$26/($F$26+$F$39+$F$45+$F$50)</f>
        <v>0.98455870567227344</v>
      </c>
      <c r="G55" s="56"/>
      <c r="H55" s="56"/>
      <c r="I55" s="56"/>
      <c r="J55" s="274"/>
      <c r="L55" s="399" t="s">
        <v>707</v>
      </c>
    </row>
    <row r="56" spans="1:12">
      <c r="A56" s="268" t="s">
        <v>51</v>
      </c>
      <c r="B56" s="56"/>
      <c r="C56" s="56"/>
      <c r="D56" s="56"/>
      <c r="E56" s="56"/>
      <c r="F56" s="506">
        <f>$F$39/($F$26+$F$39+$F$45+$F$50)</f>
        <v>1.5441294327726503E-2</v>
      </c>
      <c r="G56" s="56"/>
      <c r="H56" s="56"/>
      <c r="I56" s="56"/>
      <c r="J56" s="274"/>
      <c r="L56" s="399" t="s">
        <v>708</v>
      </c>
    </row>
    <row r="57" spans="1:12">
      <c r="A57" s="268" t="s">
        <v>52</v>
      </c>
      <c r="B57" s="56"/>
      <c r="C57" s="56"/>
      <c r="D57" s="56"/>
      <c r="E57" s="56"/>
      <c r="F57" s="285">
        <f>$F$45/($F$26+$F$39+$F$45+$F$50)</f>
        <v>0</v>
      </c>
      <c r="G57" s="56"/>
      <c r="H57" s="56"/>
      <c r="I57" s="56"/>
      <c r="J57" s="274"/>
      <c r="L57" s="399" t="s">
        <v>709</v>
      </c>
    </row>
    <row r="58" spans="1:12">
      <c r="A58" s="268" t="s">
        <v>706</v>
      </c>
      <c r="B58" s="56"/>
      <c r="C58" s="56"/>
      <c r="D58" s="56"/>
      <c r="E58" s="56"/>
      <c r="F58" s="285">
        <f>$F$50/($F$26+$F$39+$F$45+$F$50)</f>
        <v>0</v>
      </c>
      <c r="G58" s="56"/>
      <c r="H58" s="56"/>
      <c r="I58" s="56"/>
      <c r="J58" s="274"/>
      <c r="L58" s="399" t="s">
        <v>710</v>
      </c>
    </row>
    <row r="59" spans="1:12">
      <c r="A59" s="268" t="s">
        <v>53</v>
      </c>
      <c r="B59" s="56"/>
      <c r="C59" s="56"/>
      <c r="D59" s="56"/>
      <c r="E59" s="56"/>
      <c r="F59" s="281">
        <f>($F$55*$F$36)+($F$56*F42)+($F$57*$F$47)+($F$58*$F$52)</f>
        <v>8.2344679109861152E-2</v>
      </c>
      <c r="G59" s="56"/>
      <c r="H59" s="56"/>
      <c r="I59" s="56"/>
      <c r="J59" s="274"/>
      <c r="L59" s="399" t="s">
        <v>536</v>
      </c>
    </row>
    <row r="60" spans="1:12" ht="13.5" thickBot="1">
      <c r="A60" s="286"/>
      <c r="B60" s="287"/>
      <c r="C60" s="287"/>
      <c r="D60" s="287"/>
      <c r="E60" s="287"/>
      <c r="F60" s="287"/>
      <c r="G60" s="287"/>
      <c r="H60" s="287"/>
      <c r="I60" s="287"/>
      <c r="J60" s="288"/>
    </row>
    <row r="61" spans="1:12" ht="13.5" thickTop="1">
      <c r="A61" s="56"/>
      <c r="B61" s="56"/>
      <c r="C61" s="56"/>
      <c r="D61" s="56"/>
      <c r="E61" s="56"/>
      <c r="F61" s="56"/>
      <c r="G61" s="56"/>
      <c r="H61" s="56"/>
      <c r="I61" s="56"/>
      <c r="J61" s="56"/>
    </row>
    <row r="62" spans="1:12" ht="13.5" thickBot="1">
      <c r="A62" s="56"/>
      <c r="B62" s="56"/>
      <c r="C62" s="56"/>
      <c r="D62" s="56"/>
      <c r="E62" s="56"/>
      <c r="F62" s="56"/>
      <c r="G62" s="56"/>
      <c r="H62" s="56"/>
      <c r="I62" s="56"/>
      <c r="J62" s="56"/>
    </row>
    <row r="63" spans="1:12" ht="13.5" thickTop="1">
      <c r="A63" s="289" t="s">
        <v>461</v>
      </c>
      <c r="B63" s="290"/>
      <c r="C63" s="291" t="str">
        <f>C18</f>
        <v>VALUATION MODELS</v>
      </c>
      <c r="D63" s="291"/>
      <c r="E63" s="292"/>
      <c r="F63" s="292"/>
      <c r="G63" s="292"/>
      <c r="H63" s="292"/>
      <c r="I63" s="292"/>
      <c r="J63" s="293"/>
    </row>
    <row r="64" spans="1:12">
      <c r="A64" s="264" t="str">
        <f>Data!$A$9</f>
        <v>Analyst Name:</v>
      </c>
      <c r="B64" s="265"/>
      <c r="C64" s="152" t="str">
        <f>Data!$B$9</f>
        <v>CAI Zonghuan</v>
      </c>
      <c r="D64" s="154"/>
      <c r="E64" s="149"/>
      <c r="F64" s="153"/>
      <c r="G64" s="153"/>
      <c r="H64" s="153"/>
      <c r="I64" s="153"/>
      <c r="J64" s="266"/>
    </row>
    <row r="65" spans="1:12">
      <c r="A65" s="264" t="str">
        <f>Data!$A$10</f>
        <v>Company Name:</v>
      </c>
      <c r="B65" s="267"/>
      <c r="C65" s="152" t="str">
        <f>Data!$B$10</f>
        <v>FORTINET</v>
      </c>
      <c r="D65" s="149"/>
      <c r="E65" s="166"/>
      <c r="F65" s="153"/>
      <c r="G65" s="153"/>
      <c r="H65" s="153"/>
      <c r="I65" s="153"/>
      <c r="J65" s="266"/>
    </row>
    <row r="66" spans="1:12">
      <c r="A66" s="294"/>
      <c r="B66" s="56"/>
      <c r="C66" s="56"/>
      <c r="D66" s="56"/>
      <c r="E66" s="56"/>
      <c r="F66" s="56"/>
      <c r="G66" s="56"/>
      <c r="H66" s="56"/>
      <c r="I66" s="56"/>
      <c r="J66" s="295" t="s">
        <v>54</v>
      </c>
    </row>
    <row r="67" spans="1:12">
      <c r="A67" s="294"/>
      <c r="B67" s="56"/>
      <c r="C67" s="56"/>
      <c r="D67" s="56"/>
      <c r="E67" s="296">
        <v>1</v>
      </c>
      <c r="F67" s="296">
        <v>2</v>
      </c>
      <c r="G67" s="296">
        <v>3</v>
      </c>
      <c r="H67" s="296">
        <v>4</v>
      </c>
      <c r="I67" s="296">
        <v>5</v>
      </c>
      <c r="J67" s="295">
        <v>6</v>
      </c>
      <c r="L67" s="61" t="s">
        <v>201</v>
      </c>
    </row>
    <row r="68" spans="1:12">
      <c r="A68" s="297" t="s">
        <v>190</v>
      </c>
      <c r="B68" s="298"/>
      <c r="C68" s="298"/>
      <c r="D68" s="298"/>
      <c r="E68" s="299" t="s">
        <v>471</v>
      </c>
      <c r="F68" s="299" t="s">
        <v>472</v>
      </c>
      <c r="G68" s="299" t="s">
        <v>473</v>
      </c>
      <c r="H68" s="299" t="s">
        <v>474</v>
      </c>
      <c r="I68" s="299" t="s">
        <v>475</v>
      </c>
      <c r="J68" s="300" t="s">
        <v>476</v>
      </c>
      <c r="L68" s="301" t="s">
        <v>212</v>
      </c>
    </row>
    <row r="69" spans="1:12">
      <c r="A69" s="268"/>
      <c r="B69" s="56"/>
      <c r="C69" s="56"/>
      <c r="D69" s="56"/>
      <c r="E69" s="120"/>
      <c r="F69" s="120"/>
      <c r="G69" s="120"/>
      <c r="H69" s="120"/>
      <c r="I69" s="120"/>
      <c r="J69" s="295"/>
    </row>
    <row r="70" spans="1:12">
      <c r="A70" s="302" t="s">
        <v>92</v>
      </c>
      <c r="B70" s="56"/>
      <c r="C70" s="56"/>
      <c r="D70" s="56"/>
      <c r="E70" s="303">
        <f>-Forecasts!E258-Forecasts!E255</f>
        <v>0</v>
      </c>
      <c r="F70" s="303">
        <f>-Forecasts!F258-Forecasts!F255</f>
        <v>0</v>
      </c>
      <c r="G70" s="303">
        <f>-Forecasts!G258-Forecasts!G255</f>
        <v>0</v>
      </c>
      <c r="H70" s="303">
        <f>-Forecasts!H258-Forecasts!H255</f>
        <v>0</v>
      </c>
      <c r="I70" s="303">
        <f>-Forecasts!I258-Forecasts!I255</f>
        <v>0</v>
      </c>
      <c r="J70" s="303">
        <f>-Forecasts!J258-Forecasts!J255</f>
        <v>0</v>
      </c>
      <c r="L70" s="17" t="s">
        <v>537</v>
      </c>
    </row>
    <row r="71" spans="1:12">
      <c r="A71" s="268" t="s">
        <v>93</v>
      </c>
      <c r="B71" s="56"/>
      <c r="C71" s="56"/>
      <c r="D71" s="56"/>
      <c r="E71" s="303">
        <f>Forecasts!D222-Forecasts!E222</f>
        <v>-42.516000000000076</v>
      </c>
      <c r="F71" s="303">
        <f>Forecasts!E222-Forecasts!F222</f>
        <v>-43.791480000000092</v>
      </c>
      <c r="G71" s="303">
        <f>Forecasts!F222-Forecasts!G222</f>
        <v>-45.105224399999997</v>
      </c>
      <c r="H71" s="303">
        <f>Forecasts!G222-Forecasts!H222</f>
        <v>-46.458381132000113</v>
      </c>
      <c r="I71" s="303">
        <f>Forecasts!H222-Forecasts!I222</f>
        <v>-47.852132565960119</v>
      </c>
      <c r="J71" s="303">
        <f>Forecasts!I222-Forecasts!J222</f>
        <v>-49.287696542938875</v>
      </c>
      <c r="L71" s="17" t="s">
        <v>538</v>
      </c>
    </row>
    <row r="72" spans="1:12">
      <c r="A72" s="268" t="s">
        <v>94</v>
      </c>
      <c r="B72" s="56"/>
      <c r="C72" s="56"/>
      <c r="D72" s="56"/>
      <c r="E72" s="303">
        <f>-Forecasts!E268</f>
        <v>1360.9956188442575</v>
      </c>
      <c r="F72" s="303">
        <f>-Forecasts!F268</f>
        <v>1594.4170194986573</v>
      </c>
      <c r="G72" s="303">
        <f>-Forecasts!G268</f>
        <v>1948.2918095076629</v>
      </c>
      <c r="H72" s="303">
        <f>-Forecasts!H268</f>
        <v>2401.0105699040096</v>
      </c>
      <c r="I72" s="303">
        <f>-Forecasts!I268</f>
        <v>3081.6217175411975</v>
      </c>
      <c r="J72" s="303">
        <f>-Forecasts!J268</f>
        <v>3928.2917200092925</v>
      </c>
      <c r="L72" s="17" t="s">
        <v>539</v>
      </c>
    </row>
    <row r="73" spans="1:12">
      <c r="A73" s="297" t="s">
        <v>240</v>
      </c>
      <c r="B73" s="298"/>
      <c r="C73" s="298"/>
      <c r="D73" s="298"/>
      <c r="E73" s="305">
        <f t="shared" ref="E73:J73" si="0">SUM(E70:E72)</f>
        <v>1318.4796188442574</v>
      </c>
      <c r="F73" s="305">
        <f t="shared" si="0"/>
        <v>1550.6255394986572</v>
      </c>
      <c r="G73" s="305">
        <f t="shared" si="0"/>
        <v>1903.1865851076629</v>
      </c>
      <c r="H73" s="305">
        <f t="shared" si="0"/>
        <v>2354.5521887720097</v>
      </c>
      <c r="I73" s="305">
        <f t="shared" si="0"/>
        <v>3033.7695849752372</v>
      </c>
      <c r="J73" s="305">
        <f t="shared" si="0"/>
        <v>3879.0040234663538</v>
      </c>
      <c r="L73" s="17" t="s">
        <v>547</v>
      </c>
    </row>
    <row r="74" spans="1:12">
      <c r="A74" s="268"/>
      <c r="B74" s="56"/>
      <c r="C74" s="56"/>
      <c r="D74" s="56"/>
      <c r="E74" s="120"/>
      <c r="F74" s="120"/>
      <c r="G74" s="120"/>
      <c r="H74" s="120"/>
      <c r="I74" s="120"/>
      <c r="J74" s="295"/>
    </row>
    <row r="75" spans="1:12">
      <c r="A75" s="268" t="s">
        <v>61</v>
      </c>
      <c r="B75" s="56"/>
      <c r="C75" s="56"/>
      <c r="D75" s="56"/>
      <c r="E75" s="306">
        <f t="shared" ref="E75:J75" si="1">1/(1+$F$36)^E67</f>
        <v>0.92302012183865612</v>
      </c>
      <c r="F75" s="306">
        <f t="shared" si="1"/>
        <v>0.85196614531904769</v>
      </c>
      <c r="G75" s="306">
        <f t="shared" si="1"/>
        <v>0.78638189525479762</v>
      </c>
      <c r="H75" s="306">
        <f t="shared" si="1"/>
        <v>0.72584631276979661</v>
      </c>
      <c r="I75" s="306">
        <f t="shared" si="1"/>
        <v>0.66997075204891698</v>
      </c>
      <c r="J75" s="306">
        <f t="shared" si="1"/>
        <v>0.61839648518452739</v>
      </c>
      <c r="L75" s="17" t="s">
        <v>541</v>
      </c>
    </row>
    <row r="76" spans="1:12">
      <c r="A76" s="268" t="s">
        <v>621</v>
      </c>
      <c r="B76" s="56"/>
      <c r="C76" s="56"/>
      <c r="D76" s="56"/>
      <c r="E76" s="303">
        <f t="shared" ref="E76:J76" si="2">E73*E75</f>
        <v>1216.9832184274114</v>
      </c>
      <c r="F76" s="303">
        <f t="shared" si="2"/>
        <v>1321.0804637199396</v>
      </c>
      <c r="G76" s="303">
        <f t="shared" si="2"/>
        <v>1496.6314738204701</v>
      </c>
      <c r="H76" s="303">
        <f t="shared" si="2"/>
        <v>1709.0430244442173</v>
      </c>
      <c r="I76" s="303">
        <f t="shared" si="2"/>
        <v>2032.5368903889905</v>
      </c>
      <c r="J76" s="303">
        <f t="shared" si="2"/>
        <v>2398.762454128233</v>
      </c>
    </row>
    <row r="77" spans="1:12">
      <c r="A77" s="268" t="s">
        <v>622</v>
      </c>
      <c r="B77" s="56"/>
      <c r="C77" s="56"/>
      <c r="D77" s="56"/>
      <c r="E77" s="303">
        <f>SUM(E76:J76)</f>
        <v>10175.037524929261</v>
      </c>
      <c r="F77" s="303"/>
      <c r="G77" s="303"/>
      <c r="H77" s="303"/>
      <c r="I77" s="303"/>
      <c r="J77" s="304"/>
      <c r="L77" s="17" t="s">
        <v>197</v>
      </c>
    </row>
    <row r="78" spans="1:12">
      <c r="A78" s="268" t="s">
        <v>623</v>
      </c>
      <c r="B78" s="56"/>
      <c r="C78" s="56"/>
      <c r="D78" s="56"/>
      <c r="E78" s="307">
        <f>J73/($F$36-$F$29)*$I$75</f>
        <v>48667.027018773922</v>
      </c>
      <c r="F78" s="370"/>
      <c r="G78" s="307"/>
      <c r="H78" s="307"/>
      <c r="I78" s="307"/>
      <c r="J78" s="308"/>
      <c r="L78" s="17" t="s">
        <v>198</v>
      </c>
    </row>
    <row r="79" spans="1:12">
      <c r="A79" s="268" t="s">
        <v>70</v>
      </c>
      <c r="B79" s="56"/>
      <c r="C79" s="56"/>
      <c r="D79" s="56"/>
      <c r="E79" s="307">
        <f>E77+E78</f>
        <v>58842.064543703185</v>
      </c>
      <c r="F79" s="303"/>
      <c r="G79" s="307"/>
      <c r="H79" s="307"/>
      <c r="I79" s="307"/>
      <c r="J79" s="308"/>
    </row>
    <row r="80" spans="1:12">
      <c r="A80" s="268" t="s">
        <v>62</v>
      </c>
      <c r="B80" s="56"/>
      <c r="C80" s="56"/>
      <c r="D80" s="56"/>
      <c r="E80" s="361">
        <f>1+($F$36/2)</f>
        <v>1.0417000000000001</v>
      </c>
      <c r="F80" s="56"/>
      <c r="G80" s="56"/>
      <c r="H80" s="56"/>
      <c r="I80" s="56"/>
      <c r="J80" s="274"/>
      <c r="L80" s="17" t="s">
        <v>196</v>
      </c>
    </row>
    <row r="81" spans="1:17">
      <c r="A81" s="268" t="s">
        <v>624</v>
      </c>
      <c r="B81" s="56"/>
      <c r="C81" s="56"/>
      <c r="D81" s="56"/>
      <c r="E81" s="307">
        <f>E79*E80</f>
        <v>61295.778635175615</v>
      </c>
      <c r="F81" s="56"/>
      <c r="G81" s="56"/>
      <c r="H81" s="56"/>
      <c r="I81" s="56"/>
      <c r="J81" s="274"/>
    </row>
    <row r="82" spans="1:17">
      <c r="A82" s="268" t="s">
        <v>63</v>
      </c>
      <c r="B82" s="56"/>
      <c r="C82" s="56"/>
      <c r="D82" s="56"/>
      <c r="E82" s="307">
        <f>$F$25</f>
        <v>763.03</v>
      </c>
      <c r="F82" s="56"/>
      <c r="G82" s="56"/>
      <c r="H82" s="56"/>
      <c r="I82" s="56"/>
      <c r="J82" s="274"/>
    </row>
    <row r="83" spans="1:17">
      <c r="A83" s="268" t="s">
        <v>64</v>
      </c>
      <c r="B83" s="56"/>
      <c r="C83" s="56"/>
      <c r="D83" s="56"/>
      <c r="E83" s="309">
        <f>E81/E82</f>
        <v>80.332069034213092</v>
      </c>
      <c r="F83" s="56"/>
      <c r="G83" s="56"/>
      <c r="H83" s="56"/>
      <c r="I83" s="56"/>
      <c r="J83" s="274"/>
      <c r="L83" s="17" t="s">
        <v>199</v>
      </c>
    </row>
    <row r="84" spans="1:17">
      <c r="A84" s="268"/>
      <c r="B84" s="56"/>
      <c r="C84" s="56"/>
      <c r="D84" s="56"/>
      <c r="E84" s="56"/>
      <c r="F84" s="56"/>
      <c r="G84" s="56"/>
      <c r="H84" s="56"/>
      <c r="I84" s="56"/>
      <c r="J84" s="274"/>
    </row>
    <row r="85" spans="1:17">
      <c r="A85" s="268" t="s">
        <v>48</v>
      </c>
      <c r="B85" s="56"/>
      <c r="C85" s="56"/>
      <c r="D85" s="56"/>
      <c r="E85" s="310">
        <f>$F$24</f>
        <v>82.92</v>
      </c>
      <c r="F85" s="56"/>
      <c r="G85" s="56"/>
      <c r="H85" s="56"/>
      <c r="I85" s="56"/>
      <c r="J85" s="274"/>
    </row>
    <row r="86" spans="1:17">
      <c r="A86" s="268" t="s">
        <v>65</v>
      </c>
      <c r="B86" s="56"/>
      <c r="C86" s="56"/>
      <c r="D86" s="56"/>
      <c r="E86" s="367">
        <f>E83/E85-1</f>
        <v>-3.1209973055799645E-2</v>
      </c>
      <c r="F86" s="56"/>
      <c r="G86" s="56"/>
      <c r="H86" s="56"/>
      <c r="I86" s="56"/>
      <c r="J86" s="274"/>
      <c r="L86" s="17" t="s">
        <v>66</v>
      </c>
    </row>
    <row r="87" spans="1:17" ht="13.5" thickBot="1">
      <c r="A87" s="286"/>
      <c r="B87" s="311"/>
      <c r="C87" s="311"/>
      <c r="D87" s="311"/>
      <c r="E87" s="311"/>
      <c r="F87" s="311"/>
      <c r="G87" s="311"/>
      <c r="H87" s="311"/>
      <c r="I87" s="311"/>
      <c r="J87" s="312"/>
    </row>
    <row r="88" spans="1:17" ht="13.5" thickTop="1">
      <c r="A88" s="48"/>
      <c r="B88" s="48"/>
      <c r="C88" s="48"/>
      <c r="D88" s="48"/>
      <c r="E88" s="48"/>
      <c r="F88" s="48"/>
      <c r="G88" s="48"/>
      <c r="H88" s="48"/>
      <c r="I88" s="48"/>
      <c r="J88" s="48"/>
    </row>
    <row r="89" spans="1:17" ht="13.5" thickBot="1">
      <c r="A89" s="48"/>
      <c r="B89" s="48"/>
      <c r="C89" s="48"/>
      <c r="D89" s="48"/>
      <c r="E89" s="48"/>
      <c r="F89" s="48"/>
      <c r="G89" s="48"/>
      <c r="H89" s="48"/>
      <c r="I89" s="48"/>
      <c r="J89" s="48"/>
    </row>
    <row r="90" spans="1:17" ht="13.5" thickTop="1">
      <c r="A90" s="289" t="s">
        <v>461</v>
      </c>
      <c r="B90" s="290"/>
      <c r="C90" s="291" t="str">
        <f>C18</f>
        <v>VALUATION MODELS</v>
      </c>
      <c r="D90" s="291"/>
      <c r="E90" s="292"/>
      <c r="F90" s="292"/>
      <c r="G90" s="292"/>
      <c r="H90" s="292"/>
      <c r="I90" s="292"/>
      <c r="J90" s="293"/>
    </row>
    <row r="91" spans="1:17">
      <c r="A91" s="264" t="str">
        <f>Data!$A$9</f>
        <v>Analyst Name:</v>
      </c>
      <c r="B91" s="265"/>
      <c r="C91" s="152" t="str">
        <f>Data!$B$9</f>
        <v>CAI Zonghuan</v>
      </c>
      <c r="D91" s="154"/>
      <c r="E91" s="149"/>
      <c r="F91" s="153"/>
      <c r="G91" s="153"/>
      <c r="H91" s="153"/>
      <c r="I91" s="153"/>
      <c r="J91" s="266"/>
      <c r="L91" s="468"/>
      <c r="M91" s="468"/>
      <c r="N91" s="468"/>
      <c r="O91" s="468"/>
      <c r="P91" s="468"/>
      <c r="Q91" s="468"/>
    </row>
    <row r="92" spans="1:17">
      <c r="A92" s="264" t="str">
        <f>Data!$A$10</f>
        <v>Company Name:</v>
      </c>
      <c r="B92" s="267"/>
      <c r="C92" s="152" t="str">
        <f>Data!$B$10</f>
        <v>FORTINET</v>
      </c>
      <c r="D92" s="149"/>
      <c r="E92" s="166"/>
      <c r="F92" s="153"/>
      <c r="G92" s="153"/>
      <c r="H92" s="153"/>
      <c r="I92" s="153"/>
      <c r="J92" s="266"/>
    </row>
    <row r="93" spans="1:17">
      <c r="A93" s="294"/>
      <c r="B93" s="56"/>
      <c r="C93" s="56"/>
      <c r="D93" s="56"/>
      <c r="E93" s="56"/>
      <c r="F93" s="56"/>
      <c r="G93" s="56"/>
      <c r="H93" s="56"/>
      <c r="I93" s="56"/>
      <c r="J93" s="295" t="s">
        <v>54</v>
      </c>
    </row>
    <row r="94" spans="1:17" ht="13.5" thickBot="1">
      <c r="A94" s="56"/>
      <c r="B94" s="56"/>
      <c r="C94" s="56"/>
      <c r="D94" s="56"/>
      <c r="E94" s="296">
        <v>1</v>
      </c>
      <c r="F94" s="296">
        <v>2</v>
      </c>
      <c r="G94" s="296">
        <v>3</v>
      </c>
      <c r="H94" s="296">
        <v>4</v>
      </c>
      <c r="I94" s="296">
        <v>5</v>
      </c>
      <c r="J94" s="295">
        <v>6</v>
      </c>
      <c r="L94" s="61" t="s">
        <v>514</v>
      </c>
    </row>
    <row r="95" spans="1:17">
      <c r="A95" s="933" t="s">
        <v>189</v>
      </c>
      <c r="B95" s="933"/>
      <c r="C95" s="933"/>
      <c r="D95" s="933"/>
      <c r="E95" s="966" t="s">
        <v>471</v>
      </c>
      <c r="F95" s="966" t="s">
        <v>472</v>
      </c>
      <c r="G95" s="966" t="s">
        <v>473</v>
      </c>
      <c r="H95" s="966" t="s">
        <v>474</v>
      </c>
      <c r="I95" s="966" t="s">
        <v>475</v>
      </c>
      <c r="J95" s="966" t="s">
        <v>476</v>
      </c>
      <c r="L95" s="301" t="s">
        <v>210</v>
      </c>
    </row>
    <row r="96" spans="1:17">
      <c r="A96" s="111"/>
      <c r="B96" s="56"/>
      <c r="C96" s="56"/>
      <c r="D96" s="56"/>
      <c r="E96" s="120"/>
      <c r="F96" s="120"/>
      <c r="G96" s="120"/>
      <c r="H96" s="120"/>
      <c r="I96" s="120"/>
      <c r="J96" s="1034"/>
    </row>
    <row r="97" spans="1:12">
      <c r="A97" s="111" t="s">
        <v>56</v>
      </c>
      <c r="B97" s="56"/>
      <c r="C97" s="56"/>
      <c r="D97" s="56"/>
      <c r="E97" s="307">
        <f>Forecasts!E297</f>
        <v>1552.4563310630704</v>
      </c>
      <c r="F97" s="307">
        <f>Forecasts!F297</f>
        <v>1757.3744665348186</v>
      </c>
      <c r="G97" s="307">
        <f>Forecasts!G297</f>
        <v>2087.5945020134395</v>
      </c>
      <c r="H97" s="307">
        <f>Forecasts!H297</f>
        <v>2520.6796102907779</v>
      </c>
      <c r="I97" s="307">
        <f>Forecasts!I297</f>
        <v>3184.9905035836136</v>
      </c>
      <c r="J97" s="1035">
        <f>Forecasts!J297</f>
        <v>4029.7690728809916</v>
      </c>
      <c r="L97" s="17" t="s">
        <v>543</v>
      </c>
    </row>
    <row r="98" spans="1:12">
      <c r="A98" s="111" t="s">
        <v>194</v>
      </c>
      <c r="B98" s="56"/>
      <c r="C98" s="56"/>
      <c r="D98" s="56"/>
      <c r="E98" s="307">
        <f>-Forecasts!E315</f>
        <v>-55.91599999999994</v>
      </c>
      <c r="F98" s="307">
        <f>-Forecasts!F315</f>
        <v>-58.152640000000474</v>
      </c>
      <c r="G98" s="307">
        <f>-Forecasts!G315</f>
        <v>-60.478745599998319</v>
      </c>
      <c r="H98" s="307">
        <f>-Forecasts!H315</f>
        <v>-62.897895424003309</v>
      </c>
      <c r="I98" s="307">
        <f>-Forecasts!I315</f>
        <v>-65.41381124095642</v>
      </c>
      <c r="J98" s="1035">
        <f>-Forecasts!J315</f>
        <v>-68.030363690602371</v>
      </c>
      <c r="L98" s="17" t="s">
        <v>192</v>
      </c>
    </row>
    <row r="99" spans="1:12">
      <c r="A99" s="1036" t="s">
        <v>60</v>
      </c>
      <c r="B99" s="56"/>
      <c r="C99" s="56"/>
      <c r="D99" s="56"/>
      <c r="E99" s="307">
        <f>Forecasts!E305</f>
        <v>-227.67571221881312</v>
      </c>
      <c r="F99" s="307">
        <f>Forecasts!F305</f>
        <v>-200.69203703616091</v>
      </c>
      <c r="G99" s="307">
        <f>Forecasts!G305</f>
        <v>-178.62970880577839</v>
      </c>
      <c r="H99" s="307">
        <f>Forecasts!H305</f>
        <v>-160.66509046976535</v>
      </c>
      <c r="I99" s="307">
        <f>Forecasts!I305</f>
        <v>-146.11444996116987</v>
      </c>
      <c r="J99" s="1035">
        <f>Forecasts!J305</f>
        <v>-127.50230995475056</v>
      </c>
      <c r="L99" s="17" t="s">
        <v>544</v>
      </c>
    </row>
    <row r="100" spans="1:12">
      <c r="A100" s="111" t="s">
        <v>67</v>
      </c>
      <c r="B100" s="56"/>
      <c r="C100" s="56"/>
      <c r="D100" s="56"/>
      <c r="E100" s="307">
        <f>Forecasts!E306+Forecasts!E307</f>
        <v>49.615000000000009</v>
      </c>
      <c r="F100" s="307">
        <f>Forecasts!F306+Forecasts!F307</f>
        <v>52.095749999999953</v>
      </c>
      <c r="G100" s="307">
        <f>Forecasts!G306+Forecasts!G307</f>
        <v>54.70053750000011</v>
      </c>
      <c r="H100" s="307">
        <f>Forecasts!H306+Forecasts!H307</f>
        <v>57.435564375000013</v>
      </c>
      <c r="I100" s="307">
        <f>Forecasts!I306+Forecasts!I307</f>
        <v>60.307342593750036</v>
      </c>
      <c r="J100" s="1035">
        <f>Forecasts!J306+Forecasts!J307</f>
        <v>37.993625834062641</v>
      </c>
      <c r="L100" s="17" t="s">
        <v>545</v>
      </c>
    </row>
    <row r="101" spans="1:12">
      <c r="A101" s="111" t="s">
        <v>68</v>
      </c>
      <c r="B101" s="56"/>
      <c r="C101" s="56"/>
      <c r="D101" s="56"/>
      <c r="E101" s="307">
        <f t="shared" ref="E101:J101" si="3">-E252</f>
        <v>0</v>
      </c>
      <c r="F101" s="307">
        <f t="shared" si="3"/>
        <v>0</v>
      </c>
      <c r="G101" s="307">
        <f t="shared" si="3"/>
        <v>0</v>
      </c>
      <c r="H101" s="307">
        <f t="shared" si="3"/>
        <v>0</v>
      </c>
      <c r="I101" s="307">
        <f t="shared" si="3"/>
        <v>0</v>
      </c>
      <c r="J101" s="1035">
        <f t="shared" si="3"/>
        <v>0</v>
      </c>
      <c r="L101" s="17" t="s">
        <v>191</v>
      </c>
    </row>
    <row r="102" spans="1:12" ht="13.5" thickBot="1">
      <c r="A102" s="111" t="s">
        <v>676</v>
      </c>
      <c r="B102" s="56"/>
      <c r="C102" s="56"/>
      <c r="D102" s="56"/>
      <c r="E102" s="307">
        <f>Forecasts!E308-Forecasts!E255+Forecasts!E313</f>
        <v>0</v>
      </c>
      <c r="F102" s="307">
        <f>Forecasts!F308-Forecasts!F255+Forecasts!F313</f>
        <v>0</v>
      </c>
      <c r="G102" s="307">
        <f>Forecasts!G308-Forecasts!G255+Forecasts!G313</f>
        <v>0</v>
      </c>
      <c r="H102" s="307">
        <f>Forecasts!H308-Forecasts!H255+Forecasts!H313</f>
        <v>0</v>
      </c>
      <c r="I102" s="307">
        <f>Forecasts!I308-Forecasts!I255+Forecasts!I313</f>
        <v>0</v>
      </c>
      <c r="J102" s="1035">
        <f>Forecasts!J308-Forecasts!J255+Forecasts!J313</f>
        <v>0</v>
      </c>
      <c r="L102" s="17" t="s">
        <v>546</v>
      </c>
    </row>
    <row r="103" spans="1:12">
      <c r="A103" s="933" t="s">
        <v>69</v>
      </c>
      <c r="B103" s="933"/>
      <c r="C103" s="933"/>
      <c r="D103" s="933"/>
      <c r="E103" s="1032">
        <f t="shared" ref="E103:J103" si="4">SUM(E97:E102)</f>
        <v>1318.4796188442574</v>
      </c>
      <c r="F103" s="1032">
        <f t="shared" si="4"/>
        <v>1550.6255394986572</v>
      </c>
      <c r="G103" s="1032">
        <f t="shared" si="4"/>
        <v>1903.1865851076629</v>
      </c>
      <c r="H103" s="1032">
        <f t="shared" si="4"/>
        <v>2354.5521887720092</v>
      </c>
      <c r="I103" s="1032">
        <f t="shared" si="4"/>
        <v>3033.7695849752372</v>
      </c>
      <c r="J103" s="1032">
        <f t="shared" si="4"/>
        <v>3872.2300250697012</v>
      </c>
      <c r="L103" s="17" t="s">
        <v>548</v>
      </c>
    </row>
    <row r="104" spans="1:12">
      <c r="A104" s="111"/>
      <c r="B104" s="56"/>
      <c r="C104" s="56"/>
      <c r="D104" s="56"/>
      <c r="E104" s="56"/>
      <c r="F104" s="56"/>
      <c r="G104" s="56"/>
      <c r="H104" s="56"/>
      <c r="I104" s="56"/>
      <c r="J104" s="1037"/>
    </row>
    <row r="105" spans="1:12">
      <c r="A105" s="111" t="s">
        <v>61</v>
      </c>
      <c r="B105" s="56"/>
      <c r="C105" s="56"/>
      <c r="D105" s="56"/>
      <c r="E105" s="315">
        <f t="shared" ref="E105:J105" si="5">1/(1+$F$36)^E94</f>
        <v>0.92302012183865612</v>
      </c>
      <c r="F105" s="315">
        <f t="shared" si="5"/>
        <v>0.85196614531904769</v>
      </c>
      <c r="G105" s="315">
        <f t="shared" si="5"/>
        <v>0.78638189525479762</v>
      </c>
      <c r="H105" s="315">
        <f t="shared" si="5"/>
        <v>0.72584631276979661</v>
      </c>
      <c r="I105" s="315">
        <f t="shared" si="5"/>
        <v>0.66997075204891698</v>
      </c>
      <c r="J105" s="1038">
        <f t="shared" si="5"/>
        <v>0.61839648518452739</v>
      </c>
      <c r="L105" s="17" t="s">
        <v>541</v>
      </c>
    </row>
    <row r="106" spans="1:12">
      <c r="A106" s="111" t="s">
        <v>625</v>
      </c>
      <c r="B106" s="56"/>
      <c r="C106" s="56"/>
      <c r="D106" s="56"/>
      <c r="E106" s="307">
        <f t="shared" ref="E106:J106" si="6">E103*E105</f>
        <v>1216.9832184274114</v>
      </c>
      <c r="F106" s="307">
        <f t="shared" si="6"/>
        <v>1321.0804637199396</v>
      </c>
      <c r="G106" s="307">
        <f t="shared" si="6"/>
        <v>1496.6314738204701</v>
      </c>
      <c r="H106" s="307">
        <f t="shared" si="6"/>
        <v>1709.0430244442171</v>
      </c>
      <c r="I106" s="307">
        <f t="shared" si="6"/>
        <v>2032.5368903889905</v>
      </c>
      <c r="J106" s="1035">
        <f t="shared" si="6"/>
        <v>2394.5734373290975</v>
      </c>
    </row>
    <row r="107" spans="1:12">
      <c r="A107" s="111" t="s">
        <v>626</v>
      </c>
      <c r="B107" s="56"/>
      <c r="C107" s="56"/>
      <c r="D107" s="56"/>
      <c r="E107" s="307">
        <f>SUM(E106:J106)</f>
        <v>10170.848508130126</v>
      </c>
      <c r="F107" s="307"/>
      <c r="G107" s="307"/>
      <c r="H107" s="307"/>
      <c r="I107" s="307"/>
      <c r="J107" s="1035"/>
      <c r="L107" s="17" t="s">
        <v>501</v>
      </c>
    </row>
    <row r="108" spans="1:12">
      <c r="A108" s="111" t="s">
        <v>623</v>
      </c>
      <c r="B108" s="56"/>
      <c r="C108" s="56"/>
      <c r="D108" s="56"/>
      <c r="E108" s="307">
        <f>J103/($F$36-$F$29)*I105</f>
        <v>48582.038614276113</v>
      </c>
      <c r="F108" s="307"/>
      <c r="G108" s="56"/>
      <c r="H108" s="56"/>
      <c r="I108" s="56"/>
      <c r="J108" s="1037"/>
      <c r="L108" s="17" t="s">
        <v>213</v>
      </c>
    </row>
    <row r="109" spans="1:12">
      <c r="A109" s="111" t="s">
        <v>70</v>
      </c>
      <c r="B109" s="56"/>
      <c r="C109" s="56"/>
      <c r="D109" s="56"/>
      <c r="E109" s="307">
        <f>E107+E108</f>
        <v>58752.887122406239</v>
      </c>
      <c r="F109" s="307"/>
      <c r="G109" s="56"/>
      <c r="H109" s="56"/>
      <c r="I109" s="56"/>
      <c r="J109" s="1037"/>
    </row>
    <row r="110" spans="1:12">
      <c r="A110" s="111" t="s">
        <v>62</v>
      </c>
      <c r="B110" s="56"/>
      <c r="C110" s="56"/>
      <c r="D110" s="56"/>
      <c r="E110" s="316">
        <f>(1+$F$36/2)</f>
        <v>1.0417000000000001</v>
      </c>
      <c r="F110" s="56"/>
      <c r="G110" s="56"/>
      <c r="H110" s="56"/>
      <c r="I110" s="56"/>
      <c r="J110" s="1037"/>
      <c r="L110" s="17" t="s">
        <v>196</v>
      </c>
    </row>
    <row r="111" spans="1:12">
      <c r="A111" s="111" t="s">
        <v>627</v>
      </c>
      <c r="B111" s="56"/>
      <c r="C111" s="56"/>
      <c r="D111" s="56"/>
      <c r="E111" s="307">
        <f>E109*E110</f>
        <v>61202.88251541058</v>
      </c>
      <c r="F111" s="56"/>
      <c r="G111" s="56"/>
      <c r="H111" s="56"/>
      <c r="I111" s="56"/>
      <c r="J111" s="1037"/>
    </row>
    <row r="112" spans="1:12" ht="13.5" thickBot="1">
      <c r="A112" s="111" t="s">
        <v>63</v>
      </c>
      <c r="B112" s="56"/>
      <c r="C112" s="56"/>
      <c r="D112" s="56"/>
      <c r="E112" s="307">
        <f>$F$25</f>
        <v>763.03</v>
      </c>
      <c r="F112" s="56"/>
      <c r="G112" s="56"/>
      <c r="H112" s="56"/>
      <c r="I112" s="56"/>
      <c r="J112" s="1037"/>
    </row>
    <row r="113" spans="1:12" ht="13.5" thickBot="1">
      <c r="A113" s="111" t="s">
        <v>64</v>
      </c>
      <c r="B113" s="56"/>
      <c r="C113" s="56"/>
      <c r="D113" s="56"/>
      <c r="E113" s="1033">
        <f>E111/E112</f>
        <v>80.210322681166645</v>
      </c>
      <c r="F113" s="56"/>
      <c r="G113" s="56"/>
      <c r="H113" s="56"/>
      <c r="I113" s="56"/>
      <c r="J113" s="1037"/>
      <c r="L113" s="17" t="s">
        <v>199</v>
      </c>
    </row>
    <row r="114" spans="1:12">
      <c r="A114" s="111"/>
      <c r="B114" s="56"/>
      <c r="C114" s="56"/>
      <c r="D114" s="56"/>
      <c r="E114" s="56"/>
      <c r="F114" s="56"/>
      <c r="G114" s="56"/>
      <c r="H114" s="56"/>
      <c r="I114" s="56"/>
      <c r="J114" s="1037"/>
    </row>
    <row r="115" spans="1:12">
      <c r="A115" s="111" t="s">
        <v>48</v>
      </c>
      <c r="B115" s="56"/>
      <c r="C115" s="56"/>
      <c r="D115" s="56"/>
      <c r="E115" s="310">
        <f>$F$24</f>
        <v>82.92</v>
      </c>
      <c r="F115" s="56"/>
      <c r="G115" s="56"/>
      <c r="H115" s="56"/>
      <c r="I115" s="56"/>
      <c r="J115" s="1037"/>
    </row>
    <row r="116" spans="1:12">
      <c r="A116" s="111" t="s">
        <v>65</v>
      </c>
      <c r="B116" s="56"/>
      <c r="C116" s="56"/>
      <c r="D116" s="56"/>
      <c r="E116" s="368">
        <f>E113/E115-1</f>
        <v>-3.2678211756311581E-2</v>
      </c>
      <c r="F116" s="56"/>
      <c r="G116" s="56"/>
      <c r="H116" s="56"/>
      <c r="I116" s="56"/>
      <c r="J116" s="1037"/>
      <c r="L116" s="17" t="s">
        <v>66</v>
      </c>
    </row>
    <row r="117" spans="1:12" ht="13.5" thickBot="1">
      <c r="A117" s="1019"/>
      <c r="B117" s="1039"/>
      <c r="C117" s="1039"/>
      <c r="D117" s="1039"/>
      <c r="E117" s="1039"/>
      <c r="F117" s="1039"/>
      <c r="G117" s="1039"/>
      <c r="H117" s="1020"/>
      <c r="I117" s="1020"/>
      <c r="J117" s="1040"/>
    </row>
    <row r="118" spans="1:12">
      <c r="A118" s="56"/>
      <c r="B118" s="318"/>
      <c r="C118" s="318"/>
      <c r="D118" s="318"/>
      <c r="E118" s="318"/>
      <c r="F118" s="318"/>
      <c r="G118" s="318"/>
      <c r="H118" s="56"/>
      <c r="I118" s="56"/>
      <c r="J118" s="56"/>
    </row>
    <row r="119" spans="1:12" ht="13.5" thickBot="1">
      <c r="A119" s="287"/>
      <c r="B119" s="311"/>
      <c r="C119" s="311"/>
      <c r="D119" s="311"/>
      <c r="E119" s="311"/>
      <c r="F119" s="311"/>
      <c r="G119" s="311"/>
      <c r="H119" s="287"/>
      <c r="I119" s="287"/>
      <c r="J119" s="287"/>
    </row>
    <row r="120" spans="1:12" ht="13.5" thickTop="1">
      <c r="A120" s="289" t="s">
        <v>461</v>
      </c>
      <c r="B120" s="290"/>
      <c r="C120" s="291" t="str">
        <f>C18</f>
        <v>VALUATION MODELS</v>
      </c>
      <c r="D120" s="291"/>
      <c r="E120" s="292"/>
      <c r="F120" s="292"/>
      <c r="G120" s="292"/>
      <c r="H120" s="292"/>
      <c r="I120" s="292"/>
      <c r="J120" s="319"/>
      <c r="K120" s="280"/>
    </row>
    <row r="121" spans="1:12">
      <c r="A121" s="264" t="str">
        <f>Data!$A$9</f>
        <v>Analyst Name:</v>
      </c>
      <c r="B121" s="265"/>
      <c r="C121" s="152" t="str">
        <f>Data!$B$9</f>
        <v>CAI Zonghuan</v>
      </c>
      <c r="D121" s="154"/>
      <c r="E121" s="149"/>
      <c r="F121" s="153"/>
      <c r="G121" s="153"/>
      <c r="H121" s="153"/>
      <c r="I121" s="153"/>
      <c r="J121" s="153"/>
      <c r="K121" s="280"/>
    </row>
    <row r="122" spans="1:12">
      <c r="A122" s="264" t="str">
        <f>Data!$A$10</f>
        <v>Company Name:</v>
      </c>
      <c r="B122" s="267"/>
      <c r="C122" s="152" t="str">
        <f>Data!$B$10</f>
        <v>FORTINET</v>
      </c>
      <c r="D122" s="149"/>
      <c r="E122" s="166"/>
      <c r="F122" s="153"/>
      <c r="G122" s="153"/>
      <c r="H122" s="153"/>
      <c r="I122" s="153"/>
      <c r="J122" s="153"/>
      <c r="K122" s="280"/>
    </row>
    <row r="123" spans="1:12">
      <c r="A123" s="294"/>
      <c r="B123" s="56"/>
      <c r="C123" s="56"/>
      <c r="D123" s="56"/>
      <c r="E123" s="56"/>
      <c r="F123" s="318"/>
      <c r="G123" s="318"/>
      <c r="H123" s="318"/>
      <c r="I123" s="318"/>
      <c r="J123" s="318"/>
      <c r="K123" s="280"/>
    </row>
    <row r="124" spans="1:12">
      <c r="A124" s="320" t="s">
        <v>698</v>
      </c>
      <c r="B124" s="321"/>
      <c r="C124" s="321"/>
      <c r="D124" s="321"/>
      <c r="E124" s="321"/>
      <c r="F124" s="322"/>
      <c r="G124" s="322"/>
      <c r="H124" s="322"/>
      <c r="I124" s="322"/>
      <c r="J124" s="322"/>
      <c r="K124" s="280"/>
    </row>
    <row r="125" spans="1:12">
      <c r="A125" s="268"/>
      <c r="B125" s="120"/>
      <c r="C125" s="56"/>
      <c r="D125" s="120"/>
      <c r="E125" s="120"/>
      <c r="F125" s="120"/>
      <c r="G125" s="120"/>
      <c r="H125" s="120"/>
      <c r="I125" s="120"/>
      <c r="J125" s="120"/>
      <c r="K125" s="280"/>
    </row>
    <row r="126" spans="1:12">
      <c r="A126" s="268"/>
      <c r="B126" s="56"/>
      <c r="C126" s="323" t="s">
        <v>71</v>
      </c>
      <c r="D126" s="56"/>
      <c r="E126" s="56"/>
      <c r="F126" s="56"/>
      <c r="G126" s="56"/>
      <c r="H126" s="56"/>
      <c r="I126" s="56"/>
      <c r="J126" s="56"/>
      <c r="K126" s="280"/>
      <c r="L126" s="61" t="s">
        <v>206</v>
      </c>
    </row>
    <row r="127" spans="1:12">
      <c r="A127" s="268"/>
      <c r="B127" s="324">
        <f>E113</f>
        <v>80.210322681166645</v>
      </c>
      <c r="C127" s="502">
        <v>0</v>
      </c>
      <c r="D127" s="503">
        <v>0.01</v>
      </c>
      <c r="E127" s="503">
        <v>0.02</v>
      </c>
      <c r="F127" s="503">
        <v>2.5000000000000001E-2</v>
      </c>
      <c r="G127" s="503">
        <v>0.03</v>
      </c>
      <c r="H127" s="503">
        <v>3.5000000000000003E-2</v>
      </c>
      <c r="I127" s="503">
        <v>0.04</v>
      </c>
      <c r="J127" s="504">
        <v>0.05</v>
      </c>
      <c r="K127" s="280"/>
      <c r="L127" s="17" t="s">
        <v>207</v>
      </c>
    </row>
    <row r="128" spans="1:12">
      <c r="A128" s="325" t="s">
        <v>72</v>
      </c>
      <c r="B128" s="501">
        <v>0.06</v>
      </c>
      <c r="C128" s="318">
        <f t="dataTable" ref="C128:J141" dt2D="1" dtr="0" r1="F29" r2="F36"/>
        <v>80.307229383946208</v>
      </c>
      <c r="D128" s="318">
        <v>93.276060181358403</v>
      </c>
      <c r="E128" s="318">
        <v>112.73150573633379</v>
      </c>
      <c r="F128" s="318">
        <v>126.62919514368349</v>
      </c>
      <c r="G128" s="318">
        <v>145.16018080643542</v>
      </c>
      <c r="H128" s="318">
        <v>171.10444047783113</v>
      </c>
      <c r="I128" s="318">
        <v>210.02192966435302</v>
      </c>
      <c r="J128" s="318">
        <v>404.61597367353397</v>
      </c>
      <c r="K128" s="280"/>
    </row>
    <row r="129" spans="1:11">
      <c r="A129" s="325" t="s">
        <v>73</v>
      </c>
      <c r="B129" s="326">
        <v>6.5000000000000002E-2</v>
      </c>
      <c r="C129" s="318">
        <v>73.781244500374996</v>
      </c>
      <c r="D129" s="318">
        <v>84.429842143326667</v>
      </c>
      <c r="E129" s="318">
        <v>99.813055020779444</v>
      </c>
      <c r="F129" s="318">
        <v>110.38981761802989</v>
      </c>
      <c r="G129" s="318">
        <v>123.98912476230559</v>
      </c>
      <c r="H129" s="318">
        <v>142.12224872711926</v>
      </c>
      <c r="I129" s="318">
        <v>167.50947960479346</v>
      </c>
      <c r="J129" s="318">
        <v>269.06268975016599</v>
      </c>
      <c r="K129" s="280"/>
    </row>
    <row r="130" spans="1:11">
      <c r="A130" s="268"/>
      <c r="B130" s="326">
        <v>6.7000000000000004E-2</v>
      </c>
      <c r="C130" s="318">
        <v>71.444027185334178</v>
      </c>
      <c r="D130" s="318">
        <v>81.326130897003111</v>
      </c>
      <c r="E130" s="318">
        <v>95.415190552224615</v>
      </c>
      <c r="F130" s="318">
        <v>104.97638152463911</v>
      </c>
      <c r="G130" s="318">
        <v>117.12225151063582</v>
      </c>
      <c r="H130" s="318">
        <v>133.06436879783158</v>
      </c>
      <c r="I130" s="318">
        <v>154.91175966467</v>
      </c>
      <c r="J130" s="318">
        <v>237.16450418307323</v>
      </c>
      <c r="K130" s="280"/>
    </row>
    <row r="131" spans="1:11">
      <c r="A131" s="268"/>
      <c r="B131" s="326">
        <v>7.0000000000000007E-2</v>
      </c>
      <c r="C131" s="318">
        <v>68.189112790766998</v>
      </c>
      <c r="D131" s="318">
        <v>77.058804099388112</v>
      </c>
      <c r="E131" s="327">
        <v>89.478043105703151</v>
      </c>
      <c r="F131" s="318">
        <v>97.758232099182081</v>
      </c>
      <c r="G131" s="318">
        <v>108.10899058298247</v>
      </c>
      <c r="H131" s="327">
        <v>121.4177054815279</v>
      </c>
      <c r="I131" s="318">
        <v>139.16335500219063</v>
      </c>
      <c r="J131" s="318">
        <v>201.27626177622051</v>
      </c>
      <c r="K131" s="280"/>
    </row>
    <row r="132" spans="1:11">
      <c r="A132" s="268"/>
      <c r="B132" s="326">
        <v>7.1999999999999995E-2</v>
      </c>
      <c r="C132" s="318">
        <v>66.170196636452559</v>
      </c>
      <c r="D132" s="318">
        <v>74.443544330374166</v>
      </c>
      <c r="E132" s="318">
        <v>85.900539359245073</v>
      </c>
      <c r="F132" s="327">
        <v>93.457940661842841</v>
      </c>
      <c r="G132" s="429">
        <v>102.81521553374323</v>
      </c>
      <c r="H132" s="318">
        <v>114.70204244898794</v>
      </c>
      <c r="I132" s="318">
        <v>130.3041489278944</v>
      </c>
      <c r="J132" s="318">
        <v>182.78678120486154</v>
      </c>
      <c r="K132" s="280"/>
    </row>
    <row r="133" spans="1:11">
      <c r="A133" s="268"/>
      <c r="B133" s="326">
        <v>7.4999999999999997E-2</v>
      </c>
      <c r="C133" s="318">
        <v>63.344222290109244</v>
      </c>
      <c r="D133" s="318">
        <v>70.822731741819027</v>
      </c>
      <c r="E133" s="318">
        <v>81.022180086034837</v>
      </c>
      <c r="F133" s="318">
        <v>87.652432385177363</v>
      </c>
      <c r="G133" s="318">
        <v>95.756526584427306</v>
      </c>
      <c r="H133" s="318">
        <v>105.88715339632502</v>
      </c>
      <c r="I133" s="318">
        <v>118.91282679771938</v>
      </c>
      <c r="J133" s="318">
        <v>160.59742518379042</v>
      </c>
      <c r="K133" s="280"/>
    </row>
    <row r="134" spans="1:11">
      <c r="A134" s="268"/>
      <c r="B134" s="326">
        <v>7.6999999999999999E-2</v>
      </c>
      <c r="C134" s="318">
        <v>61.582919093409394</v>
      </c>
      <c r="D134" s="318">
        <v>68.589218751344745</v>
      </c>
      <c r="E134" s="318">
        <v>78.055283629087697</v>
      </c>
      <c r="F134" s="318">
        <v>84.154195312611947</v>
      </c>
      <c r="G134" s="318">
        <v>91.551176632898418</v>
      </c>
      <c r="H134" s="318">
        <v>100.70982388879081</v>
      </c>
      <c r="I134" s="318">
        <v>112.34432597310223</v>
      </c>
      <c r="J134" s="318">
        <v>148.54279424569123</v>
      </c>
      <c r="K134" s="280"/>
    </row>
    <row r="135" spans="1:11">
      <c r="A135" s="268"/>
      <c r="B135" s="326">
        <v>0.08</v>
      </c>
      <c r="C135" s="318">
        <v>59.106602659384656</v>
      </c>
      <c r="D135" s="318">
        <v>65.478600904230348</v>
      </c>
      <c r="E135" s="318">
        <v>73.975921971583148</v>
      </c>
      <c r="F135" s="318">
        <v>79.383849499354298</v>
      </c>
      <c r="G135" s="318">
        <v>85.873759554947227</v>
      </c>
      <c r="H135" s="318">
        <v>93.806312980969281</v>
      </c>
      <c r="I135" s="318">
        <v>103.72250104133118</v>
      </c>
      <c r="J135" s="318">
        <v>133.47305033375477</v>
      </c>
      <c r="K135" s="280"/>
    </row>
    <row r="136" spans="1:11">
      <c r="A136" s="268"/>
      <c r="B136" s="326">
        <v>8.5000000000000006E-2</v>
      </c>
      <c r="C136" s="318">
        <v>55.369207701520182</v>
      </c>
      <c r="D136" s="318">
        <v>60.848181611065897</v>
      </c>
      <c r="E136" s="318">
        <v>68.014184719496129</v>
      </c>
      <c r="F136" s="318">
        <v>72.493420535618611</v>
      </c>
      <c r="G136" s="318">
        <v>77.787414771656898</v>
      </c>
      <c r="H136" s="318">
        <v>84.14059495358579</v>
      </c>
      <c r="I136" s="318">
        <v>91.906023063368707</v>
      </c>
      <c r="J136" s="318">
        <v>114.09461951424657</v>
      </c>
      <c r="K136" s="280"/>
    </row>
    <row r="137" spans="1:11">
      <c r="A137" s="268"/>
      <c r="B137" s="326">
        <v>0.09</v>
      </c>
      <c r="C137" s="318">
        <v>52.04877033658137</v>
      </c>
      <c r="D137" s="318">
        <v>56.797790567106681</v>
      </c>
      <c r="E137" s="318">
        <v>62.904752203673482</v>
      </c>
      <c r="F137" s="318">
        <v>66.663317982786069</v>
      </c>
      <c r="G137" s="318">
        <v>71.048625949302419</v>
      </c>
      <c r="H137" s="318">
        <v>76.231605790696335</v>
      </c>
      <c r="I137" s="318">
        <v>82.451559069430928</v>
      </c>
      <c r="J137" s="318">
        <v>99.557846094933524</v>
      </c>
      <c r="K137" s="280"/>
    </row>
    <row r="138" spans="1:11">
      <c r="A138" s="268"/>
      <c r="B138" s="326">
        <v>9.5000000000000001E-2</v>
      </c>
      <c r="C138" s="318">
        <v>49.07954544798568</v>
      </c>
      <c r="D138" s="318">
        <v>53.225189790487875</v>
      </c>
      <c r="E138" s="318">
        <v>58.477320953280199</v>
      </c>
      <c r="F138" s="318">
        <v>61.666509291431161</v>
      </c>
      <c r="G138" s="318">
        <v>65.346625161111959</v>
      </c>
      <c r="H138" s="318">
        <v>69.640400445205074</v>
      </c>
      <c r="I138" s="318">
        <v>74.715196802186512</v>
      </c>
      <c r="J138" s="318">
        <v>88.249214165332305</v>
      </c>
      <c r="K138" s="280"/>
    </row>
    <row r="139" spans="1:11">
      <c r="A139" s="268"/>
      <c r="B139" s="326">
        <v>0.1</v>
      </c>
      <c r="C139" s="318">
        <v>46.408929846674397</v>
      </c>
      <c r="D139" s="318">
        <v>50.050852335480187</v>
      </c>
      <c r="E139" s="318">
        <v>54.604153076274599</v>
      </c>
      <c r="F139" s="318">
        <v>57.336492572666096</v>
      </c>
      <c r="G139" s="318">
        <v>60.459422748481266</v>
      </c>
      <c r="H139" s="318">
        <v>64.063079914356422</v>
      </c>
      <c r="I139" s="318">
        <v>68.267645817806425</v>
      </c>
      <c r="J139" s="318">
        <v>79.200594322521042</v>
      </c>
      <c r="K139" s="280"/>
    </row>
    <row r="140" spans="1:11">
      <c r="A140" s="268"/>
      <c r="B140" s="326">
        <v>0.11</v>
      </c>
      <c r="C140" s="318">
        <v>41.80090489175641</v>
      </c>
      <c r="D140" s="318">
        <v>44.658350915588926</v>
      </c>
      <c r="E140" s="318">
        <v>48.151544266978533</v>
      </c>
      <c r="F140" s="318">
        <v>50.206665381046619</v>
      </c>
      <c r="G140" s="318">
        <v>52.518890193759106</v>
      </c>
      <c r="H140" s="318">
        <v>55.139639444844903</v>
      </c>
      <c r="I140" s="318">
        <v>58.135025513955377</v>
      </c>
      <c r="J140" s="318">
        <v>65.624344924275192</v>
      </c>
      <c r="K140" s="280"/>
    </row>
    <row r="141" spans="1:11">
      <c r="A141" s="268"/>
      <c r="B141" s="326">
        <v>0.12</v>
      </c>
      <c r="C141" s="318">
        <v>37.967160934705937</v>
      </c>
      <c r="D141" s="318">
        <v>40.251455856000092</v>
      </c>
      <c r="E141" s="318">
        <v>42.993260418069994</v>
      </c>
      <c r="F141" s="318">
        <v>44.580877792103983</v>
      </c>
      <c r="G141" s="318">
        <v>46.345077834507549</v>
      </c>
      <c r="H141" s="318">
        <v>48.317022192640067</v>
      </c>
      <c r="I141" s="318">
        <v>50.535662925700656</v>
      </c>
      <c r="J141" s="318">
        <v>55.924487552258796</v>
      </c>
      <c r="K141" s="280"/>
    </row>
    <row r="142" spans="1:11">
      <c r="A142" s="268"/>
      <c r="B142" s="328"/>
      <c r="C142" s="318"/>
      <c r="D142" s="318"/>
      <c r="E142" s="318"/>
      <c r="F142" s="318"/>
      <c r="G142" s="318"/>
      <c r="H142" s="318"/>
      <c r="I142" s="318"/>
      <c r="J142" s="318"/>
      <c r="K142" s="280"/>
    </row>
    <row r="143" spans="1:11" ht="13.5" thickBot="1">
      <c r="A143" s="286"/>
      <c r="B143" s="329"/>
      <c r="C143" s="311"/>
      <c r="D143" s="311"/>
      <c r="E143" s="311"/>
      <c r="F143" s="311"/>
      <c r="G143" s="311"/>
      <c r="H143" s="311"/>
      <c r="I143" s="311"/>
      <c r="J143" s="311"/>
      <c r="K143" s="280"/>
    </row>
    <row r="144" spans="1:11" ht="13.5" thickTop="1">
      <c r="A144" s="56"/>
      <c r="B144" s="56"/>
      <c r="C144" s="56"/>
      <c r="D144" s="56"/>
      <c r="E144" s="56"/>
      <c r="F144" s="56"/>
      <c r="G144" s="56"/>
      <c r="H144" s="56"/>
      <c r="I144" s="56"/>
      <c r="J144" s="56"/>
    </row>
    <row r="145" spans="1:12" ht="13.5" thickBot="1">
      <c r="A145" s="287"/>
      <c r="B145" s="329"/>
      <c r="C145" s="311"/>
      <c r="D145" s="311"/>
      <c r="E145" s="311"/>
      <c r="F145" s="311"/>
      <c r="G145" s="311"/>
      <c r="H145" s="311"/>
      <c r="I145" s="311"/>
      <c r="J145" s="311"/>
    </row>
    <row r="146" spans="1:12" ht="13.5" thickTop="1">
      <c r="A146" s="289" t="s">
        <v>461</v>
      </c>
      <c r="B146" s="290"/>
      <c r="C146" s="291" t="str">
        <f>C18</f>
        <v>VALUATION MODELS</v>
      </c>
      <c r="D146" s="291"/>
      <c r="E146" s="292"/>
      <c r="F146" s="292"/>
      <c r="G146" s="292"/>
      <c r="H146" s="292"/>
      <c r="I146" s="292"/>
      <c r="J146" s="293"/>
    </row>
    <row r="147" spans="1:12">
      <c r="A147" s="264" t="str">
        <f>Data!$A$9</f>
        <v>Analyst Name:</v>
      </c>
      <c r="B147" s="265"/>
      <c r="C147" s="152" t="str">
        <f>Data!$B$9</f>
        <v>CAI Zonghuan</v>
      </c>
      <c r="D147" s="154"/>
      <c r="E147" s="149"/>
      <c r="F147" s="153"/>
      <c r="G147" s="153"/>
      <c r="H147" s="153"/>
      <c r="I147" s="153"/>
      <c r="J147" s="266"/>
    </row>
    <row r="148" spans="1:12">
      <c r="A148" s="264" t="str">
        <f>Data!$A$10</f>
        <v>Company Name:</v>
      </c>
      <c r="B148" s="267"/>
      <c r="C148" s="152" t="str">
        <f>Data!$B$10</f>
        <v>FORTINET</v>
      </c>
      <c r="D148" s="149"/>
      <c r="E148" s="166"/>
      <c r="F148" s="153"/>
      <c r="G148" s="153"/>
      <c r="H148" s="153"/>
      <c r="I148" s="153"/>
      <c r="J148" s="266"/>
    </row>
    <row r="149" spans="1:12">
      <c r="A149" s="294"/>
      <c r="B149" s="56"/>
      <c r="C149" s="56"/>
      <c r="D149" s="56"/>
      <c r="E149" s="56"/>
      <c r="F149" s="56"/>
      <c r="G149" s="56"/>
      <c r="H149" s="56"/>
      <c r="I149" s="56"/>
      <c r="J149" s="295" t="s">
        <v>54</v>
      </c>
    </row>
    <row r="150" spans="1:12">
      <c r="A150" s="268"/>
      <c r="B150" s="56"/>
      <c r="C150" s="56"/>
      <c r="D150" s="56"/>
      <c r="E150" s="296">
        <v>1</v>
      </c>
      <c r="F150" s="296">
        <v>2</v>
      </c>
      <c r="G150" s="296">
        <v>3</v>
      </c>
      <c r="H150" s="296">
        <v>4</v>
      </c>
      <c r="I150" s="296">
        <v>5</v>
      </c>
      <c r="J150" s="295">
        <v>6</v>
      </c>
      <c r="L150" s="61" t="s">
        <v>208</v>
      </c>
    </row>
    <row r="151" spans="1:12">
      <c r="A151" s="297" t="s">
        <v>74</v>
      </c>
      <c r="B151" s="298"/>
      <c r="C151" s="298"/>
      <c r="D151" s="298"/>
      <c r="E151" s="299" t="s">
        <v>471</v>
      </c>
      <c r="F151" s="299" t="s">
        <v>472</v>
      </c>
      <c r="G151" s="299" t="s">
        <v>473</v>
      </c>
      <c r="H151" s="299" t="s">
        <v>474</v>
      </c>
      <c r="I151" s="299" t="s">
        <v>475</v>
      </c>
      <c r="J151" s="300" t="s">
        <v>476</v>
      </c>
      <c r="L151" s="301" t="s">
        <v>209</v>
      </c>
    </row>
    <row r="152" spans="1:12">
      <c r="A152" s="302" t="s">
        <v>75</v>
      </c>
      <c r="B152" s="56"/>
      <c r="C152" s="56"/>
      <c r="D152" s="56"/>
      <c r="E152" s="56"/>
      <c r="F152" s="56"/>
      <c r="G152" s="56"/>
      <c r="H152" s="56"/>
      <c r="I152" s="56"/>
      <c r="J152" s="274"/>
    </row>
    <row r="153" spans="1:12">
      <c r="A153" s="302" t="s">
        <v>76</v>
      </c>
      <c r="B153" s="56"/>
      <c r="C153" s="56"/>
      <c r="D153" s="56"/>
      <c r="E153" s="303">
        <f>Forecasts!E97-Forecasts!E255</f>
        <v>1392.2256911525751</v>
      </c>
      <c r="F153" s="303">
        <f>Forecasts!F97-Forecasts!F255</f>
        <v>1584.4066919988918</v>
      </c>
      <c r="G153" s="303">
        <f>Forecasts!G97-Forecasts!G255</f>
        <v>1904.0937897895597</v>
      </c>
      <c r="H153" s="303">
        <f>Forecasts!H97-Forecasts!H255</f>
        <v>2328.5330206586277</v>
      </c>
      <c r="I153" s="303">
        <f>Forecasts!I97-Forecasts!I255</f>
        <v>2556.579786419788</v>
      </c>
      <c r="J153" s="304">
        <f>Forecasts!J97-Forecasts!J255</f>
        <v>3869.6539250498431</v>
      </c>
      <c r="L153" s="17" t="s">
        <v>550</v>
      </c>
    </row>
    <row r="154" spans="1:12">
      <c r="A154" s="268" t="s">
        <v>95</v>
      </c>
      <c r="B154" s="56"/>
      <c r="C154" s="56"/>
      <c r="D154" s="56"/>
      <c r="E154" s="303"/>
      <c r="F154" s="303"/>
      <c r="G154" s="303"/>
      <c r="H154" s="303"/>
      <c r="I154" s="303"/>
      <c r="J154" s="304"/>
    </row>
    <row r="155" spans="1:12">
      <c r="A155" s="268" t="s">
        <v>78</v>
      </c>
      <c r="B155" s="56"/>
      <c r="C155" s="56"/>
      <c r="D155" s="56"/>
      <c r="E155" s="303">
        <f>Forecasts!D234</f>
        <v>-463.4</v>
      </c>
      <c r="F155" s="303">
        <f>Forecasts!E234</f>
        <v>-392.61302569168231</v>
      </c>
      <c r="G155" s="303">
        <f>Forecasts!F234</f>
        <v>-362.20528867144765</v>
      </c>
      <c r="H155" s="303">
        <f>Forecasts!G234</f>
        <v>-365.21212056395086</v>
      </c>
      <c r="I155" s="303">
        <f>Forecasts!H234</f>
        <v>-395.85181019169261</v>
      </c>
      <c r="J155" s="303">
        <f>Forecasts!I234</f>
        <v>-878.58964463880841</v>
      </c>
      <c r="L155" s="17" t="s">
        <v>551</v>
      </c>
    </row>
    <row r="156" spans="1:12">
      <c r="A156" s="268"/>
      <c r="B156" s="56"/>
      <c r="C156" s="56"/>
      <c r="D156" s="56"/>
      <c r="E156" s="303"/>
      <c r="F156" s="303"/>
      <c r="G156" s="303"/>
      <c r="H156" s="303"/>
      <c r="I156" s="303"/>
      <c r="J156" s="304"/>
    </row>
    <row r="157" spans="1:12">
      <c r="A157" s="268" t="s">
        <v>79</v>
      </c>
      <c r="B157" s="56"/>
      <c r="C157" s="56"/>
      <c r="D157" s="56"/>
      <c r="E157" s="303">
        <f t="shared" ref="E157:J157" si="7">E155*$F$36</f>
        <v>-38.647559999999999</v>
      </c>
      <c r="F157" s="303">
        <f t="shared" si="7"/>
        <v>-32.743926342686308</v>
      </c>
      <c r="G157" s="303">
        <f t="shared" si="7"/>
        <v>-30.207921075198733</v>
      </c>
      <c r="H157" s="303">
        <f t="shared" si="7"/>
        <v>-30.458690855033502</v>
      </c>
      <c r="I157" s="303">
        <f t="shared" si="7"/>
        <v>-33.014040969987164</v>
      </c>
      <c r="J157" s="304">
        <f t="shared" si="7"/>
        <v>-73.274376362876623</v>
      </c>
      <c r="L157" s="17" t="s">
        <v>215</v>
      </c>
    </row>
    <row r="158" spans="1:12">
      <c r="A158" s="297" t="s">
        <v>80</v>
      </c>
      <c r="B158" s="298"/>
      <c r="C158" s="298"/>
      <c r="D158" s="298"/>
      <c r="E158" s="305">
        <f t="shared" ref="E158:J158" si="8">E153-E157</f>
        <v>1430.873251152575</v>
      </c>
      <c r="F158" s="305">
        <f t="shared" si="8"/>
        <v>1617.1506183415781</v>
      </c>
      <c r="G158" s="305">
        <f t="shared" si="8"/>
        <v>1934.3017108647584</v>
      </c>
      <c r="H158" s="305">
        <f t="shared" si="8"/>
        <v>2358.9917115136614</v>
      </c>
      <c r="I158" s="305">
        <f t="shared" si="8"/>
        <v>2589.593827389775</v>
      </c>
      <c r="J158" s="330">
        <f t="shared" si="8"/>
        <v>3942.9283014127195</v>
      </c>
      <c r="L158" s="17" t="s">
        <v>216</v>
      </c>
    </row>
    <row r="159" spans="1:12">
      <c r="A159" s="268"/>
      <c r="B159" s="56"/>
      <c r="C159" s="56"/>
      <c r="D159" s="56"/>
      <c r="E159" s="331"/>
      <c r="F159" s="120"/>
      <c r="G159" s="120"/>
      <c r="H159" s="120"/>
      <c r="I159" s="120"/>
      <c r="J159" s="295"/>
    </row>
    <row r="160" spans="1:12">
      <c r="A160" s="268" t="s">
        <v>61</v>
      </c>
      <c r="B160" s="56"/>
      <c r="C160" s="56"/>
      <c r="D160" s="56"/>
      <c r="E160" s="306">
        <f t="shared" ref="E160:J160" si="9">1/(1+$F$36)^E150</f>
        <v>0.92302012183865612</v>
      </c>
      <c r="F160" s="306">
        <f t="shared" si="9"/>
        <v>0.85196614531904769</v>
      </c>
      <c r="G160" s="306">
        <f t="shared" si="9"/>
        <v>0.78638189525479762</v>
      </c>
      <c r="H160" s="306">
        <f t="shared" si="9"/>
        <v>0.72584631276979661</v>
      </c>
      <c r="I160" s="306">
        <f t="shared" si="9"/>
        <v>0.66997075204891698</v>
      </c>
      <c r="J160" s="306">
        <f t="shared" si="9"/>
        <v>0.61839648518452739</v>
      </c>
      <c r="L160" s="17" t="s">
        <v>541</v>
      </c>
    </row>
    <row r="161" spans="1:12">
      <c r="A161" s="268" t="s">
        <v>628</v>
      </c>
      <c r="B161" s="56"/>
      <c r="C161" s="56"/>
      <c r="D161" s="56"/>
      <c r="E161" s="303">
        <f t="shared" ref="E161:J161" si="10">E158*E160</f>
        <v>1320.7248026145237</v>
      </c>
      <c r="F161" s="303">
        <f t="shared" si="10"/>
        <v>1377.7575787087887</v>
      </c>
      <c r="G161" s="303">
        <f t="shared" si="10"/>
        <v>1521.0998453844263</v>
      </c>
      <c r="H161" s="303">
        <f t="shared" si="10"/>
        <v>1712.2654356567029</v>
      </c>
      <c r="I161" s="303">
        <f t="shared" si="10"/>
        <v>1734.9521240375609</v>
      </c>
      <c r="J161" s="303">
        <f t="shared" si="10"/>
        <v>2438.2930029282247</v>
      </c>
    </row>
    <row r="162" spans="1:12">
      <c r="A162" s="268" t="s">
        <v>629</v>
      </c>
      <c r="B162" s="56"/>
      <c r="C162" s="56"/>
      <c r="D162" s="56"/>
      <c r="E162" s="303">
        <f>SUM(E161:J161)</f>
        <v>10105.092789330227</v>
      </c>
      <c r="F162" s="332"/>
      <c r="G162" s="332"/>
      <c r="H162" s="332"/>
      <c r="I162" s="332"/>
      <c r="J162" s="333"/>
      <c r="L162" s="17" t="s">
        <v>214</v>
      </c>
    </row>
    <row r="163" spans="1:12">
      <c r="A163" s="268" t="s">
        <v>623</v>
      </c>
      <c r="B163" s="56"/>
      <c r="C163" s="56"/>
      <c r="D163" s="56"/>
      <c r="E163" s="303">
        <f>J158/($F$36-$F$29)*$I$160</f>
        <v>49469.038190495099</v>
      </c>
      <c r="F163" s="332"/>
      <c r="G163" s="334"/>
      <c r="H163" s="120"/>
      <c r="I163" s="334"/>
      <c r="J163" s="295"/>
      <c r="L163" s="17" t="s">
        <v>513</v>
      </c>
    </row>
    <row r="164" spans="1:12">
      <c r="A164" s="268" t="s">
        <v>70</v>
      </c>
      <c r="B164" s="56"/>
      <c r="C164" s="56"/>
      <c r="D164" s="56"/>
      <c r="E164" s="303">
        <f>E162+E163</f>
        <v>59574.130979825328</v>
      </c>
      <c r="F164" s="332"/>
      <c r="G164" s="334"/>
      <c r="H164" s="120"/>
      <c r="I164" s="334"/>
      <c r="J164" s="295"/>
    </row>
    <row r="165" spans="1:12">
      <c r="A165" s="268" t="s">
        <v>81</v>
      </c>
      <c r="B165" s="56"/>
      <c r="C165" s="56"/>
      <c r="D165" s="56"/>
      <c r="E165" s="303">
        <f>E155</f>
        <v>-463.4</v>
      </c>
      <c r="F165" s="120"/>
      <c r="G165" s="335"/>
      <c r="H165" s="336"/>
      <c r="I165" s="336"/>
      <c r="J165" s="337"/>
    </row>
    <row r="166" spans="1:12">
      <c r="A166" s="268" t="s">
        <v>630</v>
      </c>
      <c r="B166" s="56"/>
      <c r="C166" s="56"/>
      <c r="D166" s="56"/>
      <c r="E166" s="303">
        <f>E164+E165</f>
        <v>59110.730979825326</v>
      </c>
      <c r="F166" s="120"/>
      <c r="G166" s="500"/>
      <c r="H166" s="336"/>
      <c r="I166" s="336"/>
      <c r="J166" s="337"/>
    </row>
    <row r="167" spans="1:12">
      <c r="A167" s="268" t="s">
        <v>62</v>
      </c>
      <c r="B167" s="56"/>
      <c r="C167" s="56"/>
      <c r="D167" s="56"/>
      <c r="E167" s="430">
        <f>(1+$F$36/2)</f>
        <v>1.0417000000000001</v>
      </c>
      <c r="F167" s="120"/>
      <c r="G167" s="335"/>
      <c r="H167" s="336"/>
      <c r="I167" s="336"/>
      <c r="J167" s="337"/>
      <c r="L167" s="17" t="s">
        <v>196</v>
      </c>
    </row>
    <row r="168" spans="1:12">
      <c r="A168" s="268" t="s">
        <v>631</v>
      </c>
      <c r="B168" s="56"/>
      <c r="C168" s="56"/>
      <c r="D168" s="56"/>
      <c r="E168" s="303">
        <f>E166*E167</f>
        <v>61575.648461684046</v>
      </c>
      <c r="F168" s="120"/>
      <c r="G168" s="335"/>
      <c r="H168" s="336"/>
      <c r="I168" s="336"/>
      <c r="J168" s="337"/>
    </row>
    <row r="169" spans="1:12">
      <c r="A169" s="268" t="s">
        <v>63</v>
      </c>
      <c r="B169" s="56"/>
      <c r="C169" s="56"/>
      <c r="D169" s="56"/>
      <c r="E169" s="303">
        <f>$F$25</f>
        <v>763.03</v>
      </c>
      <c r="F169" s="120"/>
      <c r="G169" s="335"/>
      <c r="H169" s="336"/>
      <c r="I169" s="336"/>
      <c r="J169" s="337"/>
    </row>
    <row r="170" spans="1:12">
      <c r="A170" s="268" t="s">
        <v>64</v>
      </c>
      <c r="B170" s="56"/>
      <c r="C170" s="56"/>
      <c r="D170" s="56"/>
      <c r="E170" s="339">
        <f>E168/E169</f>
        <v>80.698856482293024</v>
      </c>
      <c r="F170" s="120"/>
      <c r="G170" s="335"/>
      <c r="H170" s="336"/>
      <c r="I170" s="336"/>
      <c r="J170" s="337"/>
      <c r="L170" s="17" t="s">
        <v>199</v>
      </c>
    </row>
    <row r="171" spans="1:12">
      <c r="A171" s="268"/>
      <c r="B171" s="56"/>
      <c r="C171" s="56"/>
      <c r="D171" s="56"/>
      <c r="E171" s="120"/>
      <c r="F171" s="120"/>
      <c r="G171" s="335"/>
      <c r="H171" s="336"/>
      <c r="I171" s="336"/>
      <c r="J171" s="337"/>
    </row>
    <row r="172" spans="1:12">
      <c r="A172" s="268" t="s">
        <v>48</v>
      </c>
      <c r="B172" s="56"/>
      <c r="C172" s="56"/>
      <c r="D172" s="56"/>
      <c r="E172" s="340">
        <f>F24</f>
        <v>82.92</v>
      </c>
      <c r="F172" s="120"/>
      <c r="G172" s="335"/>
      <c r="H172" s="336"/>
      <c r="I172" s="336"/>
      <c r="J172" s="337"/>
    </row>
    <row r="173" spans="1:12">
      <c r="A173" s="268" t="s">
        <v>65</v>
      </c>
      <c r="B173" s="56"/>
      <c r="C173" s="56"/>
      <c r="D173" s="56"/>
      <c r="E173" s="369">
        <f>E170/E172-1</f>
        <v>-2.678658366747444E-2</v>
      </c>
      <c r="F173" s="120"/>
      <c r="G173" s="335"/>
      <c r="H173" s="336"/>
      <c r="I173" s="336"/>
      <c r="J173" s="337"/>
      <c r="L173" s="17" t="s">
        <v>66</v>
      </c>
    </row>
    <row r="174" spans="1:12" ht="13.5" thickBot="1">
      <c r="A174" s="286"/>
      <c r="B174" s="287"/>
      <c r="C174" s="287"/>
      <c r="D174" s="287"/>
      <c r="E174" s="287"/>
      <c r="F174" s="287"/>
      <c r="G174" s="287"/>
      <c r="H174" s="329"/>
      <c r="I174" s="311"/>
      <c r="J174" s="312"/>
    </row>
    <row r="175" spans="1:12" ht="13.5" thickTop="1">
      <c r="A175" s="272"/>
      <c r="B175" s="272"/>
      <c r="C175" s="272"/>
      <c r="D175" s="272"/>
      <c r="E175" s="272"/>
      <c r="F175" s="272"/>
      <c r="G175" s="272"/>
      <c r="H175" s="341"/>
      <c r="I175" s="342"/>
      <c r="J175" s="342"/>
    </row>
    <row r="176" spans="1:12" ht="13.5" thickBot="1">
      <c r="A176" s="56"/>
      <c r="B176" s="56"/>
      <c r="C176" s="56"/>
      <c r="D176" s="56"/>
      <c r="E176" s="56"/>
      <c r="F176" s="56"/>
      <c r="G176" s="56"/>
      <c r="H176" s="328"/>
      <c r="I176" s="318"/>
      <c r="J176" s="318"/>
    </row>
    <row r="177" spans="1:15" ht="13.5" thickTop="1">
      <c r="A177" s="289" t="s">
        <v>461</v>
      </c>
      <c r="B177" s="290"/>
      <c r="C177" s="291" t="str">
        <f>C18</f>
        <v>VALUATION MODELS</v>
      </c>
      <c r="D177" s="291"/>
      <c r="E177" s="292"/>
      <c r="F177" s="292"/>
      <c r="G177" s="292"/>
      <c r="H177" s="292"/>
      <c r="I177" s="292"/>
      <c r="J177" s="293"/>
    </row>
    <row r="178" spans="1:15">
      <c r="A178" s="264" t="str">
        <f>Data!$A$9</f>
        <v>Analyst Name:</v>
      </c>
      <c r="B178" s="265"/>
      <c r="C178" s="152" t="str">
        <f>Data!$B$9</f>
        <v>CAI Zonghuan</v>
      </c>
      <c r="D178" s="154"/>
      <c r="E178" s="149"/>
      <c r="F178" s="153"/>
      <c r="G178" s="153"/>
      <c r="H178" s="153"/>
      <c r="I178" s="153"/>
      <c r="J178" s="266"/>
    </row>
    <row r="179" spans="1:15">
      <c r="A179" s="264" t="str">
        <f>Data!$A$10</f>
        <v>Company Name:</v>
      </c>
      <c r="B179" s="267"/>
      <c r="C179" s="152" t="str">
        <f>Data!$B$10</f>
        <v>FORTINET</v>
      </c>
      <c r="D179" s="149"/>
      <c r="E179" s="166"/>
      <c r="F179" s="153"/>
      <c r="G179" s="153"/>
      <c r="H179" s="153"/>
      <c r="I179" s="153"/>
      <c r="J179" s="266"/>
      <c r="O179" s="328"/>
    </row>
    <row r="180" spans="1:15">
      <c r="A180" s="294"/>
      <c r="B180" s="56"/>
      <c r="C180" s="56"/>
      <c r="D180" s="56"/>
      <c r="E180" s="56"/>
      <c r="F180" s="56"/>
      <c r="G180" s="56"/>
      <c r="H180" s="328"/>
      <c r="I180" s="318"/>
      <c r="J180" s="343"/>
    </row>
    <row r="181" spans="1:15">
      <c r="A181" s="320" t="s">
        <v>82</v>
      </c>
      <c r="B181" s="321"/>
      <c r="C181" s="321"/>
      <c r="D181" s="321"/>
      <c r="E181" s="321"/>
      <c r="F181" s="322"/>
      <c r="G181" s="322"/>
      <c r="H181" s="322"/>
      <c r="I181" s="322"/>
      <c r="J181" s="344"/>
    </row>
    <row r="182" spans="1:15">
      <c r="A182" s="268"/>
      <c r="B182" s="56"/>
      <c r="C182" s="120"/>
      <c r="D182" s="56"/>
      <c r="E182" s="120"/>
      <c r="F182" s="120"/>
      <c r="G182" s="120"/>
      <c r="H182" s="120"/>
      <c r="I182" s="120"/>
      <c r="J182" s="295"/>
    </row>
    <row r="183" spans="1:15">
      <c r="A183" s="268"/>
      <c r="B183" s="56"/>
      <c r="C183" s="323" t="s">
        <v>71</v>
      </c>
      <c r="D183" s="56"/>
      <c r="E183" s="56"/>
      <c r="F183" s="56"/>
      <c r="G183" s="56"/>
      <c r="H183" s="56"/>
      <c r="I183" s="56"/>
      <c r="J183" s="274"/>
      <c r="L183" s="61" t="s">
        <v>206</v>
      </c>
    </row>
    <row r="184" spans="1:15">
      <c r="A184" s="268"/>
      <c r="B184" s="324">
        <f>E170</f>
        <v>80.698856482293024</v>
      </c>
      <c r="C184" s="502">
        <v>0</v>
      </c>
      <c r="D184" s="503">
        <v>0.01</v>
      </c>
      <c r="E184" s="503">
        <v>0.02</v>
      </c>
      <c r="F184" s="503">
        <v>2.5000000000000001E-2</v>
      </c>
      <c r="G184" s="503">
        <v>0.03</v>
      </c>
      <c r="H184" s="503">
        <v>3.5000000000000003E-2</v>
      </c>
      <c r="I184" s="503">
        <v>0.04</v>
      </c>
      <c r="J184" s="504">
        <v>0.05</v>
      </c>
      <c r="L184" s="17" t="s">
        <v>207</v>
      </c>
    </row>
    <row r="185" spans="1:15">
      <c r="A185" s="325" t="s">
        <v>72</v>
      </c>
      <c r="B185" s="501">
        <v>0.06</v>
      </c>
      <c r="C185" s="318">
        <f t="dataTable" ref="C185:J198" dt2D="1" dtr="0" r1="F29" r2="F36" ca="1"/>
        <v>82.17576654283306</v>
      </c>
      <c r="D185" s="318">
        <v>94.931763758733197</v>
      </c>
      <c r="E185" s="318">
        <v>114.08439946750596</v>
      </c>
      <c r="F185" s="318">
        <v>127.77284206731045</v>
      </c>
      <c r="G185" s="318">
        <v>146.03031216202396</v>
      </c>
      <c r="H185" s="318">
        <v>171.598226248592</v>
      </c>
      <c r="I185" s="318">
        <v>209.9594173209052</v>
      </c>
      <c r="J185" s="343">
        <v>401.8212923372393</v>
      </c>
    </row>
    <row r="186" spans="1:15">
      <c r="A186" s="325" t="s">
        <v>73</v>
      </c>
      <c r="B186" s="326">
        <v>6.5000000000000002E-2</v>
      </c>
      <c r="C186" s="318">
        <v>75.486358487394469</v>
      </c>
      <c r="D186" s="318">
        <v>85.919464913500661</v>
      </c>
      <c r="E186" s="318">
        <v>101.00565412892443</v>
      </c>
      <c r="F186" s="318">
        <v>111.38422106137664</v>
      </c>
      <c r="G186" s="318">
        <v>124.73328281022356</v>
      </c>
      <c r="H186" s="318">
        <v>142.53808678366252</v>
      </c>
      <c r="I186" s="318">
        <v>167.4720783164486</v>
      </c>
      <c r="J186" s="343">
        <v>267.24437429745149</v>
      </c>
    </row>
    <row r="187" spans="1:15">
      <c r="A187" s="268"/>
      <c r="B187" s="326">
        <v>6.7000000000000004E-2</v>
      </c>
      <c r="C187" s="318">
        <v>73.090808930406695</v>
      </c>
      <c r="D187" s="318">
        <v>82.757693007940617</v>
      </c>
      <c r="E187" s="318">
        <v>96.553446041450343</v>
      </c>
      <c r="F187" s="318">
        <v>105.92127095151208</v>
      </c>
      <c r="G187" s="318">
        <v>117.82579961686204</v>
      </c>
      <c r="H187" s="318">
        <v>133.45611192279162</v>
      </c>
      <c r="I187" s="318">
        <v>154.88208766962262</v>
      </c>
      <c r="J187" s="343">
        <v>235.57631221858293</v>
      </c>
    </row>
    <row r="188" spans="1:15">
      <c r="A188" s="268"/>
      <c r="B188" s="326">
        <v>7.0000000000000007E-2</v>
      </c>
      <c r="C188" s="318">
        <v>69.754851187032628</v>
      </c>
      <c r="D188" s="318">
        <v>78.410741257573548</v>
      </c>
      <c r="E188" s="327">
        <v>90.543150800155061</v>
      </c>
      <c r="F188" s="318">
        <v>98.637325263469435</v>
      </c>
      <c r="G188" s="318">
        <v>108.75946941880751</v>
      </c>
      <c r="H188" s="327">
        <v>121.77871313417941</v>
      </c>
      <c r="I188" s="318">
        <v>139.14360618960197</v>
      </c>
      <c r="J188" s="343">
        <v>199.94728834075144</v>
      </c>
    </row>
    <row r="189" spans="1:15">
      <c r="A189" s="268"/>
      <c r="B189" s="326">
        <v>7.1999999999999995E-2</v>
      </c>
      <c r="C189" s="318">
        <v>67.685787778781574</v>
      </c>
      <c r="D189" s="318">
        <v>75.74680980692105</v>
      </c>
      <c r="E189" s="318">
        <v>86.921704891533665</v>
      </c>
      <c r="F189" s="327">
        <v>94.29797312585643</v>
      </c>
      <c r="G189" s="429">
        <v>103.43466807295729</v>
      </c>
      <c r="H189" s="318">
        <v>115.0454762380166</v>
      </c>
      <c r="I189" s="318">
        <v>130.29013819195231</v>
      </c>
      <c r="J189" s="343">
        <v>181.59153379975254</v>
      </c>
    </row>
    <row r="190" spans="1:15">
      <c r="A190" s="268"/>
      <c r="B190" s="326">
        <v>7.4999999999999997E-2</v>
      </c>
      <c r="C190" s="318">
        <v>64.789788648187752</v>
      </c>
      <c r="D190" s="318">
        <v>72.058786674125528</v>
      </c>
      <c r="E190" s="318">
        <v>81.983607636836567</v>
      </c>
      <c r="F190" s="318">
        <v>88.439918520126994</v>
      </c>
      <c r="G190" s="318">
        <v>96.334800160836281</v>
      </c>
      <c r="H190" s="318">
        <v>106.20771659299648</v>
      </c>
      <c r="I190" s="318">
        <v>118.90639701294364</v>
      </c>
      <c r="J190" s="343">
        <v>159.56288338688776</v>
      </c>
    </row>
    <row r="191" spans="1:15">
      <c r="A191" s="268"/>
      <c r="B191" s="326">
        <v>7.6999999999999999E-2</v>
      </c>
      <c r="C191" s="318">
        <v>62.984948478868844</v>
      </c>
      <c r="D191" s="318">
        <v>69.783924239445014</v>
      </c>
      <c r="E191" s="318">
        <v>78.980493305804572</v>
      </c>
      <c r="F191" s="318">
        <v>84.910133737147703</v>
      </c>
      <c r="G191" s="318">
        <v>92.10503438376665</v>
      </c>
      <c r="H191" s="318">
        <v>101.01707389397423</v>
      </c>
      <c r="I191" s="318">
        <v>112.34238964490088</v>
      </c>
      <c r="J191" s="343">
        <v>147.59568595939862</v>
      </c>
    </row>
    <row r="192" spans="1:15">
      <c r="A192" s="268"/>
      <c r="B192" s="326">
        <v>0.08</v>
      </c>
      <c r="C192" s="318">
        <v>60.447569273320489</v>
      </c>
      <c r="D192" s="318">
        <v>66.615870620559434</v>
      </c>
      <c r="E192" s="318">
        <v>74.851488487651181</v>
      </c>
      <c r="F192" s="318">
        <v>80.09692461384401</v>
      </c>
      <c r="G192" s="318">
        <v>86.394812786507345</v>
      </c>
      <c r="H192" s="318">
        <v>94.095970354464725</v>
      </c>
      <c r="I192" s="318">
        <v>103.72662334095132</v>
      </c>
      <c r="J192" s="343">
        <v>132.63540640657092</v>
      </c>
    </row>
    <row r="193" spans="1:15">
      <c r="A193" s="268"/>
      <c r="B193" s="326">
        <v>8.5000000000000006E-2</v>
      </c>
      <c r="C193" s="318">
        <v>56.618371587274446</v>
      </c>
      <c r="D193" s="318">
        <v>61.900313591397499</v>
      </c>
      <c r="E193" s="318">
        <v>68.81756303498716</v>
      </c>
      <c r="F193" s="318">
        <v>73.144944833998608</v>
      </c>
      <c r="G193" s="318">
        <v>78.262105794116053</v>
      </c>
      <c r="H193" s="318">
        <v>84.405979663671374</v>
      </c>
      <c r="I193" s="318">
        <v>91.91880407914374</v>
      </c>
      <c r="J193" s="343">
        <v>113.39807691226918</v>
      </c>
    </row>
    <row r="194" spans="1:15">
      <c r="A194" s="268"/>
      <c r="B194" s="326">
        <v>0.09</v>
      </c>
      <c r="C194" s="318">
        <v>53.216771357806358</v>
      </c>
      <c r="D194" s="318">
        <v>57.775846747119033</v>
      </c>
      <c r="E194" s="318">
        <v>63.646655404755712</v>
      </c>
      <c r="F194" s="318">
        <v>67.263152007511465</v>
      </c>
      <c r="G194" s="318">
        <v>71.485063964878279</v>
      </c>
      <c r="H194" s="318">
        <v>76.477504555386474</v>
      </c>
      <c r="I194" s="318">
        <v>82.471632368978376</v>
      </c>
      <c r="J194" s="343">
        <v>98.96748050003913</v>
      </c>
    </row>
    <row r="195" spans="1:15">
      <c r="A195" s="268"/>
      <c r="B195" s="326">
        <v>9.5000000000000001E-2</v>
      </c>
      <c r="C195" s="318">
        <v>50.175321703636016</v>
      </c>
      <c r="D195" s="318">
        <v>54.138256348486742</v>
      </c>
      <c r="E195" s="318">
        <v>59.166293295409638</v>
      </c>
      <c r="F195" s="318">
        <v>62.222372761889929</v>
      </c>
      <c r="G195" s="318">
        <v>65.751018222284117</v>
      </c>
      <c r="H195" s="318">
        <v>69.870371175070673</v>
      </c>
      <c r="I195" s="318">
        <v>74.741533663629269</v>
      </c>
      <c r="J195" s="343">
        <v>87.741699962425542</v>
      </c>
    </row>
    <row r="196" spans="1:15">
      <c r="A196" s="268"/>
      <c r="B196" s="326">
        <v>0.1</v>
      </c>
      <c r="C196" s="318">
        <v>47.440059145922326</v>
      </c>
      <c r="D196" s="318">
        <v>50.906480018209884</v>
      </c>
      <c r="E196" s="318">
        <v>55.247113651050157</v>
      </c>
      <c r="F196" s="318">
        <v>57.854536847746616</v>
      </c>
      <c r="G196" s="318">
        <v>60.836622656108538</v>
      </c>
      <c r="H196" s="318">
        <v>64.279831678827946</v>
      </c>
      <c r="I196" s="318">
        <v>68.299444719494147</v>
      </c>
      <c r="J196" s="343">
        <v>78.759567676203289</v>
      </c>
      <c r="O196" s="505"/>
    </row>
    <row r="197" spans="1:15">
      <c r="A197" s="268"/>
      <c r="B197" s="326">
        <v>0.11</v>
      </c>
      <c r="C197" s="318">
        <v>42.721273938504055</v>
      </c>
      <c r="D197" s="318">
        <v>45.417152119893927</v>
      </c>
      <c r="E197" s="318">
        <v>48.718549707753141</v>
      </c>
      <c r="F197" s="318">
        <v>50.663103507763438</v>
      </c>
      <c r="G197" s="318">
        <v>52.852536479507677</v>
      </c>
      <c r="H197" s="318">
        <v>55.335824457332642</v>
      </c>
      <c r="I197" s="318">
        <v>58.175936371112719</v>
      </c>
      <c r="J197" s="343">
        <v>65.283455942493504</v>
      </c>
    </row>
    <row r="198" spans="1:15">
      <c r="A198" s="268"/>
      <c r="B198" s="326">
        <v>0.12</v>
      </c>
      <c r="C198" s="318">
        <v>38.7962396397334</v>
      </c>
      <c r="D198" s="318">
        <v>40.931930948979364</v>
      </c>
      <c r="E198" s="318">
        <v>43.500274928312386</v>
      </c>
      <c r="F198" s="318">
        <v>44.989387656441153</v>
      </c>
      <c r="G198" s="318">
        <v>46.64548913442809</v>
      </c>
      <c r="H198" s="318">
        <v>48.498047965189336</v>
      </c>
      <c r="I198" s="318">
        <v>50.583899902370042</v>
      </c>
      <c r="J198" s="343">
        <v>55.655448615778056</v>
      </c>
    </row>
    <row r="199" spans="1:15">
      <c r="A199" s="268"/>
      <c r="B199" s="328"/>
      <c r="C199" s="318"/>
      <c r="D199" s="318"/>
      <c r="E199" s="318"/>
      <c r="F199" s="318"/>
      <c r="G199" s="318"/>
      <c r="H199" s="318"/>
      <c r="I199" s="318"/>
      <c r="J199" s="343"/>
    </row>
    <row r="200" spans="1:15" ht="13.5" thickBot="1">
      <c r="A200" s="286"/>
      <c r="B200" s="329"/>
      <c r="C200" s="311"/>
      <c r="D200" s="311"/>
      <c r="E200" s="311"/>
      <c r="F200" s="311"/>
      <c r="G200" s="311"/>
      <c r="H200" s="311"/>
      <c r="I200" s="311"/>
      <c r="J200" s="312"/>
    </row>
    <row r="201" spans="1:15" ht="13.5" thickTop="1">
      <c r="A201" s="272"/>
      <c r="B201" s="341"/>
      <c r="C201" s="342"/>
      <c r="D201" s="342"/>
      <c r="E201" s="342"/>
      <c r="F201" s="342"/>
      <c r="G201" s="342"/>
      <c r="H201" s="342"/>
      <c r="I201" s="342"/>
      <c r="J201" s="342"/>
    </row>
    <row r="202" spans="1:15" ht="13.5" thickBot="1">
      <c r="A202" s="287"/>
      <c r="B202" s="329"/>
      <c r="C202" s="311"/>
      <c r="D202" s="311"/>
      <c r="E202" s="311"/>
      <c r="F202" s="311"/>
      <c r="G202" s="311"/>
      <c r="H202" s="311"/>
      <c r="I202" s="311"/>
      <c r="J202" s="311"/>
    </row>
    <row r="203" spans="1:15" ht="13.5" thickTop="1">
      <c r="A203" s="289" t="s">
        <v>461</v>
      </c>
      <c r="B203" s="290"/>
      <c r="C203" s="291" t="str">
        <f>C18</f>
        <v>VALUATION MODELS</v>
      </c>
      <c r="D203" s="291"/>
      <c r="E203" s="292"/>
      <c r="F203" s="292"/>
      <c r="G203" s="292"/>
      <c r="H203" s="292"/>
      <c r="I203" s="292"/>
      <c r="J203" s="293"/>
    </row>
    <row r="204" spans="1:15">
      <c r="A204" s="264" t="str">
        <f>Data!$A$9</f>
        <v>Analyst Name:</v>
      </c>
      <c r="B204" s="265"/>
      <c r="C204" s="152" t="str">
        <f>Data!$B$9</f>
        <v>CAI Zonghuan</v>
      </c>
      <c r="D204" s="154"/>
      <c r="E204" s="149"/>
      <c r="F204" s="153"/>
      <c r="G204" s="153"/>
      <c r="H204" s="153"/>
      <c r="I204" s="153"/>
      <c r="J204" s="266"/>
    </row>
    <row r="205" spans="1:15">
      <c r="A205" s="264" t="str">
        <f>Data!$A$10</f>
        <v>Company Name:</v>
      </c>
      <c r="B205" s="267"/>
      <c r="C205" s="152" t="str">
        <f>Data!$B$10</f>
        <v>FORTINET</v>
      </c>
      <c r="D205" s="149"/>
      <c r="E205" s="166"/>
      <c r="F205" s="153"/>
      <c r="G205" s="153"/>
      <c r="H205" s="153"/>
      <c r="I205" s="153"/>
      <c r="J205" s="266"/>
    </row>
    <row r="206" spans="1:15">
      <c r="A206" s="294"/>
      <c r="B206" s="56"/>
      <c r="C206" s="56"/>
      <c r="D206" s="56"/>
      <c r="E206" s="56"/>
      <c r="F206" s="56"/>
      <c r="G206" s="56"/>
      <c r="H206" s="56"/>
      <c r="I206" s="56"/>
      <c r="J206" s="295" t="s">
        <v>54</v>
      </c>
    </row>
    <row r="207" spans="1:15">
      <c r="A207" s="297" t="s">
        <v>74</v>
      </c>
      <c r="B207" s="298"/>
      <c r="C207" s="298"/>
      <c r="D207" s="298"/>
      <c r="E207" s="296">
        <v>1</v>
      </c>
      <c r="F207" s="296">
        <v>2</v>
      </c>
      <c r="G207" s="296">
        <v>3</v>
      </c>
      <c r="H207" s="296">
        <v>4</v>
      </c>
      <c r="I207" s="296">
        <v>5</v>
      </c>
      <c r="J207" s="295">
        <v>6</v>
      </c>
      <c r="L207" s="61" t="s">
        <v>200</v>
      </c>
    </row>
    <row r="208" spans="1:15">
      <c r="A208" s="297" t="s">
        <v>83</v>
      </c>
      <c r="B208" s="298"/>
      <c r="C208" s="298"/>
      <c r="D208" s="298"/>
      <c r="E208" s="299" t="s">
        <v>471</v>
      </c>
      <c r="F208" s="299" t="s">
        <v>472</v>
      </c>
      <c r="G208" s="299" t="s">
        <v>473</v>
      </c>
      <c r="H208" s="299" t="s">
        <v>474</v>
      </c>
      <c r="I208" s="299" t="s">
        <v>475</v>
      </c>
      <c r="J208" s="300" t="s">
        <v>476</v>
      </c>
      <c r="L208" s="301" t="s">
        <v>211</v>
      </c>
    </row>
    <row r="209" spans="1:12">
      <c r="A209" s="302" t="s">
        <v>75</v>
      </c>
      <c r="B209" s="56"/>
      <c r="C209" s="56"/>
      <c r="D209" s="56"/>
      <c r="E209" s="56"/>
      <c r="F209" s="56"/>
      <c r="G209" s="56"/>
      <c r="H209" s="56"/>
      <c r="I209" s="56"/>
      <c r="J209" s="274"/>
    </row>
    <row r="210" spans="1:12">
      <c r="A210" s="302" t="s">
        <v>76</v>
      </c>
      <c r="B210" s="56"/>
      <c r="C210" s="56"/>
      <c r="D210" s="56"/>
      <c r="E210" s="303">
        <f t="shared" ref="E210:J210" si="11">E153</f>
        <v>1392.2256911525751</v>
      </c>
      <c r="F210" s="303">
        <f t="shared" si="11"/>
        <v>1584.4066919988918</v>
      </c>
      <c r="G210" s="303">
        <f t="shared" si="11"/>
        <v>1904.0937897895597</v>
      </c>
      <c r="H210" s="303">
        <f t="shared" si="11"/>
        <v>2328.5330206586277</v>
      </c>
      <c r="I210" s="303">
        <f t="shared" si="11"/>
        <v>2556.579786419788</v>
      </c>
      <c r="J210" s="304">
        <f t="shared" si="11"/>
        <v>3869.6539250498431</v>
      </c>
      <c r="L210" s="17" t="s">
        <v>550</v>
      </c>
    </row>
    <row r="211" spans="1:12">
      <c r="A211" s="268" t="s">
        <v>77</v>
      </c>
      <c r="B211" s="56"/>
      <c r="C211" s="56"/>
      <c r="D211" s="56"/>
      <c r="E211" s="303"/>
      <c r="F211" s="303"/>
      <c r="G211" s="303"/>
      <c r="H211" s="303"/>
      <c r="I211" s="303"/>
      <c r="J211" s="304"/>
    </row>
    <row r="212" spans="1:12">
      <c r="A212" s="268" t="s">
        <v>78</v>
      </c>
      <c r="B212" s="56"/>
      <c r="C212" s="56"/>
      <c r="D212" s="56"/>
      <c r="E212" s="303">
        <f t="shared" ref="E212:J212" si="12">E155</f>
        <v>-463.4</v>
      </c>
      <c r="F212" s="303">
        <f t="shared" si="12"/>
        <v>-392.61302569168231</v>
      </c>
      <c r="G212" s="303">
        <f t="shared" si="12"/>
        <v>-362.20528867144765</v>
      </c>
      <c r="H212" s="303">
        <f t="shared" si="12"/>
        <v>-365.21212056395086</v>
      </c>
      <c r="I212" s="303">
        <f t="shared" si="12"/>
        <v>-395.85181019169261</v>
      </c>
      <c r="J212" s="304">
        <f t="shared" si="12"/>
        <v>-878.58964463880841</v>
      </c>
      <c r="L212" s="17" t="s">
        <v>552</v>
      </c>
    </row>
    <row r="213" spans="1:12">
      <c r="A213" s="268"/>
      <c r="B213" s="56"/>
      <c r="C213" s="56"/>
      <c r="D213" s="56"/>
      <c r="E213" s="345"/>
      <c r="F213" s="345"/>
      <c r="G213" s="345"/>
      <c r="H213" s="345"/>
      <c r="I213" s="345"/>
      <c r="J213" s="346"/>
    </row>
    <row r="214" spans="1:12">
      <c r="A214" s="268" t="s">
        <v>84</v>
      </c>
      <c r="B214" s="56"/>
      <c r="C214" s="56"/>
      <c r="D214" s="56"/>
      <c r="E214" s="347">
        <f t="shared" ref="E214:J214" si="13">E210/E212</f>
        <v>-3.0043713663197567</v>
      </c>
      <c r="F214" s="347">
        <f t="shared" si="13"/>
        <v>-4.0355428585375588</v>
      </c>
      <c r="G214" s="347">
        <f t="shared" si="13"/>
        <v>-5.2569464039956131</v>
      </c>
      <c r="H214" s="347">
        <f t="shared" si="13"/>
        <v>-6.3758371903511</v>
      </c>
      <c r="I214" s="347">
        <f t="shared" si="13"/>
        <v>-6.4584264126056548</v>
      </c>
      <c r="J214" s="348">
        <f t="shared" si="13"/>
        <v>-4.4043928228185214</v>
      </c>
      <c r="L214" s="17" t="s">
        <v>217</v>
      </c>
    </row>
    <row r="215" spans="1:12">
      <c r="A215" s="268" t="s">
        <v>85</v>
      </c>
      <c r="B215" s="56"/>
      <c r="C215" s="56"/>
      <c r="D215" s="56"/>
      <c r="E215" s="347">
        <f t="shared" ref="E215:J215" si="14">E214-$F$36</f>
        <v>-3.0877713663197568</v>
      </c>
      <c r="F215" s="347">
        <f t="shared" si="14"/>
        <v>-4.1189428585375589</v>
      </c>
      <c r="G215" s="347">
        <f t="shared" si="14"/>
        <v>-5.3403464039956132</v>
      </c>
      <c r="H215" s="347">
        <f t="shared" si="14"/>
        <v>-6.4592371903511001</v>
      </c>
      <c r="I215" s="347">
        <f t="shared" si="14"/>
        <v>-6.5418264126056549</v>
      </c>
      <c r="J215" s="348">
        <f t="shared" si="14"/>
        <v>-4.4877928228185215</v>
      </c>
      <c r="L215" s="17" t="s">
        <v>218</v>
      </c>
    </row>
    <row r="216" spans="1:12">
      <c r="A216" s="268" t="s">
        <v>220</v>
      </c>
      <c r="B216" s="56"/>
      <c r="C216" s="56"/>
      <c r="D216" s="56"/>
      <c r="E216" s="347">
        <f t="shared" ref="E216:J216" si="15">E212/$E$212</f>
        <v>1</v>
      </c>
      <c r="F216" s="347">
        <f t="shared" si="15"/>
        <v>0.84724433684005684</v>
      </c>
      <c r="G216" s="347">
        <f t="shared" si="15"/>
        <v>0.78162556899319735</v>
      </c>
      <c r="H216" s="347">
        <f t="shared" si="15"/>
        <v>0.7881142006127555</v>
      </c>
      <c r="I216" s="347">
        <f t="shared" si="15"/>
        <v>0.8542335135772392</v>
      </c>
      <c r="J216" s="348">
        <f t="shared" si="15"/>
        <v>1.8959638425524568</v>
      </c>
      <c r="L216" s="17" t="s">
        <v>221</v>
      </c>
    </row>
    <row r="217" spans="1:12">
      <c r="A217" s="297" t="s">
        <v>498</v>
      </c>
      <c r="B217" s="298"/>
      <c r="C217" s="298"/>
      <c r="D217" s="298"/>
      <c r="E217" s="349">
        <f t="shared" ref="E217:J217" si="16">E215*E216</f>
        <v>-3.0877713663197568</v>
      </c>
      <c r="F217" s="349">
        <f t="shared" si="16"/>
        <v>-3.4897510106637424</v>
      </c>
      <c r="G217" s="349">
        <f t="shared" si="16"/>
        <v>-4.1741512966438465</v>
      </c>
      <c r="H217" s="349">
        <f t="shared" si="16"/>
        <v>-5.0906165548417377</v>
      </c>
      <c r="I217" s="349">
        <f t="shared" si="16"/>
        <v>-5.588247361652515</v>
      </c>
      <c r="J217" s="350">
        <f t="shared" si="16"/>
        <v>-8.5086929249303402</v>
      </c>
      <c r="L217" s="17" t="s">
        <v>219</v>
      </c>
    </row>
    <row r="218" spans="1:12">
      <c r="A218" s="268"/>
      <c r="B218" s="56"/>
      <c r="C218" s="56"/>
      <c r="D218" s="56"/>
      <c r="E218" s="347"/>
      <c r="F218" s="347"/>
      <c r="G218" s="347"/>
      <c r="H218" s="347"/>
      <c r="I218" s="347"/>
      <c r="J218" s="348"/>
    </row>
    <row r="219" spans="1:12">
      <c r="A219" s="268" t="s">
        <v>61</v>
      </c>
      <c r="B219" s="56"/>
      <c r="C219" s="56"/>
      <c r="D219" s="56"/>
      <c r="E219" s="351">
        <f t="shared" ref="E219:J219" si="17">1/(1+$F$36)^E207</f>
        <v>0.92302012183865612</v>
      </c>
      <c r="F219" s="351">
        <f t="shared" si="17"/>
        <v>0.85196614531904769</v>
      </c>
      <c r="G219" s="351">
        <f t="shared" si="17"/>
        <v>0.78638189525479762</v>
      </c>
      <c r="H219" s="351">
        <f t="shared" si="17"/>
        <v>0.72584631276979661</v>
      </c>
      <c r="I219" s="351">
        <f t="shared" si="17"/>
        <v>0.66997075204891698</v>
      </c>
      <c r="J219" s="351">
        <f t="shared" si="17"/>
        <v>0.61839648518452739</v>
      </c>
      <c r="L219" s="17" t="s">
        <v>541</v>
      </c>
    </row>
    <row r="220" spans="1:12">
      <c r="A220" s="268" t="s">
        <v>632</v>
      </c>
      <c r="B220" s="56"/>
      <c r="C220" s="56"/>
      <c r="D220" s="56"/>
      <c r="E220" s="351">
        <f t="shared" ref="E220:J220" si="18">E217*E219</f>
        <v>-2.8500751027503757</v>
      </c>
      <c r="F220" s="351">
        <f t="shared" si="18"/>
        <v>-2.9731497166784395</v>
      </c>
      <c r="G220" s="351">
        <f t="shared" si="18"/>
        <v>-3.2824770077350589</v>
      </c>
      <c r="H220" s="351">
        <f t="shared" si="18"/>
        <v>-3.6950052560567603</v>
      </c>
      <c r="I220" s="351">
        <f t="shared" si="18"/>
        <v>-3.7439622875217116</v>
      </c>
      <c r="J220" s="351">
        <f t="shared" si="18"/>
        <v>-5.2617457982913782</v>
      </c>
    </row>
    <row r="221" spans="1:12">
      <c r="A221" s="268" t="s">
        <v>633</v>
      </c>
      <c r="B221" s="56"/>
      <c r="C221" s="56"/>
      <c r="D221" s="56"/>
      <c r="E221" s="352">
        <f>SUM(E220:J220)</f>
        <v>-21.806415169033723</v>
      </c>
      <c r="F221" s="332"/>
      <c r="G221" s="332"/>
      <c r="H221" s="332"/>
      <c r="I221" s="332"/>
      <c r="J221" s="333"/>
      <c r="L221" s="17" t="s">
        <v>499</v>
      </c>
    </row>
    <row r="222" spans="1:12">
      <c r="A222" s="268" t="s">
        <v>623</v>
      </c>
      <c r="B222" s="56"/>
      <c r="C222" s="56"/>
      <c r="D222" s="56"/>
      <c r="E222" s="352">
        <f>J217/($F$36-$F$29)*$I$219</f>
        <v>-106.75234827469811</v>
      </c>
      <c r="F222" s="332"/>
      <c r="G222" s="332"/>
      <c r="H222" s="332"/>
      <c r="I222" s="332"/>
      <c r="J222" s="333"/>
      <c r="L222" s="17" t="s">
        <v>500</v>
      </c>
    </row>
    <row r="223" spans="1:12">
      <c r="A223" s="268" t="s">
        <v>634</v>
      </c>
      <c r="B223" s="56"/>
      <c r="C223" s="56"/>
      <c r="D223" s="56"/>
      <c r="E223" s="352">
        <f>E221+E222</f>
        <v>-128.55876344373183</v>
      </c>
      <c r="F223" s="332"/>
      <c r="G223" s="332"/>
      <c r="H223" s="334"/>
      <c r="I223" s="120"/>
      <c r="J223" s="353"/>
    </row>
    <row r="224" spans="1:12">
      <c r="A224" s="268" t="s">
        <v>86</v>
      </c>
      <c r="B224" s="56"/>
      <c r="C224" s="56"/>
      <c r="D224" s="56"/>
      <c r="E224" s="354">
        <v>1</v>
      </c>
      <c r="F224" s="120"/>
      <c r="G224" s="336"/>
      <c r="H224" s="336"/>
      <c r="I224" s="336"/>
      <c r="J224" s="337"/>
    </row>
    <row r="225" spans="1:12">
      <c r="A225" s="268" t="s">
        <v>87</v>
      </c>
      <c r="B225" s="56"/>
      <c r="C225" s="56"/>
      <c r="D225" s="56"/>
      <c r="E225" s="352">
        <f>E223+E224</f>
        <v>-127.55876344373183</v>
      </c>
      <c r="F225" s="120"/>
      <c r="G225" s="120"/>
      <c r="H225" s="120"/>
      <c r="I225" s="336"/>
      <c r="J225" s="337"/>
    </row>
    <row r="226" spans="1:12">
      <c r="A226" s="268" t="s">
        <v>88</v>
      </c>
      <c r="B226" s="56"/>
      <c r="C226" s="56"/>
      <c r="D226" s="56"/>
      <c r="E226" s="338">
        <f>(1+$F$36/2)</f>
        <v>1.0417000000000001</v>
      </c>
      <c r="F226" s="120"/>
      <c r="G226" s="120"/>
      <c r="H226" s="120"/>
      <c r="I226" s="336"/>
      <c r="J226" s="337"/>
      <c r="L226" s="17" t="s">
        <v>196</v>
      </c>
    </row>
    <row r="227" spans="1:12">
      <c r="A227" s="268" t="s">
        <v>89</v>
      </c>
      <c r="B227" s="56"/>
      <c r="C227" s="56"/>
      <c r="D227" s="56"/>
      <c r="E227" s="351">
        <f>E225*E226</f>
        <v>-132.87796387933545</v>
      </c>
      <c r="F227" s="120"/>
      <c r="G227" s="120"/>
      <c r="H227" s="120"/>
      <c r="I227" s="336"/>
      <c r="J227" s="337"/>
      <c r="L227" s="17" t="s">
        <v>512</v>
      </c>
    </row>
    <row r="228" spans="1:12">
      <c r="A228" s="268" t="s">
        <v>90</v>
      </c>
      <c r="B228" s="56"/>
      <c r="C228" s="56"/>
      <c r="D228" s="56"/>
      <c r="E228" s="303">
        <f>E212</f>
        <v>-463.4</v>
      </c>
      <c r="F228" s="120"/>
      <c r="G228" s="120"/>
      <c r="H228" s="120"/>
      <c r="I228" s="336"/>
      <c r="J228" s="337"/>
    </row>
    <row r="229" spans="1:12">
      <c r="A229" s="268" t="s">
        <v>631</v>
      </c>
      <c r="B229" s="56"/>
      <c r="C229" s="56"/>
      <c r="D229" s="56"/>
      <c r="E229" s="303">
        <f>E227*E228</f>
        <v>61575.648461684046</v>
      </c>
      <c r="F229" s="120"/>
      <c r="G229" s="340"/>
      <c r="H229" s="120"/>
      <c r="I229" s="336"/>
      <c r="J229" s="337"/>
    </row>
    <row r="230" spans="1:12">
      <c r="A230" s="268" t="s">
        <v>63</v>
      </c>
      <c r="B230" s="56"/>
      <c r="C230" s="56"/>
      <c r="D230" s="56"/>
      <c r="E230" s="303">
        <f>$F$25</f>
        <v>763.03</v>
      </c>
      <c r="F230" s="120"/>
      <c r="G230" s="120"/>
      <c r="H230" s="120"/>
      <c r="I230" s="336"/>
      <c r="J230" s="337"/>
    </row>
    <row r="231" spans="1:12">
      <c r="A231" s="268" t="s">
        <v>64</v>
      </c>
      <c r="B231" s="56"/>
      <c r="C231" s="56"/>
      <c r="D231" s="56"/>
      <c r="E231" s="339">
        <f>E229/E230</f>
        <v>80.698856482293024</v>
      </c>
      <c r="F231" s="120"/>
      <c r="G231" s="120"/>
      <c r="H231" s="120"/>
      <c r="I231" s="336"/>
      <c r="J231" s="337"/>
      <c r="L231" s="17" t="s">
        <v>199</v>
      </c>
    </row>
    <row r="232" spans="1:12">
      <c r="A232" s="268"/>
      <c r="B232" s="56"/>
      <c r="C232" s="56"/>
      <c r="D232" s="56"/>
      <c r="E232" s="120"/>
      <c r="F232" s="120"/>
      <c r="G232" s="120"/>
      <c r="H232" s="120"/>
      <c r="I232" s="336"/>
      <c r="J232" s="337"/>
    </row>
    <row r="233" spans="1:12">
      <c r="A233" s="268" t="s">
        <v>48</v>
      </c>
      <c r="B233" s="56"/>
      <c r="C233" s="56"/>
      <c r="D233" s="56"/>
      <c r="E233" s="340">
        <f>$F$24</f>
        <v>82.92</v>
      </c>
      <c r="F233" s="120"/>
      <c r="G233" s="120"/>
      <c r="H233" s="120"/>
      <c r="I233" s="336"/>
      <c r="J233" s="337"/>
    </row>
    <row r="234" spans="1:12">
      <c r="A234" s="268" t="s">
        <v>65</v>
      </c>
      <c r="B234" s="56"/>
      <c r="C234" s="56"/>
      <c r="D234" s="56"/>
      <c r="E234" s="369">
        <f>E231/E233-1</f>
        <v>-2.678658366747444E-2</v>
      </c>
      <c r="F234" s="120"/>
      <c r="G234" s="120"/>
      <c r="H234" s="120"/>
      <c r="I234" s="336"/>
      <c r="J234" s="337"/>
      <c r="L234" s="17" t="s">
        <v>66</v>
      </c>
    </row>
    <row r="235" spans="1:12">
      <c r="A235" s="268"/>
      <c r="B235" s="56"/>
      <c r="C235" s="56"/>
      <c r="D235" s="56"/>
      <c r="E235" s="56"/>
      <c r="F235" s="56"/>
      <c r="G235" s="56"/>
      <c r="H235" s="56"/>
      <c r="I235" s="56"/>
      <c r="J235" s="343"/>
    </row>
    <row r="236" spans="1:12" ht="13.5" thickBot="1">
      <c r="A236" s="286" t="s">
        <v>91</v>
      </c>
      <c r="B236" s="287"/>
      <c r="C236" s="287"/>
      <c r="D236" s="287"/>
      <c r="E236" s="287"/>
      <c r="F236" s="287"/>
      <c r="G236" s="287"/>
      <c r="H236" s="287"/>
      <c r="I236" s="287"/>
      <c r="J236" s="288"/>
    </row>
    <row r="237" spans="1:12" ht="13.5" thickTop="1">
      <c r="A237" s="272"/>
      <c r="B237" s="272"/>
      <c r="C237" s="272"/>
      <c r="D237" s="272"/>
      <c r="E237" s="272"/>
      <c r="F237" s="272"/>
      <c r="G237" s="272"/>
      <c r="H237" s="272"/>
      <c r="I237" s="272"/>
      <c r="J237" s="272"/>
    </row>
    <row r="238" spans="1:12" ht="13.5" thickBot="1">
      <c r="A238" s="336"/>
      <c r="B238" s="336"/>
      <c r="C238" s="336"/>
      <c r="D238" s="336"/>
      <c r="E238" s="336"/>
      <c r="F238" s="336"/>
      <c r="G238" s="336"/>
      <c r="H238" s="336"/>
      <c r="I238" s="336"/>
      <c r="J238" s="336"/>
    </row>
    <row r="239" spans="1:12" ht="13.5" thickTop="1">
      <c r="A239" s="289" t="s">
        <v>461</v>
      </c>
      <c r="B239" s="290"/>
      <c r="C239" s="291" t="str">
        <f>C18</f>
        <v>VALUATION MODELS</v>
      </c>
      <c r="D239" s="291"/>
      <c r="E239" s="292"/>
      <c r="F239" s="292"/>
      <c r="G239" s="292"/>
      <c r="H239" s="292"/>
      <c r="I239" s="292"/>
      <c r="J239" s="293"/>
    </row>
    <row r="240" spans="1:12">
      <c r="A240" s="264" t="str">
        <f>Data!$A$9</f>
        <v>Analyst Name:</v>
      </c>
      <c r="B240" s="265"/>
      <c r="C240" s="152" t="str">
        <f>Data!$B$9</f>
        <v>CAI Zonghuan</v>
      </c>
      <c r="D240" s="154"/>
      <c r="E240" s="149"/>
      <c r="F240" s="153"/>
      <c r="G240" s="153"/>
      <c r="H240" s="153"/>
      <c r="I240" s="153"/>
      <c r="J240" s="266"/>
    </row>
    <row r="241" spans="1:12">
      <c r="A241" s="264" t="str">
        <f>Data!$A$10</f>
        <v>Company Name:</v>
      </c>
      <c r="B241" s="267"/>
      <c r="C241" s="152" t="str">
        <f>Data!$B$10</f>
        <v>FORTINET</v>
      </c>
      <c r="D241" s="149"/>
      <c r="E241" s="166"/>
      <c r="F241" s="153"/>
      <c r="G241" s="153"/>
      <c r="H241" s="153"/>
      <c r="I241" s="153"/>
      <c r="J241" s="266"/>
    </row>
    <row r="242" spans="1:12">
      <c r="A242" s="294"/>
      <c r="B242" s="56"/>
      <c r="C242" s="56"/>
      <c r="D242" s="56"/>
      <c r="E242" s="56"/>
      <c r="F242" s="56"/>
      <c r="G242" s="56"/>
      <c r="H242" s="355"/>
      <c r="I242" s="356"/>
      <c r="J242" s="295" t="s">
        <v>54</v>
      </c>
    </row>
    <row r="243" spans="1:12">
      <c r="A243" s="56"/>
      <c r="B243" s="56"/>
      <c r="C243" s="56"/>
      <c r="D243" s="56"/>
      <c r="E243" s="296">
        <v>1</v>
      </c>
      <c r="F243" s="296">
        <v>2</v>
      </c>
      <c r="G243" s="296">
        <v>3</v>
      </c>
      <c r="H243" s="296">
        <v>4</v>
      </c>
      <c r="I243" s="296">
        <v>5</v>
      </c>
      <c r="J243" s="295">
        <v>6</v>
      </c>
      <c r="L243" s="61" t="s">
        <v>515</v>
      </c>
    </row>
    <row r="244" spans="1:12">
      <c r="A244" s="297" t="s">
        <v>188</v>
      </c>
      <c r="B244" s="298"/>
      <c r="C244" s="298"/>
      <c r="D244" s="298"/>
      <c r="E244" s="299" t="s">
        <v>471</v>
      </c>
      <c r="F244" s="299" t="s">
        <v>472</v>
      </c>
      <c r="G244" s="299" t="s">
        <v>473</v>
      </c>
      <c r="H244" s="299" t="s">
        <v>474</v>
      </c>
      <c r="I244" s="299" t="s">
        <v>475</v>
      </c>
      <c r="J244" s="300" t="s">
        <v>476</v>
      </c>
      <c r="L244" s="301" t="s">
        <v>210</v>
      </c>
    </row>
    <row r="245" spans="1:12">
      <c r="A245" s="268"/>
      <c r="B245" s="56"/>
      <c r="C245" s="56"/>
      <c r="D245" s="56"/>
      <c r="E245" s="120"/>
      <c r="F245" s="120"/>
      <c r="G245" s="120"/>
      <c r="H245" s="120"/>
      <c r="I245" s="120"/>
      <c r="J245" s="295"/>
    </row>
    <row r="246" spans="1:12">
      <c r="A246" s="302" t="s">
        <v>56</v>
      </c>
      <c r="B246" s="56"/>
      <c r="C246" s="56"/>
      <c r="D246" s="56"/>
      <c r="E246" s="307">
        <f>Forecasts!E297</f>
        <v>1552.4563310630704</v>
      </c>
      <c r="F246" s="307">
        <f>Forecasts!F297</f>
        <v>1757.3744665348186</v>
      </c>
      <c r="G246" s="307">
        <f>Forecasts!G297</f>
        <v>2087.5945020134395</v>
      </c>
      <c r="H246" s="307">
        <f>Forecasts!H297</f>
        <v>2520.6796102907779</v>
      </c>
      <c r="I246" s="307">
        <f>Forecasts!I297</f>
        <v>3184.9905035836136</v>
      </c>
      <c r="J246" s="308">
        <f>Forecasts!J297</f>
        <v>4029.7690728809916</v>
      </c>
      <c r="L246" s="17" t="s">
        <v>543</v>
      </c>
    </row>
    <row r="247" spans="1:12">
      <c r="A247" s="268" t="s">
        <v>57</v>
      </c>
      <c r="B247" s="56"/>
      <c r="C247" s="56"/>
      <c r="D247" s="56"/>
      <c r="E247" s="307">
        <f>-Forecasts!E62*(1-(-Forecasts!E75/Forecasts!E71))</f>
        <v>15.313499999999999</v>
      </c>
      <c r="F247" s="307">
        <f>-Forecasts!F62*(1-(-Forecasts!F75/Forecasts!F71))</f>
        <v>16.079174999999999</v>
      </c>
      <c r="G247" s="307">
        <f>-Forecasts!G62*(1-(-Forecasts!G75/Forecasts!G71))</f>
        <v>16.883133749999999</v>
      </c>
      <c r="H247" s="307">
        <f>-Forecasts!H62*(1-(-Forecasts!H75/Forecasts!H71))</f>
        <v>17.727290437499999</v>
      </c>
      <c r="I247" s="307">
        <f>-Forecasts!I62*(1-(-Forecasts!I75/Forecasts!I71))</f>
        <v>18.613654959375001</v>
      </c>
      <c r="J247" s="308">
        <f>-Forecasts!J62*(1-(-Forecasts!J75/Forecasts!J71))</f>
        <v>19.172064608156251</v>
      </c>
      <c r="L247" s="17" t="s">
        <v>553</v>
      </c>
    </row>
    <row r="248" spans="1:12">
      <c r="A248" s="268" t="s">
        <v>58</v>
      </c>
      <c r="B248" s="56"/>
      <c r="C248" s="56"/>
      <c r="D248" s="56"/>
      <c r="E248" s="307">
        <v>0</v>
      </c>
      <c r="F248" s="307">
        <v>0</v>
      </c>
      <c r="G248" s="307">
        <v>0</v>
      </c>
      <c r="H248" s="307">
        <v>0</v>
      </c>
      <c r="I248" s="307">
        <v>0</v>
      </c>
      <c r="J248" s="308">
        <v>0</v>
      </c>
      <c r="L248" s="17" t="s">
        <v>510</v>
      </c>
    </row>
    <row r="249" spans="1:12">
      <c r="A249" s="357" t="s">
        <v>194</v>
      </c>
      <c r="B249" s="56"/>
      <c r="C249" s="56"/>
      <c r="D249" s="56"/>
      <c r="E249" s="358">
        <f>-Forecasts!E315</f>
        <v>-55.91599999999994</v>
      </c>
      <c r="F249" s="358">
        <f>-Forecasts!F315</f>
        <v>-58.152640000000474</v>
      </c>
      <c r="G249" s="358">
        <f>-Forecasts!G315</f>
        <v>-60.478745599998319</v>
      </c>
      <c r="H249" s="358">
        <f>-Forecasts!H315</f>
        <v>-62.897895424003309</v>
      </c>
      <c r="I249" s="358">
        <f>-Forecasts!I315</f>
        <v>-65.41381124095642</v>
      </c>
      <c r="J249" s="359">
        <f>-Forecasts!J315</f>
        <v>-68.030363690602371</v>
      </c>
      <c r="L249" s="17" t="s">
        <v>193</v>
      </c>
    </row>
    <row r="250" spans="1:12">
      <c r="A250" s="268" t="s">
        <v>59</v>
      </c>
      <c r="B250" s="56"/>
      <c r="C250" s="56"/>
      <c r="D250" s="56"/>
      <c r="E250" s="307">
        <f t="shared" ref="E250:J250" si="19">SUM(E246:E249)</f>
        <v>1511.8538310630704</v>
      </c>
      <c r="F250" s="307">
        <f t="shared" si="19"/>
        <v>1715.3010015348182</v>
      </c>
      <c r="G250" s="307">
        <f t="shared" si="19"/>
        <v>2043.9988901634413</v>
      </c>
      <c r="H250" s="307">
        <f t="shared" si="19"/>
        <v>2475.5090053042745</v>
      </c>
      <c r="I250" s="307">
        <f t="shared" si="19"/>
        <v>3138.190347302032</v>
      </c>
      <c r="J250" s="308">
        <f t="shared" si="19"/>
        <v>3980.9107737985455</v>
      </c>
    </row>
    <row r="251" spans="1:12">
      <c r="A251" s="302" t="s">
        <v>60</v>
      </c>
      <c r="B251" s="56"/>
      <c r="C251" s="56"/>
      <c r="D251" s="56"/>
      <c r="E251" s="307">
        <f>Forecasts!E305</f>
        <v>-227.67571221881312</v>
      </c>
      <c r="F251" s="307">
        <f>Forecasts!F305</f>
        <v>-200.69203703616091</v>
      </c>
      <c r="G251" s="307">
        <f>Forecasts!G305</f>
        <v>-178.62970880577839</v>
      </c>
      <c r="H251" s="307">
        <f>Forecasts!H305</f>
        <v>-160.66509046976535</v>
      </c>
      <c r="I251" s="307">
        <f>Forecasts!I305</f>
        <v>-146.11444996116987</v>
      </c>
      <c r="J251" s="308">
        <f>Forecasts!J305</f>
        <v>-127.50230995475056</v>
      </c>
      <c r="L251" s="17" t="s">
        <v>544</v>
      </c>
    </row>
    <row r="252" spans="1:12">
      <c r="A252" s="268" t="s">
        <v>244</v>
      </c>
      <c r="B252" s="56"/>
      <c r="C252" s="56"/>
      <c r="D252" s="56"/>
      <c r="E252" s="307">
        <v>0</v>
      </c>
      <c r="F252" s="307">
        <v>0</v>
      </c>
      <c r="G252" s="307">
        <v>0</v>
      </c>
      <c r="H252" s="307">
        <v>0</v>
      </c>
      <c r="I252" s="307">
        <v>0</v>
      </c>
      <c r="J252" s="308">
        <v>0</v>
      </c>
      <c r="L252" s="17" t="s">
        <v>191</v>
      </c>
    </row>
    <row r="253" spans="1:12">
      <c r="A253" s="297" t="s">
        <v>195</v>
      </c>
      <c r="B253" s="298"/>
      <c r="C253" s="298"/>
      <c r="D253" s="298"/>
      <c r="E253" s="313">
        <f t="shared" ref="E253:J253" si="20">SUM(E250:E252)</f>
        <v>1284.1781188442574</v>
      </c>
      <c r="F253" s="313">
        <f t="shared" si="20"/>
        <v>1514.6089644986573</v>
      </c>
      <c r="G253" s="313">
        <f t="shared" si="20"/>
        <v>1865.3691813576629</v>
      </c>
      <c r="H253" s="313">
        <f t="shared" si="20"/>
        <v>2314.8439148345092</v>
      </c>
      <c r="I253" s="313">
        <f t="shared" si="20"/>
        <v>2992.075897340862</v>
      </c>
      <c r="J253" s="314">
        <f t="shared" si="20"/>
        <v>3853.4084638437948</v>
      </c>
      <c r="L253" s="17" t="s">
        <v>549</v>
      </c>
    </row>
    <row r="254" spans="1:12">
      <c r="A254" s="268"/>
      <c r="B254" s="56"/>
      <c r="C254" s="56"/>
      <c r="D254" s="56"/>
      <c r="E254" s="56"/>
      <c r="F254" s="56"/>
      <c r="G254" s="56"/>
      <c r="H254" s="56"/>
      <c r="I254" s="56"/>
      <c r="J254" s="274"/>
    </row>
    <row r="255" spans="1:12">
      <c r="A255" s="268" t="s">
        <v>61</v>
      </c>
      <c r="B255" s="56"/>
      <c r="C255" s="56"/>
      <c r="D255" s="56"/>
      <c r="E255" s="315">
        <f t="shared" ref="E255:J255" si="21">1/(1+$F$59)^E243</f>
        <v>0.92392009615866277</v>
      </c>
      <c r="F255" s="315">
        <f t="shared" si="21"/>
        <v>0.85362834408583277</v>
      </c>
      <c r="G255" s="315">
        <f t="shared" si="21"/>
        <v>0.78868438175154265</v>
      </c>
      <c r="H255" s="315">
        <f t="shared" si="21"/>
        <v>0.72868134982672084</v>
      </c>
      <c r="I255" s="315">
        <f t="shared" si="21"/>
        <v>0.67324334280092812</v>
      </c>
      <c r="J255" s="315">
        <f t="shared" si="21"/>
        <v>0.62202305401881308</v>
      </c>
      <c r="L255" s="17" t="s">
        <v>542</v>
      </c>
    </row>
    <row r="256" spans="1:12">
      <c r="A256" s="268" t="s">
        <v>625</v>
      </c>
      <c r="B256" s="56"/>
      <c r="C256" s="56"/>
      <c r="D256" s="56"/>
      <c r="E256" s="307">
        <f t="shared" ref="E256:J256" si="22">E253*E255</f>
        <v>1186.477971047437</v>
      </c>
      <c r="F256" s="307">
        <f t="shared" si="22"/>
        <v>1292.9131423025467</v>
      </c>
      <c r="G256" s="307">
        <f t="shared" si="22"/>
        <v>1471.1875395374495</v>
      </c>
      <c r="H256" s="307">
        <f t="shared" si="22"/>
        <v>1686.783588499781</v>
      </c>
      <c r="I256" s="307">
        <f t="shared" si="22"/>
        <v>2014.3951790398485</v>
      </c>
      <c r="J256" s="307">
        <f t="shared" si="22"/>
        <v>2396.9089010620605</v>
      </c>
    </row>
    <row r="257" spans="1:12">
      <c r="A257" s="268" t="s">
        <v>626</v>
      </c>
      <c r="B257" s="56"/>
      <c r="C257" s="56"/>
      <c r="D257" s="56"/>
      <c r="E257" s="307">
        <f>SUM(E256:J256)</f>
        <v>10048.666321489123</v>
      </c>
      <c r="F257" s="307"/>
      <c r="G257" s="307"/>
      <c r="H257" s="307"/>
      <c r="I257" s="307"/>
      <c r="J257" s="308"/>
      <c r="L257" s="17" t="s">
        <v>502</v>
      </c>
    </row>
    <row r="258" spans="1:12">
      <c r="A258" s="268" t="s">
        <v>623</v>
      </c>
      <c r="B258" s="56"/>
      <c r="C258" s="56"/>
      <c r="D258" s="56"/>
      <c r="E258" s="307">
        <f>J253/($F$59-$F$29)*$I$255</f>
        <v>49561.514933174018</v>
      </c>
      <c r="F258" s="307"/>
      <c r="G258" s="307"/>
      <c r="H258" s="307"/>
      <c r="I258" s="307"/>
      <c r="J258" s="308"/>
      <c r="L258" s="17" t="s">
        <v>511</v>
      </c>
    </row>
    <row r="259" spans="1:12">
      <c r="A259" s="268" t="s">
        <v>635</v>
      </c>
      <c r="B259" s="56"/>
      <c r="C259" s="56"/>
      <c r="D259" s="56"/>
      <c r="E259" s="307">
        <f>E257+E258</f>
        <v>59610.181254663141</v>
      </c>
      <c r="F259" s="307"/>
      <c r="G259" s="307"/>
      <c r="H259" s="307"/>
      <c r="I259" s="307"/>
      <c r="J259" s="308"/>
      <c r="L259" s="17" t="s">
        <v>503</v>
      </c>
    </row>
    <row r="260" spans="1:12">
      <c r="A260" s="268" t="s">
        <v>504</v>
      </c>
      <c r="B260" s="56"/>
      <c r="C260" s="56"/>
      <c r="D260" s="56"/>
      <c r="E260" s="307">
        <f>-$F$39</f>
        <v>-992.3</v>
      </c>
      <c r="F260" s="56"/>
      <c r="G260" s="307"/>
      <c r="H260" s="307"/>
      <c r="I260" s="307"/>
      <c r="J260" s="308"/>
      <c r="L260" s="17" t="s">
        <v>507</v>
      </c>
    </row>
    <row r="261" spans="1:12">
      <c r="A261" s="268" t="s">
        <v>505</v>
      </c>
      <c r="B261" s="56"/>
      <c r="C261" s="56"/>
      <c r="D261" s="56"/>
      <c r="E261" s="307">
        <f>-$F$45</f>
        <v>0</v>
      </c>
      <c r="F261" s="56"/>
      <c r="G261" s="56"/>
      <c r="H261" s="307"/>
      <c r="I261" s="307"/>
      <c r="J261" s="308"/>
      <c r="L261" s="17" t="s">
        <v>508</v>
      </c>
    </row>
    <row r="262" spans="1:12">
      <c r="A262" s="268" t="s">
        <v>506</v>
      </c>
      <c r="B262" s="56"/>
      <c r="C262" s="56"/>
      <c r="D262" s="56"/>
      <c r="E262" s="307">
        <v>0</v>
      </c>
      <c r="F262" s="56"/>
      <c r="G262" s="56"/>
      <c r="H262" s="307"/>
      <c r="I262" s="307"/>
      <c r="J262" s="308"/>
      <c r="L262" s="17" t="s">
        <v>509</v>
      </c>
    </row>
    <row r="263" spans="1:12">
      <c r="A263" s="268" t="s">
        <v>630</v>
      </c>
      <c r="B263" s="56"/>
      <c r="C263" s="56"/>
      <c r="D263" s="56"/>
      <c r="E263" s="307">
        <f>E259+E260+E261+E262</f>
        <v>58617.881254663138</v>
      </c>
      <c r="F263" s="56"/>
      <c r="G263" s="56"/>
      <c r="H263" s="316"/>
      <c r="I263" s="316"/>
      <c r="J263" s="360"/>
    </row>
    <row r="264" spans="1:12">
      <c r="A264" s="268" t="s">
        <v>62</v>
      </c>
      <c r="B264" s="56"/>
      <c r="C264" s="56"/>
      <c r="D264" s="56"/>
      <c r="E264" s="361">
        <f>(1+$F$59/2)</f>
        <v>1.0411723395549306</v>
      </c>
      <c r="F264" s="307"/>
      <c r="G264" s="56"/>
      <c r="H264" s="318"/>
      <c r="I264" s="318"/>
      <c r="J264" s="343"/>
      <c r="L264" s="17" t="s">
        <v>196</v>
      </c>
    </row>
    <row r="265" spans="1:12">
      <c r="A265" s="268" t="s">
        <v>631</v>
      </c>
      <c r="B265" s="56"/>
      <c r="C265" s="56"/>
      <c r="D265" s="56"/>
      <c r="E265" s="307">
        <f>E263*E264</f>
        <v>61031.316565670728</v>
      </c>
      <c r="F265" s="307"/>
      <c r="G265" s="56"/>
      <c r="H265" s="318"/>
      <c r="I265" s="56"/>
      <c r="J265" s="274"/>
    </row>
    <row r="266" spans="1:12">
      <c r="A266" s="268" t="s">
        <v>63</v>
      </c>
      <c r="B266" s="56"/>
      <c r="C266" s="56"/>
      <c r="D266" s="56"/>
      <c r="E266" s="307">
        <f>$F$25</f>
        <v>763.03</v>
      </c>
      <c r="F266" s="307"/>
      <c r="G266" s="56"/>
      <c r="H266" s="318"/>
      <c r="I266" s="56"/>
      <c r="J266" s="274"/>
    </row>
    <row r="267" spans="1:12">
      <c r="A267" s="268" t="s">
        <v>64</v>
      </c>
      <c r="B267" s="56"/>
      <c r="C267" s="56"/>
      <c r="D267" s="56"/>
      <c r="E267" s="317">
        <f>E265/E266</f>
        <v>79.985474444872068</v>
      </c>
      <c r="F267" s="307"/>
      <c r="G267" s="56"/>
      <c r="H267" s="318"/>
      <c r="I267" s="56"/>
      <c r="J267" s="274"/>
      <c r="L267" s="17" t="s">
        <v>205</v>
      </c>
    </row>
    <row r="268" spans="1:12">
      <c r="A268" s="268"/>
      <c r="B268" s="56"/>
      <c r="C268" s="56"/>
      <c r="D268" s="56"/>
      <c r="E268" s="56"/>
      <c r="F268" s="56"/>
      <c r="G268" s="56"/>
      <c r="H268" s="318"/>
      <c r="I268" s="56"/>
      <c r="J268" s="274"/>
    </row>
    <row r="269" spans="1:12">
      <c r="A269" s="268" t="s">
        <v>48</v>
      </c>
      <c r="B269" s="56"/>
      <c r="C269" s="56"/>
      <c r="D269" s="56"/>
      <c r="E269" s="310">
        <f>$F$24</f>
        <v>82.92</v>
      </c>
      <c r="F269" s="56"/>
      <c r="G269" s="56"/>
      <c r="H269" s="318"/>
      <c r="I269" s="56"/>
      <c r="J269" s="274"/>
    </row>
    <row r="270" spans="1:12">
      <c r="A270" s="268" t="s">
        <v>65</v>
      </c>
      <c r="B270" s="56"/>
      <c r="C270" s="56"/>
      <c r="D270" s="56"/>
      <c r="E270" s="367">
        <f>E267/E269-1</f>
        <v>-3.5389840269270834E-2</v>
      </c>
      <c r="F270" s="56"/>
      <c r="G270" s="318"/>
      <c r="H270" s="318"/>
      <c r="I270" s="318"/>
      <c r="J270" s="343"/>
      <c r="L270" s="17" t="s">
        <v>66</v>
      </c>
    </row>
    <row r="271" spans="1:12" ht="13.5" thickBot="1">
      <c r="A271" s="286"/>
      <c r="B271" s="287"/>
      <c r="C271" s="287"/>
      <c r="D271" s="287"/>
      <c r="E271" s="287"/>
      <c r="F271" s="287"/>
      <c r="G271" s="287"/>
      <c r="H271" s="311"/>
      <c r="I271" s="311"/>
      <c r="J271" s="312"/>
    </row>
    <row r="272" spans="1:12" ht="13.5" thickTop="1">
      <c r="A272" s="272"/>
      <c r="B272" s="272"/>
      <c r="C272" s="272"/>
      <c r="D272" s="272"/>
      <c r="E272" s="272"/>
      <c r="F272" s="272"/>
      <c r="G272" s="272"/>
      <c r="H272" s="342"/>
      <c r="I272" s="342"/>
      <c r="J272" s="342"/>
    </row>
  </sheetData>
  <mergeCells count="8">
    <mergeCell ref="A33:E33"/>
    <mergeCell ref="A34:E34"/>
    <mergeCell ref="A35:E35"/>
    <mergeCell ref="A36:E36"/>
    <mergeCell ref="R16:V16"/>
    <mergeCell ref="R17:V17"/>
    <mergeCell ref="R18:V18"/>
    <mergeCell ref="R19:V19"/>
  </mergeCells>
  <phoneticPr fontId="0" type="noConversion"/>
  <pageMargins left="0.75" right="0.75" top="1" bottom="1" header="0.5" footer="0.5"/>
  <pageSetup scale="75" orientation="portrait" horizontalDpi="300" verticalDpi="300" r:id="rId1"/>
  <headerFooter alignWithMargins="0"/>
  <rowBreaks count="7" manualBreakCount="7">
    <brk id="61" max="16383" man="1"/>
    <brk id="88" max="16383" man="1"/>
    <brk id="118" max="9" man="1"/>
    <brk id="144" max="9" man="1"/>
    <brk id="175" max="16383" man="1"/>
    <brk id="201" max="9" man="1"/>
    <brk id="237" max="9" man="1"/>
  </rowBreaks>
  <colBreaks count="2" manualBreakCount="2">
    <brk id="10" max="231" man="1"/>
    <brk id="12" max="1048575"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EA186-100D-4467-BF8B-364069A8A9F0}">
  <dimension ref="A1:AI272"/>
  <sheetViews>
    <sheetView showGridLines="0" topLeftCell="S18" zoomScale="69" zoomScaleNormal="100" zoomScalePageLayoutView="117" workbookViewId="0">
      <selection activeCell="D29" sqref="D29"/>
    </sheetView>
  </sheetViews>
  <sheetFormatPr defaultColWidth="11.42578125" defaultRowHeight="12.75"/>
  <cols>
    <col min="1" max="1" width="9" style="604" customWidth="1"/>
    <col min="2" max="3" width="6" style="604" customWidth="1"/>
    <col min="4" max="4" width="7.85546875" style="604" bestFit="1" customWidth="1"/>
    <col min="5" max="6" width="7.42578125" style="604" bestFit="1" customWidth="1"/>
    <col min="7" max="7" width="3" style="604" customWidth="1"/>
    <col min="8" max="8" width="10" style="604" customWidth="1"/>
    <col min="9" max="13" width="6" style="604" customWidth="1"/>
    <col min="14" max="14" width="3" style="604" customWidth="1"/>
    <col min="15" max="15" width="9.140625" style="604" customWidth="1"/>
    <col min="16" max="16" width="13.5703125" style="604" customWidth="1"/>
    <col min="17" max="25" width="11.42578125" style="604"/>
    <col min="26" max="35" width="6" style="604" customWidth="1"/>
    <col min="36" max="16384" width="11.42578125" style="604"/>
  </cols>
  <sheetData>
    <row r="1" spans="1:35" ht="12.75" customHeight="1">
      <c r="A1" s="708"/>
      <c r="B1" s="708"/>
      <c r="C1" s="708"/>
      <c r="D1" s="708"/>
      <c r="E1" s="708"/>
      <c r="F1" s="708"/>
      <c r="H1" s="1297" t="s">
        <v>1053</v>
      </c>
      <c r="I1" s="1297"/>
      <c r="J1" s="1297"/>
      <c r="K1" s="1297"/>
      <c r="L1" s="1297"/>
      <c r="M1" s="1297"/>
      <c r="N1" s="1297"/>
      <c r="O1" s="1297"/>
    </row>
    <row r="2" spans="1:35" ht="12.75" customHeight="1">
      <c r="A2" s="1359" t="s">
        <v>1054</v>
      </c>
      <c r="B2" s="1358"/>
      <c r="C2" s="1358" t="s">
        <v>1228</v>
      </c>
      <c r="D2" s="1358"/>
      <c r="E2" s="1360">
        <v>82.92</v>
      </c>
      <c r="F2" s="1361"/>
      <c r="H2" s="1298" t="s">
        <v>1055</v>
      </c>
      <c r="I2" s="1299"/>
      <c r="J2" s="1299"/>
      <c r="K2" s="1299"/>
      <c r="L2" s="1299"/>
      <c r="M2" s="1299"/>
      <c r="N2" s="1299"/>
      <c r="O2" s="1300"/>
      <c r="P2" s="1301" t="s">
        <v>1056</v>
      </c>
      <c r="Q2" s="1301"/>
      <c r="R2" s="1301"/>
    </row>
    <row r="3" spans="1:35" ht="12.75" customHeight="1">
      <c r="A3" s="1321" t="s">
        <v>1197</v>
      </c>
      <c r="B3" s="1322"/>
      <c r="C3" s="1322"/>
      <c r="D3" s="1323"/>
      <c r="E3" s="772">
        <v>81.849999999999994</v>
      </c>
      <c r="F3" s="772">
        <v>44.12</v>
      </c>
      <c r="H3" s="1302" t="s">
        <v>1057</v>
      </c>
      <c r="I3" s="1303"/>
      <c r="J3" s="1303"/>
      <c r="K3" s="1303"/>
      <c r="L3" s="1303"/>
      <c r="M3" s="1303"/>
      <c r="N3" s="1303"/>
      <c r="O3" s="1304"/>
    </row>
    <row r="4" spans="1:35">
      <c r="A4" s="1324" t="s">
        <v>1189</v>
      </c>
      <c r="B4" s="1325"/>
      <c r="C4" s="1325"/>
      <c r="D4" s="1326"/>
      <c r="E4" s="1305">
        <v>44940</v>
      </c>
      <c r="F4" s="1306"/>
      <c r="H4" s="1302"/>
      <c r="I4" s="1303"/>
      <c r="J4" s="1303"/>
      <c r="K4" s="1303"/>
      <c r="L4" s="1303"/>
      <c r="M4" s="1303"/>
      <c r="N4" s="1303"/>
      <c r="O4" s="1304"/>
      <c r="P4" s="1307" t="s">
        <v>1058</v>
      </c>
      <c r="Q4" s="1307"/>
      <c r="R4" s="1307"/>
      <c r="S4" s="1307"/>
      <c r="T4" s="1307"/>
      <c r="U4" s="1307"/>
      <c r="V4" s="1307"/>
      <c r="W4" s="1307"/>
      <c r="X4" s="1307"/>
      <c r="Y4" s="1307"/>
    </row>
    <row r="5" spans="1:35" ht="12.75" customHeight="1">
      <c r="A5" s="1324" t="s">
        <v>1190</v>
      </c>
      <c r="B5" s="1325"/>
      <c r="C5" s="1325"/>
      <c r="D5" s="1326"/>
      <c r="E5" s="1305">
        <v>57090</v>
      </c>
      <c r="F5" s="1306"/>
      <c r="H5" s="1308" t="s">
        <v>1059</v>
      </c>
      <c r="I5" s="1309"/>
      <c r="J5" s="1309"/>
      <c r="K5" s="1309"/>
      <c r="L5" s="1309"/>
      <c r="M5" s="1309"/>
      <c r="N5" s="1309"/>
      <c r="O5" s="1310"/>
      <c r="P5" s="1307"/>
      <c r="Q5" s="1307"/>
      <c r="R5" s="1307"/>
      <c r="S5" s="1307"/>
      <c r="T5" s="1307"/>
      <c r="U5" s="1307"/>
      <c r="V5" s="1307"/>
      <c r="W5" s="1307"/>
      <c r="X5" s="1307"/>
      <c r="Y5" s="1307"/>
      <c r="AA5" s="604" t="s">
        <v>1060</v>
      </c>
    </row>
    <row r="6" spans="1:35">
      <c r="A6" s="1324" t="s">
        <v>1191</v>
      </c>
      <c r="B6" s="1325"/>
      <c r="C6" s="1325"/>
      <c r="D6" s="1326"/>
      <c r="E6" s="1347" t="s">
        <v>1198</v>
      </c>
      <c r="F6" s="1348"/>
      <c r="H6" s="1308"/>
      <c r="I6" s="1309"/>
      <c r="J6" s="1309"/>
      <c r="K6" s="1309"/>
      <c r="L6" s="1309"/>
      <c r="M6" s="1309"/>
      <c r="N6" s="1309"/>
      <c r="O6" s="1310"/>
      <c r="P6" s="1307"/>
      <c r="Q6" s="1307"/>
      <c r="R6" s="1307"/>
      <c r="S6" s="1307"/>
      <c r="T6" s="1307"/>
      <c r="U6" s="1307"/>
      <c r="V6" s="1307"/>
      <c r="W6" s="1307"/>
      <c r="X6" s="1307"/>
      <c r="Y6" s="1307"/>
      <c r="AA6" s="774" t="s">
        <v>1061</v>
      </c>
      <c r="AB6" s="775"/>
      <c r="AC6" s="775"/>
      <c r="AD6" s="775"/>
      <c r="AE6" s="775"/>
      <c r="AF6" s="776"/>
      <c r="AG6" s="776"/>
      <c r="AH6" s="776"/>
      <c r="AI6" s="777"/>
    </row>
    <row r="7" spans="1:35">
      <c r="A7" s="1327" t="s">
        <v>1062</v>
      </c>
      <c r="B7" s="1328"/>
      <c r="C7" s="1328"/>
      <c r="D7" s="1329"/>
      <c r="E7" s="1362">
        <v>0.82050000000000001</v>
      </c>
      <c r="F7" s="1363"/>
      <c r="H7" s="778"/>
      <c r="I7" s="779"/>
      <c r="J7" s="779"/>
      <c r="K7" s="779"/>
      <c r="L7" s="779"/>
      <c r="M7" s="779"/>
      <c r="N7" s="779"/>
      <c r="O7" s="780"/>
      <c r="P7" s="1307"/>
      <c r="Q7" s="1307"/>
      <c r="R7" s="1307"/>
      <c r="S7" s="1307"/>
      <c r="T7" s="1307"/>
      <c r="U7" s="1307"/>
      <c r="V7" s="1307"/>
      <c r="W7" s="1307"/>
      <c r="X7" s="1307"/>
      <c r="Y7" s="1307"/>
      <c r="AA7" s="781" t="s">
        <v>1063</v>
      </c>
      <c r="AB7" s="605"/>
      <c r="AC7" s="605"/>
      <c r="AD7" s="605"/>
      <c r="AE7" s="605"/>
      <c r="AF7" s="605"/>
      <c r="AG7" s="605"/>
      <c r="AH7" s="605"/>
      <c r="AI7" s="782"/>
    </row>
    <row r="8" spans="1:35">
      <c r="A8" s="1311" t="s">
        <v>1064</v>
      </c>
      <c r="B8" s="1311"/>
      <c r="C8" s="1311"/>
      <c r="D8" s="1311"/>
      <c r="E8" s="1345">
        <f>'BETA (2)'!L5</f>
        <v>1.1599904821053333</v>
      </c>
      <c r="F8" s="1346"/>
      <c r="H8" s="784"/>
      <c r="I8" s="785"/>
      <c r="J8" s="785"/>
      <c r="K8" s="785"/>
      <c r="L8" s="785"/>
      <c r="M8" s="785"/>
      <c r="N8" s="785"/>
      <c r="O8" s="786"/>
      <c r="P8" s="1307"/>
      <c r="Q8" s="1307"/>
      <c r="R8" s="1307"/>
      <c r="S8" s="1307"/>
      <c r="T8" s="1307"/>
      <c r="U8" s="1307"/>
      <c r="V8" s="1307"/>
      <c r="W8" s="1307"/>
      <c r="X8" s="1307"/>
      <c r="Y8" s="1307"/>
      <c r="AA8" s="781" t="s">
        <v>1065</v>
      </c>
      <c r="AB8" s="605"/>
      <c r="AC8" s="605"/>
      <c r="AD8" s="605"/>
      <c r="AE8" s="605"/>
      <c r="AF8" s="605"/>
      <c r="AG8" s="605"/>
      <c r="AH8" s="605"/>
      <c r="AI8" s="782"/>
    </row>
    <row r="9" spans="1:35">
      <c r="A9" s="1311" t="s">
        <v>1193</v>
      </c>
      <c r="B9" s="1311"/>
      <c r="C9" s="1311"/>
      <c r="D9" s="1311"/>
      <c r="E9" s="1347" t="s">
        <v>1192</v>
      </c>
      <c r="F9" s="1348"/>
      <c r="H9" s="893"/>
      <c r="I9" s="893"/>
      <c r="J9" s="893"/>
      <c r="K9" s="893"/>
      <c r="L9" s="893"/>
      <c r="M9" s="893"/>
      <c r="N9" s="893"/>
      <c r="O9" s="893"/>
      <c r="P9" s="1307"/>
      <c r="Q9" s="1307"/>
      <c r="R9" s="1307"/>
      <c r="S9" s="1307"/>
      <c r="T9" s="1307"/>
      <c r="U9" s="1307"/>
      <c r="V9" s="1307"/>
      <c r="W9" s="1307"/>
      <c r="X9" s="1307"/>
      <c r="Y9" s="1307"/>
      <c r="AA9" s="774" t="s">
        <v>1066</v>
      </c>
      <c r="AB9" s="775"/>
      <c r="AC9" s="776"/>
      <c r="AD9" s="776"/>
      <c r="AE9" s="776"/>
      <c r="AF9" s="776"/>
      <c r="AG9" s="776"/>
      <c r="AH9" s="776"/>
      <c r="AI9" s="777"/>
    </row>
    <row r="10" spans="1:35" ht="12.75" customHeight="1">
      <c r="H10" s="787"/>
      <c r="I10" s="787"/>
      <c r="J10" s="787"/>
      <c r="K10" s="787"/>
      <c r="L10" s="787"/>
      <c r="M10" s="787"/>
      <c r="N10" s="787"/>
      <c r="O10" s="787"/>
      <c r="P10" s="1307"/>
      <c r="Q10" s="1307"/>
      <c r="R10" s="1307"/>
      <c r="S10" s="1307"/>
      <c r="T10" s="1307"/>
      <c r="U10" s="1307"/>
      <c r="V10" s="1307"/>
      <c r="W10" s="1307"/>
      <c r="X10" s="1307"/>
      <c r="Y10" s="1307"/>
      <c r="AA10" s="781" t="s">
        <v>1067</v>
      </c>
      <c r="AB10" s="605"/>
      <c r="AC10" s="605"/>
      <c r="AD10" s="605"/>
      <c r="AE10" s="605"/>
      <c r="AF10" s="605"/>
      <c r="AG10" s="605"/>
      <c r="AH10" s="605"/>
      <c r="AI10" s="782"/>
    </row>
    <row r="11" spans="1:35">
      <c r="A11" s="770" t="s">
        <v>1068</v>
      </c>
      <c r="B11" s="771"/>
      <c r="C11" s="771"/>
      <c r="D11" s="788" t="s">
        <v>956</v>
      </c>
      <c r="E11" s="788" t="s">
        <v>930</v>
      </c>
      <c r="F11" s="788" t="s">
        <v>931</v>
      </c>
      <c r="H11" s="1312" t="s">
        <v>1069</v>
      </c>
      <c r="I11" s="1313"/>
      <c r="J11" s="1313"/>
      <c r="K11" s="1313"/>
      <c r="L11" s="1313"/>
      <c r="M11" s="1313"/>
      <c r="N11" s="1313"/>
      <c r="O11" s="1314"/>
      <c r="P11" s="1307"/>
      <c r="Q11" s="1307"/>
      <c r="R11" s="1307"/>
      <c r="S11" s="1307"/>
      <c r="T11" s="1307"/>
      <c r="U11" s="1307"/>
      <c r="V11" s="1307"/>
      <c r="W11" s="1307"/>
      <c r="X11" s="1307"/>
      <c r="Y11" s="1307"/>
      <c r="AA11" s="789" t="s">
        <v>1070</v>
      </c>
      <c r="AB11" s="790"/>
      <c r="AC11" s="790"/>
      <c r="AD11" s="790"/>
      <c r="AE11" s="790"/>
      <c r="AF11" s="790"/>
      <c r="AG11" s="790"/>
      <c r="AH11" s="790"/>
      <c r="AI11" s="791"/>
    </row>
    <row r="12" spans="1:35">
      <c r="A12" s="1321" t="s">
        <v>1071</v>
      </c>
      <c r="B12" s="1322"/>
      <c r="C12" s="1323"/>
      <c r="D12" s="894">
        <f>36.2</f>
        <v>36.200000000000003</v>
      </c>
      <c r="E12" s="894">
        <f>82/(Forecasts!E84/Valuation!$F$25)</f>
        <v>45.037043507983114</v>
      </c>
      <c r="F12" s="894">
        <f>82/(Forecasts!F84/Valuation!$F$25)</f>
        <v>39.574410563807234</v>
      </c>
      <c r="H12" s="1315"/>
      <c r="I12" s="1316"/>
      <c r="J12" s="1316"/>
      <c r="K12" s="1316"/>
      <c r="L12" s="1316"/>
      <c r="M12" s="1316"/>
      <c r="N12" s="1316"/>
      <c r="O12" s="1317"/>
      <c r="AA12" s="774" t="s">
        <v>1072</v>
      </c>
      <c r="AB12" s="776"/>
      <c r="AC12" s="776"/>
      <c r="AD12" s="776"/>
      <c r="AE12" s="776"/>
      <c r="AF12" s="776"/>
      <c r="AG12" s="776"/>
      <c r="AH12" s="776"/>
      <c r="AI12" s="777"/>
    </row>
    <row r="13" spans="1:35" ht="15" customHeight="1">
      <c r="A13" s="1324" t="s">
        <v>1073</v>
      </c>
      <c r="B13" s="1325"/>
      <c r="C13" s="1326"/>
      <c r="D13" s="894">
        <f>D12/34</f>
        <v>1.0647058823529412</v>
      </c>
      <c r="E13" s="894">
        <f>E12/15</f>
        <v>3.0024695671988741</v>
      </c>
      <c r="F13" s="894">
        <f>F12/13.8</f>
        <v>2.8677109104208141</v>
      </c>
      <c r="H13" s="1315"/>
      <c r="I13" s="1316"/>
      <c r="J13" s="1316"/>
      <c r="K13" s="1316"/>
      <c r="L13" s="1316"/>
      <c r="M13" s="1316"/>
      <c r="N13" s="1316"/>
      <c r="O13" s="1317"/>
      <c r="P13" s="1312" t="s">
        <v>1074</v>
      </c>
      <c r="Q13" s="1313"/>
      <c r="R13" s="1313"/>
      <c r="S13" s="1313"/>
      <c r="T13" s="1313"/>
      <c r="U13" s="1313"/>
      <c r="V13" s="1313"/>
      <c r="W13" s="1313"/>
      <c r="X13" s="1313"/>
      <c r="Y13" s="1314"/>
      <c r="AA13" s="789" t="s">
        <v>1075</v>
      </c>
      <c r="AB13" s="790"/>
      <c r="AC13" s="790"/>
      <c r="AD13" s="790"/>
      <c r="AE13" s="790"/>
      <c r="AF13" s="790"/>
      <c r="AG13" s="790"/>
      <c r="AH13" s="790"/>
      <c r="AI13" s="791"/>
    </row>
    <row r="14" spans="1:35" ht="18.75" customHeight="1">
      <c r="A14" s="1324" t="s">
        <v>1076</v>
      </c>
      <c r="B14" s="1325"/>
      <c r="C14" s="1326"/>
      <c r="D14" s="783">
        <v>36.700000000000003</v>
      </c>
      <c r="E14" s="894">
        <f>Valuation!N20/(Forecasts!E55+Forecasts!E37)</f>
        <v>40.947869174452777</v>
      </c>
      <c r="F14" s="894">
        <f>Valuation!O20/(Forecasts!F55+Forecasts!F37)</f>
        <v>37.212033853167902</v>
      </c>
      <c r="H14" s="1315"/>
      <c r="I14" s="1316"/>
      <c r="J14" s="1316"/>
      <c r="K14" s="1316"/>
      <c r="L14" s="1316"/>
      <c r="M14" s="1316"/>
      <c r="N14" s="1316"/>
      <c r="O14" s="1317"/>
      <c r="P14" s="1315"/>
      <c r="Q14" s="1316"/>
      <c r="R14" s="1316"/>
      <c r="S14" s="1316"/>
      <c r="T14" s="1316"/>
      <c r="U14" s="1316"/>
      <c r="V14" s="1316"/>
      <c r="W14" s="1316"/>
      <c r="X14" s="1316"/>
      <c r="Y14" s="1317"/>
      <c r="AA14" s="774" t="s">
        <v>1077</v>
      </c>
      <c r="AB14" s="776"/>
      <c r="AC14" s="776"/>
      <c r="AD14" s="776"/>
      <c r="AE14" s="776"/>
      <c r="AF14" s="776"/>
      <c r="AG14" s="776"/>
      <c r="AH14" s="776"/>
      <c r="AI14" s="777"/>
    </row>
    <row r="15" spans="1:35" ht="12.75" customHeight="1">
      <c r="A15" s="1327" t="s">
        <v>1078</v>
      </c>
      <c r="B15" s="1328"/>
      <c r="C15" s="1329"/>
      <c r="D15" s="783">
        <v>0</v>
      </c>
      <c r="E15" s="783">
        <v>0</v>
      </c>
      <c r="F15" s="783">
        <v>0</v>
      </c>
      <c r="H15" s="1318"/>
      <c r="I15" s="1319"/>
      <c r="J15" s="1319"/>
      <c r="K15" s="1319"/>
      <c r="L15" s="1319"/>
      <c r="M15" s="1319"/>
      <c r="N15" s="1319"/>
      <c r="O15" s="1320"/>
      <c r="P15" s="1315"/>
      <c r="Q15" s="1316"/>
      <c r="R15" s="1316"/>
      <c r="S15" s="1316"/>
      <c r="T15" s="1316"/>
      <c r="U15" s="1316"/>
      <c r="V15" s="1316"/>
      <c r="W15" s="1316"/>
      <c r="X15" s="1316"/>
      <c r="Y15" s="1317"/>
      <c r="AA15" s="789" t="s">
        <v>1079</v>
      </c>
      <c r="AB15" s="790"/>
      <c r="AC15" s="790"/>
      <c r="AD15" s="790"/>
      <c r="AE15" s="790"/>
      <c r="AF15" s="790"/>
      <c r="AG15" s="793"/>
      <c r="AH15" s="793"/>
      <c r="AI15" s="794"/>
    </row>
    <row r="16" spans="1:35">
      <c r="A16" s="795"/>
      <c r="P16" s="1315"/>
      <c r="Q16" s="1316"/>
      <c r="R16" s="1316"/>
      <c r="S16" s="1316"/>
      <c r="T16" s="1316"/>
      <c r="U16" s="1316"/>
      <c r="V16" s="1316"/>
      <c r="W16" s="1316"/>
      <c r="X16" s="1316"/>
      <c r="Y16" s="1317"/>
      <c r="AA16" s="774" t="s">
        <v>1080</v>
      </c>
      <c r="AB16" s="776"/>
      <c r="AC16" s="776"/>
      <c r="AD16" s="776"/>
      <c r="AE16" s="776"/>
      <c r="AF16" s="776"/>
      <c r="AG16" s="796"/>
      <c r="AH16" s="796"/>
      <c r="AI16" s="797"/>
    </row>
    <row r="17" spans="1:35">
      <c r="A17" s="770" t="s">
        <v>1081</v>
      </c>
      <c r="B17" s="798"/>
      <c r="C17" s="798"/>
      <c r="D17" s="788" t="str">
        <f>D11</f>
        <v>2023A</v>
      </c>
      <c r="E17" s="788" t="str">
        <f>E11</f>
        <v>2024E</v>
      </c>
      <c r="F17" s="788" t="str">
        <f>F11</f>
        <v>2025E</v>
      </c>
      <c r="H17" s="1312" t="s">
        <v>1082</v>
      </c>
      <c r="I17" s="1313"/>
      <c r="J17" s="1313"/>
      <c r="K17" s="1313"/>
      <c r="L17" s="1313"/>
      <c r="M17" s="1313"/>
      <c r="N17" s="1313"/>
      <c r="O17" s="1314"/>
      <c r="P17" s="1315"/>
      <c r="Q17" s="1316"/>
      <c r="R17" s="1316"/>
      <c r="S17" s="1316"/>
      <c r="T17" s="1316"/>
      <c r="U17" s="1316"/>
      <c r="V17" s="1316"/>
      <c r="W17" s="1316"/>
      <c r="X17" s="1316"/>
      <c r="Y17" s="1317"/>
      <c r="AA17" s="781" t="s">
        <v>1083</v>
      </c>
      <c r="AB17" s="605"/>
      <c r="AC17" s="605"/>
      <c r="AD17" s="605"/>
      <c r="AE17" s="605"/>
      <c r="AF17" s="605"/>
      <c r="AG17" s="799"/>
      <c r="AH17" s="799"/>
      <c r="AI17" s="800"/>
    </row>
    <row r="18" spans="1:35">
      <c r="A18" s="773" t="s">
        <v>1084</v>
      </c>
      <c r="B18" s="792"/>
      <c r="C18" s="792"/>
      <c r="D18" s="885">
        <f>Forecasts!D55/Forecasts!D166</f>
        <v>0.17097631872597774</v>
      </c>
      <c r="E18" s="885">
        <f>Forecasts!E55/Forecasts!E166</f>
        <v>0.21873119826431456</v>
      </c>
      <c r="F18" s="885">
        <f>Forecasts!F55/Forecasts!F166</f>
        <v>0.24380896968636645</v>
      </c>
      <c r="H18" s="1315"/>
      <c r="I18" s="1316"/>
      <c r="J18" s="1316"/>
      <c r="K18" s="1316"/>
      <c r="L18" s="1316"/>
      <c r="M18" s="1316"/>
      <c r="N18" s="1316"/>
      <c r="O18" s="1317"/>
      <c r="P18" s="1315"/>
      <c r="Q18" s="1316"/>
      <c r="R18" s="1316"/>
      <c r="S18" s="1316"/>
      <c r="T18" s="1316"/>
      <c r="U18" s="1316"/>
      <c r="V18" s="1316"/>
      <c r="W18" s="1316"/>
      <c r="X18" s="1316"/>
      <c r="Y18" s="1317"/>
      <c r="AA18" s="781" t="s">
        <v>1085</v>
      </c>
      <c r="AB18" s="605"/>
      <c r="AC18" s="605"/>
      <c r="AD18" s="605"/>
      <c r="AE18" s="605"/>
      <c r="AF18" s="605"/>
      <c r="AG18" s="605"/>
      <c r="AH18" s="605"/>
      <c r="AI18" s="782"/>
    </row>
    <row r="19" spans="1:35">
      <c r="A19" s="773" t="s">
        <v>1086</v>
      </c>
      <c r="B19" s="792"/>
      <c r="C19" s="792"/>
      <c r="D19" s="885">
        <f>Forecasts!D55/Forecasts!D240</f>
        <v>-2.6782477341389734</v>
      </c>
      <c r="E19" s="885">
        <f>Forecasts!E55/Forecasts!E240</f>
        <v>-4.1732884437505362</v>
      </c>
      <c r="F19" s="885">
        <f>Forecasts!F55/Forecasts!F240</f>
        <v>-5.1751720547768825</v>
      </c>
      <c r="H19" s="1315"/>
      <c r="I19" s="1316"/>
      <c r="J19" s="1316"/>
      <c r="K19" s="1316"/>
      <c r="L19" s="1316"/>
      <c r="M19" s="1316"/>
      <c r="N19" s="1316"/>
      <c r="O19" s="1317"/>
      <c r="P19" s="1315"/>
      <c r="Q19" s="1316"/>
      <c r="R19" s="1316"/>
      <c r="S19" s="1316"/>
      <c r="T19" s="1316"/>
      <c r="U19" s="1316"/>
      <c r="V19" s="1316"/>
      <c r="W19" s="1316"/>
      <c r="X19" s="1316"/>
      <c r="Y19" s="1317"/>
      <c r="AA19" s="781" t="s">
        <v>1087</v>
      </c>
      <c r="AB19" s="605"/>
      <c r="AC19" s="605"/>
      <c r="AD19" s="605"/>
      <c r="AE19" s="605"/>
      <c r="AF19" s="605"/>
      <c r="AG19" s="605"/>
      <c r="AH19" s="605"/>
      <c r="AI19" s="782"/>
    </row>
    <row r="20" spans="1:35">
      <c r="A20" s="792" t="s">
        <v>837</v>
      </c>
      <c r="B20" s="792"/>
      <c r="C20" s="792"/>
      <c r="D20" s="885">
        <f>(Forecasts!D55*(1-21%))/(Forecasts!D115+Forecasts!D118)</f>
        <v>0.40525295527816818</v>
      </c>
      <c r="E20" s="885">
        <f>(Forecasts!E55*(1-21%))/(Forecasts!E115+Forecasts!E118)</f>
        <v>0.51653040424738206</v>
      </c>
      <c r="F20" s="885">
        <f>(Forecasts!F55*(1-21%))/(Forecasts!F115+Forecasts!F118)</f>
        <v>0.57050027362586953</v>
      </c>
      <c r="H20" s="1315"/>
      <c r="I20" s="1316"/>
      <c r="J20" s="1316"/>
      <c r="K20" s="1316"/>
      <c r="L20" s="1316"/>
      <c r="M20" s="1316"/>
      <c r="N20" s="1316"/>
      <c r="O20" s="1317"/>
      <c r="P20" s="1315"/>
      <c r="Q20" s="1316"/>
      <c r="R20" s="1316"/>
      <c r="S20" s="1316"/>
      <c r="T20" s="1316"/>
      <c r="U20" s="1316"/>
      <c r="V20" s="1316"/>
      <c r="W20" s="1316"/>
      <c r="X20" s="1316"/>
      <c r="Y20" s="1317"/>
      <c r="AA20" s="781" t="s">
        <v>1088</v>
      </c>
      <c r="AB20" s="605"/>
      <c r="AC20" s="605"/>
      <c r="AD20" s="605"/>
      <c r="AE20" s="605"/>
      <c r="AF20" s="605"/>
      <c r="AG20" s="605"/>
      <c r="AH20" s="605"/>
      <c r="AI20" s="782"/>
    </row>
    <row r="21" spans="1:35">
      <c r="A21" s="792" t="s">
        <v>970</v>
      </c>
      <c r="B21" s="792" t="s">
        <v>1089</v>
      </c>
      <c r="C21" s="792"/>
      <c r="D21" s="801">
        <f>[2]Valuation!F60</f>
        <v>5.1678561294477704E-2</v>
      </c>
      <c r="E21" s="801"/>
      <c r="F21" s="801"/>
      <c r="H21" s="1315"/>
      <c r="I21" s="1316"/>
      <c r="J21" s="1316"/>
      <c r="K21" s="1316"/>
      <c r="L21" s="1316"/>
      <c r="M21" s="1316"/>
      <c r="N21" s="1316"/>
      <c r="O21" s="1317"/>
      <c r="P21" s="1315"/>
      <c r="Q21" s="1316"/>
      <c r="R21" s="1316"/>
      <c r="S21" s="1316"/>
      <c r="T21" s="1316"/>
      <c r="U21" s="1316"/>
      <c r="V21" s="1316"/>
      <c r="W21" s="1316"/>
      <c r="X21" s="1316"/>
      <c r="Y21" s="1317"/>
      <c r="AA21" s="781" t="s">
        <v>1090</v>
      </c>
      <c r="AB21" s="605"/>
      <c r="AC21" s="605"/>
      <c r="AD21" s="605"/>
      <c r="AE21" s="605" t="s">
        <v>1091</v>
      </c>
      <c r="AF21" s="605"/>
      <c r="AG21" s="605"/>
      <c r="AH21" s="605"/>
      <c r="AI21" s="782"/>
    </row>
    <row r="22" spans="1:35">
      <c r="A22" s="1325" t="s">
        <v>1092</v>
      </c>
      <c r="B22" s="1325"/>
      <c r="C22" s="1326"/>
      <c r="D22" s="885">
        <f>Forecasts!D55/Forecasts!D21</f>
        <v>0.23395792489820541</v>
      </c>
      <c r="E22" s="885">
        <f>Forecasts!E55/Forecasts!E21</f>
        <v>0.27685588699411617</v>
      </c>
      <c r="F22" s="885">
        <f>Forecasts!F55/Forecasts!F21</f>
        <v>0.27783039165173778</v>
      </c>
      <c r="H22" s="1315"/>
      <c r="I22" s="1316"/>
      <c r="J22" s="1316"/>
      <c r="K22" s="1316"/>
      <c r="L22" s="1316"/>
      <c r="M22" s="1316"/>
      <c r="N22" s="1316"/>
      <c r="O22" s="1317"/>
      <c r="P22" s="1318"/>
      <c r="Q22" s="1319"/>
      <c r="R22" s="1319"/>
      <c r="S22" s="1319"/>
      <c r="T22" s="1319"/>
      <c r="U22" s="1319"/>
      <c r="V22" s="1319"/>
      <c r="W22" s="1319"/>
      <c r="X22" s="1319"/>
      <c r="Y22" s="1320"/>
      <c r="AA22" s="789" t="s">
        <v>1093</v>
      </c>
      <c r="AB22" s="790"/>
      <c r="AC22" s="790"/>
      <c r="AD22" s="790"/>
      <c r="AE22" s="790"/>
      <c r="AF22" s="790"/>
      <c r="AG22" s="790"/>
      <c r="AH22" s="790"/>
      <c r="AI22" s="791"/>
    </row>
    <row r="23" spans="1:35">
      <c r="A23" s="1327" t="s">
        <v>1094</v>
      </c>
      <c r="B23" s="1328"/>
      <c r="C23" s="1329"/>
      <c r="D23" s="888">
        <f>Forecasts!D317/E5</f>
        <v>2.4485899456997723E-2</v>
      </c>
      <c r="E23" s="783"/>
      <c r="F23" s="783"/>
      <c r="H23" s="1315"/>
      <c r="I23" s="1316"/>
      <c r="J23" s="1316"/>
      <c r="K23" s="1316"/>
      <c r="L23" s="1316"/>
      <c r="M23" s="1316"/>
      <c r="N23" s="1316"/>
      <c r="O23" s="1317"/>
      <c r="AA23" s="774" t="s">
        <v>1095</v>
      </c>
      <c r="AB23" s="775"/>
      <c r="AC23" s="775"/>
      <c r="AD23" s="775"/>
      <c r="AE23" s="775"/>
      <c r="AF23" s="775"/>
      <c r="AG23" s="775"/>
      <c r="AH23" s="775"/>
      <c r="AI23" s="802"/>
    </row>
    <row r="24" spans="1:35">
      <c r="A24" s="795"/>
      <c r="H24" s="1315"/>
      <c r="I24" s="1316"/>
      <c r="J24" s="1316"/>
      <c r="K24" s="1316"/>
      <c r="L24" s="1316"/>
      <c r="M24" s="1316"/>
      <c r="N24" s="1316"/>
      <c r="O24" s="1317"/>
      <c r="P24" s="1312" t="s">
        <v>1096</v>
      </c>
      <c r="Q24" s="1313"/>
      <c r="R24" s="1313"/>
      <c r="S24" s="1313"/>
      <c r="T24" s="1313"/>
      <c r="U24" s="1313"/>
      <c r="V24" s="1313"/>
      <c r="W24" s="1313"/>
      <c r="X24" s="1313"/>
      <c r="Y24" s="1314"/>
      <c r="AA24" s="789" t="s">
        <v>1097</v>
      </c>
      <c r="AB24" s="790"/>
      <c r="AC24" s="790"/>
      <c r="AD24" s="790"/>
      <c r="AE24" s="790"/>
      <c r="AF24" s="790"/>
      <c r="AG24" s="790"/>
      <c r="AH24" s="790"/>
      <c r="AI24" s="791"/>
    </row>
    <row r="25" spans="1:35">
      <c r="A25" s="770" t="s">
        <v>955</v>
      </c>
      <c r="B25" s="771"/>
      <c r="C25" s="771"/>
      <c r="D25" s="788" t="str">
        <f>D11</f>
        <v>2023A</v>
      </c>
      <c r="E25" s="788" t="str">
        <f>E11</f>
        <v>2024E</v>
      </c>
      <c r="F25" s="788" t="str">
        <f>F11</f>
        <v>2025E</v>
      </c>
      <c r="H25" s="1318"/>
      <c r="I25" s="1319"/>
      <c r="J25" s="1319"/>
      <c r="K25" s="1319"/>
      <c r="L25" s="1319"/>
      <c r="M25" s="1319"/>
      <c r="N25" s="1319"/>
      <c r="O25" s="1320"/>
      <c r="P25" s="1315"/>
      <c r="Q25" s="1316"/>
      <c r="R25" s="1316"/>
      <c r="S25" s="1316"/>
      <c r="T25" s="1316"/>
      <c r="U25" s="1316"/>
      <c r="V25" s="1316"/>
      <c r="W25" s="1316"/>
      <c r="X25" s="1316"/>
      <c r="Y25" s="1317"/>
      <c r="AA25" s="774" t="s">
        <v>1098</v>
      </c>
      <c r="AB25" s="776"/>
      <c r="AC25" s="776"/>
      <c r="AD25" s="776"/>
      <c r="AE25" s="776"/>
      <c r="AF25" s="776"/>
      <c r="AG25" s="776"/>
      <c r="AH25" s="776"/>
      <c r="AI25" s="777"/>
    </row>
    <row r="26" spans="1:35">
      <c r="A26" s="1321" t="s">
        <v>957</v>
      </c>
      <c r="B26" s="1322"/>
      <c r="C26" s="1323"/>
      <c r="D26" s="887">
        <f>Forecasts!D198/Forecasts!D166</f>
        <v>0.1367011530672691</v>
      </c>
      <c r="E26" s="887">
        <f>Forecasts!E198/Forecasts!E166</f>
        <v>0.13909128384165273</v>
      </c>
      <c r="F26" s="887">
        <f>Forecasts!F198/Forecasts!F166</f>
        <v>0.14229567114846534</v>
      </c>
      <c r="P26" s="1315"/>
      <c r="Q26" s="1316"/>
      <c r="R26" s="1316"/>
      <c r="S26" s="1316"/>
      <c r="T26" s="1316"/>
      <c r="U26" s="1316"/>
      <c r="V26" s="1316"/>
      <c r="W26" s="1316"/>
      <c r="X26" s="1316"/>
      <c r="Y26" s="1317"/>
      <c r="AA26" s="789" t="s">
        <v>1099</v>
      </c>
      <c r="AB26" s="790"/>
      <c r="AC26" s="790"/>
      <c r="AD26" s="790"/>
      <c r="AE26" s="790"/>
      <c r="AF26" s="790"/>
      <c r="AG26" s="790"/>
      <c r="AH26" s="790"/>
      <c r="AI26" s="791"/>
    </row>
    <row r="27" spans="1:35">
      <c r="A27" s="1324" t="s">
        <v>958</v>
      </c>
      <c r="B27" s="1325"/>
      <c r="C27" s="1326"/>
      <c r="D27" s="886">
        <f>Forecasts!D198/Forecasts!D240</f>
        <v>-2.1413465688390159</v>
      </c>
      <c r="E27" s="886">
        <f>Forecasts!E198/Forecasts!E240</f>
        <v>-2.6537963129583284</v>
      </c>
      <c r="F27" s="886">
        <f>Forecasts!F198/Forecasts!F240</f>
        <v>-3.0204162783287374</v>
      </c>
      <c r="H27" s="1312" t="s">
        <v>1100</v>
      </c>
      <c r="I27" s="1313"/>
      <c r="J27" s="1313"/>
      <c r="K27" s="1313"/>
      <c r="L27" s="1313"/>
      <c r="M27" s="1313"/>
      <c r="N27" s="1313"/>
      <c r="O27" s="1314"/>
      <c r="P27" s="1315"/>
      <c r="Q27" s="1316"/>
      <c r="R27" s="1316"/>
      <c r="S27" s="1316"/>
      <c r="T27" s="1316"/>
      <c r="U27" s="1316"/>
      <c r="V27" s="1316"/>
      <c r="W27" s="1316"/>
      <c r="X27" s="1316"/>
      <c r="Y27" s="1317"/>
      <c r="AA27" s="774" t="s">
        <v>1101</v>
      </c>
      <c r="AB27" s="776"/>
      <c r="AC27" s="776"/>
      <c r="AD27" s="776"/>
      <c r="AE27" s="776"/>
      <c r="AF27" s="776"/>
      <c r="AG27" s="776"/>
      <c r="AH27" s="776"/>
      <c r="AI27" s="777"/>
    </row>
    <row r="28" spans="1:35">
      <c r="A28" s="1330" t="s">
        <v>959</v>
      </c>
      <c r="B28" s="1331"/>
      <c r="C28" s="1332"/>
      <c r="D28" s="886">
        <f>Forecasts!D55/21</f>
        <v>59.100000000000009</v>
      </c>
      <c r="E28" s="886">
        <f>Forecasts!E55/(21*(1.03))</f>
        <v>75.750688996071673</v>
      </c>
      <c r="F28" s="886">
        <f>Forecasts!F55/(21*(1.03)*(1.03))</f>
        <v>84.136770128905368</v>
      </c>
      <c r="H28" s="1315"/>
      <c r="I28" s="1316"/>
      <c r="J28" s="1316"/>
      <c r="K28" s="1316"/>
      <c r="L28" s="1316"/>
      <c r="M28" s="1316"/>
      <c r="N28" s="1316"/>
      <c r="O28" s="1317"/>
      <c r="P28" s="1315"/>
      <c r="Q28" s="1316"/>
      <c r="R28" s="1316"/>
      <c r="S28" s="1316"/>
      <c r="T28" s="1316"/>
      <c r="U28" s="1316"/>
      <c r="V28" s="1316"/>
      <c r="W28" s="1316"/>
      <c r="X28" s="1316"/>
      <c r="Y28" s="1317"/>
      <c r="AA28" s="789" t="s">
        <v>1102</v>
      </c>
      <c r="AB28" s="790"/>
      <c r="AC28" s="790"/>
      <c r="AD28" s="790"/>
      <c r="AE28" s="790"/>
      <c r="AF28" s="790"/>
      <c r="AG28" s="790"/>
      <c r="AH28" s="790"/>
      <c r="AI28" s="791"/>
    </row>
    <row r="29" spans="1:35">
      <c r="A29" s="1324" t="s">
        <v>960</v>
      </c>
      <c r="B29" s="1325"/>
      <c r="C29" s="1326"/>
      <c r="D29" s="887">
        <f>Forecasts!D297/Forecasts!D213</f>
        <v>0.22635743237118475</v>
      </c>
      <c r="E29" s="887">
        <f>Forecasts!E297/Forecasts!E213</f>
        <v>0.1969251328648523</v>
      </c>
      <c r="F29" s="887">
        <f>Forecasts!F297/Forecasts!F213</f>
        <v>0.21829388682276571</v>
      </c>
      <c r="H29" s="1315"/>
      <c r="I29" s="1316"/>
      <c r="J29" s="1316"/>
      <c r="K29" s="1316"/>
      <c r="L29" s="1316"/>
      <c r="M29" s="1316"/>
      <c r="N29" s="1316"/>
      <c r="O29" s="1317"/>
      <c r="P29" s="1315"/>
      <c r="Q29" s="1316"/>
      <c r="R29" s="1316"/>
      <c r="S29" s="1316"/>
      <c r="T29" s="1316"/>
      <c r="U29" s="1316"/>
      <c r="V29" s="1316"/>
      <c r="W29" s="1316"/>
      <c r="X29" s="1316"/>
      <c r="Y29" s="1317"/>
      <c r="AA29" s="774" t="s">
        <v>1103</v>
      </c>
      <c r="AB29" s="776"/>
      <c r="AC29" s="776"/>
      <c r="AD29" s="776"/>
      <c r="AE29" s="776"/>
      <c r="AF29" s="776"/>
      <c r="AG29" s="776"/>
      <c r="AH29" s="776"/>
      <c r="AI29" s="777"/>
    </row>
    <row r="30" spans="1:35">
      <c r="A30" s="1327" t="s">
        <v>961</v>
      </c>
      <c r="B30" s="1328"/>
      <c r="C30" s="1329"/>
      <c r="D30" s="887">
        <f>Forecasts!D317/Forecasts!D213</f>
        <v>0.18102119834764255</v>
      </c>
      <c r="E30" s="887">
        <f>Forecasts!E317/Forecasts!E213</f>
        <v>0.18441285801901061</v>
      </c>
      <c r="F30" s="887">
        <f>Forecasts!F317/Forecasts!F213</f>
        <v>0.18781057621175573</v>
      </c>
      <c r="H30" s="1315"/>
      <c r="I30" s="1316"/>
      <c r="J30" s="1316"/>
      <c r="K30" s="1316"/>
      <c r="L30" s="1316"/>
      <c r="M30" s="1316"/>
      <c r="N30" s="1316"/>
      <c r="O30" s="1317"/>
      <c r="P30" s="1315"/>
      <c r="Q30" s="1316"/>
      <c r="R30" s="1316"/>
      <c r="S30" s="1316"/>
      <c r="T30" s="1316"/>
      <c r="U30" s="1316"/>
      <c r="V30" s="1316"/>
      <c r="W30" s="1316"/>
      <c r="X30" s="1316"/>
      <c r="Y30" s="1317"/>
      <c r="AA30" s="781" t="s">
        <v>1104</v>
      </c>
      <c r="AB30" s="605"/>
      <c r="AC30" s="605"/>
      <c r="AD30" s="605"/>
      <c r="AE30" s="605"/>
      <c r="AF30" s="605"/>
      <c r="AG30" s="605"/>
      <c r="AH30" s="605"/>
      <c r="AI30" s="782"/>
    </row>
    <row r="31" spans="1:35">
      <c r="A31" s="803" t="s">
        <v>40</v>
      </c>
      <c r="B31" s="804"/>
      <c r="C31" s="804"/>
      <c r="D31" s="804"/>
      <c r="E31" s="804"/>
      <c r="F31" s="804"/>
      <c r="H31" s="1315"/>
      <c r="I31" s="1316"/>
      <c r="J31" s="1316"/>
      <c r="K31" s="1316"/>
      <c r="L31" s="1316"/>
      <c r="M31" s="1316"/>
      <c r="N31" s="1316"/>
      <c r="O31" s="1317"/>
      <c r="P31" s="1318"/>
      <c r="Q31" s="1319"/>
      <c r="R31" s="1319"/>
      <c r="S31" s="1319"/>
      <c r="T31" s="1319"/>
      <c r="U31" s="1319"/>
      <c r="V31" s="1319"/>
      <c r="W31" s="1319"/>
      <c r="X31" s="1319"/>
      <c r="Y31" s="1320"/>
      <c r="AA31" s="789" t="s">
        <v>1105</v>
      </c>
      <c r="AB31" s="790"/>
      <c r="AC31" s="790"/>
      <c r="AD31" s="790"/>
      <c r="AE31" s="790"/>
      <c r="AF31" s="790"/>
      <c r="AG31" s="790"/>
      <c r="AH31" s="790"/>
      <c r="AI31" s="791"/>
    </row>
    <row r="32" spans="1:35">
      <c r="A32" s="770" t="s">
        <v>1106</v>
      </c>
      <c r="B32" s="771"/>
      <c r="C32" s="771"/>
      <c r="D32" s="788" t="str">
        <f>D25</f>
        <v>2023A</v>
      </c>
      <c r="E32" s="788" t="str">
        <f>E25</f>
        <v>2024E</v>
      </c>
      <c r="F32" s="788" t="str">
        <f>F25</f>
        <v>2025E</v>
      </c>
      <c r="H32" s="1318"/>
      <c r="I32" s="1319"/>
      <c r="J32" s="1319"/>
      <c r="K32" s="1319"/>
      <c r="L32" s="1319"/>
      <c r="M32" s="1319"/>
      <c r="N32" s="1319"/>
      <c r="O32" s="1320"/>
      <c r="AA32" s="805" t="s">
        <v>1107</v>
      </c>
      <c r="AB32" s="776"/>
      <c r="AC32" s="776"/>
      <c r="AD32" s="776"/>
      <c r="AE32" s="776"/>
      <c r="AF32" s="776"/>
      <c r="AG32" s="776"/>
      <c r="AH32" s="776"/>
      <c r="AI32" s="777"/>
    </row>
    <row r="33" spans="1:35">
      <c r="A33" s="1321" t="s">
        <v>1108</v>
      </c>
      <c r="B33" s="1322"/>
      <c r="C33" s="1323"/>
      <c r="D33" s="890">
        <f>Forecasts!D21/((Forecasts!C121+Forecasts!D121)/2)</f>
        <v>3.9830311221233625</v>
      </c>
      <c r="E33" s="890">
        <f>Forecasts!E21/((Forecasts!D121+Forecasts!E121)/2)</f>
        <v>4.1588694546144493</v>
      </c>
      <c r="F33" s="890">
        <f>Forecasts!F21/((Forecasts!E121+Forecasts!F121)/2)</f>
        <v>4.6030802726494517</v>
      </c>
      <c r="P33" s="1312" t="s">
        <v>1109</v>
      </c>
      <c r="Q33" s="1313"/>
      <c r="R33" s="1313"/>
      <c r="S33" s="1313"/>
      <c r="T33" s="1313"/>
      <c r="U33" s="1313"/>
      <c r="V33" s="1313"/>
      <c r="W33" s="1313"/>
      <c r="X33" s="1313"/>
      <c r="Y33" s="1314"/>
      <c r="AA33" s="781" t="s">
        <v>1110</v>
      </c>
      <c r="AB33" s="605"/>
      <c r="AC33" s="605"/>
      <c r="AD33" s="605"/>
      <c r="AE33" s="605"/>
      <c r="AF33" s="605"/>
      <c r="AG33" s="605"/>
      <c r="AH33" s="605"/>
      <c r="AI33" s="782"/>
    </row>
    <row r="34" spans="1:35">
      <c r="A34" s="1364" t="s">
        <v>1111</v>
      </c>
      <c r="B34" s="1365"/>
      <c r="C34" s="1366"/>
      <c r="D34" s="890">
        <f>365/D33</f>
        <v>91.638751696576676</v>
      </c>
      <c r="E34" s="890">
        <f t="shared" ref="E34:F34" si="0">365/E33</f>
        <v>87.764235925947702</v>
      </c>
      <c r="F34" s="890">
        <f t="shared" si="0"/>
        <v>79.294728394973745</v>
      </c>
      <c r="H34" s="1312" t="s">
        <v>1112</v>
      </c>
      <c r="I34" s="1313"/>
      <c r="J34" s="1313"/>
      <c r="K34" s="1313"/>
      <c r="L34" s="1313"/>
      <c r="M34" s="1313"/>
      <c r="N34" s="1313"/>
      <c r="O34" s="1314"/>
      <c r="P34" s="1315"/>
      <c r="Q34" s="1316"/>
      <c r="R34" s="1316"/>
      <c r="S34" s="1316"/>
      <c r="T34" s="1316"/>
      <c r="U34" s="1316"/>
      <c r="V34" s="1316"/>
      <c r="W34" s="1316"/>
      <c r="X34" s="1316"/>
      <c r="Y34" s="1317"/>
      <c r="AA34" s="789" t="s">
        <v>1113</v>
      </c>
      <c r="AB34" s="790"/>
      <c r="AC34" s="790"/>
      <c r="AD34" s="790"/>
      <c r="AE34" s="790"/>
      <c r="AF34" s="790"/>
      <c r="AG34" s="790"/>
      <c r="AH34" s="790"/>
      <c r="AI34" s="791"/>
    </row>
    <row r="35" spans="1:35">
      <c r="A35" s="1324" t="s">
        <v>457</v>
      </c>
      <c r="B35" s="1325"/>
      <c r="C35" s="1326"/>
      <c r="D35" s="890">
        <f>-Forecasts!D24/((Forecasts!C124+Forecasts!D124)/2)</f>
        <v>3.3018414731785426</v>
      </c>
      <c r="E35" s="890">
        <f>-Forecasts!E24/((Forecasts!D124+Forecasts!E124)/2)</f>
        <v>2.5256896551724135</v>
      </c>
      <c r="F35" s="890">
        <f>-Forecasts!F24/((Forecasts!E124+Forecasts!F124)/2)</f>
        <v>2.7954597645904524</v>
      </c>
      <c r="H35" s="1315"/>
      <c r="I35" s="1316"/>
      <c r="J35" s="1316"/>
      <c r="K35" s="1316"/>
      <c r="L35" s="1316"/>
      <c r="M35" s="1316"/>
      <c r="N35" s="1316"/>
      <c r="O35" s="1317"/>
      <c r="P35" s="1315"/>
      <c r="Q35" s="1316"/>
      <c r="R35" s="1316"/>
      <c r="S35" s="1316"/>
      <c r="T35" s="1316"/>
      <c r="U35" s="1316"/>
      <c r="V35" s="1316"/>
      <c r="W35" s="1316"/>
      <c r="X35" s="1316"/>
      <c r="Y35" s="1317"/>
      <c r="AA35" s="805" t="s">
        <v>1114</v>
      </c>
      <c r="AB35" s="775"/>
      <c r="AC35" s="775"/>
      <c r="AD35" s="775"/>
      <c r="AE35" s="775"/>
      <c r="AF35" s="775"/>
      <c r="AG35" s="775"/>
      <c r="AH35" s="775"/>
      <c r="AI35" s="802"/>
    </row>
    <row r="36" spans="1:35">
      <c r="A36" s="1324" t="s">
        <v>1115</v>
      </c>
      <c r="B36" s="1325"/>
      <c r="C36" s="1326"/>
      <c r="D36" s="890">
        <f>365/D35</f>
        <v>110.54437439379244</v>
      </c>
      <c r="E36" s="890">
        <f t="shared" ref="E36:F36" si="1">365/E35</f>
        <v>144.51498395794937</v>
      </c>
      <c r="F36" s="890">
        <f t="shared" si="1"/>
        <v>130.56886191795149</v>
      </c>
      <c r="H36" s="1315"/>
      <c r="I36" s="1316"/>
      <c r="J36" s="1316"/>
      <c r="K36" s="1316"/>
      <c r="L36" s="1316"/>
      <c r="M36" s="1316"/>
      <c r="N36" s="1316"/>
      <c r="O36" s="1317"/>
      <c r="P36" s="1315"/>
      <c r="Q36" s="1316"/>
      <c r="R36" s="1316"/>
      <c r="S36" s="1316"/>
      <c r="T36" s="1316"/>
      <c r="U36" s="1316"/>
      <c r="V36" s="1316"/>
      <c r="W36" s="1316"/>
      <c r="X36" s="1316"/>
      <c r="Y36" s="1317"/>
      <c r="AA36" s="781" t="s">
        <v>1116</v>
      </c>
      <c r="AB36" s="608"/>
      <c r="AC36" s="608"/>
      <c r="AD36" s="608"/>
      <c r="AE36" s="608"/>
      <c r="AF36" s="608"/>
      <c r="AG36" s="608"/>
      <c r="AH36" s="608"/>
      <c r="AI36" s="806"/>
    </row>
    <row r="37" spans="1:35">
      <c r="A37" s="1324" t="s">
        <v>1117</v>
      </c>
      <c r="B37" s="1325"/>
      <c r="C37" s="1326"/>
      <c r="D37" s="890">
        <f>(-Forecasts!D24+Forecasts!D124-Forecasts!C124)/((Forecasts!C171+Forecasts!D171)/2)</f>
        <v>6.5106097833370562</v>
      </c>
      <c r="E37" s="890">
        <f>(-Forecasts!E24+Forecasts!E124-Forecasts!D124)/((Forecasts!D171+Forecasts!E171)/2)</f>
        <v>6.0635507041947871</v>
      </c>
      <c r="F37" s="890">
        <f>(-Forecasts!F24+Forecasts!F124-Forecasts!E124)/((Forecasts!E171+Forecasts!F171)/2)</f>
        <v>6.7037100240472851</v>
      </c>
      <c r="H37" s="1315"/>
      <c r="I37" s="1316"/>
      <c r="J37" s="1316"/>
      <c r="K37" s="1316"/>
      <c r="L37" s="1316"/>
      <c r="M37" s="1316"/>
      <c r="N37" s="1316"/>
      <c r="O37" s="1317"/>
      <c r="P37" s="1315"/>
      <c r="Q37" s="1316"/>
      <c r="R37" s="1316"/>
      <c r="S37" s="1316"/>
      <c r="T37" s="1316"/>
      <c r="U37" s="1316"/>
      <c r="V37" s="1316"/>
      <c r="W37" s="1316"/>
      <c r="X37" s="1316"/>
      <c r="Y37" s="1317"/>
      <c r="AA37" s="789" t="s">
        <v>1118</v>
      </c>
      <c r="AB37" s="807"/>
      <c r="AC37" s="807"/>
      <c r="AD37" s="807"/>
      <c r="AE37" s="807"/>
      <c r="AF37" s="807"/>
      <c r="AG37" s="807"/>
      <c r="AH37" s="807"/>
      <c r="AI37" s="808"/>
    </row>
    <row r="38" spans="1:35">
      <c r="A38" s="1364" t="s">
        <v>1119</v>
      </c>
      <c r="B38" s="1365"/>
      <c r="C38" s="1366"/>
      <c r="D38" s="890">
        <f>365/D37</f>
        <v>56.062337038561822</v>
      </c>
      <c r="E38" s="890">
        <f t="shared" ref="E38:F38" si="2">365/E37</f>
        <v>60.195752918746379</v>
      </c>
      <c r="F38" s="890">
        <f t="shared" si="2"/>
        <v>54.447462478342047</v>
      </c>
      <c r="H38" s="1315"/>
      <c r="I38" s="1316"/>
      <c r="J38" s="1316"/>
      <c r="K38" s="1316"/>
      <c r="L38" s="1316"/>
      <c r="M38" s="1316"/>
      <c r="N38" s="1316"/>
      <c r="O38" s="1317"/>
      <c r="P38" s="1315"/>
      <c r="Q38" s="1316"/>
      <c r="R38" s="1316"/>
      <c r="S38" s="1316"/>
      <c r="T38" s="1316"/>
      <c r="U38" s="1316"/>
      <c r="V38" s="1316"/>
      <c r="W38" s="1316"/>
      <c r="X38" s="1316"/>
      <c r="Y38" s="1317"/>
      <c r="AA38" s="809" t="s">
        <v>1120</v>
      </c>
      <c r="AB38" s="810"/>
      <c r="AC38" s="810"/>
      <c r="AD38" s="810"/>
      <c r="AE38" s="810"/>
      <c r="AF38" s="810"/>
      <c r="AG38" s="810"/>
      <c r="AH38" s="810"/>
      <c r="AI38" s="811"/>
    </row>
    <row r="39" spans="1:35">
      <c r="A39" s="1324" t="s">
        <v>1121</v>
      </c>
      <c r="B39" s="1325"/>
      <c r="C39" s="1326"/>
      <c r="D39" s="890">
        <f>D34+D36-D38</f>
        <v>146.12078905180729</v>
      </c>
      <c r="E39" s="890">
        <f t="shared" ref="E39:F39" si="3">E34+E36-E38</f>
        <v>172.08346696515071</v>
      </c>
      <c r="F39" s="890">
        <f t="shared" si="3"/>
        <v>155.41612783458316</v>
      </c>
      <c r="H39" s="1315"/>
      <c r="I39" s="1316"/>
      <c r="J39" s="1316"/>
      <c r="K39" s="1316"/>
      <c r="L39" s="1316"/>
      <c r="M39" s="1316"/>
      <c r="N39" s="1316"/>
      <c r="O39" s="1317"/>
      <c r="P39" s="1315"/>
      <c r="Q39" s="1316"/>
      <c r="R39" s="1316"/>
      <c r="S39" s="1316"/>
      <c r="T39" s="1316"/>
      <c r="U39" s="1316"/>
      <c r="V39" s="1316"/>
      <c r="W39" s="1316"/>
      <c r="X39" s="1316"/>
      <c r="Y39" s="1317"/>
      <c r="AA39" s="774" t="s">
        <v>1122</v>
      </c>
      <c r="AB39" s="775"/>
      <c r="AC39" s="775"/>
      <c r="AD39" s="775"/>
      <c r="AE39" s="775"/>
      <c r="AF39" s="775"/>
      <c r="AG39" s="775"/>
      <c r="AH39" s="775"/>
      <c r="AI39" s="802"/>
    </row>
    <row r="40" spans="1:35">
      <c r="A40" s="1324" t="s">
        <v>1123</v>
      </c>
      <c r="B40" s="1325"/>
      <c r="C40" s="1326"/>
      <c r="D40" s="890">
        <f>Forecasts!D21/((Forecasts!C115+Forecasts!D115)/2)</f>
        <v>3.4437808361464555</v>
      </c>
      <c r="E40" s="890">
        <f>Forecasts!E21/((Forecasts!D115+Forecasts!E115)/2)</f>
        <v>4.1506208893171683</v>
      </c>
      <c r="F40" s="890">
        <f>Forecasts!F21/((Forecasts!E115+Forecasts!F115)/2)</f>
        <v>4.549778071546017</v>
      </c>
      <c r="H40" s="1315"/>
      <c r="I40" s="1316"/>
      <c r="J40" s="1316"/>
      <c r="K40" s="1316"/>
      <c r="L40" s="1316"/>
      <c r="M40" s="1316"/>
      <c r="N40" s="1316"/>
      <c r="O40" s="1317"/>
      <c r="P40" s="1315"/>
      <c r="Q40" s="1316"/>
      <c r="R40" s="1316"/>
      <c r="S40" s="1316"/>
      <c r="T40" s="1316"/>
      <c r="U40" s="1316"/>
      <c r="V40" s="1316"/>
      <c r="W40" s="1316"/>
      <c r="X40" s="1316"/>
      <c r="Y40" s="1317"/>
      <c r="AA40" s="812" t="s">
        <v>1124</v>
      </c>
      <c r="AB40" s="608"/>
      <c r="AC40" s="608"/>
      <c r="AD40" s="608"/>
      <c r="AE40" s="608"/>
      <c r="AF40" s="608"/>
      <c r="AG40" s="608"/>
      <c r="AH40" s="608"/>
      <c r="AI40" s="806"/>
    </row>
    <row r="41" spans="1:35">
      <c r="A41" s="1327" t="s">
        <v>1125</v>
      </c>
      <c r="B41" s="1328"/>
      <c r="C41" s="1329"/>
      <c r="D41" s="890">
        <f>365/D40</f>
        <v>105.98816166490725</v>
      </c>
      <c r="E41" s="890">
        <f t="shared" ref="E41:F41" si="4">365/E40</f>
        <v>87.938650561759033</v>
      </c>
      <c r="F41" s="890">
        <f t="shared" si="4"/>
        <v>80.223693169274256</v>
      </c>
      <c r="H41" s="1315"/>
      <c r="I41" s="1316"/>
      <c r="J41" s="1316"/>
      <c r="K41" s="1316"/>
      <c r="L41" s="1316"/>
      <c r="M41" s="1316"/>
      <c r="N41" s="1316"/>
      <c r="O41" s="1317"/>
      <c r="P41" s="1318"/>
      <c r="Q41" s="1319"/>
      <c r="R41" s="1319"/>
      <c r="S41" s="1319"/>
      <c r="T41" s="1319"/>
      <c r="U41" s="1319"/>
      <c r="V41" s="1319"/>
      <c r="W41" s="1319"/>
      <c r="X41" s="1319"/>
      <c r="Y41" s="1320"/>
      <c r="AA41" s="812" t="s">
        <v>1126</v>
      </c>
      <c r="AB41" s="608"/>
      <c r="AC41" s="608"/>
      <c r="AD41" s="608"/>
      <c r="AE41" s="608"/>
      <c r="AF41" s="608"/>
      <c r="AG41" s="608"/>
      <c r="AH41" s="608"/>
      <c r="AI41" s="806"/>
    </row>
    <row r="42" spans="1:35">
      <c r="H42" s="1315"/>
      <c r="I42" s="1316"/>
      <c r="J42" s="1316"/>
      <c r="K42" s="1316"/>
      <c r="L42" s="1316"/>
      <c r="M42" s="1316"/>
      <c r="N42" s="1316"/>
      <c r="O42" s="1317"/>
      <c r="AA42" s="812" t="s">
        <v>1127</v>
      </c>
      <c r="AB42" s="608"/>
      <c r="AC42" s="608"/>
      <c r="AD42" s="608"/>
      <c r="AE42" s="608"/>
      <c r="AF42" s="608"/>
      <c r="AG42" s="608"/>
      <c r="AH42" s="608"/>
      <c r="AI42" s="806"/>
    </row>
    <row r="43" spans="1:35">
      <c r="A43" s="770" t="s">
        <v>1128</v>
      </c>
      <c r="B43" s="771"/>
      <c r="C43" s="771"/>
      <c r="D43" s="788" t="str">
        <f>D32</f>
        <v>2023A</v>
      </c>
      <c r="E43" s="788" t="str">
        <f>E32</f>
        <v>2024E</v>
      </c>
      <c r="F43" s="788" t="str">
        <f>F32</f>
        <v>2025E</v>
      </c>
      <c r="H43" s="1318"/>
      <c r="I43" s="1319"/>
      <c r="J43" s="1319"/>
      <c r="K43" s="1319"/>
      <c r="L43" s="1319"/>
      <c r="M43" s="1319"/>
      <c r="N43" s="1319"/>
      <c r="O43" s="1320"/>
      <c r="P43" s="1312" t="s">
        <v>1129</v>
      </c>
      <c r="Q43" s="1313"/>
      <c r="R43" s="1313"/>
      <c r="S43" s="1313"/>
      <c r="T43" s="1313"/>
      <c r="U43" s="1313"/>
      <c r="V43" s="1313"/>
      <c r="W43" s="1313"/>
      <c r="X43" s="1313"/>
      <c r="Y43" s="1314"/>
      <c r="AA43" s="812" t="s">
        <v>1130</v>
      </c>
      <c r="AB43" s="605"/>
      <c r="AC43" s="605"/>
      <c r="AD43" s="605"/>
      <c r="AE43" s="605"/>
      <c r="AF43" s="605"/>
      <c r="AG43" s="605"/>
      <c r="AH43" s="605"/>
      <c r="AI43" s="782"/>
    </row>
    <row r="44" spans="1:35" ht="12.75" customHeight="1">
      <c r="A44" s="1321" t="s">
        <v>439</v>
      </c>
      <c r="B44" s="1322"/>
      <c r="C44" s="1323"/>
      <c r="D44" s="889">
        <f>Forecasts!D139/Forecasts!D195</f>
        <v>1.1907233127184726</v>
      </c>
      <c r="E44" s="889">
        <f>Forecasts!E139/Forecasts!E195</f>
        <v>1.1943726390589389</v>
      </c>
      <c r="F44" s="889">
        <f>Forecasts!F139/Forecasts!F195</f>
        <v>1.1980573957522254</v>
      </c>
      <c r="J44" s="813"/>
      <c r="K44" s="813"/>
      <c r="L44" s="606"/>
      <c r="M44" s="606"/>
      <c r="N44" s="606"/>
      <c r="O44" s="606"/>
      <c r="P44" s="1315"/>
      <c r="Q44" s="1316"/>
      <c r="R44" s="1316"/>
      <c r="S44" s="1316"/>
      <c r="T44" s="1316"/>
      <c r="U44" s="1316"/>
      <c r="V44" s="1316"/>
      <c r="W44" s="1316"/>
      <c r="X44" s="1316"/>
      <c r="Y44" s="1317"/>
      <c r="AA44" s="812" t="s">
        <v>1131</v>
      </c>
      <c r="AB44" s="605"/>
      <c r="AC44" s="605"/>
      <c r="AD44" s="605"/>
      <c r="AE44" s="605"/>
      <c r="AF44" s="605"/>
      <c r="AG44" s="605"/>
      <c r="AH44" s="605"/>
      <c r="AI44" s="782"/>
    </row>
    <row r="45" spans="1:35">
      <c r="A45" s="1324" t="s">
        <v>440</v>
      </c>
      <c r="B45" s="1325"/>
      <c r="C45" s="1326"/>
      <c r="D45" s="889">
        <f>(Forecasts!D139-Forecasts!D124)/Forecasts!D195</f>
        <v>1.0603656897015328</v>
      </c>
      <c r="E45" s="889">
        <f>(Forecasts!E139-Forecasts!E124)/Forecasts!E195</f>
        <v>1.0640150160419988</v>
      </c>
      <c r="F45" s="889">
        <f>(Forecasts!F139-Forecasts!F124)/Forecasts!F195</f>
        <v>1.0676997727352853</v>
      </c>
      <c r="H45" s="1333" t="s">
        <v>1132</v>
      </c>
      <c r="I45" s="1334"/>
      <c r="J45" s="1334"/>
      <c r="K45" s="1334"/>
      <c r="L45" s="1334"/>
      <c r="M45" s="1334"/>
      <c r="N45" s="1334"/>
      <c r="O45" s="1335"/>
      <c r="P45" s="1315"/>
      <c r="Q45" s="1316"/>
      <c r="R45" s="1316"/>
      <c r="S45" s="1316"/>
      <c r="T45" s="1316"/>
      <c r="U45" s="1316"/>
      <c r="V45" s="1316"/>
      <c r="W45" s="1316"/>
      <c r="X45" s="1316"/>
      <c r="Y45" s="1317"/>
      <c r="AA45" s="812" t="s">
        <v>1133</v>
      </c>
      <c r="AB45" s="605"/>
      <c r="AC45" s="605"/>
      <c r="AD45" s="605"/>
      <c r="AE45" s="605"/>
      <c r="AF45" s="605"/>
      <c r="AG45" s="605"/>
      <c r="AH45" s="605"/>
      <c r="AI45" s="782"/>
    </row>
    <row r="46" spans="1:35">
      <c r="A46" s="1327" t="s">
        <v>1134</v>
      </c>
      <c r="B46" s="1328"/>
      <c r="C46" s="1329"/>
      <c r="D46" s="889">
        <f>Forecasts!D297/Forecasts!D195</f>
        <v>0.47001882226404945</v>
      </c>
      <c r="E46" s="889">
        <f>Forecasts!E297/Forecasts!E195</f>
        <v>0.40528076267058694</v>
      </c>
      <c r="F46" s="889">
        <f>Forecasts!F297/Forecasts!F195</f>
        <v>0.44541381634090715</v>
      </c>
      <c r="H46" s="1336"/>
      <c r="I46" s="1337"/>
      <c r="J46" s="1337"/>
      <c r="K46" s="1337"/>
      <c r="L46" s="1337"/>
      <c r="M46" s="1337"/>
      <c r="N46" s="1337"/>
      <c r="O46" s="1338"/>
      <c r="P46" s="1315"/>
      <c r="Q46" s="1316"/>
      <c r="R46" s="1316"/>
      <c r="S46" s="1316"/>
      <c r="T46" s="1316"/>
      <c r="U46" s="1316"/>
      <c r="V46" s="1316"/>
      <c r="W46" s="1316"/>
      <c r="X46" s="1316"/>
      <c r="Y46" s="1317"/>
      <c r="AA46" s="814" t="s">
        <v>1135</v>
      </c>
      <c r="AB46" s="790"/>
      <c r="AC46" s="790"/>
      <c r="AD46" s="790"/>
      <c r="AE46" s="790"/>
      <c r="AF46" s="790"/>
      <c r="AG46" s="790"/>
      <c r="AH46" s="790"/>
      <c r="AI46" s="791"/>
    </row>
    <row r="47" spans="1:35">
      <c r="H47" s="1336"/>
      <c r="I47" s="1337"/>
      <c r="J47" s="1337"/>
      <c r="K47" s="1337"/>
      <c r="L47" s="1337"/>
      <c r="M47" s="1337"/>
      <c r="N47" s="1337"/>
      <c r="O47" s="1338"/>
      <c r="P47" s="1315"/>
      <c r="Q47" s="1316"/>
      <c r="R47" s="1316"/>
      <c r="S47" s="1316"/>
      <c r="T47" s="1316"/>
      <c r="U47" s="1316"/>
      <c r="V47" s="1316"/>
      <c r="W47" s="1316"/>
      <c r="X47" s="1316"/>
      <c r="Y47" s="1317"/>
      <c r="AA47" s="809" t="s">
        <v>1136</v>
      </c>
      <c r="AB47" s="815"/>
      <c r="AC47" s="815"/>
      <c r="AD47" s="815"/>
      <c r="AE47" s="815"/>
      <c r="AF47" s="815"/>
      <c r="AG47" s="815"/>
      <c r="AH47" s="815"/>
      <c r="AI47" s="816"/>
    </row>
    <row r="48" spans="1:35">
      <c r="A48" s="770" t="s">
        <v>936</v>
      </c>
      <c r="B48" s="771"/>
      <c r="C48" s="771"/>
      <c r="D48" s="817" t="s">
        <v>1137</v>
      </c>
      <c r="E48" s="817" t="s">
        <v>1138</v>
      </c>
      <c r="F48" s="817" t="s">
        <v>1139</v>
      </c>
      <c r="H48" s="1336"/>
      <c r="I48" s="1337"/>
      <c r="J48" s="1337"/>
      <c r="K48" s="1337"/>
      <c r="L48" s="1337"/>
      <c r="M48" s="1337"/>
      <c r="N48" s="1337"/>
      <c r="O48" s="1338"/>
      <c r="P48" s="1315"/>
      <c r="Q48" s="1316"/>
      <c r="R48" s="1316"/>
      <c r="S48" s="1316"/>
      <c r="T48" s="1316"/>
      <c r="U48" s="1316"/>
      <c r="V48" s="1316"/>
      <c r="W48" s="1316"/>
      <c r="X48" s="1316"/>
      <c r="Y48" s="1317"/>
    </row>
    <row r="49" spans="1:25" ht="12.75" customHeight="1">
      <c r="A49" s="1321" t="s">
        <v>1140</v>
      </c>
      <c r="B49" s="1322"/>
      <c r="C49" s="1323"/>
      <c r="D49" s="892" t="s">
        <v>1195</v>
      </c>
      <c r="E49" s="891">
        <v>0.2374</v>
      </c>
      <c r="F49" s="891">
        <v>0.24110000000000001</v>
      </c>
      <c r="H49" s="1336"/>
      <c r="I49" s="1337"/>
      <c r="J49" s="1337"/>
      <c r="K49" s="1337"/>
      <c r="L49" s="1337"/>
      <c r="M49" s="1337"/>
      <c r="N49" s="1337"/>
      <c r="O49" s="1338"/>
      <c r="P49" s="1315"/>
      <c r="Q49" s="1316"/>
      <c r="R49" s="1316"/>
      <c r="S49" s="1316"/>
      <c r="T49" s="1316"/>
      <c r="U49" s="1316"/>
      <c r="V49" s="1316"/>
      <c r="W49" s="1316"/>
      <c r="X49" s="1316"/>
      <c r="Y49" s="1317"/>
    </row>
    <row r="50" spans="1:25">
      <c r="A50" s="1327" t="s">
        <v>1141</v>
      </c>
      <c r="B50" s="1328"/>
      <c r="C50" s="1329"/>
      <c r="D50" s="891">
        <v>0.35549999999999998</v>
      </c>
      <c r="E50" s="891">
        <v>0.37390000000000001</v>
      </c>
      <c r="F50" s="891">
        <v>0.30830000000000002</v>
      </c>
      <c r="G50" s="787"/>
      <c r="H50" s="1336"/>
      <c r="I50" s="1337"/>
      <c r="J50" s="1337"/>
      <c r="K50" s="1337"/>
      <c r="L50" s="1337"/>
      <c r="M50" s="1337"/>
      <c r="N50" s="1337"/>
      <c r="O50" s="1338"/>
      <c r="P50" s="1318"/>
      <c r="Q50" s="1319"/>
      <c r="R50" s="1319"/>
      <c r="S50" s="1319"/>
      <c r="T50" s="1319"/>
      <c r="U50" s="1319"/>
      <c r="V50" s="1319"/>
      <c r="W50" s="1319"/>
      <c r="X50" s="1319"/>
      <c r="Y50" s="1320"/>
    </row>
    <row r="51" spans="1:25">
      <c r="A51" s="787"/>
      <c r="B51" s="787"/>
      <c r="C51" s="787"/>
      <c r="D51" s="787"/>
      <c r="E51" s="787"/>
      <c r="F51" s="787"/>
      <c r="G51" s="787"/>
      <c r="H51" s="1336"/>
      <c r="I51" s="1337"/>
      <c r="J51" s="1337"/>
      <c r="K51" s="1337"/>
      <c r="L51" s="1337"/>
      <c r="M51" s="1337"/>
      <c r="N51" s="1337"/>
      <c r="O51" s="1338"/>
    </row>
    <row r="52" spans="1:25" ht="12.75" customHeight="1">
      <c r="G52" s="787"/>
      <c r="H52" s="1336"/>
      <c r="I52" s="1337"/>
      <c r="J52" s="1337"/>
      <c r="K52" s="1337"/>
      <c r="L52" s="1337"/>
      <c r="M52" s="1337"/>
      <c r="N52" s="1337"/>
      <c r="O52" s="1338"/>
    </row>
    <row r="53" spans="1:25" ht="12.75" customHeight="1" thickBot="1">
      <c r="G53" s="787"/>
      <c r="H53" s="1336"/>
      <c r="I53" s="1337"/>
      <c r="J53" s="1337"/>
      <c r="K53" s="1337"/>
      <c r="L53" s="1337"/>
      <c r="M53" s="1337"/>
      <c r="N53" s="1337"/>
      <c r="O53" s="1338"/>
      <c r="P53" s="1312" t="s">
        <v>1142</v>
      </c>
      <c r="Q53" s="1313"/>
      <c r="R53" s="1313"/>
      <c r="S53" s="1313"/>
      <c r="T53" s="1313"/>
      <c r="U53" s="1313"/>
      <c r="V53" s="1313"/>
      <c r="W53" s="1313"/>
      <c r="X53" s="1313"/>
      <c r="Y53" s="1314"/>
    </row>
    <row r="54" spans="1:25" ht="12.75" customHeight="1">
      <c r="G54" s="818"/>
      <c r="H54" s="1349">
        <v>39</v>
      </c>
      <c r="I54" s="1350"/>
      <c r="J54" s="1350"/>
      <c r="K54" s="1350"/>
      <c r="L54" s="1350"/>
      <c r="M54" s="1350"/>
      <c r="N54" s="1350"/>
      <c r="O54" s="1351"/>
      <c r="P54" s="1316"/>
      <c r="Q54" s="1316"/>
      <c r="R54" s="1316"/>
      <c r="S54" s="1316"/>
      <c r="T54" s="1316"/>
      <c r="U54" s="1316"/>
      <c r="V54" s="1316"/>
      <c r="W54" s="1316"/>
      <c r="X54" s="1316"/>
      <c r="Y54" s="1317"/>
    </row>
    <row r="55" spans="1:25">
      <c r="G55" s="818"/>
      <c r="H55" s="1352"/>
      <c r="I55" s="1353"/>
      <c r="J55" s="1353"/>
      <c r="K55" s="1353"/>
      <c r="L55" s="1353"/>
      <c r="M55" s="1353"/>
      <c r="N55" s="1353"/>
      <c r="O55" s="1354"/>
      <c r="P55" s="1316"/>
      <c r="Q55" s="1316"/>
      <c r="R55" s="1316"/>
      <c r="S55" s="1316"/>
      <c r="T55" s="1316"/>
      <c r="U55" s="1316"/>
      <c r="V55" s="1316"/>
      <c r="W55" s="1316"/>
      <c r="X55" s="1316"/>
      <c r="Y55" s="1317"/>
    </row>
    <row r="56" spans="1:25">
      <c r="G56" s="818"/>
      <c r="H56" s="1352"/>
      <c r="I56" s="1353"/>
      <c r="J56" s="1353"/>
      <c r="K56" s="1353"/>
      <c r="L56" s="1353"/>
      <c r="M56" s="1353"/>
      <c r="N56" s="1353"/>
      <c r="O56" s="1354"/>
      <c r="P56" s="1316"/>
      <c r="Q56" s="1316"/>
      <c r="R56" s="1316"/>
      <c r="S56" s="1316"/>
      <c r="T56" s="1316"/>
      <c r="U56" s="1316"/>
      <c r="V56" s="1316"/>
      <c r="W56" s="1316"/>
      <c r="X56" s="1316"/>
      <c r="Y56" s="1317"/>
    </row>
    <row r="57" spans="1:25">
      <c r="G57" s="818"/>
      <c r="H57" s="1352"/>
      <c r="I57" s="1353"/>
      <c r="J57" s="1353"/>
      <c r="K57" s="1353"/>
      <c r="L57" s="1353"/>
      <c r="M57" s="1353"/>
      <c r="N57" s="1353"/>
      <c r="O57" s="1354"/>
      <c r="P57" s="1319"/>
      <c r="Q57" s="1319"/>
      <c r="R57" s="1319"/>
      <c r="S57" s="1319"/>
      <c r="T57" s="1319"/>
      <c r="U57" s="1319"/>
      <c r="V57" s="1319"/>
      <c r="W57" s="1319"/>
      <c r="X57" s="1319"/>
      <c r="Y57" s="1320"/>
    </row>
    <row r="58" spans="1:25" ht="13.5" thickBot="1">
      <c r="G58" s="818"/>
      <c r="H58" s="1355"/>
      <c r="I58" s="1356"/>
      <c r="J58" s="1356"/>
      <c r="K58" s="1356"/>
      <c r="L58" s="1356"/>
      <c r="M58" s="1356"/>
      <c r="N58" s="1356"/>
      <c r="O58" s="1357"/>
      <c r="P58" s="819"/>
      <c r="Q58" s="819"/>
      <c r="R58" s="819"/>
      <c r="S58" s="819"/>
      <c r="T58" s="819"/>
      <c r="U58" s="819"/>
      <c r="V58" s="819"/>
      <c r="W58" s="819"/>
      <c r="X58" s="819"/>
      <c r="Y58" s="819"/>
    </row>
    <row r="59" spans="1:25">
      <c r="A59" s="820"/>
      <c r="B59" s="818"/>
      <c r="C59" s="818"/>
      <c r="D59" s="818"/>
      <c r="E59" s="818"/>
      <c r="F59" s="818"/>
      <c r="G59" s="818"/>
      <c r="H59" s="818"/>
      <c r="I59" s="818"/>
      <c r="J59" s="818"/>
      <c r="K59" s="818"/>
      <c r="L59" s="818"/>
      <c r="M59" s="818"/>
      <c r="N59" s="818"/>
      <c r="O59" s="818"/>
      <c r="P59" s="1333" t="s">
        <v>1143</v>
      </c>
      <c r="Q59" s="1334"/>
      <c r="R59" s="1334"/>
      <c r="S59" s="1334"/>
      <c r="T59" s="1334"/>
      <c r="U59" s="1334"/>
      <c r="V59" s="1334"/>
      <c r="W59" s="1334"/>
      <c r="X59" s="1334"/>
      <c r="Y59" s="1335"/>
    </row>
    <row r="60" spans="1:25">
      <c r="A60" s="820"/>
      <c r="B60" s="818"/>
      <c r="C60" s="818"/>
      <c r="D60" s="818"/>
      <c r="E60" s="818"/>
      <c r="F60" s="818"/>
      <c r="G60" s="818"/>
      <c r="H60" s="818"/>
      <c r="I60" s="818"/>
      <c r="J60" s="818"/>
      <c r="K60" s="818"/>
      <c r="L60" s="818"/>
      <c r="M60" s="818"/>
      <c r="N60" s="818"/>
      <c r="O60" s="818"/>
      <c r="P60" s="1336"/>
      <c r="Q60" s="1337"/>
      <c r="R60" s="1337"/>
      <c r="S60" s="1337"/>
      <c r="T60" s="1337"/>
      <c r="U60" s="1337"/>
      <c r="V60" s="1337"/>
      <c r="W60" s="1337"/>
      <c r="X60" s="1337"/>
      <c r="Y60" s="1338"/>
    </row>
    <row r="61" spans="1:25">
      <c r="G61" s="818"/>
      <c r="H61" s="818"/>
      <c r="I61" s="818"/>
      <c r="J61" s="818"/>
      <c r="K61" s="818"/>
      <c r="L61" s="818"/>
      <c r="M61" s="818"/>
      <c r="N61" s="818"/>
      <c r="O61" s="818"/>
      <c r="P61" s="1339"/>
      <c r="Q61" s="1340"/>
      <c r="R61" s="1340"/>
      <c r="S61" s="1340"/>
      <c r="T61" s="1340"/>
      <c r="U61" s="1340"/>
      <c r="V61" s="1340"/>
      <c r="W61" s="1340"/>
      <c r="X61" s="1340"/>
      <c r="Y61" s="1341"/>
    </row>
    <row r="62" spans="1:25" ht="25.5">
      <c r="B62" s="821" t="s">
        <v>1144</v>
      </c>
      <c r="C62" s="821"/>
      <c r="D62" s="821"/>
      <c r="E62" s="821"/>
      <c r="F62" s="821"/>
      <c r="G62" s="818"/>
      <c r="H62" s="818"/>
      <c r="I62" s="818"/>
      <c r="J62" s="818"/>
      <c r="K62" s="818"/>
      <c r="L62" s="818"/>
      <c r="M62" s="818"/>
      <c r="N62" s="818"/>
      <c r="O62" s="818"/>
    </row>
    <row r="63" spans="1:25">
      <c r="B63" s="821"/>
      <c r="C63" s="821"/>
      <c r="D63" s="821"/>
      <c r="E63" s="821"/>
      <c r="F63" s="821"/>
    </row>
    <row r="64" spans="1:25" ht="12.75" customHeight="1">
      <c r="B64" s="821"/>
      <c r="C64" s="821"/>
      <c r="D64" s="821"/>
      <c r="E64" s="821"/>
      <c r="F64" s="821"/>
      <c r="G64" s="821"/>
      <c r="H64" s="821"/>
      <c r="I64" s="821"/>
      <c r="J64" s="821"/>
      <c r="K64" s="821"/>
      <c r="L64" s="821"/>
      <c r="M64" s="821"/>
      <c r="N64" s="821"/>
      <c r="O64" s="821"/>
      <c r="P64" s="604" t="s">
        <v>1145</v>
      </c>
    </row>
    <row r="65" spans="2:25">
      <c r="B65" s="821"/>
      <c r="C65" s="821"/>
      <c r="D65" s="821"/>
      <c r="E65" s="821"/>
      <c r="F65" s="821"/>
      <c r="G65" s="821"/>
      <c r="H65" s="821"/>
      <c r="I65" s="821"/>
      <c r="J65" s="821"/>
      <c r="K65" s="821"/>
      <c r="L65" s="821"/>
      <c r="M65" s="821"/>
      <c r="N65" s="821"/>
      <c r="O65" s="821"/>
      <c r="P65" s="630"/>
      <c r="Q65" s="630">
        <f>'[2]Forecast Development'!B19</f>
        <v>2019</v>
      </c>
      <c r="R65" s="630">
        <f>'[2]Forecast Development'!C19</f>
        <v>2020</v>
      </c>
      <c r="S65" s="630">
        <f>'[2]Forecast Development'!D19</f>
        <v>2021</v>
      </c>
      <c r="T65" s="630">
        <f>'[2]Forecast Development'!E19</f>
        <v>2020</v>
      </c>
      <c r="U65" s="630">
        <f>'[2]Forecast Development'!F19</f>
        <v>2021</v>
      </c>
      <c r="V65" s="630">
        <f>'[2]Forecast Development'!G19</f>
        <v>2022</v>
      </c>
      <c r="W65" s="630">
        <f>'[2]Forecast Development'!H19</f>
        <v>2023</v>
      </c>
      <c r="X65" s="630">
        <f>'[2]Forecast Development'!I19</f>
        <v>2024</v>
      </c>
      <c r="Y65" s="630" t="s">
        <v>936</v>
      </c>
    </row>
    <row r="66" spans="2:25">
      <c r="B66" s="821"/>
      <c r="C66" s="821"/>
      <c r="D66" s="821"/>
      <c r="E66" s="821"/>
      <c r="F66" s="821"/>
      <c r="G66" s="821"/>
      <c r="H66" s="821"/>
      <c r="I66" s="821"/>
      <c r="J66" s="821"/>
      <c r="K66" s="821"/>
      <c r="L66" s="821"/>
      <c r="M66" s="821"/>
      <c r="N66" s="821"/>
      <c r="O66" s="821"/>
      <c r="P66" s="822" t="str">
        <f>'[2]Forecast Development'!A27</f>
        <v>adsl/fiber optics</v>
      </c>
      <c r="Q66" s="823">
        <f>'[2]Forecast Development'!B27</f>
        <v>12573</v>
      </c>
      <c r="R66" s="823">
        <f>'[2]Forecast Development'!C27</f>
        <v>13322</v>
      </c>
      <c r="S66" s="824">
        <f>'[2]Forecast Development'!D27</f>
        <v>13574</v>
      </c>
      <c r="T66" s="825">
        <f>'[2]Forecast Development'!E27</f>
        <v>14103.385999999999</v>
      </c>
      <c r="U66" s="825">
        <f>'[2]Forecast Development'!F27</f>
        <v>15795.79232</v>
      </c>
      <c r="V66" s="825">
        <f>'[2]Forecast Development'!G27</f>
        <v>17375.371552000001</v>
      </c>
      <c r="W66" s="825">
        <f>'[2]Forecast Development'!H27</f>
        <v>19112.908707200004</v>
      </c>
      <c r="X66" s="825">
        <f>'[2]Forecast Development'!I27</f>
        <v>20164.118686096004</v>
      </c>
      <c r="Y66" s="826">
        <f>'[2]Forecast Development'!J27</f>
        <v>3.9045257974350767E-2</v>
      </c>
    </row>
    <row r="67" spans="2:25">
      <c r="B67" s="821"/>
      <c r="C67" s="821"/>
      <c r="D67" s="821"/>
      <c r="E67" s="821"/>
      <c r="F67" s="821"/>
      <c r="G67" s="821"/>
      <c r="H67" s="821"/>
      <c r="I67" s="821"/>
      <c r="J67" s="821"/>
      <c r="K67" s="821"/>
      <c r="L67" s="821"/>
      <c r="M67" s="821"/>
      <c r="N67" s="821"/>
      <c r="O67" s="821"/>
      <c r="P67" s="822" t="str">
        <f>'[2]Forecast Development'!A28</f>
        <v>tablets</v>
      </c>
      <c r="Q67" s="823">
        <f>'[2]Forecast Development'!B28</f>
        <v>2656</v>
      </c>
      <c r="R67" s="823">
        <f>'[2]Forecast Development'!C28</f>
        <v>2656</v>
      </c>
      <c r="S67" s="823">
        <f>'[2]Forecast Development'!D28</f>
        <v>2636</v>
      </c>
      <c r="T67" s="825">
        <f>'[2]Forecast Development'!E28</f>
        <v>2662.36</v>
      </c>
      <c r="U67" s="825">
        <f>'[2]Forecast Development'!F28</f>
        <v>2688.9836</v>
      </c>
      <c r="V67" s="825">
        <f>'[2]Forecast Development'!G28</f>
        <v>2715.8734359999999</v>
      </c>
      <c r="W67" s="825">
        <f>'[2]Forecast Development'!H28</f>
        <v>2743.0321703599998</v>
      </c>
      <c r="X67" s="825">
        <f>'[2]Forecast Development'!I28</f>
        <v>2770.4624920635997</v>
      </c>
      <c r="Y67" s="826">
        <f>'[2]Forecast Development'!J28</f>
        <v>-3.7721748926743404E-3</v>
      </c>
    </row>
    <row r="68" spans="2:25">
      <c r="B68" s="821"/>
      <c r="C68" s="821"/>
      <c r="D68" s="821"/>
      <c r="E68" s="821"/>
      <c r="F68" s="821"/>
      <c r="G68" s="821"/>
      <c r="H68" s="821"/>
      <c r="I68" s="821"/>
      <c r="J68" s="821"/>
      <c r="K68" s="821"/>
      <c r="L68" s="821"/>
      <c r="M68" s="821"/>
      <c r="N68" s="821"/>
      <c r="O68" s="821"/>
      <c r="P68" s="822" t="str">
        <f>'[2]Forecast Development'!A29</f>
        <v>PC</v>
      </c>
      <c r="Q68" s="823">
        <f>'[2]Forecast Development'!B29</f>
        <v>6315</v>
      </c>
      <c r="R68" s="823">
        <f>'[2]Forecast Development'!C29</f>
        <v>7156</v>
      </c>
      <c r="S68" s="823">
        <f>'[2]Forecast Development'!D29</f>
        <v>7780</v>
      </c>
      <c r="T68" s="825">
        <f>'[2]Forecast Development'!E29</f>
        <v>8458.4125209614303</v>
      </c>
      <c r="U68" s="825">
        <f>'[2]Forecast Development'!F29</f>
        <v>9195.98231038009</v>
      </c>
      <c r="V68" s="825">
        <f>'[2]Forecast Development'!G29</f>
        <v>9997.8678556116683</v>
      </c>
      <c r="W68" s="825">
        <f>'[2]Forecast Development'!H29</f>
        <v>11497.548033953417</v>
      </c>
      <c r="X68" s="825">
        <f>'[2]Forecast Development'!I29</f>
        <v>13222.180239046429</v>
      </c>
      <c r="Y68" s="826">
        <f>'[2]Forecast Development'!J29</f>
        <v>0.10994924737566358</v>
      </c>
    </row>
    <row r="69" spans="2:25">
      <c r="B69" s="821"/>
      <c r="C69" s="821"/>
      <c r="D69" s="821"/>
      <c r="E69" s="821"/>
      <c r="F69" s="821"/>
      <c r="G69" s="821"/>
      <c r="H69" s="821"/>
      <c r="I69" s="821"/>
      <c r="J69" s="821"/>
      <c r="K69" s="821"/>
      <c r="L69" s="821"/>
      <c r="M69" s="821"/>
      <c r="N69" s="821"/>
      <c r="O69" s="821"/>
      <c r="P69" s="822" t="str">
        <f>'[2]Forecast Development'!A30</f>
        <v>Software</v>
      </c>
      <c r="Q69" s="823">
        <f>'[2]Forecast Development'!B30</f>
        <v>20401</v>
      </c>
      <c r="R69" s="823">
        <f>'[2]Forecast Development'!C30</f>
        <v>22418</v>
      </c>
      <c r="S69" s="823">
        <f>'[2]Forecast Development'!D30</f>
        <v>21408</v>
      </c>
      <c r="T69" s="825">
        <f>'[2]Forecast Development'!E30</f>
        <v>22050.240000000002</v>
      </c>
      <c r="U69" s="825">
        <f>'[2]Forecast Development'!F30</f>
        <v>22711.747200000002</v>
      </c>
      <c r="V69" s="825">
        <f>'[2]Forecast Development'!G30</f>
        <v>23393.099616000003</v>
      </c>
      <c r="W69" s="825">
        <f>'[2]Forecast Development'!H30</f>
        <v>24094.892604480003</v>
      </c>
      <c r="X69" s="825">
        <f>'[2]Forecast Development'!I30</f>
        <v>24817.739382614403</v>
      </c>
      <c r="Y69" s="826">
        <f>'[2]Forecast Development'!J30</f>
        <v>2.4382899834940241E-2</v>
      </c>
    </row>
    <row r="70" spans="2:25">
      <c r="B70" s="821"/>
      <c r="C70" s="821"/>
      <c r="D70" s="821"/>
      <c r="E70" s="821"/>
      <c r="F70" s="821"/>
      <c r="G70" s="821"/>
      <c r="H70" s="821"/>
      <c r="I70" s="821"/>
      <c r="J70" s="821"/>
      <c r="K70" s="821"/>
      <c r="L70" s="821"/>
      <c r="M70" s="821"/>
      <c r="N70" s="821"/>
      <c r="O70" s="821"/>
      <c r="P70" s="822" t="str">
        <f>'[2]Forecast Development'!A31</f>
        <v>trading</v>
      </c>
      <c r="Q70" s="823">
        <f>'[2]Forecast Development'!B31</f>
        <v>9602</v>
      </c>
      <c r="R70" s="823">
        <f>'[2]Forecast Development'!C31</f>
        <v>13560</v>
      </c>
      <c r="S70" s="823">
        <f>'[2]Forecast Development'!D31</f>
        <v>13441</v>
      </c>
      <c r="T70" s="825">
        <f>'[2]Forecast Development'!E31</f>
        <v>14516.28</v>
      </c>
      <c r="U70" s="825">
        <f>'[2]Forecast Development'!F31</f>
        <v>15677.582400000001</v>
      </c>
      <c r="V70" s="825">
        <f>'[2]Forecast Development'!G31</f>
        <v>16931.788992000002</v>
      </c>
      <c r="W70" s="825">
        <f>'[2]Forecast Development'!H31</f>
        <v>18286.332111360003</v>
      </c>
      <c r="X70" s="825">
        <f>'[2]Forecast Development'!I31</f>
        <v>19749.238680268805</v>
      </c>
      <c r="Y70" s="826">
        <f>'[2]Forecast Development'!J31</f>
        <v>0.18313673726005297</v>
      </c>
    </row>
    <row r="71" spans="2:25">
      <c r="B71" s="821"/>
      <c r="C71" s="821"/>
      <c r="D71" s="821"/>
      <c r="E71" s="821"/>
      <c r="F71" s="821"/>
      <c r="G71" s="821"/>
      <c r="H71" s="821"/>
      <c r="I71" s="821"/>
      <c r="J71" s="821"/>
      <c r="K71" s="821"/>
      <c r="L71" s="821"/>
      <c r="M71" s="821"/>
      <c r="N71" s="821"/>
      <c r="O71" s="821"/>
    </row>
    <row r="72" spans="2:25">
      <c r="B72" s="821"/>
      <c r="C72" s="821"/>
      <c r="D72" s="821"/>
      <c r="E72" s="821"/>
      <c r="F72" s="821"/>
      <c r="G72" s="821"/>
      <c r="H72" s="821"/>
      <c r="I72" s="821"/>
      <c r="J72" s="821"/>
      <c r="K72" s="821"/>
      <c r="L72" s="821"/>
      <c r="M72" s="821"/>
      <c r="N72" s="821"/>
      <c r="O72" s="821"/>
    </row>
    <row r="73" spans="2:25">
      <c r="B73" s="821"/>
      <c r="C73" s="821"/>
      <c r="D73" s="821"/>
      <c r="E73" s="821"/>
      <c r="F73" s="821"/>
      <c r="G73" s="821"/>
      <c r="H73" s="821"/>
      <c r="I73" s="821"/>
      <c r="J73" s="821"/>
      <c r="K73" s="821"/>
      <c r="L73" s="821"/>
      <c r="M73" s="821"/>
      <c r="N73" s="821"/>
      <c r="O73" s="821"/>
    </row>
    <row r="74" spans="2:25">
      <c r="B74" s="821"/>
      <c r="C74" s="821"/>
      <c r="D74" s="821"/>
      <c r="E74" s="821"/>
      <c r="F74" s="821"/>
      <c r="G74" s="821"/>
      <c r="H74" s="821"/>
      <c r="I74" s="821"/>
      <c r="J74" s="821"/>
      <c r="K74" s="821"/>
      <c r="L74" s="821"/>
      <c r="M74" s="821"/>
      <c r="N74" s="821"/>
      <c r="O74" s="821"/>
      <c r="P74" s="604" t="s">
        <v>1146</v>
      </c>
      <c r="Q74" s="604" t="s">
        <v>1147</v>
      </c>
    </row>
    <row r="75" spans="2:25">
      <c r="B75" s="821"/>
      <c r="C75" s="821"/>
      <c r="D75" s="821"/>
      <c r="E75" s="821"/>
      <c r="F75" s="821"/>
      <c r="G75" s="821"/>
      <c r="H75" s="821"/>
      <c r="I75" s="821"/>
      <c r="J75" s="821"/>
      <c r="K75" s="821"/>
      <c r="L75" s="821"/>
      <c r="M75" s="821"/>
      <c r="N75" s="821"/>
      <c r="O75" s="821"/>
    </row>
    <row r="76" spans="2:25">
      <c r="B76" s="821"/>
      <c r="C76" s="821"/>
      <c r="D76" s="821"/>
      <c r="E76" s="821"/>
      <c r="F76" s="821"/>
      <c r="G76" s="821"/>
      <c r="H76" s="821"/>
      <c r="I76" s="821"/>
      <c r="J76" s="821"/>
      <c r="K76" s="821"/>
      <c r="L76" s="821"/>
      <c r="M76" s="821"/>
      <c r="N76" s="821"/>
      <c r="O76" s="821"/>
    </row>
    <row r="77" spans="2:25">
      <c r="B77" s="821"/>
      <c r="C77" s="821"/>
      <c r="D77" s="821"/>
      <c r="E77" s="821"/>
      <c r="F77" s="821"/>
      <c r="G77" s="821"/>
      <c r="H77" s="821"/>
      <c r="I77" s="821"/>
      <c r="J77" s="821"/>
      <c r="K77" s="821"/>
      <c r="L77" s="821"/>
      <c r="M77" s="821"/>
      <c r="N77" s="821"/>
      <c r="O77" s="821"/>
    </row>
    <row r="78" spans="2:25">
      <c r="B78" s="821"/>
      <c r="C78" s="821"/>
      <c r="D78" s="821"/>
      <c r="E78" s="821"/>
      <c r="F78" s="821"/>
      <c r="G78" s="821"/>
      <c r="H78" s="821"/>
      <c r="I78" s="821"/>
      <c r="J78" s="821"/>
      <c r="K78" s="821"/>
      <c r="L78" s="821"/>
      <c r="M78" s="821"/>
      <c r="N78" s="821"/>
      <c r="O78" s="821"/>
    </row>
    <row r="79" spans="2:25">
      <c r="B79" s="821"/>
      <c r="C79" s="821"/>
      <c r="D79" s="821"/>
      <c r="E79" s="821"/>
      <c r="F79" s="821"/>
      <c r="G79" s="821"/>
      <c r="H79" s="821"/>
      <c r="I79" s="821"/>
      <c r="J79" s="821"/>
      <c r="K79" s="821"/>
      <c r="L79" s="821"/>
      <c r="M79" s="821"/>
      <c r="N79" s="821"/>
      <c r="O79" s="821"/>
    </row>
    <row r="80" spans="2:25">
      <c r="B80" s="821"/>
      <c r="C80" s="821"/>
      <c r="D80" s="821"/>
      <c r="E80" s="821"/>
      <c r="F80" s="821"/>
      <c r="G80" s="821"/>
      <c r="H80" s="821"/>
      <c r="I80" s="821"/>
      <c r="J80" s="821"/>
      <c r="K80" s="821"/>
      <c r="L80" s="821"/>
      <c r="M80" s="821"/>
      <c r="N80" s="821"/>
      <c r="O80" s="821"/>
    </row>
    <row r="81" spans="2:25">
      <c r="B81" s="821"/>
      <c r="C81" s="821"/>
      <c r="D81" s="821"/>
      <c r="E81" s="821"/>
      <c r="F81" s="821"/>
      <c r="G81" s="821"/>
      <c r="H81" s="821"/>
      <c r="I81" s="821"/>
      <c r="J81" s="821"/>
      <c r="K81" s="821"/>
      <c r="L81" s="821"/>
      <c r="M81" s="821"/>
      <c r="N81" s="821"/>
      <c r="O81" s="821"/>
    </row>
    <row r="82" spans="2:25">
      <c r="B82" s="821"/>
      <c r="C82" s="821"/>
      <c r="D82" s="821"/>
      <c r="E82" s="821"/>
      <c r="F82" s="821"/>
      <c r="G82" s="821"/>
      <c r="H82" s="821"/>
      <c r="I82" s="821"/>
      <c r="J82" s="821"/>
      <c r="K82" s="821"/>
      <c r="L82" s="821"/>
      <c r="M82" s="821"/>
      <c r="N82" s="821"/>
      <c r="O82" s="821"/>
    </row>
    <row r="83" spans="2:25">
      <c r="B83" s="821"/>
      <c r="C83" s="821"/>
      <c r="D83" s="821"/>
      <c r="E83" s="821"/>
      <c r="F83" s="821"/>
      <c r="G83" s="821"/>
      <c r="H83" s="821"/>
      <c r="I83" s="821"/>
      <c r="J83" s="821"/>
      <c r="K83" s="821"/>
      <c r="L83" s="821"/>
      <c r="M83" s="821"/>
      <c r="N83" s="821"/>
      <c r="O83" s="821"/>
    </row>
    <row r="84" spans="2:25">
      <c r="B84" s="821"/>
      <c r="C84" s="821"/>
      <c r="D84" s="821"/>
      <c r="E84" s="821"/>
      <c r="F84" s="821"/>
      <c r="G84" s="821"/>
      <c r="H84" s="821"/>
      <c r="I84" s="821"/>
      <c r="J84" s="821"/>
      <c r="K84" s="821"/>
      <c r="L84" s="821"/>
      <c r="M84" s="821"/>
      <c r="N84" s="821"/>
      <c r="O84" s="821"/>
    </row>
    <row r="85" spans="2:25">
      <c r="B85" s="821"/>
      <c r="C85" s="821"/>
      <c r="D85" s="821"/>
      <c r="E85" s="821"/>
      <c r="F85" s="821"/>
      <c r="G85" s="821"/>
      <c r="H85" s="821"/>
      <c r="I85" s="821"/>
      <c r="J85" s="821"/>
      <c r="K85" s="821"/>
      <c r="L85" s="821"/>
      <c r="M85" s="821"/>
      <c r="N85" s="821"/>
      <c r="O85" s="821"/>
    </row>
    <row r="86" spans="2:25">
      <c r="B86" s="821"/>
      <c r="C86" s="821"/>
      <c r="D86" s="821"/>
      <c r="E86" s="821"/>
      <c r="F86" s="821"/>
      <c r="G86" s="821"/>
      <c r="H86" s="821"/>
      <c r="I86" s="821"/>
      <c r="J86" s="821"/>
      <c r="K86" s="821"/>
      <c r="L86" s="821"/>
      <c r="M86" s="821"/>
      <c r="N86" s="821"/>
      <c r="O86" s="821"/>
      <c r="P86" s="827" t="s">
        <v>1148</v>
      </c>
      <c r="Q86" s="827"/>
      <c r="R86" s="827"/>
    </row>
    <row r="87" spans="2:25">
      <c r="B87" s="821"/>
      <c r="C87" s="821"/>
      <c r="D87" s="821"/>
      <c r="E87" s="821"/>
      <c r="F87" s="821"/>
      <c r="G87" s="821"/>
      <c r="H87" s="821"/>
      <c r="I87" s="821"/>
      <c r="J87" s="821"/>
      <c r="K87" s="821"/>
      <c r="L87" s="821"/>
      <c r="M87" s="821"/>
      <c r="N87" s="821"/>
      <c r="O87" s="821"/>
      <c r="P87" s="607"/>
      <c r="Q87" s="607"/>
      <c r="R87" s="607"/>
      <c r="S87" s="607"/>
      <c r="T87" s="607"/>
      <c r="U87" s="607"/>
      <c r="V87" s="607"/>
      <c r="W87" s="607"/>
      <c r="X87" s="607"/>
      <c r="Y87" s="607"/>
    </row>
    <row r="88" spans="2:25">
      <c r="B88" s="821"/>
      <c r="C88" s="821"/>
      <c r="D88" s="821"/>
      <c r="E88" s="821"/>
      <c r="F88" s="821"/>
      <c r="G88" s="821"/>
      <c r="H88" s="821"/>
      <c r="I88" s="821"/>
      <c r="J88" s="821"/>
      <c r="K88" s="821"/>
      <c r="L88" s="821"/>
      <c r="M88" s="821"/>
      <c r="N88" s="821"/>
      <c r="O88" s="821"/>
    </row>
    <row r="89" spans="2:25">
      <c r="B89" s="821"/>
      <c r="C89" s="821"/>
      <c r="D89" s="821"/>
      <c r="E89" s="821"/>
      <c r="F89" s="821"/>
      <c r="G89" s="821"/>
      <c r="H89" s="821"/>
      <c r="I89" s="821"/>
      <c r="J89" s="821"/>
      <c r="K89" s="821"/>
      <c r="L89" s="821"/>
      <c r="M89" s="821"/>
      <c r="N89" s="821"/>
      <c r="O89" s="821"/>
    </row>
    <row r="90" spans="2:25">
      <c r="B90" s="821"/>
      <c r="C90" s="821"/>
      <c r="D90" s="821"/>
      <c r="E90" s="821"/>
      <c r="F90" s="821"/>
      <c r="G90" s="821"/>
      <c r="H90" s="821"/>
      <c r="I90" s="821"/>
      <c r="J90" s="821"/>
      <c r="K90" s="821"/>
      <c r="L90" s="821"/>
      <c r="M90" s="821"/>
      <c r="N90" s="821"/>
      <c r="O90" s="821"/>
    </row>
    <row r="91" spans="2:25">
      <c r="B91" s="821"/>
      <c r="C91" s="821"/>
      <c r="D91" s="821"/>
      <c r="E91" s="821"/>
      <c r="F91" s="821"/>
      <c r="G91" s="821"/>
      <c r="H91" s="821"/>
      <c r="I91" s="821"/>
      <c r="J91" s="821"/>
      <c r="K91" s="821"/>
      <c r="L91" s="821"/>
      <c r="M91" s="821"/>
      <c r="N91" s="821"/>
      <c r="O91" s="821"/>
    </row>
    <row r="92" spans="2:25" ht="13.5" thickBot="1">
      <c r="B92" s="821"/>
      <c r="C92" s="821"/>
      <c r="D92" s="821"/>
      <c r="E92" s="821"/>
      <c r="F92" s="821"/>
      <c r="G92" s="821"/>
      <c r="H92" s="821"/>
      <c r="I92" s="821"/>
      <c r="J92" s="821"/>
      <c r="K92" s="821"/>
      <c r="L92" s="821"/>
      <c r="M92" s="821"/>
      <c r="N92" s="821"/>
      <c r="O92" s="821"/>
    </row>
    <row r="93" spans="2:25" ht="13.5" thickBot="1">
      <c r="B93" s="821"/>
      <c r="C93" s="821"/>
      <c r="D93" s="821"/>
      <c r="E93" s="821"/>
      <c r="F93" s="821"/>
      <c r="G93" s="821"/>
      <c r="H93" s="821"/>
      <c r="I93" s="821"/>
      <c r="J93" s="821"/>
      <c r="K93" s="821"/>
      <c r="L93" s="821"/>
      <c r="M93" s="821"/>
      <c r="N93" s="821"/>
      <c r="O93" s="821"/>
      <c r="P93" s="1342" t="s">
        <v>1149</v>
      </c>
      <c r="Q93" s="1343"/>
      <c r="R93" s="1344"/>
    </row>
    <row r="94" spans="2:25">
      <c r="B94" s="821"/>
      <c r="C94" s="821"/>
      <c r="D94" s="821"/>
      <c r="E94" s="821"/>
      <c r="F94" s="821"/>
      <c r="G94" s="821"/>
      <c r="H94" s="821"/>
      <c r="I94" s="821"/>
      <c r="J94" s="821"/>
      <c r="K94" s="821"/>
      <c r="L94" s="821"/>
      <c r="M94" s="821"/>
      <c r="N94" s="821"/>
      <c r="O94" s="821"/>
      <c r="P94" s="828" t="s">
        <v>40</v>
      </c>
      <c r="Q94" s="829" t="s">
        <v>40</v>
      </c>
      <c r="R94" s="829" t="s">
        <v>40</v>
      </c>
      <c r="S94" s="829" t="s">
        <v>40</v>
      </c>
      <c r="T94" s="829" t="s">
        <v>40</v>
      </c>
      <c r="U94" s="829"/>
      <c r="V94" s="829"/>
      <c r="W94" s="829">
        <v>2010</v>
      </c>
      <c r="X94" s="829">
        <v>2015</v>
      </c>
      <c r="Y94" s="830" t="s">
        <v>1150</v>
      </c>
    </row>
    <row r="95" spans="2:25">
      <c r="B95" s="821"/>
      <c r="C95" s="821"/>
      <c r="D95" s="821"/>
      <c r="E95" s="821"/>
      <c r="F95" s="821"/>
      <c r="G95" s="821"/>
      <c r="H95" s="821"/>
      <c r="I95" s="821"/>
      <c r="J95" s="821"/>
      <c r="K95" s="821"/>
      <c r="L95" s="821"/>
      <c r="M95" s="821"/>
      <c r="N95" s="821"/>
      <c r="O95" s="821"/>
      <c r="P95" s="831" t="s">
        <v>1151</v>
      </c>
      <c r="Q95" s="832"/>
      <c r="R95" s="832"/>
      <c r="S95" s="832"/>
      <c r="T95" s="832"/>
      <c r="U95" s="832"/>
      <c r="V95" s="832"/>
      <c r="W95" s="833"/>
      <c r="X95" s="833"/>
      <c r="Y95" s="834"/>
    </row>
    <row r="96" spans="2:25">
      <c r="B96" s="821"/>
      <c r="C96" s="821"/>
      <c r="D96" s="821"/>
      <c r="E96" s="821"/>
      <c r="F96" s="821"/>
      <c r="G96" s="821"/>
      <c r="H96" s="821"/>
      <c r="I96" s="821"/>
      <c r="J96" s="821"/>
      <c r="K96" s="821"/>
      <c r="L96" s="821"/>
      <c r="M96" s="821"/>
      <c r="N96" s="821"/>
      <c r="O96" s="821"/>
      <c r="P96" s="831" t="s">
        <v>1152</v>
      </c>
      <c r="Q96" s="832"/>
      <c r="R96" s="832"/>
      <c r="S96" s="832"/>
      <c r="T96" s="832"/>
      <c r="U96" s="832"/>
      <c r="V96" s="832"/>
      <c r="W96" s="833"/>
      <c r="X96" s="833"/>
      <c r="Y96" s="834"/>
    </row>
    <row r="97" spans="2:25">
      <c r="B97" s="821"/>
      <c r="C97" s="821"/>
      <c r="D97" s="821"/>
      <c r="E97" s="821"/>
      <c r="F97" s="821"/>
      <c r="G97" s="821"/>
      <c r="H97" s="821"/>
      <c r="I97" s="821"/>
      <c r="J97" s="821"/>
      <c r="K97" s="821"/>
      <c r="L97" s="821"/>
      <c r="M97" s="821"/>
      <c r="N97" s="821"/>
      <c r="O97" s="821"/>
      <c r="P97" s="831" t="s">
        <v>1153</v>
      </c>
      <c r="Q97" s="832"/>
      <c r="R97" s="832"/>
      <c r="S97" s="832"/>
      <c r="T97" s="832"/>
      <c r="U97" s="832"/>
      <c r="V97" s="832"/>
      <c r="W97" s="833"/>
      <c r="X97" s="833"/>
      <c r="Y97" s="834"/>
    </row>
    <row r="98" spans="2:25">
      <c r="B98" s="821"/>
      <c r="C98" s="821"/>
      <c r="D98" s="821"/>
      <c r="E98" s="821"/>
      <c r="F98" s="821"/>
      <c r="G98" s="821"/>
      <c r="H98" s="821"/>
      <c r="I98" s="821"/>
      <c r="J98" s="821"/>
      <c r="K98" s="821"/>
      <c r="L98" s="821"/>
      <c r="M98" s="821"/>
      <c r="N98" s="821"/>
      <c r="O98" s="821"/>
      <c r="P98" s="831" t="s">
        <v>1154</v>
      </c>
      <c r="Q98" s="832"/>
      <c r="R98" s="832"/>
      <c r="S98" s="832"/>
      <c r="T98" s="832"/>
      <c r="U98" s="832"/>
      <c r="V98" s="832"/>
      <c r="W98" s="833"/>
      <c r="X98" s="833"/>
      <c r="Y98" s="834"/>
    </row>
    <row r="99" spans="2:25" ht="13.5" thickBot="1">
      <c r="B99" s="821"/>
      <c r="C99" s="821"/>
      <c r="D99" s="821"/>
      <c r="E99" s="821"/>
      <c r="F99" s="821"/>
      <c r="G99" s="821"/>
      <c r="H99" s="821"/>
      <c r="I99" s="821"/>
      <c r="J99" s="821"/>
      <c r="K99" s="821"/>
      <c r="L99" s="821"/>
      <c r="M99" s="821"/>
      <c r="N99" s="821"/>
      <c r="O99" s="821"/>
      <c r="P99" s="831" t="s">
        <v>1155</v>
      </c>
      <c r="Q99" s="832"/>
      <c r="R99" s="832"/>
      <c r="S99" s="832"/>
      <c r="T99" s="832"/>
      <c r="U99" s="832"/>
      <c r="V99" s="832"/>
      <c r="W99" s="833"/>
      <c r="X99" s="833"/>
      <c r="Y99" s="834"/>
    </row>
    <row r="100" spans="2:25" ht="13.5" thickBot="1">
      <c r="B100" s="821"/>
      <c r="C100" s="821"/>
      <c r="D100" s="821"/>
      <c r="E100" s="821"/>
      <c r="F100" s="821"/>
      <c r="G100" s="821"/>
      <c r="H100" s="821"/>
      <c r="I100" s="821"/>
      <c r="J100" s="821"/>
      <c r="K100" s="821"/>
      <c r="L100" s="821"/>
      <c r="M100" s="821"/>
      <c r="N100" s="821"/>
      <c r="O100" s="821"/>
      <c r="P100" s="835" t="s">
        <v>1156</v>
      </c>
      <c r="Q100" s="836"/>
      <c r="R100" s="836"/>
      <c r="S100" s="836"/>
      <c r="T100" s="836"/>
      <c r="U100" s="836"/>
      <c r="V100" s="836"/>
      <c r="W100" s="836" t="s">
        <v>1148</v>
      </c>
      <c r="X100" s="836" t="s">
        <v>1148</v>
      </c>
      <c r="Y100" s="837" t="s">
        <v>1148</v>
      </c>
    </row>
    <row r="101" spans="2:25">
      <c r="B101" s="821"/>
      <c r="C101" s="821"/>
      <c r="D101" s="821"/>
      <c r="E101" s="821"/>
      <c r="F101" s="821"/>
      <c r="G101" s="821"/>
      <c r="H101" s="821"/>
      <c r="I101" s="821"/>
      <c r="J101" s="821"/>
      <c r="K101" s="821"/>
      <c r="L101" s="821"/>
      <c r="M101" s="821"/>
      <c r="N101" s="821"/>
      <c r="O101" s="821"/>
      <c r="P101" s="831" t="s">
        <v>1157</v>
      </c>
      <c r="Q101" s="832"/>
      <c r="R101" s="832"/>
      <c r="S101" s="832"/>
      <c r="T101" s="832"/>
      <c r="U101" s="832"/>
      <c r="V101" s="832"/>
      <c r="W101" s="832"/>
      <c r="X101" s="832"/>
      <c r="Y101" s="838"/>
    </row>
    <row r="102" spans="2:25">
      <c r="B102" s="821"/>
      <c r="C102" s="821"/>
      <c r="D102" s="821"/>
      <c r="E102" s="821"/>
      <c r="F102" s="821"/>
      <c r="G102" s="821"/>
      <c r="H102" s="821"/>
      <c r="I102" s="821"/>
      <c r="J102" s="821"/>
      <c r="K102" s="821"/>
      <c r="L102" s="821"/>
      <c r="M102" s="821"/>
      <c r="N102" s="821"/>
      <c r="O102" s="821"/>
      <c r="P102" s="831" t="s">
        <v>1158</v>
      </c>
      <c r="Q102" s="832"/>
      <c r="R102" s="832"/>
      <c r="S102" s="832"/>
      <c r="T102" s="832"/>
      <c r="U102" s="832"/>
      <c r="V102" s="839"/>
      <c r="W102" s="839"/>
      <c r="X102" s="839"/>
      <c r="Y102" s="840"/>
    </row>
    <row r="103" spans="2:25" ht="13.5" thickBot="1">
      <c r="B103" s="821"/>
      <c r="C103" s="821"/>
      <c r="D103" s="821"/>
      <c r="E103" s="821"/>
      <c r="F103" s="821"/>
      <c r="G103" s="821"/>
      <c r="H103" s="821"/>
      <c r="I103" s="821"/>
      <c r="J103" s="821"/>
      <c r="K103" s="821"/>
      <c r="L103" s="821"/>
      <c r="M103" s="821"/>
      <c r="N103" s="821"/>
      <c r="O103" s="821"/>
      <c r="P103" s="841" t="s">
        <v>1159</v>
      </c>
      <c r="Q103" s="842"/>
      <c r="R103" s="842"/>
      <c r="S103" s="842"/>
      <c r="T103" s="842"/>
      <c r="U103" s="842"/>
      <c r="V103" s="843"/>
      <c r="W103" s="843"/>
      <c r="X103" s="843"/>
      <c r="Y103" s="844"/>
    </row>
    <row r="104" spans="2:25">
      <c r="B104" s="821"/>
      <c r="C104" s="821"/>
      <c r="D104" s="821"/>
      <c r="E104" s="821"/>
      <c r="F104" s="821"/>
      <c r="G104" s="821"/>
      <c r="H104" s="821"/>
      <c r="I104" s="821"/>
      <c r="J104" s="821"/>
      <c r="K104" s="821"/>
      <c r="L104" s="821"/>
      <c r="M104" s="821"/>
      <c r="N104" s="821"/>
      <c r="O104" s="821"/>
      <c r="P104" s="606"/>
      <c r="Q104" s="606"/>
      <c r="R104" s="606"/>
      <c r="S104" s="606"/>
      <c r="T104" s="606"/>
      <c r="U104" s="606"/>
      <c r="V104" s="606"/>
    </row>
    <row r="105" spans="2:25">
      <c r="B105" s="821"/>
      <c r="C105" s="821"/>
      <c r="D105" s="821"/>
      <c r="E105" s="821"/>
      <c r="F105" s="821"/>
      <c r="G105" s="821"/>
      <c r="H105" s="821"/>
      <c r="I105" s="821"/>
      <c r="J105" s="821"/>
      <c r="K105" s="821"/>
      <c r="L105" s="821"/>
      <c r="M105" s="821"/>
      <c r="N105" s="821"/>
      <c r="O105" s="821"/>
    </row>
    <row r="106" spans="2:25">
      <c r="B106" s="821"/>
      <c r="C106" s="821"/>
      <c r="D106" s="821"/>
      <c r="E106" s="821"/>
      <c r="F106" s="821"/>
      <c r="G106" s="821"/>
      <c r="H106" s="821"/>
      <c r="I106" s="821"/>
      <c r="J106" s="821"/>
      <c r="K106" s="821"/>
      <c r="L106" s="821"/>
      <c r="M106" s="821"/>
      <c r="N106" s="821"/>
      <c r="O106" s="821"/>
    </row>
    <row r="107" spans="2:25">
      <c r="B107" s="821"/>
      <c r="C107" s="821"/>
      <c r="D107" s="821"/>
      <c r="E107" s="821"/>
      <c r="F107" s="821"/>
      <c r="G107" s="821"/>
      <c r="H107" s="821"/>
      <c r="I107" s="821"/>
      <c r="J107" s="821"/>
      <c r="K107" s="821"/>
      <c r="L107" s="821"/>
      <c r="M107" s="821"/>
      <c r="N107" s="821"/>
      <c r="O107" s="821"/>
    </row>
    <row r="108" spans="2:25">
      <c r="B108" s="821"/>
      <c r="C108" s="821"/>
      <c r="D108" s="821"/>
      <c r="E108" s="821"/>
      <c r="F108" s="821"/>
      <c r="G108" s="821"/>
      <c r="H108" s="821"/>
      <c r="I108" s="821"/>
      <c r="J108" s="821"/>
      <c r="K108" s="821"/>
      <c r="L108" s="821"/>
      <c r="M108" s="821"/>
      <c r="N108" s="821"/>
      <c r="O108" s="821"/>
    </row>
    <row r="109" spans="2:25">
      <c r="B109" s="821"/>
      <c r="C109" s="821"/>
      <c r="D109" s="821"/>
      <c r="E109" s="821"/>
      <c r="F109" s="821"/>
      <c r="G109" s="821"/>
      <c r="H109" s="821"/>
      <c r="I109" s="821"/>
      <c r="J109" s="821"/>
      <c r="K109" s="821"/>
      <c r="L109" s="821"/>
      <c r="M109" s="821"/>
      <c r="N109" s="821"/>
      <c r="O109" s="821"/>
    </row>
    <row r="110" spans="2:25">
      <c r="B110" s="821"/>
      <c r="C110" s="821"/>
      <c r="D110" s="821"/>
      <c r="E110" s="821"/>
      <c r="F110" s="821"/>
      <c r="G110" s="821"/>
      <c r="H110" s="821"/>
      <c r="I110" s="821"/>
      <c r="J110" s="821"/>
      <c r="K110" s="821"/>
      <c r="L110" s="821"/>
      <c r="M110" s="821"/>
      <c r="N110" s="821"/>
      <c r="O110" s="821"/>
    </row>
    <row r="111" spans="2:25">
      <c r="B111" s="821"/>
      <c r="C111" s="821"/>
      <c r="D111" s="821"/>
      <c r="E111" s="821"/>
      <c r="F111" s="821"/>
      <c r="G111" s="821"/>
      <c r="H111" s="821"/>
      <c r="I111" s="821"/>
      <c r="J111" s="821"/>
      <c r="K111" s="821"/>
      <c r="L111" s="821"/>
      <c r="M111" s="821"/>
      <c r="N111" s="821"/>
      <c r="O111" s="821"/>
    </row>
    <row r="112" spans="2:25">
      <c r="B112" s="821"/>
      <c r="C112" s="821"/>
      <c r="D112" s="821"/>
      <c r="E112" s="821"/>
      <c r="F112" s="821"/>
      <c r="G112" s="821"/>
      <c r="H112" s="821"/>
      <c r="I112" s="821"/>
      <c r="J112" s="821"/>
      <c r="K112" s="821"/>
      <c r="L112" s="821"/>
      <c r="M112" s="821"/>
      <c r="N112" s="821"/>
      <c r="O112" s="821"/>
    </row>
    <row r="113" spans="1:19">
      <c r="B113" s="821"/>
      <c r="C113" s="821"/>
      <c r="D113" s="821"/>
      <c r="E113" s="821"/>
      <c r="F113" s="821"/>
      <c r="G113" s="821"/>
      <c r="H113" s="821"/>
      <c r="I113" s="821"/>
      <c r="J113" s="821"/>
      <c r="K113" s="821"/>
      <c r="L113" s="821"/>
      <c r="M113" s="821"/>
      <c r="N113" s="821"/>
      <c r="O113" s="821"/>
    </row>
    <row r="114" spans="1:19">
      <c r="B114" s="821"/>
      <c r="C114" s="821"/>
      <c r="D114" s="821"/>
      <c r="E114" s="821"/>
      <c r="F114" s="821"/>
      <c r="G114" s="821"/>
      <c r="H114" s="821"/>
      <c r="I114" s="821"/>
      <c r="J114" s="821"/>
      <c r="K114" s="821"/>
      <c r="L114" s="821"/>
      <c r="M114" s="821"/>
      <c r="N114" s="821"/>
      <c r="O114" s="821"/>
    </row>
    <row r="115" spans="1:19">
      <c r="B115" s="821"/>
      <c r="C115" s="821"/>
      <c r="D115" s="821"/>
      <c r="E115" s="821"/>
      <c r="F115" s="821"/>
      <c r="G115" s="821"/>
      <c r="H115" s="821"/>
      <c r="I115" s="821"/>
      <c r="J115" s="821"/>
      <c r="K115" s="821"/>
      <c r="L115" s="821"/>
      <c r="M115" s="821"/>
      <c r="N115" s="821"/>
      <c r="O115" s="821"/>
    </row>
    <row r="116" spans="1:19">
      <c r="B116" s="821"/>
      <c r="C116" s="821"/>
      <c r="D116" s="821"/>
      <c r="E116" s="821"/>
      <c r="F116" s="821"/>
      <c r="G116" s="821"/>
      <c r="H116" s="821"/>
      <c r="I116" s="821"/>
      <c r="J116" s="821"/>
      <c r="K116" s="821"/>
      <c r="L116" s="821"/>
      <c r="M116" s="821"/>
      <c r="N116" s="821"/>
      <c r="O116" s="821"/>
    </row>
    <row r="117" spans="1:19">
      <c r="B117" s="821"/>
      <c r="C117" s="821"/>
      <c r="D117" s="821"/>
      <c r="E117" s="821"/>
      <c r="F117" s="821"/>
      <c r="G117" s="821"/>
      <c r="H117" s="821"/>
      <c r="I117" s="821"/>
      <c r="J117" s="821"/>
      <c r="K117" s="821"/>
      <c r="L117" s="821"/>
      <c r="M117" s="821"/>
      <c r="N117" s="821"/>
      <c r="O117" s="821"/>
    </row>
    <row r="118" spans="1:19">
      <c r="B118" s="821"/>
      <c r="C118" s="821"/>
      <c r="D118" s="821"/>
      <c r="E118" s="821"/>
      <c r="F118" s="821"/>
      <c r="G118" s="821"/>
      <c r="H118" s="821"/>
      <c r="I118" s="821"/>
      <c r="J118" s="821"/>
      <c r="K118" s="821"/>
      <c r="L118" s="821"/>
      <c r="M118" s="821"/>
      <c r="N118" s="821"/>
      <c r="O118" s="821"/>
    </row>
    <row r="119" spans="1:19">
      <c r="B119" s="821"/>
      <c r="C119" s="821"/>
      <c r="D119" s="821"/>
      <c r="E119" s="821"/>
      <c r="F119" s="821"/>
      <c r="G119" s="821"/>
      <c r="H119" s="821"/>
      <c r="I119" s="821"/>
      <c r="J119" s="821"/>
      <c r="K119" s="821"/>
      <c r="L119" s="821"/>
      <c r="M119" s="821"/>
      <c r="N119" s="821"/>
      <c r="O119" s="821"/>
    </row>
    <row r="120" spans="1:19">
      <c r="A120" s="604" t="s">
        <v>477</v>
      </c>
      <c r="G120" s="821"/>
      <c r="H120" s="821"/>
      <c r="I120" s="821"/>
      <c r="J120" s="821"/>
      <c r="K120" s="821"/>
      <c r="L120" s="821"/>
      <c r="M120" s="821"/>
      <c r="N120" s="821"/>
      <c r="O120" s="821"/>
    </row>
    <row r="121" spans="1:19">
      <c r="G121" s="821"/>
      <c r="H121" s="821"/>
      <c r="I121" s="821"/>
      <c r="J121" s="821"/>
      <c r="K121" s="821"/>
      <c r="L121" s="821"/>
      <c r="M121" s="821"/>
      <c r="N121" s="821"/>
      <c r="O121" s="821"/>
    </row>
    <row r="123" spans="1:19">
      <c r="P123" s="604" t="s">
        <v>1160</v>
      </c>
    </row>
    <row r="125" spans="1:19">
      <c r="P125" s="845" t="s">
        <v>1161</v>
      </c>
      <c r="Q125" s="846"/>
      <c r="R125" s="846"/>
      <c r="S125" s="846"/>
    </row>
    <row r="126" spans="1:19">
      <c r="P126" s="847" t="s">
        <v>1162</v>
      </c>
      <c r="Q126" s="847"/>
      <c r="R126" s="848"/>
      <c r="S126" s="848"/>
    </row>
    <row r="127" spans="1:19">
      <c r="P127" s="849" t="s">
        <v>1163</v>
      </c>
      <c r="Q127" s="849" t="s">
        <v>1164</v>
      </c>
      <c r="R127" s="849" t="s">
        <v>1165</v>
      </c>
      <c r="S127" s="849" t="s">
        <v>1166</v>
      </c>
    </row>
    <row r="128" spans="1:19">
      <c r="P128" s="850">
        <v>-100000</v>
      </c>
      <c r="Q128" s="850">
        <v>0.19999900000000001</v>
      </c>
      <c r="R128" s="850" t="s">
        <v>1167</v>
      </c>
      <c r="S128" s="851">
        <v>0.15</v>
      </c>
    </row>
    <row r="129" spans="16:19">
      <c r="P129" s="850">
        <v>0.2</v>
      </c>
      <c r="Q129" s="850">
        <v>0.64999899999999999</v>
      </c>
      <c r="R129" s="850" t="s">
        <v>1168</v>
      </c>
      <c r="S129" s="851">
        <v>0.12</v>
      </c>
    </row>
    <row r="130" spans="16:19">
      <c r="P130" s="850">
        <v>0.65</v>
      </c>
      <c r="Q130" s="850">
        <v>0.79999900000000002</v>
      </c>
      <c r="R130" s="850" t="s">
        <v>1169</v>
      </c>
      <c r="S130" s="851">
        <v>0.1</v>
      </c>
    </row>
    <row r="131" spans="16:19">
      <c r="P131" s="850">
        <v>0.8</v>
      </c>
      <c r="Q131" s="850">
        <v>1.2499990000000001</v>
      </c>
      <c r="R131" s="850" t="s">
        <v>1170</v>
      </c>
      <c r="S131" s="851">
        <v>8.5000000000000006E-2</v>
      </c>
    </row>
    <row r="132" spans="16:19">
      <c r="P132" s="850">
        <v>1.25</v>
      </c>
      <c r="Q132" s="850">
        <v>1.4999990000000001</v>
      </c>
      <c r="R132" s="850" t="s">
        <v>1171</v>
      </c>
      <c r="S132" s="851">
        <v>5.5E-2</v>
      </c>
    </row>
    <row r="133" spans="16:19">
      <c r="P133" s="850">
        <v>1.5</v>
      </c>
      <c r="Q133" s="850">
        <v>1.7499990000000001</v>
      </c>
      <c r="R133" s="850" t="s">
        <v>1172</v>
      </c>
      <c r="S133" s="851">
        <v>5.2499999999999998E-2</v>
      </c>
    </row>
    <row r="134" spans="16:19">
      <c r="P134" s="850">
        <v>1.75</v>
      </c>
      <c r="Q134" s="850">
        <v>1.9999990000000001</v>
      </c>
      <c r="R134" s="850" t="s">
        <v>1173</v>
      </c>
      <c r="S134" s="851">
        <v>4.2500000000000003E-2</v>
      </c>
    </row>
    <row r="135" spans="16:19">
      <c r="P135" s="850">
        <v>2</v>
      </c>
      <c r="Q135" s="850">
        <v>2.2499999000000002</v>
      </c>
      <c r="R135" s="850" t="s">
        <v>1174</v>
      </c>
      <c r="S135" s="851">
        <v>0.04</v>
      </c>
    </row>
    <row r="136" spans="16:19">
      <c r="P136" s="850">
        <v>2.25</v>
      </c>
      <c r="Q136" s="850">
        <v>2.4999899999999999</v>
      </c>
      <c r="R136" s="850" t="s">
        <v>1175</v>
      </c>
      <c r="S136" s="851">
        <v>3.5000000000000003E-2</v>
      </c>
    </row>
    <row r="137" spans="16:19">
      <c r="P137" s="850">
        <v>2.5</v>
      </c>
      <c r="Q137" s="850">
        <v>2.9999989999999999</v>
      </c>
      <c r="R137" s="850" t="s">
        <v>1176</v>
      </c>
      <c r="S137" s="851">
        <v>0.02</v>
      </c>
    </row>
    <row r="138" spans="16:19">
      <c r="P138" s="850">
        <v>3</v>
      </c>
      <c r="Q138" s="850">
        <v>4.2499989999999999</v>
      </c>
      <c r="R138" s="850" t="s">
        <v>1177</v>
      </c>
      <c r="S138" s="851">
        <v>1.4999999999999999E-2</v>
      </c>
    </row>
    <row r="139" spans="16:19">
      <c r="P139" s="850">
        <v>4.25</v>
      </c>
      <c r="Q139" s="850">
        <v>5.4999989999999999</v>
      </c>
      <c r="R139" s="850" t="s">
        <v>838</v>
      </c>
      <c r="S139" s="851">
        <v>1.2500000000000001E-2</v>
      </c>
    </row>
    <row r="140" spans="16:19">
      <c r="P140" s="850">
        <v>5.5</v>
      </c>
      <c r="Q140" s="850">
        <v>6.4999989999999999</v>
      </c>
      <c r="R140" s="850" t="s">
        <v>1178</v>
      </c>
      <c r="S140" s="851">
        <v>0.01</v>
      </c>
    </row>
    <row r="141" spans="16:19">
      <c r="P141" s="850">
        <v>6.5</v>
      </c>
      <c r="Q141" s="850">
        <v>8.4999990000000007</v>
      </c>
      <c r="R141" s="850" t="s">
        <v>1179</v>
      </c>
      <c r="S141" s="851">
        <v>7.4999999999999997E-3</v>
      </c>
    </row>
    <row r="142" spans="16:19">
      <c r="P142" s="852">
        <v>8.5</v>
      </c>
      <c r="Q142" s="850">
        <v>100000</v>
      </c>
      <c r="R142" s="850" t="s">
        <v>1180</v>
      </c>
      <c r="S142" s="851">
        <v>5.0000000000000001E-3</v>
      </c>
    </row>
    <row r="145" spans="16:21">
      <c r="P145" s="624" t="s">
        <v>1181</v>
      </c>
      <c r="Q145" s="624"/>
      <c r="R145" s="853"/>
      <c r="S145" s="853"/>
      <c r="U145" s="604" t="s">
        <v>1182</v>
      </c>
    </row>
    <row r="146" spans="16:21">
      <c r="P146" s="624" t="s">
        <v>1183</v>
      </c>
      <c r="Q146" s="624"/>
      <c r="R146" s="853"/>
      <c r="S146" s="853"/>
      <c r="U146" s="604" t="s">
        <v>1184</v>
      </c>
    </row>
    <row r="147" spans="16:21">
      <c r="P147" s="624" t="s">
        <v>1185</v>
      </c>
      <c r="Q147" s="624"/>
      <c r="R147" s="853"/>
      <c r="S147" s="853"/>
    </row>
    <row r="148" spans="16:21" ht="13.5" thickBot="1">
      <c r="P148" s="624" t="s">
        <v>1186</v>
      </c>
      <c r="Q148" s="624"/>
      <c r="R148" s="854"/>
      <c r="S148" s="854"/>
    </row>
    <row r="149" spans="16:21" ht="13.5" thickBot="1">
      <c r="P149" s="855" t="s">
        <v>1160</v>
      </c>
      <c r="Q149" s="856"/>
      <c r="R149" s="857"/>
      <c r="S149" s="858"/>
    </row>
    <row r="152" spans="16:21">
      <c r="P152" s="624" t="s">
        <v>1187</v>
      </c>
    </row>
    <row r="179" spans="2:2">
      <c r="B179" s="604" t="s">
        <v>480</v>
      </c>
    </row>
    <row r="240" spans="2:2">
      <c r="B240" s="604" t="s">
        <v>1188</v>
      </c>
    </row>
    <row r="242" spans="2:15">
      <c r="B242" s="604" t="str">
        <f>[2]Forecasts!A283</f>
        <v>Net Income</v>
      </c>
      <c r="C242" s="604" t="e">
        <f>[2]Forecasts!B283</f>
        <v>#REF!</v>
      </c>
    </row>
    <row r="243" spans="2:15">
      <c r="B243" s="604" t="str">
        <f>[2]Forecasts!A284</f>
        <v>Add back depreciation expense (net)</v>
      </c>
    </row>
    <row r="244" spans="2:15">
      <c r="B244" s="604" t="str">
        <f>[2]Forecasts!A285</f>
        <v>Add back amortization expense (net)</v>
      </c>
      <c r="I244" s="604">
        <f>[2]Forecasts!C283</f>
        <v>6462</v>
      </c>
      <c r="J244" s="604">
        <f>[2]Forecasts!D283</f>
        <v>6214</v>
      </c>
      <c r="K244" s="604">
        <f>[2]Forecasts!E283</f>
        <v>7207.3484175811373</v>
      </c>
      <c r="L244" s="604">
        <f>[2]Forecasts!F283</f>
        <v>7786.3967760169544</v>
      </c>
      <c r="M244" s="604">
        <f>[2]Forecasts!G283</f>
        <v>8351.045736656446</v>
      </c>
      <c r="N244" s="604">
        <f>[2]Forecasts!H283</f>
        <v>9031.1409259775392</v>
      </c>
      <c r="O244" s="604" t="e">
        <f>[2]Forecasts!N283</f>
        <v>#REF!</v>
      </c>
    </row>
    <row r="245" spans="2:15">
      <c r="B245" s="604" t="str">
        <f>[2]Forecasts!A286</f>
        <v>&lt;Increase&gt; Decrease in receivables - net</v>
      </c>
      <c r="I245" s="604">
        <f>[2]Forecasts!C284</f>
        <v>1459</v>
      </c>
      <c r="J245" s="604">
        <f>[2]Forecasts!D284</f>
        <v>1584</v>
      </c>
      <c r="K245" s="604">
        <f>[2]Forecasts!E284</f>
        <v>2580.5284003253764</v>
      </c>
      <c r="L245" s="604">
        <f>[2]Forecasts!F284</f>
        <v>2636.3809710807545</v>
      </c>
      <c r="M245" s="604">
        <f>[2]Forecasts!G284</f>
        <v>2692.2335418361326</v>
      </c>
      <c r="N245" s="604">
        <f>[2]Forecasts!H284</f>
        <v>2748.0861125915108</v>
      </c>
    </row>
    <row r="246" spans="2:15">
      <c r="B246" s="604" t="str">
        <f>[2]Forecasts!A287</f>
        <v>&lt;Increase&gt; Decrease in inventories</v>
      </c>
      <c r="I246" s="604">
        <f>[2]Forecasts!C285</f>
        <v>133</v>
      </c>
      <c r="J246" s="604">
        <f>[2]Forecasts!D285</f>
        <v>119</v>
      </c>
      <c r="K246" s="604">
        <f>[2]Forecasts!E285</f>
        <v>110</v>
      </c>
      <c r="L246" s="604">
        <f>[2]Forecasts!F285</f>
        <v>95</v>
      </c>
      <c r="M246" s="604">
        <f>[2]Forecasts!G285</f>
        <v>86</v>
      </c>
      <c r="N246" s="604">
        <f>[2]Forecasts!H285</f>
        <v>78</v>
      </c>
    </row>
    <row r="247" spans="2:15">
      <c r="B247" s="604" t="str">
        <f>[2]Forecasts!A288</f>
        <v>&lt;Increase&gt; Decrease in prepaid expenses</v>
      </c>
      <c r="I247" s="604">
        <f>[2]Forecasts!C286</f>
        <v>-589</v>
      </c>
      <c r="J247" s="604">
        <f>[2]Forecasts!D286</f>
        <v>-129</v>
      </c>
      <c r="K247" s="604">
        <f>[2]Forecasts!E286</f>
        <v>-303.46709999999985</v>
      </c>
      <c r="L247" s="604">
        <f>[2]Forecasts!F286</f>
        <v>-316.54653200999928</v>
      </c>
      <c r="M247" s="604">
        <f>[2]Forecasts!G286</f>
        <v>-330.18968753963054</v>
      </c>
      <c r="N247" s="604">
        <f>[2]Forecasts!H286</f>
        <v>-344.42086307258796</v>
      </c>
    </row>
    <row r="248" spans="2:15">
      <c r="B248" s="604" t="str">
        <f>[2]Forecasts!A289</f>
        <v>&lt;Increase&gt; Decrease in other current assets (1)</v>
      </c>
      <c r="I248" s="604">
        <f>[2]Forecasts!C287</f>
        <v>-455</v>
      </c>
      <c r="J248" s="604">
        <f>[2]Forecasts!D287</f>
        <v>246</v>
      </c>
      <c r="K248" s="604">
        <f>[2]Forecasts!E287</f>
        <v>-154.34109999999964</v>
      </c>
      <c r="L248" s="604">
        <f>[2]Forecasts!F287</f>
        <v>-160.99320140999953</v>
      </c>
      <c r="M248" s="604">
        <f>[2]Forecasts!G287</f>
        <v>-167.93200839077053</v>
      </c>
      <c r="N248" s="604">
        <f>[2]Forecasts!H287</f>
        <v>-175.16987795241312</v>
      </c>
    </row>
    <row r="249" spans="2:15">
      <c r="B249" s="604" t="str">
        <f>[2]Forecasts!A290</f>
        <v>&lt;Increase&gt; Decrease in other current assets (2)</v>
      </c>
      <c r="I249" s="604">
        <f>[2]Forecasts!C288</f>
        <v>-772</v>
      </c>
      <c r="J249" s="604">
        <f>[2]Forecasts!D288</f>
        <v>798</v>
      </c>
      <c r="K249" s="604">
        <f>[2]Forecasts!E288</f>
        <v>-63.744899999999916</v>
      </c>
      <c r="L249" s="604">
        <f>[2]Forecasts!F288</f>
        <v>-66.492305189999797</v>
      </c>
      <c r="M249" s="604">
        <f>[2]Forecasts!G288</f>
        <v>-69.358123543688862</v>
      </c>
      <c r="N249" s="604">
        <f>[2]Forecasts!H288</f>
        <v>-72.34745866842195</v>
      </c>
    </row>
    <row r="250" spans="2:15">
      <c r="B250" s="604" t="str">
        <f>[2]Forecasts!A291</f>
        <v>Increase &lt;Decrease&gt; in accounts payable - trade</v>
      </c>
      <c r="I250" s="604">
        <f>[2]Forecasts!C289</f>
        <v>0</v>
      </c>
      <c r="J250" s="604">
        <f>[2]Forecasts!D289</f>
        <v>0</v>
      </c>
      <c r="K250" s="604">
        <f>[2]Forecasts!E289</f>
        <v>0</v>
      </c>
      <c r="L250" s="604">
        <f>[2]Forecasts!F289</f>
        <v>0</v>
      </c>
      <c r="M250" s="604">
        <f>[2]Forecasts!G289</f>
        <v>0</v>
      </c>
      <c r="N250" s="604">
        <f>[2]Forecasts!H289</f>
        <v>0</v>
      </c>
    </row>
    <row r="251" spans="2:15">
      <c r="B251" s="604" t="str">
        <f>[2]Forecasts!A292</f>
        <v>Increase &lt;Decrease&gt; in current accrued liabilities</v>
      </c>
      <c r="I251" s="604">
        <f>[2]Forecasts!C290</f>
        <v>0</v>
      </c>
      <c r="J251" s="604">
        <f>[2]Forecasts!D290</f>
        <v>0</v>
      </c>
      <c r="K251" s="604">
        <f>[2]Forecasts!E290</f>
        <v>0</v>
      </c>
      <c r="L251" s="604">
        <f>[2]Forecasts!F290</f>
        <v>0</v>
      </c>
      <c r="M251" s="604">
        <f>[2]Forecasts!G290</f>
        <v>0</v>
      </c>
      <c r="N251" s="604">
        <f>[2]Forecasts!H290</f>
        <v>0</v>
      </c>
    </row>
    <row r="252" spans="2:15">
      <c r="B252" s="604" t="str">
        <f>[2]Forecasts!A293</f>
        <v>Increase &lt;Decrease&gt; in income taxes payable</v>
      </c>
      <c r="I252" s="604">
        <f>[2]Forecasts!C291</f>
        <v>218</v>
      </c>
      <c r="J252" s="604">
        <f>[2]Forecasts!D291</f>
        <v>368</v>
      </c>
      <c r="K252" s="604">
        <f>[2]Forecasts!E291</f>
        <v>191.83809999999994</v>
      </c>
      <c r="L252" s="604">
        <f>[2]Forecasts!F291</f>
        <v>200.10632210999938</v>
      </c>
      <c r="M252" s="604">
        <f>[2]Forecasts!G291</f>
        <v>208.73090459294053</v>
      </c>
      <c r="N252" s="604">
        <f>[2]Forecasts!H291</f>
        <v>217.72720658089656</v>
      </c>
    </row>
    <row r="253" spans="2:15">
      <c r="B253" s="604" t="str">
        <f>[2]Forecasts!A294</f>
        <v>Increase &lt;Decrease&gt; in other current liabilities (1)</v>
      </c>
      <c r="I253" s="604">
        <f>[2]Forecasts!C292</f>
        <v>616</v>
      </c>
      <c r="J253" s="604">
        <f>[2]Forecasts!D292</f>
        <v>-222</v>
      </c>
      <c r="K253" s="604">
        <f>[2]Forecasts!E292</f>
        <v>321.18119999999908</v>
      </c>
      <c r="L253" s="604">
        <f>[2]Forecasts!F292</f>
        <v>335.02410971999961</v>
      </c>
      <c r="M253" s="604">
        <f>[2]Forecasts!G292</f>
        <v>349.46364884893046</v>
      </c>
      <c r="N253" s="604">
        <f>[2]Forecasts!H292</f>
        <v>364.5255321143195</v>
      </c>
    </row>
    <row r="254" spans="2:15">
      <c r="B254" s="604" t="str">
        <f>[2]Forecasts!A295</f>
        <v>Increase &lt;Decrease&gt; in other current liabilities (2)</v>
      </c>
      <c r="I254" s="604">
        <f>[2]Forecasts!C293</f>
        <v>121</v>
      </c>
      <c r="J254" s="604">
        <f>[2]Forecasts!D293</f>
        <v>179</v>
      </c>
      <c r="K254" s="604">
        <f>[2]Forecasts!E293</f>
        <v>15.990099999999984</v>
      </c>
      <c r="L254" s="604">
        <f>[2]Forecasts!F293</f>
        <v>16.679273309999985</v>
      </c>
      <c r="M254" s="604">
        <f>[2]Forecasts!G293</f>
        <v>17.398149989660965</v>
      </c>
      <c r="N254" s="604">
        <f>[2]Forecasts!H293</f>
        <v>18.148010254215365</v>
      </c>
    </row>
    <row r="255" spans="2:15">
      <c r="B255" s="604" t="str">
        <f>[2]Forecasts!A296</f>
        <v>Net change in deferred tax assets and liabilities</v>
      </c>
      <c r="I255" s="604">
        <f>[2]Forecasts!C294</f>
        <v>0</v>
      </c>
      <c r="J255" s="604">
        <f>[2]Forecasts!D294</f>
        <v>0</v>
      </c>
      <c r="K255" s="604">
        <f>[2]Forecasts!E294</f>
        <v>0</v>
      </c>
      <c r="L255" s="604">
        <f>[2]Forecasts!F294</f>
        <v>0</v>
      </c>
      <c r="M255" s="604">
        <f>[2]Forecasts!G294</f>
        <v>0</v>
      </c>
      <c r="N255" s="604">
        <f>[2]Forecasts!H294</f>
        <v>0</v>
      </c>
    </row>
    <row r="256" spans="2:15">
      <c r="B256" s="604" t="str">
        <f>[2]Forecasts!A297</f>
        <v>Increase &lt;Decrease&gt; in long-term accrued liabilities</v>
      </c>
      <c r="I256" s="604">
        <f>[2]Forecasts!C295</f>
        <v>0</v>
      </c>
      <c r="J256" s="604">
        <f>[2]Forecasts!D295</f>
        <v>0</v>
      </c>
      <c r="K256" s="604">
        <f>[2]Forecasts!E295</f>
        <v>0</v>
      </c>
      <c r="L256" s="604">
        <f>[2]Forecasts!F295</f>
        <v>0</v>
      </c>
      <c r="M256" s="604">
        <f>[2]Forecasts!G295</f>
        <v>0</v>
      </c>
      <c r="N256" s="604">
        <f>[2]Forecasts!H295</f>
        <v>0</v>
      </c>
    </row>
    <row r="257" spans="2:14">
      <c r="B257" s="604" t="str">
        <f>[2]Forecasts!A298</f>
        <v>Increase &lt;Decrease&gt; in other noncurrent liabilities (1)</v>
      </c>
      <c r="I257" s="604">
        <f>[2]Forecasts!C296</f>
        <v>938</v>
      </c>
      <c r="J257" s="604">
        <f>[2]Forecasts!D296</f>
        <v>68</v>
      </c>
      <c r="K257" s="604">
        <f>[2]Forecasts!E296</f>
        <v>369.98417477787461</v>
      </c>
      <c r="L257" s="604">
        <f>[2]Forecasts!F296</f>
        <v>-49.378389864892597</v>
      </c>
      <c r="M257" s="604">
        <f>[2]Forecasts!G296</f>
        <v>-49.922507929389212</v>
      </c>
      <c r="N257" s="604">
        <f>[2]Forecasts!H296</f>
        <v>-50.32638476810007</v>
      </c>
    </row>
    <row r="258" spans="2:14">
      <c r="B258" s="604" t="str">
        <f>[2]Forecasts!A299</f>
        <v>Increase &lt;Decrease&gt; in other noncurrent liabilities (2)</v>
      </c>
      <c r="I258" s="604">
        <f>[2]Forecasts!C297</f>
        <v>1537</v>
      </c>
      <c r="J258" s="604">
        <f>[2]Forecasts!D297</f>
        <v>-1723</v>
      </c>
      <c r="K258" s="604">
        <f>[2]Forecasts!E297</f>
        <v>282.0032999999994</v>
      </c>
      <c r="L258" s="604">
        <f>[2]Forecasts!F297</f>
        <v>294.15764222999951</v>
      </c>
      <c r="M258" s="604">
        <f>[2]Forecasts!G297</f>
        <v>306.83583661011198</v>
      </c>
      <c r="N258" s="604">
        <f>[2]Forecasts!H297</f>
        <v>320.06046116800826</v>
      </c>
    </row>
    <row r="259" spans="2:14">
      <c r="B259" s="604" t="str">
        <f>[2]Forecasts!A300</f>
        <v xml:space="preserve">  Net Cash Flows from Operations</v>
      </c>
      <c r="I259" s="604">
        <f>[2]Forecasts!C298</f>
        <v>0</v>
      </c>
      <c r="J259" s="604">
        <f>[2]Forecasts!D298</f>
        <v>0</v>
      </c>
      <c r="K259" s="604">
        <f>[2]Forecasts!E298</f>
        <v>0</v>
      </c>
      <c r="L259" s="604">
        <f>[2]Forecasts!F298</f>
        <v>0</v>
      </c>
      <c r="M259" s="604">
        <f>[2]Forecasts!G298</f>
        <v>0</v>
      </c>
      <c r="N259" s="604">
        <f>[2]Forecasts!H298</f>
        <v>0</v>
      </c>
    </row>
    <row r="260" spans="2:14">
      <c r="B260" s="604" t="str">
        <f>[2]Forecasts!A301</f>
        <v>&lt;Increase&gt; Decrease in property, plant, &amp; equip. at cost</v>
      </c>
      <c r="I260" s="604">
        <f>[2]Forecasts!C299</f>
        <v>0</v>
      </c>
      <c r="J260" s="604">
        <f>[2]Forecasts!D299</f>
        <v>0</v>
      </c>
      <c r="K260" s="604">
        <f>[2]Forecasts!E299</f>
        <v>0</v>
      </c>
      <c r="L260" s="604">
        <f>[2]Forecasts!F299</f>
        <v>0</v>
      </c>
      <c r="M260" s="604">
        <f>[2]Forecasts!G299</f>
        <v>0</v>
      </c>
      <c r="N260" s="604">
        <f>[2]Forecasts!H299</f>
        <v>0</v>
      </c>
    </row>
    <row r="261" spans="2:14">
      <c r="B261" s="604" t="str">
        <f>[2]Forecasts!A302</f>
        <v>&lt;Increase&gt; Decrease in marketable securities</v>
      </c>
      <c r="I261" s="604">
        <f>[2]Forecasts!C300</f>
        <v>9668</v>
      </c>
      <c r="J261" s="604">
        <f>[2]Forecasts!D300</f>
        <v>7502</v>
      </c>
      <c r="K261" s="604">
        <f>[2]Forecasts!E300</f>
        <v>10557.320592684388</v>
      </c>
      <c r="L261" s="604">
        <f>[2]Forecasts!F300</f>
        <v>10770.334665992814</v>
      </c>
      <c r="M261" s="604">
        <f>[2]Forecasts!G300</f>
        <v>11394.305491130744</v>
      </c>
      <c r="N261" s="604">
        <f>[2]Forecasts!H300</f>
        <v>12135.423664224965</v>
      </c>
    </row>
    <row r="262" spans="2:14">
      <c r="B262" s="604" t="str">
        <f>[2]Forecasts!A303</f>
        <v>&lt;Increase&gt; Decrease in investment securities</v>
      </c>
      <c r="I262" s="604">
        <f>[2]Forecasts!C301</f>
        <v>-2099</v>
      </c>
      <c r="J262" s="604">
        <f>[2]Forecasts!D301</f>
        <v>-1022</v>
      </c>
      <c r="K262" s="604">
        <f>[2]Forecasts!E301</f>
        <v>-800</v>
      </c>
      <c r="L262" s="604">
        <f>[2]Forecasts!F301</f>
        <v>-800</v>
      </c>
      <c r="M262" s="604">
        <f>[2]Forecasts!G301</f>
        <v>-800</v>
      </c>
      <c r="N262" s="604">
        <f>[2]Forecasts!H301</f>
        <v>-800</v>
      </c>
    </row>
    <row r="263" spans="2:14">
      <c r="B263" s="604" t="str">
        <f>[2]Forecasts!A304</f>
        <v>&lt;Increase&gt; Decrease in amortizable intangible assets (net)</v>
      </c>
      <c r="I263" s="604">
        <f>[2]Forecasts!C302</f>
        <v>68</v>
      </c>
      <c r="J263" s="604">
        <f>[2]Forecasts!D302</f>
        <v>36</v>
      </c>
      <c r="K263" s="604">
        <f>[2]Forecasts!E302</f>
        <v>-6246.4006999999992</v>
      </c>
      <c r="L263" s="604">
        <f>[2]Forecasts!F302</f>
        <v>-283.09807016999912</v>
      </c>
      <c r="M263" s="604">
        <f>[2]Forecasts!G302</f>
        <v>-295.29959699432675</v>
      </c>
      <c r="N263" s="604">
        <f>[2]Forecasts!H302</f>
        <v>-308.02700962478139</v>
      </c>
    </row>
    <row r="264" spans="2:14">
      <c r="B264" s="604" t="str">
        <f>[2]Forecasts!A305</f>
        <v>&lt;Increase&gt; Decrease in goodwill and nonamort. intangibles</v>
      </c>
      <c r="I264" s="604">
        <f>[2]Forecasts!C303</f>
        <v>-109</v>
      </c>
      <c r="J264" s="604">
        <f>[2]Forecasts!D303</f>
        <v>-156</v>
      </c>
      <c r="K264" s="604">
        <f>[2]Forecasts!E303</f>
        <v>0</v>
      </c>
      <c r="L264" s="604">
        <f>[2]Forecasts!F303</f>
        <v>0</v>
      </c>
      <c r="M264" s="604">
        <f>[2]Forecasts!G303</f>
        <v>0</v>
      </c>
      <c r="N264" s="604">
        <f>[2]Forecasts!H303</f>
        <v>0</v>
      </c>
    </row>
    <row r="265" spans="2:14">
      <c r="B265" s="604" t="str">
        <f>[2]Forecasts!A306</f>
        <v>&lt;Increase&gt; Decrease in other noncurrent assets (1)</v>
      </c>
      <c r="I265" s="604">
        <f>[2]Forecasts!C304</f>
        <v>4</v>
      </c>
      <c r="J265" s="604">
        <f>[2]Forecasts!D304</f>
        <v>-12</v>
      </c>
      <c r="K265" s="604">
        <f>[2]Forecasts!E304</f>
        <v>-110</v>
      </c>
      <c r="L265" s="604">
        <f>[2]Forecasts!F304</f>
        <v>-95</v>
      </c>
      <c r="M265" s="604">
        <f>[2]Forecasts!G304</f>
        <v>-86</v>
      </c>
      <c r="N265" s="604">
        <f>[2]Forecasts!H304</f>
        <v>-78</v>
      </c>
    </row>
    <row r="266" spans="2:14">
      <c r="B266" s="604" t="str">
        <f>[2]Forecasts!A307</f>
        <v>&lt;Increase&gt; Decrease in other noncurrent assets (2)</v>
      </c>
      <c r="I266" s="604">
        <f>[2]Forecasts!C305</f>
        <v>-4913</v>
      </c>
      <c r="J266" s="604">
        <f>[2]Forecasts!D305</f>
        <v>-358</v>
      </c>
      <c r="K266" s="604">
        <f>[2]Forecasts!E305</f>
        <v>0</v>
      </c>
      <c r="L266" s="604">
        <f>[2]Forecasts!F305</f>
        <v>0</v>
      </c>
      <c r="M266" s="604">
        <f>[2]Forecasts!G305</f>
        <v>0</v>
      </c>
      <c r="N266" s="604">
        <f>[2]Forecasts!H305</f>
        <v>0</v>
      </c>
    </row>
    <row r="267" spans="2:14">
      <c r="B267" s="604" t="str">
        <f>[2]Forecasts!A308</f>
        <v xml:space="preserve">  Net Cash Flows from Investing Activities</v>
      </c>
      <c r="I267" s="604">
        <f>[2]Forecasts!C306</f>
        <v>0</v>
      </c>
      <c r="J267" s="604">
        <f>[2]Forecasts!D306</f>
        <v>0</v>
      </c>
      <c r="K267" s="604">
        <f>[2]Forecasts!E306</f>
        <v>0</v>
      </c>
      <c r="L267" s="604">
        <f>[2]Forecasts!F306</f>
        <v>0</v>
      </c>
      <c r="M267" s="604">
        <f>[2]Forecasts!G306</f>
        <v>0</v>
      </c>
      <c r="N267" s="604">
        <f>[2]Forecasts!H306</f>
        <v>0</v>
      </c>
    </row>
    <row r="268" spans="2:14">
      <c r="B268" s="604" t="str">
        <f>[2]Forecasts!A309</f>
        <v>Increase &lt;Decrease&gt; in short-term debt</v>
      </c>
      <c r="I268" s="604">
        <f>[2]Forecasts!C307</f>
        <v>668</v>
      </c>
      <c r="J268" s="604">
        <f>[2]Forecasts!D307</f>
        <v>-632</v>
      </c>
      <c r="K268" s="604">
        <f>[2]Forecasts!E307</f>
        <v>0</v>
      </c>
      <c r="L268" s="604">
        <f>[2]Forecasts!F307</f>
        <v>0</v>
      </c>
      <c r="M268" s="604">
        <f>[2]Forecasts!G307</f>
        <v>0</v>
      </c>
      <c r="N268" s="604">
        <f>[2]Forecasts!H307</f>
        <v>0</v>
      </c>
    </row>
    <row r="269" spans="2:14">
      <c r="B269" s="604" t="str">
        <f>[2]Forecasts!A310</f>
        <v>Increase &lt;Decrease&gt; in long-term debt</v>
      </c>
      <c r="I269" s="604">
        <f>[2]Forecasts!C308</f>
        <v>-6381</v>
      </c>
      <c r="J269" s="604">
        <f>[2]Forecasts!D308</f>
        <v>-2144</v>
      </c>
      <c r="K269" s="604">
        <f>[2]Forecasts!E308</f>
        <v>-7156.4006999999992</v>
      </c>
      <c r="L269" s="604">
        <f>[2]Forecasts!F308</f>
        <v>-1178.0980701699991</v>
      </c>
      <c r="M269" s="604">
        <f>[2]Forecasts!G308</f>
        <v>-1181.2995969943267</v>
      </c>
      <c r="N269" s="604">
        <f>[2]Forecasts!H308</f>
        <v>-1186.0270096247814</v>
      </c>
    </row>
    <row r="270" spans="2:14">
      <c r="B270" s="604" t="str">
        <f>[2]Forecasts!A311</f>
        <v>Increase &lt;Decrease&gt; in preferred stock</v>
      </c>
      <c r="I270" s="604">
        <f>[2]Forecasts!C309</f>
        <v>1307</v>
      </c>
      <c r="J270" s="604">
        <f>[2]Forecasts!D309</f>
        <v>-1390</v>
      </c>
      <c r="K270" s="604">
        <f>[2]Forecasts!E309</f>
        <v>207.52649999999994</v>
      </c>
      <c r="L270" s="604">
        <f>[2]Forecasts!F309</f>
        <v>216.4708921499996</v>
      </c>
      <c r="M270" s="604">
        <f>[2]Forecasts!G309</f>
        <v>225.80078760166452</v>
      </c>
      <c r="N270" s="604">
        <f>[2]Forecasts!H309</f>
        <v>235.532801547296</v>
      </c>
    </row>
    <row r="271" spans="2:14">
      <c r="B271" s="604" t="str">
        <f>[2]Forecasts!A312</f>
        <v>Increase &lt;Decrease&gt; in common stock + paid in capital</v>
      </c>
      <c r="I271" s="604">
        <f>[2]Forecasts!C310</f>
        <v>569</v>
      </c>
      <c r="J271" s="604">
        <f>[2]Forecasts!D310</f>
        <v>2976</v>
      </c>
      <c r="K271" s="604">
        <f>[2]Forecasts!E310</f>
        <v>235.43999999999869</v>
      </c>
      <c r="L271" s="604">
        <f>[2]Forecasts!F310</f>
        <v>21.671838012814987</v>
      </c>
      <c r="M271" s="604">
        <f>[2]Forecasts!G310</f>
        <v>17.301942795369541</v>
      </c>
      <c r="N271" s="604">
        <f>[2]Forecasts!H310</f>
        <v>13.443635935484053</v>
      </c>
    </row>
    <row r="272" spans="2:14">
      <c r="I272" s="604">
        <f>[2]Forecasts!C311</f>
        <v>-7</v>
      </c>
      <c r="J272" s="604">
        <f>[2]Forecasts!D311</f>
        <v>-7</v>
      </c>
      <c r="K272" s="604">
        <f>[2]Forecasts!E311</f>
        <v>123</v>
      </c>
      <c r="L272" s="604">
        <f>[2]Forecasts!F311</f>
        <v>0</v>
      </c>
      <c r="M272" s="604">
        <f>[2]Forecasts!G311</f>
        <v>0</v>
      </c>
      <c r="N272" s="604">
        <f>[2]Forecasts!H311</f>
        <v>0</v>
      </c>
    </row>
  </sheetData>
  <mergeCells count="60">
    <mergeCell ref="A37:C37"/>
    <mergeCell ref="A39:C39"/>
    <mergeCell ref="A38:C38"/>
    <mergeCell ref="A40:C40"/>
    <mergeCell ref="A50:C50"/>
    <mergeCell ref="A41:C41"/>
    <mergeCell ref="A44:C44"/>
    <mergeCell ref="A45:C45"/>
    <mergeCell ref="A46:C46"/>
    <mergeCell ref="A49:C49"/>
    <mergeCell ref="A23:C23"/>
    <mergeCell ref="A33:C33"/>
    <mergeCell ref="A34:C34"/>
    <mergeCell ref="A35:C35"/>
    <mergeCell ref="A36:C36"/>
    <mergeCell ref="C2:D2"/>
    <mergeCell ref="A2:B2"/>
    <mergeCell ref="E2:F2"/>
    <mergeCell ref="E6:F6"/>
    <mergeCell ref="E7:F7"/>
    <mergeCell ref="P59:Y61"/>
    <mergeCell ref="P93:R93"/>
    <mergeCell ref="A3:D3"/>
    <mergeCell ref="A4:D4"/>
    <mergeCell ref="A5:D5"/>
    <mergeCell ref="A6:D6"/>
    <mergeCell ref="E8:F8"/>
    <mergeCell ref="E9:F9"/>
    <mergeCell ref="P33:Y41"/>
    <mergeCell ref="H34:O43"/>
    <mergeCell ref="P43:Y50"/>
    <mergeCell ref="H45:O53"/>
    <mergeCell ref="P53:Y57"/>
    <mergeCell ref="H54:O58"/>
    <mergeCell ref="A7:D7"/>
    <mergeCell ref="A22:C22"/>
    <mergeCell ref="A8:D8"/>
    <mergeCell ref="A9:D9"/>
    <mergeCell ref="H11:O15"/>
    <mergeCell ref="P13:Y22"/>
    <mergeCell ref="H17:O25"/>
    <mergeCell ref="P24:Y31"/>
    <mergeCell ref="H27:O32"/>
    <mergeCell ref="A12:C12"/>
    <mergeCell ref="A13:C13"/>
    <mergeCell ref="A14:C14"/>
    <mergeCell ref="A15:C15"/>
    <mergeCell ref="A26:C26"/>
    <mergeCell ref="A27:C27"/>
    <mergeCell ref="A28:C28"/>
    <mergeCell ref="A29:C29"/>
    <mergeCell ref="A30:C30"/>
    <mergeCell ref="H1:O1"/>
    <mergeCell ref="H2:O2"/>
    <mergeCell ref="P2:R2"/>
    <mergeCell ref="H3:O4"/>
    <mergeCell ref="E4:F4"/>
    <mergeCell ref="P4:Y11"/>
    <mergeCell ref="E5:F5"/>
    <mergeCell ref="H5:O6"/>
  </mergeCells>
  <pageMargins left="0.31496062992125984" right="0.51181102362204722" top="0.74803149606299213" bottom="0.74803149606299213" header="0.31496062992125984" footer="0.31496062992125984"/>
  <pageSetup paperSize="9" orientation="portrait" r:id="rId1"/>
  <headerFooter>
    <oddHeader xml:space="preserve">&amp;LYOUR NAME
CAI Zonghuan
&amp;CCOMPANY NAME 
FORTINET&amp;RBUY OR SELL RECOMMENDATI
Price Target: $77
</oddHeader>
    <oddFooter>&amp;Cpage 2</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C796D-A932-47D4-A29A-4189FA85BD06}">
  <sheetPr>
    <tabColor theme="5" tint="-0.249977111117893"/>
  </sheetPr>
  <dimension ref="B2:M69"/>
  <sheetViews>
    <sheetView topLeftCell="A49" zoomScale="112" zoomScaleNormal="158" workbookViewId="0">
      <selection activeCell="I7" sqref="I7"/>
    </sheetView>
  </sheetViews>
  <sheetFormatPr defaultColWidth="11.42578125" defaultRowHeight="12.75"/>
  <cols>
    <col min="1" max="1" width="11.42578125" style="604"/>
    <col min="2" max="2" width="23.7109375" style="604" customWidth="1"/>
    <col min="3" max="4" width="9.7109375" style="604" customWidth="1"/>
    <col min="5" max="5" width="12.28515625" style="604" customWidth="1"/>
    <col min="6" max="6" width="11.42578125" style="604" bestFit="1" customWidth="1"/>
    <col min="7" max="7" width="21" style="604" customWidth="1"/>
    <col min="8" max="8" width="9.7109375" style="604" customWidth="1"/>
    <col min="9" max="16384" width="11.42578125" style="604"/>
  </cols>
  <sheetData>
    <row r="2" spans="2:13">
      <c r="B2" s="623" t="s">
        <v>894</v>
      </c>
    </row>
    <row r="3" spans="2:13" ht="13.5" thickBot="1">
      <c r="C3" s="618"/>
      <c r="D3" s="618"/>
      <c r="E3" s="618"/>
      <c r="F3" s="618"/>
      <c r="G3" s="618"/>
      <c r="H3" s="618"/>
    </row>
    <row r="4" spans="2:13">
      <c r="B4" s="933" t="s">
        <v>893</v>
      </c>
      <c r="C4" s="967" t="s">
        <v>892</v>
      </c>
      <c r="D4" s="967" t="s">
        <v>891</v>
      </c>
      <c r="E4" s="967" t="s">
        <v>890</v>
      </c>
      <c r="F4" s="967" t="s">
        <v>889</v>
      </c>
      <c r="G4" s="972" t="s">
        <v>888</v>
      </c>
      <c r="H4" s="625" t="s">
        <v>884</v>
      </c>
      <c r="I4" s="624" t="s">
        <v>887</v>
      </c>
      <c r="J4" s="624"/>
      <c r="K4" s="624"/>
      <c r="L4" s="624"/>
      <c r="M4" s="624"/>
    </row>
    <row r="5" spans="2:13">
      <c r="B5" s="1010" t="s">
        <v>886</v>
      </c>
      <c r="C5" s="670">
        <v>1330</v>
      </c>
      <c r="D5" s="670">
        <v>1420</v>
      </c>
      <c r="E5" s="670">
        <v>1350</v>
      </c>
      <c r="F5" s="670">
        <v>1430</v>
      </c>
      <c r="G5" s="1059" t="s">
        <v>1239</v>
      </c>
      <c r="H5" s="618"/>
    </row>
    <row r="6" spans="2:13">
      <c r="B6" s="1010" t="s">
        <v>862</v>
      </c>
      <c r="C6" s="670">
        <v>0.36</v>
      </c>
      <c r="D6" s="670" t="s">
        <v>898</v>
      </c>
      <c r="E6" s="670" t="s">
        <v>897</v>
      </c>
      <c r="F6" s="670">
        <v>0.41</v>
      </c>
      <c r="G6" s="1059" t="s">
        <v>1240</v>
      </c>
      <c r="H6" s="618"/>
    </row>
    <row r="7" spans="2:13">
      <c r="B7" s="1010" t="s">
        <v>861</v>
      </c>
      <c r="C7" s="670">
        <v>0.41</v>
      </c>
      <c r="D7" s="670" t="s">
        <v>895</v>
      </c>
      <c r="E7" s="670" t="s">
        <v>896</v>
      </c>
      <c r="F7" s="670">
        <v>0.56999999999999995</v>
      </c>
      <c r="G7" s="1059" t="s">
        <v>1238</v>
      </c>
      <c r="H7" s="618"/>
    </row>
    <row r="8" spans="2:13" ht="13.5" thickBot="1">
      <c r="B8" s="1051" t="s">
        <v>860</v>
      </c>
      <c r="C8" s="1060" t="s">
        <v>858</v>
      </c>
      <c r="D8" s="1060" t="s">
        <v>859</v>
      </c>
      <c r="E8" s="1060" t="s">
        <v>858</v>
      </c>
      <c r="F8" s="1060" t="s">
        <v>858</v>
      </c>
      <c r="G8" s="1061" t="s">
        <v>858</v>
      </c>
      <c r="H8" s="618"/>
      <c r="I8" s="623"/>
    </row>
    <row r="9" spans="2:13">
      <c r="B9" s="616" t="s">
        <v>885</v>
      </c>
      <c r="H9" s="618"/>
    </row>
    <row r="10" spans="2:13" ht="13.5" thickBot="1"/>
    <row r="11" spans="2:13">
      <c r="B11" s="933" t="s">
        <v>874</v>
      </c>
      <c r="C11" s="1062" t="s">
        <v>873</v>
      </c>
      <c r="D11" s="1062" t="s">
        <v>872</v>
      </c>
      <c r="E11" s="1062" t="s">
        <v>871</v>
      </c>
      <c r="F11" s="1063" t="s">
        <v>870</v>
      </c>
      <c r="G11" s="1368" t="s">
        <v>884</v>
      </c>
      <c r="H11" s="1368"/>
      <c r="I11" s="1367" t="s">
        <v>883</v>
      </c>
      <c r="J11" s="1367"/>
      <c r="K11" s="1367"/>
      <c r="L11" s="1367"/>
      <c r="M11" s="1367"/>
    </row>
    <row r="12" spans="2:13">
      <c r="B12" s="1010" t="s">
        <v>867</v>
      </c>
      <c r="C12" s="670">
        <f>Data!D65</f>
        <v>2594.4</v>
      </c>
      <c r="D12" s="670">
        <f>Data!E65</f>
        <v>3342.2</v>
      </c>
      <c r="E12" s="670">
        <f>Data!F65</f>
        <v>4417.3999999999996</v>
      </c>
      <c r="F12" s="1059">
        <f>Data!G65</f>
        <v>5304.8</v>
      </c>
      <c r="I12" s="1367"/>
      <c r="J12" s="1367"/>
      <c r="K12" s="1367"/>
      <c r="L12" s="1367"/>
      <c r="M12" s="1367"/>
    </row>
    <row r="13" spans="2:13">
      <c r="B13" s="1010" t="s">
        <v>882</v>
      </c>
      <c r="C13" s="670" t="s">
        <v>1232</v>
      </c>
      <c r="D13" s="670" t="s">
        <v>1231</v>
      </c>
      <c r="E13" s="670" t="s">
        <v>1233</v>
      </c>
      <c r="F13" s="1059" t="s">
        <v>1230</v>
      </c>
    </row>
    <row r="14" spans="2:13">
      <c r="B14" s="1010" t="s">
        <v>863</v>
      </c>
      <c r="C14" s="670">
        <f>Data!D86</f>
        <v>488.50000000000017</v>
      </c>
      <c r="D14" s="670">
        <f>Data!E86</f>
        <v>606.69999999999993</v>
      </c>
      <c r="E14" s="670">
        <f>Data!F86</f>
        <v>856.5999999999998</v>
      </c>
      <c r="F14" s="1059">
        <f>Data!G86</f>
        <v>1147.8000000000004</v>
      </c>
    </row>
    <row r="15" spans="2:13">
      <c r="B15" s="1010" t="s">
        <v>862</v>
      </c>
      <c r="C15" s="670">
        <v>3.35</v>
      </c>
      <c r="D15" s="670">
        <v>1.1399999999999999</v>
      </c>
      <c r="E15" s="670">
        <v>1.19</v>
      </c>
      <c r="F15" s="1059">
        <v>1.47</v>
      </c>
    </row>
    <row r="16" spans="2:13">
      <c r="B16" s="1010" t="s">
        <v>861</v>
      </c>
      <c r="C16" s="670">
        <v>2.91</v>
      </c>
      <c r="D16" s="670">
        <v>3.63</v>
      </c>
      <c r="E16" s="670">
        <v>1.06</v>
      </c>
      <c r="F16" s="1059">
        <v>1.46</v>
      </c>
    </row>
    <row r="17" spans="2:7" ht="13.5" thickBot="1">
      <c r="B17" s="1051" t="s">
        <v>860</v>
      </c>
      <c r="C17" s="1060" t="s">
        <v>859</v>
      </c>
      <c r="D17" s="1060" t="s">
        <v>858</v>
      </c>
      <c r="E17" s="1060" t="s">
        <v>859</v>
      </c>
      <c r="F17" s="1061" t="s">
        <v>859</v>
      </c>
    </row>
    <row r="18" spans="2:7" ht="13.5" thickBot="1">
      <c r="B18" s="1051" t="s">
        <v>881</v>
      </c>
    </row>
    <row r="22" spans="2:7">
      <c r="B22" s="623" t="s">
        <v>880</v>
      </c>
    </row>
    <row r="23" spans="2:7">
      <c r="B23" s="623" t="s">
        <v>879</v>
      </c>
    </row>
    <row r="24" spans="2:7">
      <c r="B24" s="623" t="s">
        <v>878</v>
      </c>
    </row>
    <row r="25" spans="2:7">
      <c r="B25" s="623"/>
    </row>
    <row r="26" spans="2:7">
      <c r="B26" s="623" t="s">
        <v>877</v>
      </c>
    </row>
    <row r="27" spans="2:7">
      <c r="B27" s="623" t="s">
        <v>876</v>
      </c>
    </row>
    <row r="28" spans="2:7">
      <c r="B28" s="623" t="s">
        <v>875</v>
      </c>
    </row>
    <row r="30" spans="2:7">
      <c r="B30" s="622" t="s">
        <v>874</v>
      </c>
    </row>
    <row r="31" spans="2:7">
      <c r="B31" s="615" t="s">
        <v>874</v>
      </c>
      <c r="C31" s="621" t="s">
        <v>873</v>
      </c>
      <c r="D31" s="621" t="s">
        <v>872</v>
      </c>
      <c r="E31" s="621" t="s">
        <v>871</v>
      </c>
      <c r="F31" s="621" t="s">
        <v>870</v>
      </c>
    </row>
    <row r="32" spans="2:7">
      <c r="B32" s="617" t="s">
        <v>869</v>
      </c>
      <c r="C32" s="626">
        <v>2590</v>
      </c>
      <c r="D32" s="626">
        <v>3340</v>
      </c>
      <c r="E32" s="626">
        <v>4420</v>
      </c>
      <c r="F32" s="626">
        <v>5300</v>
      </c>
      <c r="G32" s="604" t="s">
        <v>868</v>
      </c>
    </row>
    <row r="33" spans="2:6">
      <c r="B33" s="617" t="s">
        <v>867</v>
      </c>
      <c r="C33" s="626">
        <f>Data!D65</f>
        <v>2594.4</v>
      </c>
      <c r="D33" s="626">
        <f>Data!E65</f>
        <v>3342.2</v>
      </c>
      <c r="E33" s="626">
        <f>Data!F65</f>
        <v>4417.3999999999996</v>
      </c>
      <c r="F33" s="626">
        <f>Data!G65</f>
        <v>5304.8</v>
      </c>
    </row>
    <row r="34" spans="2:6">
      <c r="B34" s="620" t="s">
        <v>860</v>
      </c>
      <c r="C34" s="626" t="s">
        <v>899</v>
      </c>
      <c r="D34" s="626" t="s">
        <v>899</v>
      </c>
      <c r="E34" s="626" t="s">
        <v>899</v>
      </c>
      <c r="F34" s="626" t="s">
        <v>899</v>
      </c>
    </row>
    <row r="35" spans="2:6">
      <c r="B35" s="617" t="s">
        <v>866</v>
      </c>
      <c r="C35" s="626">
        <v>689</v>
      </c>
      <c r="D35" s="626">
        <v>875.5</v>
      </c>
      <c r="E35" s="626">
        <v>1210</v>
      </c>
      <c r="F35" s="626">
        <v>1510</v>
      </c>
    </row>
    <row r="36" spans="2:6">
      <c r="B36" s="617" t="s">
        <v>865</v>
      </c>
      <c r="C36" s="626">
        <f>Data!D76</f>
        <v>531.80000000000007</v>
      </c>
      <c r="D36" s="626">
        <f>Data!E76</f>
        <v>650.4</v>
      </c>
      <c r="E36" s="626">
        <f>Data!F76</f>
        <v>969.5999999999998</v>
      </c>
      <c r="F36" s="626">
        <f>Data!G76</f>
        <v>1241.1000000000001</v>
      </c>
    </row>
    <row r="37" spans="2:6">
      <c r="B37" s="620" t="s">
        <v>860</v>
      </c>
      <c r="C37" s="626" t="s">
        <v>900</v>
      </c>
      <c r="D37" s="626" t="s">
        <v>900</v>
      </c>
      <c r="E37" s="626" t="s">
        <v>900</v>
      </c>
      <c r="F37" s="626" t="s">
        <v>900</v>
      </c>
    </row>
    <row r="38" spans="2:6">
      <c r="B38" s="617" t="s">
        <v>864</v>
      </c>
      <c r="C38" s="626"/>
      <c r="D38" s="626"/>
      <c r="E38" s="626"/>
      <c r="F38" s="626"/>
    </row>
    <row r="39" spans="2:6">
      <c r="B39" s="617" t="s">
        <v>863</v>
      </c>
      <c r="C39" s="626">
        <f>Data!D86</f>
        <v>488.50000000000017</v>
      </c>
      <c r="D39" s="626">
        <f>Data!E86</f>
        <v>606.69999999999993</v>
      </c>
      <c r="E39" s="626">
        <f>Data!F86</f>
        <v>856.5999999999998</v>
      </c>
      <c r="F39" s="626">
        <f>Data!G86</f>
        <v>1147.8000000000004</v>
      </c>
    </row>
    <row r="40" spans="2:6">
      <c r="B40" s="620" t="s">
        <v>860</v>
      </c>
      <c r="C40" s="626"/>
      <c r="D40" s="626"/>
      <c r="E40" s="626"/>
      <c r="F40" s="626"/>
    </row>
    <row r="41" spans="2:6">
      <c r="B41" s="617" t="s">
        <v>862</v>
      </c>
      <c r="C41" s="626">
        <f>C15</f>
        <v>3.35</v>
      </c>
      <c r="D41" s="626">
        <f t="shared" ref="D41:F41" si="0">D15</f>
        <v>1.1399999999999999</v>
      </c>
      <c r="E41" s="626">
        <f t="shared" si="0"/>
        <v>1.19</v>
      </c>
      <c r="F41" s="626">
        <f t="shared" si="0"/>
        <v>1.47</v>
      </c>
    </row>
    <row r="42" spans="2:6">
      <c r="B42" s="617" t="s">
        <v>861</v>
      </c>
      <c r="C42" s="626">
        <f>C16</f>
        <v>2.91</v>
      </c>
      <c r="D42" s="626">
        <f t="shared" ref="D42:F42" si="1">D16</f>
        <v>3.63</v>
      </c>
      <c r="E42" s="626">
        <f t="shared" si="1"/>
        <v>1.06</v>
      </c>
      <c r="F42" s="626">
        <f t="shared" si="1"/>
        <v>1.46</v>
      </c>
    </row>
    <row r="43" spans="2:6">
      <c r="B43" s="620" t="s">
        <v>860</v>
      </c>
      <c r="C43" s="619" t="s">
        <v>859</v>
      </c>
      <c r="D43" s="619" t="s">
        <v>858</v>
      </c>
      <c r="E43" s="619" t="s">
        <v>859</v>
      </c>
      <c r="F43" s="619" t="s">
        <v>858</v>
      </c>
    </row>
    <row r="44" spans="2:6">
      <c r="B44" s="1369" t="s">
        <v>901</v>
      </c>
      <c r="C44" s="1369"/>
      <c r="D44" s="1369"/>
      <c r="E44" s="1369"/>
      <c r="F44" s="1369"/>
    </row>
    <row r="47" spans="2:6" ht="13.5" thickBot="1">
      <c r="C47" s="618">
        <v>44774</v>
      </c>
      <c r="D47" s="618">
        <v>45139</v>
      </c>
      <c r="E47" s="618">
        <v>45231</v>
      </c>
    </row>
    <row r="48" spans="2:6" ht="26.25" thickBot="1">
      <c r="B48" s="1064" t="s">
        <v>857</v>
      </c>
      <c r="C48" s="1065" t="s">
        <v>856</v>
      </c>
      <c r="D48" s="1065" t="s">
        <v>1234</v>
      </c>
      <c r="E48" s="1066" t="s">
        <v>1235</v>
      </c>
    </row>
    <row r="49" spans="2:7" ht="14.1" customHeight="1">
      <c r="B49" s="1010" t="s">
        <v>855</v>
      </c>
      <c r="C49" s="670">
        <v>1350</v>
      </c>
      <c r="D49" s="670">
        <v>1430</v>
      </c>
      <c r="E49" s="1059" t="s">
        <v>1237</v>
      </c>
      <c r="G49" s="604">
        <f>0.31*1505</f>
        <v>466.55</v>
      </c>
    </row>
    <row r="50" spans="2:7" ht="14.1" customHeight="1">
      <c r="B50" s="1010" t="s">
        <v>854</v>
      </c>
      <c r="C50" s="670">
        <v>321.2</v>
      </c>
      <c r="D50" s="670">
        <v>437.2</v>
      </c>
      <c r="E50" s="1059" t="s">
        <v>1236</v>
      </c>
    </row>
    <row r="51" spans="2:7" ht="14.1" customHeight="1" thickBot="1">
      <c r="B51" s="1051" t="s">
        <v>853</v>
      </c>
      <c r="C51" s="1060">
        <v>0.39</v>
      </c>
      <c r="D51" s="1060">
        <v>0.56999999999999995</v>
      </c>
      <c r="E51" s="1061" t="s">
        <v>1238</v>
      </c>
    </row>
    <row r="52" spans="2:7" ht="14.1" customHeight="1">
      <c r="B52" s="616" t="s">
        <v>852</v>
      </c>
    </row>
    <row r="55" spans="2:7">
      <c r="B55" s="615" t="s">
        <v>851</v>
      </c>
      <c r="C55" s="614" t="s">
        <v>850</v>
      </c>
      <c r="D55" s="614" t="s">
        <v>849</v>
      </c>
      <c r="E55" s="604" t="s">
        <v>848</v>
      </c>
    </row>
    <row r="56" spans="2:7">
      <c r="B56" s="611" t="s">
        <v>847</v>
      </c>
      <c r="C56" s="613"/>
      <c r="D56" s="613"/>
    </row>
    <row r="57" spans="2:7">
      <c r="B57" s="611" t="s">
        <v>846</v>
      </c>
      <c r="C57" s="613"/>
      <c r="D57" s="613"/>
    </row>
    <row r="58" spans="2:7">
      <c r="B58" s="611" t="s">
        <v>845</v>
      </c>
      <c r="C58" s="613"/>
      <c r="D58" s="613"/>
    </row>
    <row r="59" spans="2:7">
      <c r="B59" s="611" t="s">
        <v>844</v>
      </c>
      <c r="C59" s="612"/>
      <c r="D59" s="612"/>
    </row>
    <row r="60" spans="2:7">
      <c r="B60" s="611" t="s">
        <v>843</v>
      </c>
    </row>
    <row r="61" spans="2:7">
      <c r="B61" s="611"/>
    </row>
    <row r="62" spans="2:7">
      <c r="B62" s="611"/>
    </row>
    <row r="63" spans="2:7">
      <c r="B63" s="611"/>
    </row>
    <row r="64" spans="2:7">
      <c r="B64" s="611"/>
    </row>
    <row r="65" spans="2:2">
      <c r="B65" s="611"/>
    </row>
    <row r="66" spans="2:2">
      <c r="B66" s="611"/>
    </row>
    <row r="67" spans="2:2">
      <c r="B67" s="611"/>
    </row>
    <row r="69" spans="2:2">
      <c r="B69" s="611"/>
    </row>
  </sheetData>
  <mergeCells count="3">
    <mergeCell ref="I11:M12"/>
    <mergeCell ref="G11:H11"/>
    <mergeCell ref="B44:F44"/>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132EB-1F12-4E31-8E2C-329BBB0B458B}">
  <sheetPr>
    <tabColor theme="5" tint="-0.249977111117893"/>
  </sheetPr>
  <dimension ref="A1:M23"/>
  <sheetViews>
    <sheetView topLeftCell="A19" zoomScale="98" workbookViewId="0">
      <selection activeCell="F3" sqref="F3"/>
    </sheetView>
  </sheetViews>
  <sheetFormatPr defaultColWidth="11.42578125" defaultRowHeight="18"/>
  <cols>
    <col min="1" max="1" width="35.7109375" style="604" customWidth="1"/>
    <col min="2" max="2" width="12.28515625" style="604" customWidth="1"/>
    <col min="3" max="3" width="11.7109375" style="604" customWidth="1"/>
    <col min="4" max="4" width="11.7109375" style="627" customWidth="1"/>
    <col min="5" max="6" width="15" style="604" bestFit="1" customWidth="1"/>
    <col min="7" max="7" width="11.42578125" style="604"/>
    <col min="8" max="8" width="12" style="604" bestFit="1" customWidth="1"/>
    <col min="9" max="16384" width="11.42578125" style="604"/>
  </cols>
  <sheetData>
    <row r="1" spans="1:13" ht="18.75" thickBot="1">
      <c r="A1" s="604" t="s">
        <v>902</v>
      </c>
    </row>
    <row r="2" spans="1:13" ht="15" customHeight="1">
      <c r="A2" s="1372" t="s">
        <v>904</v>
      </c>
      <c r="B2" s="1049"/>
      <c r="C2" s="1370" t="s">
        <v>903</v>
      </c>
      <c r="D2" s="1370"/>
      <c r="E2" s="1370"/>
      <c r="F2" s="1371"/>
    </row>
    <row r="3" spans="1:13" ht="15.75" thickBot="1">
      <c r="A3" s="1373"/>
      <c r="B3" s="1052" t="s">
        <v>840</v>
      </c>
      <c r="C3" s="1053" t="s">
        <v>839</v>
      </c>
      <c r="D3" s="1053" t="s">
        <v>926</v>
      </c>
      <c r="E3" s="1053" t="s">
        <v>841</v>
      </c>
      <c r="F3" s="1054" t="s">
        <v>927</v>
      </c>
      <c r="G3" s="628" t="s">
        <v>1043</v>
      </c>
      <c r="I3" s="629" t="s">
        <v>905</v>
      </c>
      <c r="J3" s="630"/>
      <c r="K3" s="630"/>
      <c r="L3" s="630"/>
      <c r="M3" s="630"/>
    </row>
    <row r="4" spans="1:13" ht="18" customHeight="1">
      <c r="A4" s="758" t="s">
        <v>972</v>
      </c>
      <c r="B4" s="1010">
        <v>59670</v>
      </c>
      <c r="C4" s="604">
        <v>111470</v>
      </c>
      <c r="D4" s="604">
        <v>210510</v>
      </c>
      <c r="E4" s="604">
        <v>71640</v>
      </c>
      <c r="F4" s="1006">
        <v>21330</v>
      </c>
      <c r="G4" s="607"/>
    </row>
    <row r="5" spans="1:13" ht="18" customHeight="1">
      <c r="A5" s="758" t="s">
        <v>973</v>
      </c>
      <c r="B5" s="1010">
        <v>57410</v>
      </c>
      <c r="C5" s="604">
        <v>110240</v>
      </c>
      <c r="D5" s="604">
        <v>223620</v>
      </c>
      <c r="E5" s="604">
        <v>68390</v>
      </c>
      <c r="F5" s="1006">
        <v>19670</v>
      </c>
      <c r="G5" s="607"/>
    </row>
    <row r="6" spans="1:13" ht="18" customHeight="1">
      <c r="A6" s="758" t="s">
        <v>906</v>
      </c>
      <c r="B6" s="1010">
        <v>46.16</v>
      </c>
      <c r="C6" s="604">
        <v>47.03</v>
      </c>
      <c r="D6" s="604">
        <v>20.77</v>
      </c>
      <c r="E6" s="604">
        <v>423.54</v>
      </c>
      <c r="F6" s="1006">
        <v>26.79</v>
      </c>
      <c r="G6" s="755">
        <f>AVERAGE(B6:F6)</f>
        <v>112.85799999999999</v>
      </c>
      <c r="I6" s="627" t="s">
        <v>907</v>
      </c>
    </row>
    <row r="7" spans="1:13" ht="18" customHeight="1">
      <c r="A7" s="758" t="s">
        <v>908</v>
      </c>
      <c r="B7" s="1010">
        <v>33.9</v>
      </c>
      <c r="C7" s="604">
        <v>54.05</v>
      </c>
      <c r="D7" s="604">
        <v>14.81</v>
      </c>
      <c r="E7" s="604">
        <v>69.930000000000007</v>
      </c>
      <c r="F7" s="1006">
        <v>19.27</v>
      </c>
      <c r="G7" s="755">
        <f t="shared" ref="G7:G13" si="0">AVERAGE(B7:F7)</f>
        <v>38.392000000000003</v>
      </c>
      <c r="I7" s="627" t="s">
        <v>909</v>
      </c>
    </row>
    <row r="8" spans="1:13" ht="18" customHeight="1">
      <c r="A8" s="758" t="s">
        <v>910</v>
      </c>
      <c r="B8" s="1010">
        <v>1.64</v>
      </c>
      <c r="C8" s="604">
        <v>2.4900000000000002</v>
      </c>
      <c r="D8" s="604">
        <v>2.5499999999999998</v>
      </c>
      <c r="E8" s="604">
        <v>0.17</v>
      </c>
      <c r="F8" s="1006">
        <v>1.93</v>
      </c>
      <c r="G8" s="755">
        <f t="shared" si="0"/>
        <v>1.7559999999999998</v>
      </c>
      <c r="I8" s="627" t="s">
        <v>911</v>
      </c>
      <c r="L8" s="631" t="s">
        <v>912</v>
      </c>
    </row>
    <row r="9" spans="1:13" ht="18" customHeight="1">
      <c r="A9" s="758" t="s">
        <v>913</v>
      </c>
      <c r="B9" s="1010">
        <v>10.93</v>
      </c>
      <c r="C9" s="604">
        <v>15.1</v>
      </c>
      <c r="D9" s="604">
        <v>3.98</v>
      </c>
      <c r="E9" s="604">
        <v>20.64</v>
      </c>
      <c r="F9" s="1006">
        <v>8.9700000000000006</v>
      </c>
      <c r="G9" s="755">
        <f t="shared" si="0"/>
        <v>11.924000000000001</v>
      </c>
      <c r="I9" s="627"/>
    </row>
    <row r="10" spans="1:13" ht="18" customHeight="1">
      <c r="A10" s="758" t="s">
        <v>914</v>
      </c>
      <c r="B10" s="1010">
        <v>207.05</v>
      </c>
      <c r="C10" s="604">
        <v>21.56</v>
      </c>
      <c r="D10" s="604">
        <v>4.63</v>
      </c>
      <c r="E10" s="604">
        <v>25.11</v>
      </c>
      <c r="F10" s="1006">
        <v>7.54</v>
      </c>
      <c r="G10" s="755">
        <f t="shared" si="0"/>
        <v>53.178000000000011</v>
      </c>
      <c r="I10" s="632"/>
    </row>
    <row r="11" spans="1:13" ht="18" customHeight="1">
      <c r="A11" s="758" t="s">
        <v>915</v>
      </c>
      <c r="B11" s="1010">
        <v>10.35</v>
      </c>
      <c r="C11" s="604">
        <v>13.73</v>
      </c>
      <c r="D11" s="604">
        <v>4.1500000000000004</v>
      </c>
      <c r="E11" s="604">
        <v>19.45</v>
      </c>
      <c r="F11" s="1006">
        <v>7.91</v>
      </c>
      <c r="G11" s="755">
        <f t="shared" si="0"/>
        <v>11.117999999999999</v>
      </c>
      <c r="I11" s="632"/>
      <c r="J11" s="633"/>
    </row>
    <row r="12" spans="1:13" ht="18" customHeight="1">
      <c r="A12" s="758" t="s">
        <v>916</v>
      </c>
      <c r="B12" s="1010">
        <v>33.83</v>
      </c>
      <c r="C12" s="604">
        <v>86.37</v>
      </c>
      <c r="D12" s="604">
        <v>14.2</v>
      </c>
      <c r="E12" s="604">
        <v>161.13999999999999</v>
      </c>
      <c r="F12" s="1006">
        <v>19.13</v>
      </c>
      <c r="G12" s="755">
        <f t="shared" si="0"/>
        <v>62.93399999999999</v>
      </c>
      <c r="I12" s="627" t="s">
        <v>917</v>
      </c>
    </row>
    <row r="13" spans="1:13" ht="18" customHeight="1">
      <c r="A13" s="758" t="s">
        <v>918</v>
      </c>
      <c r="B13" s="1010">
        <v>1</v>
      </c>
      <c r="C13" s="604">
        <v>1.1299999999999999</v>
      </c>
      <c r="D13" s="604">
        <v>0.82</v>
      </c>
      <c r="E13" s="604">
        <v>1.1000000000000001</v>
      </c>
      <c r="F13" s="1006">
        <v>0.62</v>
      </c>
      <c r="G13" s="755">
        <f t="shared" si="0"/>
        <v>0.93399999999999994</v>
      </c>
    </row>
    <row r="14" spans="1:13" ht="18" customHeight="1">
      <c r="A14" s="758" t="s">
        <v>919</v>
      </c>
      <c r="B14" s="1010">
        <v>0.32650000000000001</v>
      </c>
      <c r="C14" s="604">
        <v>0.32650000000000001</v>
      </c>
      <c r="D14" s="604">
        <v>0.32650000000000001</v>
      </c>
      <c r="E14" s="604">
        <v>0.32650000000000001</v>
      </c>
      <c r="F14" s="1006">
        <v>0.32650000000000001</v>
      </c>
      <c r="G14" s="607"/>
    </row>
    <row r="15" spans="1:13" ht="18" customHeight="1">
      <c r="A15" s="758" t="s">
        <v>920</v>
      </c>
      <c r="B15" s="1010"/>
      <c r="D15" s="670" t="s">
        <v>976</v>
      </c>
      <c r="F15" s="1006"/>
      <c r="G15" s="607"/>
    </row>
    <row r="16" spans="1:13" ht="18" customHeight="1">
      <c r="A16" s="758" t="s">
        <v>921</v>
      </c>
      <c r="B16" s="1010"/>
      <c r="D16" s="670" t="s">
        <v>977</v>
      </c>
      <c r="F16" s="1006"/>
      <c r="G16" s="607"/>
    </row>
    <row r="17" spans="1:7" ht="18" customHeight="1">
      <c r="A17" s="758" t="s">
        <v>922</v>
      </c>
      <c r="B17" s="1010"/>
      <c r="D17" s="670">
        <v>0.622</v>
      </c>
      <c r="F17" s="1006"/>
      <c r="G17" s="607"/>
    </row>
    <row r="18" spans="1:7" ht="18" customHeight="1">
      <c r="A18" s="758" t="s">
        <v>923</v>
      </c>
      <c r="B18" s="1055">
        <f>B22/B23</f>
        <v>75.502392344497608</v>
      </c>
      <c r="C18" s="988">
        <f>C22/C23</f>
        <v>206.89583333333334</v>
      </c>
      <c r="D18" s="988">
        <f t="shared" ref="D18:F18" si="1">D22/D23</f>
        <v>13.1610337972167</v>
      </c>
      <c r="E18" s="988">
        <f t="shared" si="1"/>
        <v>135.31872233981144</v>
      </c>
      <c r="F18" s="989">
        <f t="shared" si="1"/>
        <v>417.34782608695656</v>
      </c>
      <c r="G18" s="756"/>
    </row>
    <row r="19" spans="1:7" ht="18" customHeight="1" thickBot="1">
      <c r="A19" s="1050" t="s">
        <v>924</v>
      </c>
      <c r="B19" s="1058" t="s">
        <v>1229</v>
      </c>
      <c r="C19" s="1056">
        <v>0.27279999999999999</v>
      </c>
      <c r="D19" s="1056">
        <v>0.70930000000000004</v>
      </c>
      <c r="E19" s="1056">
        <v>0.27400000000000002</v>
      </c>
      <c r="F19" s="1057">
        <v>1.2699999999999999E-2</v>
      </c>
      <c r="G19" s="756"/>
    </row>
    <row r="20" spans="1:7" ht="12.75">
      <c r="A20" s="634" t="s">
        <v>925</v>
      </c>
      <c r="B20" s="635"/>
      <c r="C20" s="757"/>
      <c r="D20" s="757"/>
      <c r="E20" s="757"/>
      <c r="F20" s="757"/>
      <c r="G20" s="607"/>
    </row>
    <row r="22" spans="1:7" ht="12.75">
      <c r="A22" s="604" t="s">
        <v>974</v>
      </c>
      <c r="B22" s="604">
        <v>1578</v>
      </c>
      <c r="C22" s="604">
        <v>993.1</v>
      </c>
      <c r="D22" s="604">
        <v>13240</v>
      </c>
      <c r="E22" s="604">
        <v>3516.2570000000001</v>
      </c>
      <c r="F22" s="604">
        <v>959.9</v>
      </c>
    </row>
    <row r="23" spans="1:7" ht="12.75">
      <c r="A23" s="604" t="s">
        <v>975</v>
      </c>
      <c r="B23" s="604">
        <v>20.9</v>
      </c>
      <c r="C23" s="604">
        <v>4.8</v>
      </c>
      <c r="D23" s="604">
        <v>1006</v>
      </c>
      <c r="E23" s="604">
        <v>25.984999999999999</v>
      </c>
      <c r="F23" s="604">
        <v>2.2999999999999998</v>
      </c>
    </row>
  </sheetData>
  <mergeCells count="2">
    <mergeCell ref="C2:F2"/>
    <mergeCell ref="A2:A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Data</vt:lpstr>
      <vt:lpstr>Analysis</vt:lpstr>
      <vt:lpstr>Forecast Development</vt:lpstr>
      <vt:lpstr>Forecasts</vt:lpstr>
      <vt:lpstr>Sources</vt:lpstr>
      <vt:lpstr>Valuation</vt:lpstr>
      <vt:lpstr>OUTPUT SHEET (2)</vt:lpstr>
      <vt:lpstr>Quarterly</vt:lpstr>
      <vt:lpstr>COMP SHEET </vt:lpstr>
      <vt:lpstr>Table &amp; Charts 1</vt:lpstr>
      <vt:lpstr>Charts</vt:lpstr>
      <vt:lpstr>6Y STOCK PERFORMANCE</vt:lpstr>
      <vt:lpstr>BETA (2)</vt:lpstr>
      <vt:lpstr>APPENDIX</vt:lpstr>
      <vt:lpstr>Analysis!Print_Area</vt:lpstr>
      <vt:lpstr>Data!Print_Area</vt:lpstr>
      <vt:lpstr>'Forecast Development'!Print_Area</vt:lpstr>
      <vt:lpstr>Forecasts!Print_Area</vt:lpstr>
      <vt:lpstr>Valuation!Print_Area</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jwahlen</dc:creator>
  <cp:lastModifiedBy>Yves Cai</cp:lastModifiedBy>
  <cp:lastPrinted>2024-10-05T13:31:59Z</cp:lastPrinted>
  <dcterms:created xsi:type="dcterms:W3CDTF">2005-05-04T22:13:45Z</dcterms:created>
  <dcterms:modified xsi:type="dcterms:W3CDTF">2024-11-03T14:54:10Z</dcterms:modified>
</cp:coreProperties>
</file>