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lwu/Documents/Academia/CMU/tepper_courses/Operations and Supply Chain Analytics/cases/biopharma/data/"/>
    </mc:Choice>
  </mc:AlternateContent>
  <xr:revisionPtr revIDLastSave="0" documentId="13_ncr:1_{7EEDF28F-3571-9B41-8354-FD4CB1F92465}" xr6:coauthVersionLast="47" xr6:coauthVersionMax="47" xr10:uidLastSave="{00000000-0000-0000-0000-000000000000}"/>
  <bookViews>
    <workbookView xWindow="0" yWindow="760" windowWidth="17280" windowHeight="21580" tabRatio="882" xr2:uid="{00000000-000D-0000-FFFF-FFFF00000000}"/>
  </bookViews>
  <sheets>
    <sheet name="inputs" sheetId="18" r:id="rId1"/>
    <sheet name="inputs-fixed-network" sheetId="94" r:id="rId2"/>
    <sheet name="inputs_STS" sheetId="20" state="veryHidden" r:id="rId3"/>
    <sheet name="inputs_fixed_network_STS" sheetId="47" state="veryHidden" r:id="rId4"/>
    <sheet name="inputs_fixed_net_STS" sheetId="70" state="veryHidden" r:id="rId5"/>
    <sheet name="candidates_STS" sheetId="67" state="veryHidden" r:id="rId6"/>
    <sheet name="inputs-fixed-network_STS" sheetId="92" state="veryHidden" r:id="rId7"/>
  </sheets>
  <definedNames>
    <definedName name="solver_adj" localSheetId="0" hidden="1">inputs!$B$54:$G$67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inputs!$B$54:$D$59</definedName>
    <definedName name="solver_lhs1" localSheetId="1" hidden="1">'inputs-fixed-network'!$B$54:$D$59</definedName>
    <definedName name="solver_lhs10" localSheetId="0" hidden="1">inputs!$M$53</definedName>
    <definedName name="solver_lhs11" localSheetId="0" hidden="1">inputs!$M$54</definedName>
    <definedName name="solver_lhs12" localSheetId="0" hidden="1">inputs!$M$55</definedName>
    <definedName name="solver_lhs13" localSheetId="0" hidden="1">inputs!$M$56</definedName>
    <definedName name="solver_lhs14" localSheetId="0" hidden="1">inputs!$M$57</definedName>
    <definedName name="solver_lhs15" localSheetId="0" hidden="1">inputs!$M$58</definedName>
    <definedName name="solver_lhs2" localSheetId="0" hidden="1">inputs!$B$62:$G$67</definedName>
    <definedName name="solver_lhs2" localSheetId="1" hidden="1">'inputs-fixed-network'!$B$73:$D$78</definedName>
    <definedName name="solver_lhs3" localSheetId="0" hidden="1">inputs!$B$62:$G$67</definedName>
    <definedName name="solver_lhs3" localSheetId="1" hidden="1">'inputs-fixed-network'!$G$54:$L$59</definedName>
    <definedName name="solver_lhs4" localSheetId="0" hidden="1">inputs!$B$69:$G$74</definedName>
    <definedName name="solver_lhs4" localSheetId="1" hidden="1">'inputs-fixed-network'!$G$63:$L$68</definedName>
    <definedName name="solver_lhs5" localSheetId="0" hidden="1">inputs!$F$53:$K$58</definedName>
    <definedName name="solver_lhs5" localSheetId="1" hidden="1">'inputs-fixed-network'!$G$73:$L$74</definedName>
    <definedName name="solver_lhs6" localSheetId="0" hidden="1">inputs!$F$61:$K$66</definedName>
    <definedName name="solver_lhs6" localSheetId="1" hidden="1">'inputs-fixed-network'!$G$73:$L$74</definedName>
    <definedName name="solver_lhs7" localSheetId="0" hidden="1">inputs!$G$54</definedName>
    <definedName name="solver_lhs8" localSheetId="0" hidden="1">inputs!$H$55</definedName>
    <definedName name="solver_lhs9" localSheetId="0" hidden="1">inputs!$I$56</definedName>
    <definedName name="solver_lin" localSheetId="0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15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inputs!$B$61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5</definedName>
    <definedName name="solver_rel1" localSheetId="1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0" hidden="1">3</definedName>
    <definedName name="solver_rel5" localSheetId="1" hidden="1">2</definedName>
    <definedName name="solver_rel6" localSheetId="0" hidden="1">3</definedName>
    <definedName name="solver_rel6" localSheetId="1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"binary"</definedName>
    <definedName name="solver_rhs1" localSheetId="1" hidden="1">"binary"</definedName>
    <definedName name="solver_rhs10" localSheetId="0" hidden="1">inputs!$N$53</definedName>
    <definedName name="solver_rhs11" localSheetId="0" hidden="1">inputs!$N$54</definedName>
    <definedName name="solver_rhs12" localSheetId="0" hidden="1">inputs!$N$55</definedName>
    <definedName name="solver_rhs13" localSheetId="0" hidden="1">inputs!$N$56</definedName>
    <definedName name="solver_rhs14" localSheetId="0" hidden="1">inputs!$N$57</definedName>
    <definedName name="solver_rhs15" localSheetId="0" hidden="1">inputs!$N$58</definedName>
    <definedName name="solver_rhs2" localSheetId="0" hidden="1">0</definedName>
    <definedName name="solver_rhs2" localSheetId="1" hidden="1">0</definedName>
    <definedName name="solver_rhs3" localSheetId="0" hidden="1">0</definedName>
    <definedName name="solver_rhs3" localSheetId="1" hidden="1">0</definedName>
    <definedName name="solver_rhs4" localSheetId="0" hidden="1">0</definedName>
    <definedName name="solver_rhs4" localSheetId="1" hidden="1">0</definedName>
    <definedName name="solver_rhs5" localSheetId="0" hidden="1">0</definedName>
    <definedName name="solver_rhs5" localSheetId="1" hidden="1">0</definedName>
    <definedName name="solver_rhs6" localSheetId="0" hidden="1">0</definedName>
    <definedName name="solver_rhs6" localSheetId="1" hidden="1">0</definedName>
    <definedName name="solver_rhs7" localSheetId="0" hidden="1">7</definedName>
    <definedName name="solver_rhs8" localSheetId="0" hidden="1">15</definedName>
    <definedName name="solver_rhs9" localSheetId="0" hidden="1">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5" i="18" l="1"/>
  <c r="G109" i="18"/>
  <c r="G108" i="18"/>
  <c r="G107" i="18"/>
  <c r="G106" i="18"/>
  <c r="G104" i="18"/>
  <c r="G87" i="18"/>
  <c r="I74" i="18"/>
  <c r="G98" i="18"/>
  <c r="G97" i="18"/>
  <c r="G96" i="18"/>
  <c r="G95" i="18"/>
  <c r="G94" i="18"/>
  <c r="G93" i="18"/>
  <c r="G86" i="18"/>
  <c r="G85" i="18"/>
  <c r="G84" i="18"/>
  <c r="G83" i="18"/>
  <c r="G82" i="18"/>
  <c r="D78" i="94"/>
  <c r="C78" i="94"/>
  <c r="B78" i="94"/>
  <c r="D77" i="94"/>
  <c r="C77" i="94"/>
  <c r="B77" i="94"/>
  <c r="D76" i="94"/>
  <c r="C76" i="94"/>
  <c r="B76" i="94"/>
  <c r="D75" i="94"/>
  <c r="C75" i="94"/>
  <c r="B75" i="94"/>
  <c r="L74" i="94"/>
  <c r="K74" i="94"/>
  <c r="J74" i="94"/>
  <c r="I74" i="94"/>
  <c r="H74" i="94"/>
  <c r="G74" i="94"/>
  <c r="D74" i="94"/>
  <c r="C74" i="94"/>
  <c r="B74" i="94"/>
  <c r="L73" i="94"/>
  <c r="K73" i="94"/>
  <c r="J73" i="94"/>
  <c r="I73" i="94"/>
  <c r="H73" i="94"/>
  <c r="G73" i="94"/>
  <c r="D73" i="94"/>
  <c r="C73" i="94"/>
  <c r="B73" i="94"/>
  <c r="K22" i="94"/>
  <c r="Q22" i="94" s="1"/>
  <c r="K21" i="94"/>
  <c r="Q21" i="94" s="1"/>
  <c r="K20" i="94"/>
  <c r="Q20" i="94" s="1"/>
  <c r="K19" i="94"/>
  <c r="Q19" i="94" s="1"/>
  <c r="K18" i="94"/>
  <c r="Q18" i="94" s="1"/>
  <c r="K17" i="94"/>
  <c r="Q17" i="94" s="1"/>
  <c r="N15" i="94"/>
  <c r="N29" i="94" l="1"/>
  <c r="S29" i="94"/>
  <c r="Q29" i="94"/>
  <c r="O29" i="94"/>
  <c r="S32" i="94"/>
  <c r="P32" i="94"/>
  <c r="N32" i="94"/>
  <c r="Q27" i="94"/>
  <c r="P27" i="94"/>
  <c r="O27" i="94"/>
  <c r="N27" i="94"/>
  <c r="S27" i="94"/>
  <c r="P30" i="94"/>
  <c r="O30" i="94"/>
  <c r="R30" i="94"/>
  <c r="T17" i="94"/>
  <c r="T19" i="94"/>
  <c r="T20" i="94"/>
  <c r="T22" i="94"/>
  <c r="R17" i="94"/>
  <c r="R27" i="94" s="1"/>
  <c r="R18" i="94"/>
  <c r="S28" i="94" s="1"/>
  <c r="R19" i="94"/>
  <c r="R29" i="94" s="1"/>
  <c r="R20" i="94"/>
  <c r="N30" i="94" s="1"/>
  <c r="R21" i="94"/>
  <c r="R31" i="94" s="1"/>
  <c r="R22" i="94"/>
  <c r="O32" i="94" s="1"/>
  <c r="S17" i="94"/>
  <c r="S18" i="94"/>
  <c r="S19" i="94"/>
  <c r="S20" i="94"/>
  <c r="S21" i="94"/>
  <c r="S22" i="94"/>
  <c r="T18" i="94"/>
  <c r="T21" i="94"/>
  <c r="N17" i="94"/>
  <c r="N18" i="94"/>
  <c r="N19" i="94"/>
  <c r="N20" i="94"/>
  <c r="N21" i="94"/>
  <c r="N22" i="94"/>
  <c r="O17" i="94"/>
  <c r="O18" i="94"/>
  <c r="O19" i="94"/>
  <c r="O20" i="94"/>
  <c r="O21" i="94"/>
  <c r="O22" i="94"/>
  <c r="P17" i="94"/>
  <c r="P18" i="94"/>
  <c r="P19" i="94"/>
  <c r="P20" i="94"/>
  <c r="P21" i="94"/>
  <c r="P22" i="94"/>
  <c r="N15" i="18"/>
  <c r="K22" i="18"/>
  <c r="K21" i="18"/>
  <c r="K20" i="18"/>
  <c r="K19" i="18"/>
  <c r="K18" i="18"/>
  <c r="K17" i="18"/>
  <c r="P38" i="94" l="1"/>
  <c r="O38" i="94"/>
  <c r="N38" i="94"/>
  <c r="R38" i="94"/>
  <c r="Q38" i="94"/>
  <c r="S38" i="94"/>
  <c r="B61" i="94"/>
  <c r="Q32" i="94"/>
  <c r="B67" i="94" s="1"/>
  <c r="B63" i="94"/>
  <c r="N37" i="94"/>
  <c r="S37" i="94"/>
  <c r="R37" i="94"/>
  <c r="Q37" i="94"/>
  <c r="P37" i="94"/>
  <c r="O37" i="94"/>
  <c r="B62" i="94" s="1"/>
  <c r="O28" i="94"/>
  <c r="R32" i="94"/>
  <c r="S31" i="94"/>
  <c r="N28" i="94"/>
  <c r="N31" i="94"/>
  <c r="P42" i="94"/>
  <c r="O42" i="94"/>
  <c r="N42" i="94"/>
  <c r="S42" i="94"/>
  <c r="R42" i="94"/>
  <c r="Q42" i="94"/>
  <c r="S30" i="94"/>
  <c r="P28" i="94"/>
  <c r="O31" i="94"/>
  <c r="B66" i="94" s="1"/>
  <c r="S40" i="94"/>
  <c r="R40" i="94"/>
  <c r="Q40" i="94"/>
  <c r="P40" i="94"/>
  <c r="O40" i="94"/>
  <c r="N40" i="94"/>
  <c r="N41" i="94"/>
  <c r="S41" i="94"/>
  <c r="R41" i="94"/>
  <c r="P41" i="94"/>
  <c r="O41" i="94"/>
  <c r="Q41" i="94"/>
  <c r="Q30" i="94"/>
  <c r="Q28" i="94"/>
  <c r="P29" i="94"/>
  <c r="B64" i="94" s="1"/>
  <c r="P31" i="94"/>
  <c r="B65" i="94"/>
  <c r="R28" i="94"/>
  <c r="Q31" i="94"/>
  <c r="R39" i="94"/>
  <c r="Q39" i="94"/>
  <c r="P39" i="94"/>
  <c r="O39" i="94"/>
  <c r="N39" i="94"/>
  <c r="S39" i="94"/>
  <c r="D78" i="18"/>
  <c r="C78" i="18"/>
  <c r="B78" i="18"/>
  <c r="D77" i="18"/>
  <c r="C77" i="18"/>
  <c r="B77" i="18"/>
  <c r="D76" i="18"/>
  <c r="C76" i="18"/>
  <c r="B76" i="18"/>
  <c r="D75" i="18"/>
  <c r="C75" i="18"/>
  <c r="B75" i="18"/>
  <c r="D74" i="18"/>
  <c r="C74" i="18"/>
  <c r="B74" i="18"/>
  <c r="D73" i="18"/>
  <c r="C73" i="18"/>
  <c r="B73" i="18"/>
  <c r="L74" i="18"/>
  <c r="K74" i="18"/>
  <c r="J74" i="18"/>
  <c r="H74" i="18"/>
  <c r="G74" i="18"/>
  <c r="L73" i="18"/>
  <c r="K73" i="18"/>
  <c r="J73" i="18"/>
  <c r="I73" i="18"/>
  <c r="H73" i="18"/>
  <c r="G73" i="18"/>
  <c r="O17" i="18" l="1"/>
  <c r="T17" i="18"/>
  <c r="S17" i="18"/>
  <c r="R17" i="18"/>
  <c r="N17" i="18"/>
  <c r="Q17" i="18"/>
  <c r="P17" i="18"/>
  <c r="R20" i="18"/>
  <c r="O20" i="18"/>
  <c r="N20" i="18"/>
  <c r="S20" i="18"/>
  <c r="Q20" i="18"/>
  <c r="P20" i="18"/>
  <c r="T20" i="18"/>
  <c r="S21" i="18"/>
  <c r="Q21" i="18"/>
  <c r="R21" i="18"/>
  <c r="P21" i="18"/>
  <c r="O21" i="18"/>
  <c r="N21" i="18"/>
  <c r="T21" i="18"/>
  <c r="R18" i="18"/>
  <c r="P18" i="18"/>
  <c r="Q18" i="18"/>
  <c r="O18" i="18"/>
  <c r="N18" i="18"/>
  <c r="T18" i="18"/>
  <c r="S18" i="18"/>
  <c r="Q19" i="18"/>
  <c r="O19" i="18"/>
  <c r="T19" i="18"/>
  <c r="S19" i="18"/>
  <c r="P19" i="18"/>
  <c r="N19" i="18"/>
  <c r="R19" i="18"/>
  <c r="T22" i="18"/>
  <c r="Q22" i="18"/>
  <c r="P22" i="18"/>
  <c r="O22" i="18"/>
  <c r="N22" i="18"/>
  <c r="S22" i="18"/>
  <c r="R22" i="18"/>
  <c r="S38" i="18" l="1"/>
  <c r="O42" i="18"/>
  <c r="O32" i="18"/>
  <c r="S28" i="18"/>
  <c r="S27" i="18"/>
  <c r="N27" i="18"/>
  <c r="R27" i="18"/>
  <c r="Q27" i="18"/>
  <c r="P27" i="18"/>
  <c r="O27" i="18"/>
  <c r="Q29" i="18"/>
  <c r="N29" i="18"/>
  <c r="R29" i="18"/>
  <c r="P29" i="18"/>
  <c r="O29" i="18"/>
  <c r="S29" i="18"/>
  <c r="P38" i="18"/>
  <c r="N38" i="18"/>
  <c r="R38" i="18"/>
  <c r="Q38" i="18"/>
  <c r="O38" i="18"/>
  <c r="S30" i="18"/>
  <c r="Q30" i="18"/>
  <c r="R30" i="18"/>
  <c r="P30" i="18"/>
  <c r="O30" i="18"/>
  <c r="N30" i="18"/>
  <c r="Q37" i="18"/>
  <c r="O37" i="18"/>
  <c r="S37" i="18"/>
  <c r="P37" i="18"/>
  <c r="N37" i="18"/>
  <c r="R37" i="18"/>
  <c r="S42" i="18"/>
  <c r="Q42" i="18"/>
  <c r="R42" i="18"/>
  <c r="P42" i="18"/>
  <c r="N42" i="18"/>
  <c r="S39" i="18"/>
  <c r="Q39" i="18"/>
  <c r="N39" i="18"/>
  <c r="R39" i="18"/>
  <c r="P39" i="18"/>
  <c r="O39" i="18"/>
  <c r="O28" i="18"/>
  <c r="R28" i="18"/>
  <c r="Q28" i="18"/>
  <c r="N28" i="18"/>
  <c r="P28" i="18"/>
  <c r="R31" i="18"/>
  <c r="P31" i="18"/>
  <c r="O31" i="18"/>
  <c r="S31" i="18"/>
  <c r="Q31" i="18"/>
  <c r="N31" i="18"/>
  <c r="S32" i="18"/>
  <c r="P32" i="18"/>
  <c r="N32" i="18"/>
  <c r="R32" i="18"/>
  <c r="Q32" i="18"/>
  <c r="O40" i="18"/>
  <c r="R40" i="18"/>
  <c r="N40" i="18"/>
  <c r="S40" i="18"/>
  <c r="Q40" i="18"/>
  <c r="P40" i="18"/>
  <c r="Q41" i="18"/>
  <c r="N41" i="18"/>
  <c r="S41" i="18"/>
  <c r="R41" i="18"/>
  <c r="P41" i="18"/>
  <c r="O41" i="18"/>
  <c r="B65" i="18" l="1"/>
  <c r="B64" i="18"/>
  <c r="B66" i="18"/>
  <c r="B62" i="18"/>
  <c r="B63" i="18"/>
  <c r="B67" i="18"/>
  <c r="B61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Osadchiy, Nikolay</author>
    <author>Agrawal, Deepak</author>
  </authors>
  <commentList>
    <comment ref="K16" authorId="0" shapeId="0" xr:uid="{00000000-0006-0000-0000-000001000000}">
      <text>
        <r>
          <rPr>
            <sz val="9"/>
            <color rgb="FF000000"/>
            <rFont val="Tahoma"/>
            <family val="2"/>
          </rPr>
          <t>Enter year here</t>
        </r>
      </text>
    </comment>
    <comment ref="B48" authorId="1" shapeId="0" xr:uid="{5AED118A-B0F7-4EB3-A238-F593535FF83D}">
      <text>
        <r>
          <rPr>
            <sz val="9"/>
            <color indexed="81"/>
            <rFont val="Tahoma"/>
            <family val="2"/>
          </rPr>
          <t>Enter tariff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Osadchiy, Nikolay</author>
    <author>Agrawal, Deepak</author>
  </authors>
  <commentList>
    <comment ref="K16" authorId="0" shapeId="0" xr:uid="{D554F794-175C-4F34-B218-85D544C96CC8}">
      <text>
        <r>
          <rPr>
            <sz val="9"/>
            <color rgb="FF000000"/>
            <rFont val="Tahoma"/>
            <family val="2"/>
          </rPr>
          <t>Enter year here</t>
        </r>
      </text>
    </comment>
    <comment ref="B48" authorId="1" shapeId="0" xr:uid="{25C2CEA7-29EF-48B6-B785-16AEB5F2EF1E}">
      <text>
        <r>
          <rPr>
            <sz val="9"/>
            <color indexed="81"/>
            <rFont val="Tahoma"/>
            <family val="2"/>
          </rPr>
          <t>Enter tariff here</t>
        </r>
      </text>
    </comment>
  </commentList>
</comments>
</file>

<file path=xl/sharedStrings.xml><?xml version="1.0" encoding="utf-8"?>
<sst xmlns="http://schemas.openxmlformats.org/spreadsheetml/2006/main" count="423" uniqueCount="72">
  <si>
    <t>BioPharma Inc.</t>
  </si>
  <si>
    <t xml:space="preserve">Latin America </t>
  </si>
  <si>
    <t>Brazil</t>
  </si>
  <si>
    <t>Europe</t>
  </si>
  <si>
    <t>Germany</t>
  </si>
  <si>
    <t>Asia w/o Japan</t>
  </si>
  <si>
    <t>India</t>
  </si>
  <si>
    <t>Japan</t>
  </si>
  <si>
    <t>Mexico</t>
  </si>
  <si>
    <t>U.S.</t>
  </si>
  <si>
    <t>Plant</t>
  </si>
  <si>
    <t>Capacity</t>
  </si>
  <si>
    <t>Market</t>
  </si>
  <si>
    <t>Demand</t>
  </si>
  <si>
    <t>Highcal</t>
  </si>
  <si>
    <t>Relax</t>
  </si>
  <si>
    <t>From / To</t>
  </si>
  <si>
    <t>Brazilian Real</t>
  </si>
  <si>
    <t>Euro</t>
  </si>
  <si>
    <t>Indian Rupee</t>
  </si>
  <si>
    <t>Japanese Yen</t>
  </si>
  <si>
    <t>Mexican Peso</t>
  </si>
  <si>
    <t>U.S. Dollar</t>
  </si>
  <si>
    <t>Year</t>
  </si>
  <si>
    <t>Decision Variables</t>
  </si>
  <si>
    <t>Plant Open (1) / Shut (0)</t>
  </si>
  <si>
    <t>Highcal On (1) / Off (0)</t>
  </si>
  <si>
    <t>Relax On (1) / Off (1)</t>
  </si>
  <si>
    <t>Plants Open / Shut, Lines On / Off</t>
  </si>
  <si>
    <t>Highcal Quantity Shipped From / To</t>
  </si>
  <si>
    <t>Relax Quantity Shipped From / To</t>
  </si>
  <si>
    <t>Constraints</t>
  </si>
  <si>
    <t>Total Capacity</t>
  </si>
  <si>
    <t>Growth</t>
  </si>
  <si>
    <t>Transportation Costs ($ / kg) (Table 6-20)</t>
  </si>
  <si>
    <t>Import Duties (%) (Table 6-22)</t>
  </si>
  <si>
    <t>Exchange Rate for Spec. Year</t>
  </si>
  <si>
    <t>Total Variable Material, Production and Transportation Cost for Highcal (incl. duties)</t>
  </si>
  <si>
    <t>Total Variable Material, Production and Transportation Cost for Relax (inc. duties)</t>
  </si>
  <si>
    <t>Excess Capacity</t>
  </si>
  <si>
    <t>Shipments - Demand</t>
  </si>
  <si>
    <t>$K$16</t>
  </si>
  <si>
    <t>Input</t>
  </si>
  <si>
    <t>$B$61,$C$54:$D$59</t>
  </si>
  <si>
    <t>Exchange Rates (Table 6-21, augmented)</t>
  </si>
  <si>
    <t>inputs_fixed_network!$B$36:$K$36</t>
  </si>
  <si>
    <t>inputs_fixed_net!$B$36:$K$36</t>
  </si>
  <si>
    <t>Addl tarrifs imposed on trade between U.S. and Europe</t>
  </si>
  <si>
    <t>Total cost (M) =</t>
  </si>
  <si>
    <t>inputs!$B$36:$F$36</t>
  </si>
  <si>
    <t>$B$61</t>
  </si>
  <si>
    <t>inputs-fixed-network'!$B$36:$F$36</t>
  </si>
  <si>
    <t>year</t>
  </si>
  <si>
    <t/>
  </si>
  <si>
    <t>$G$47</t>
  </si>
  <si>
    <t>0,0.1</t>
  </si>
  <si>
    <t>Tariff</t>
  </si>
  <si>
    <t>Regional Sales and Plant Capacities (Table 6-18, modified)</t>
  </si>
  <si>
    <t>Calculation of Fixed and Variable Costs for Specified Year (Base year is 2020)</t>
  </si>
  <si>
    <t>Fixed and Variable Production Costs by Plant at 2020 Exchange Rates (Table  6-19, modified)</t>
  </si>
  <si>
    <t>Plant
Fixed Cost
(million $)</t>
  </si>
  <si>
    <t>Highcal
Fixed Cost
(million $)</t>
  </si>
  <si>
    <t>Relax
Fixed Cost
(million $)</t>
  </si>
  <si>
    <t>Highcal
Raw Material Cost ($/kg)</t>
  </si>
  <si>
    <t>Highcal
Production Cost ($/kg)</t>
  </si>
  <si>
    <t>Relax
Raw Material Cost ($/kg)</t>
  </si>
  <si>
    <t>Relax
Production Cost ($/kg)</t>
  </si>
  <si>
    <t>Highcal Demand Sums</t>
  </si>
  <si>
    <t>Latin America</t>
  </si>
  <si>
    <t>Relax Demand Sums</t>
  </si>
  <si>
    <t>Capacity Limits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</si>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</sst>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name val="Calibri"/>
      <family val="2"/>
      <charset val="204"/>
      <scheme val="minor"/>
    </font>
    <font>
      <b/>
      <u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9C6500"/>
      <name val="Calibri"/>
      <family val="2"/>
      <scheme val="minor"/>
    </font>
    <font>
      <i/>
      <sz val="11"/>
      <name val="Calibri"/>
      <family val="2"/>
      <scheme val="minor"/>
    </font>
    <font>
      <sz val="9"/>
      <color rgb="FF000000"/>
      <name val="Tahoma"/>
      <family val="2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4" borderId="9" applyNumberFormat="0" applyAlignment="0" applyProtection="0"/>
    <xf numFmtId="0" fontId="7" fillId="5" borderId="9" applyNumberFormat="0" applyAlignment="0" applyProtection="0"/>
    <xf numFmtId="0" fontId="8" fillId="6" borderId="0" applyNumberFormat="0" applyBorder="0" applyAlignment="0" applyProtection="0"/>
    <xf numFmtId="0" fontId="13" fillId="7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4" fillId="0" borderId="0" xfId="0" applyFont="1" applyAlignment="1">
      <alignment wrapText="1"/>
    </xf>
    <xf numFmtId="9" fontId="4" fillId="0" borderId="0" xfId="1" applyFont="1"/>
    <xf numFmtId="0" fontId="4" fillId="0" borderId="0" xfId="0" applyFont="1" applyAlignment="1">
      <alignment vertical="top" wrapText="1"/>
    </xf>
    <xf numFmtId="2" fontId="4" fillId="0" borderId="0" xfId="0" applyNumberFormat="1" applyFont="1" applyAlignment="1">
      <alignment vertical="top" wrapText="1"/>
    </xf>
    <xf numFmtId="0" fontId="5" fillId="0" borderId="0" xfId="0" applyFont="1"/>
    <xf numFmtId="164" fontId="2" fillId="2" borderId="0" xfId="2" applyNumberFormat="1"/>
    <xf numFmtId="0" fontId="2" fillId="2" borderId="3" xfId="2" applyBorder="1" applyAlignment="1">
      <alignment vertical="top" wrapText="1"/>
    </xf>
    <xf numFmtId="164" fontId="2" fillId="2" borderId="4" xfId="2" applyNumberFormat="1" applyBorder="1" applyAlignment="1">
      <alignment vertical="top" wrapText="1"/>
    </xf>
    <xf numFmtId="0" fontId="2" fillId="2" borderId="5" xfId="2" applyBorder="1" applyAlignment="1">
      <alignment vertical="top" wrapText="1"/>
    </xf>
    <xf numFmtId="164" fontId="2" fillId="2" borderId="6" xfId="2" applyNumberFormat="1" applyBorder="1" applyAlignment="1">
      <alignment vertical="top" wrapText="1"/>
    </xf>
    <xf numFmtId="164" fontId="2" fillId="2" borderId="4" xfId="2" applyNumberFormat="1" applyBorder="1"/>
    <xf numFmtId="164" fontId="2" fillId="2" borderId="8" xfId="2" applyNumberFormat="1" applyBorder="1"/>
    <xf numFmtId="164" fontId="2" fillId="2" borderId="6" xfId="2" applyNumberFormat="1" applyBorder="1"/>
    <xf numFmtId="2" fontId="2" fillId="2" borderId="0" xfId="2" applyNumberFormat="1"/>
    <xf numFmtId="2" fontId="2" fillId="2" borderId="4" xfId="2" applyNumberFormat="1" applyBorder="1"/>
    <xf numFmtId="2" fontId="2" fillId="2" borderId="8" xfId="2" applyNumberFormat="1" applyBorder="1"/>
    <xf numFmtId="2" fontId="2" fillId="2" borderId="6" xfId="2" applyNumberFormat="1" applyBorder="1"/>
    <xf numFmtId="0" fontId="2" fillId="2" borderId="3" xfId="2" applyBorder="1" applyAlignment="1">
      <alignment vertical="center" wrapText="1"/>
    </xf>
    <xf numFmtId="0" fontId="2" fillId="2" borderId="5" xfId="2" applyBorder="1" applyAlignment="1">
      <alignment vertical="center" wrapText="1"/>
    </xf>
    <xf numFmtId="2" fontId="2" fillId="2" borderId="8" xfId="2" applyNumberFormat="1" applyBorder="1" applyAlignment="1">
      <alignment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2" fontId="7" fillId="5" borderId="9" xfId="4" applyNumberFormat="1" applyAlignment="1">
      <alignment vertical="center" wrapText="1"/>
    </xf>
    <xf numFmtId="49" fontId="0" fillId="0" borderId="0" xfId="0" applyNumberFormat="1"/>
    <xf numFmtId="2" fontId="2" fillId="2" borderId="4" xfId="2" applyNumberFormat="1" applyBorder="1" applyAlignment="1">
      <alignment vertical="center" wrapText="1"/>
    </xf>
    <xf numFmtId="2" fontId="2" fillId="2" borderId="6" xfId="2" applyNumberFormat="1" applyBorder="1" applyAlignment="1">
      <alignment vertical="center" wrapText="1"/>
    </xf>
    <xf numFmtId="0" fontId="2" fillId="0" borderId="0" xfId="2" applyFill="1" applyBorder="1" applyAlignment="1">
      <alignment vertical="center" wrapText="1"/>
    </xf>
    <xf numFmtId="2" fontId="2" fillId="0" borderId="0" xfId="2" applyNumberFormat="1" applyFill="1" applyBorder="1" applyAlignment="1">
      <alignment vertical="center" wrapText="1"/>
    </xf>
    <xf numFmtId="0" fontId="2" fillId="2" borderId="0" xfId="2" applyBorder="1" applyAlignment="1">
      <alignment vertical="center" wrapText="1"/>
    </xf>
    <xf numFmtId="2" fontId="2" fillId="2" borderId="0" xfId="2" applyNumberFormat="1" applyBorder="1"/>
    <xf numFmtId="0" fontId="0" fillId="0" borderId="0" xfId="0" quotePrefix="1"/>
    <xf numFmtId="2" fontId="2" fillId="2" borderId="0" xfId="2" applyNumberFormat="1" applyBorder="1" applyAlignment="1">
      <alignment vertical="center" wrapText="1"/>
    </xf>
    <xf numFmtId="0" fontId="16" fillId="2" borderId="8" xfId="2" applyFont="1" applyBorder="1" applyAlignment="1">
      <alignment horizontal="center"/>
    </xf>
    <xf numFmtId="0" fontId="16" fillId="2" borderId="6" xfId="2" applyFont="1" applyBorder="1" applyAlignment="1">
      <alignment horizontal="center"/>
    </xf>
    <xf numFmtId="0" fontId="6" fillId="8" borderId="9" xfId="3" applyFill="1" applyAlignment="1">
      <alignment vertical="center" wrapText="1"/>
    </xf>
    <xf numFmtId="0" fontId="2" fillId="2" borderId="12" xfId="2" applyBorder="1" applyAlignment="1">
      <alignment wrapText="1"/>
    </xf>
    <xf numFmtId="0" fontId="2" fillId="2" borderId="12" xfId="2" applyBorder="1"/>
    <xf numFmtId="0" fontId="2" fillId="9" borderId="3" xfId="2" applyFill="1" applyBorder="1" applyAlignment="1">
      <alignment vertical="top" wrapText="1"/>
    </xf>
    <xf numFmtId="164" fontId="2" fillId="9" borderId="0" xfId="2" applyNumberFormat="1" applyFill="1"/>
    <xf numFmtId="164" fontId="2" fillId="9" borderId="4" xfId="2" applyNumberFormat="1" applyFill="1" applyBorder="1"/>
    <xf numFmtId="164" fontId="2" fillId="9" borderId="4" xfId="2" applyNumberFormat="1" applyFill="1" applyBorder="1" applyAlignment="1">
      <alignment vertical="top" wrapText="1"/>
    </xf>
    <xf numFmtId="2" fontId="2" fillId="9" borderId="0" xfId="2" applyNumberFormat="1" applyFill="1"/>
    <xf numFmtId="2" fontId="2" fillId="9" borderId="4" xfId="2" applyNumberFormat="1" applyFill="1" applyBorder="1"/>
    <xf numFmtId="0" fontId="2" fillId="9" borderId="3" xfId="2" applyFill="1" applyBorder="1" applyAlignment="1">
      <alignment vertical="center" wrapText="1"/>
    </xf>
    <xf numFmtId="0" fontId="2" fillId="9" borderId="0" xfId="2" applyFill="1" applyBorder="1" applyAlignment="1">
      <alignment vertical="center" wrapText="1"/>
    </xf>
    <xf numFmtId="2" fontId="2" fillId="9" borderId="0" xfId="2" applyNumberFormat="1" applyFill="1" applyBorder="1"/>
    <xf numFmtId="2" fontId="2" fillId="9" borderId="0" xfId="2" applyNumberFormat="1" applyFill="1" applyBorder="1" applyAlignment="1">
      <alignment vertical="center" wrapText="1"/>
    </xf>
    <xf numFmtId="2" fontId="2" fillId="9" borderId="4" xfId="2" applyNumberForma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7" fillId="0" borderId="0" xfId="6" applyFont="1" applyFill="1" applyAlignment="1">
      <alignment vertical="top"/>
    </xf>
    <xf numFmtId="0" fontId="2" fillId="2" borderId="12" xfId="2" applyBorder="1" applyAlignment="1">
      <alignment vertical="center" wrapText="1"/>
    </xf>
    <xf numFmtId="0" fontId="2" fillId="2" borderId="11" xfId="2" applyBorder="1" applyAlignment="1">
      <alignment horizontal="right" vertical="center"/>
    </xf>
    <xf numFmtId="0" fontId="2" fillId="2" borderId="11" xfId="2" applyBorder="1" applyAlignment="1">
      <alignment vertical="center" wrapText="1"/>
    </xf>
    <xf numFmtId="0" fontId="2" fillId="2" borderId="13" xfId="2" applyBorder="1" applyAlignment="1">
      <alignment vertical="center" wrapText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vertical="top" wrapText="1"/>
    </xf>
    <xf numFmtId="164" fontId="4" fillId="0" borderId="10" xfId="0" applyNumberFormat="1" applyFont="1" applyBorder="1"/>
    <xf numFmtId="0" fontId="4" fillId="0" borderId="10" xfId="0" applyFont="1" applyBorder="1"/>
    <xf numFmtId="2" fontId="4" fillId="0" borderId="10" xfId="0" applyNumberFormat="1" applyFont="1" applyBorder="1"/>
    <xf numFmtId="0" fontId="11" fillId="0" borderId="10" xfId="0" applyFont="1" applyBorder="1" applyAlignment="1">
      <alignment wrapText="1"/>
    </xf>
    <xf numFmtId="0" fontId="11" fillId="0" borderId="10" xfId="0" applyFont="1" applyBorder="1"/>
    <xf numFmtId="164" fontId="11" fillId="0" borderId="10" xfId="0" applyNumberFormat="1" applyFont="1" applyBorder="1"/>
    <xf numFmtId="0" fontId="14" fillId="0" borderId="10" xfId="0" applyFont="1" applyBorder="1"/>
    <xf numFmtId="2" fontId="14" fillId="0" borderId="10" xfId="0" applyNumberFormat="1" applyFont="1" applyBorder="1"/>
    <xf numFmtId="0" fontId="12" fillId="0" borderId="10" xfId="0" applyFont="1" applyBorder="1"/>
    <xf numFmtId="44" fontId="8" fillId="6" borderId="10" xfId="5" applyNumberFormat="1" applyBorder="1"/>
    <xf numFmtId="0" fontId="11" fillId="0" borderId="10" xfId="0" applyFont="1" applyBorder="1" applyAlignment="1">
      <alignment horizontal="center" wrapText="1"/>
    </xf>
    <xf numFmtId="0" fontId="18" fillId="0" borderId="0" xfId="0" applyFont="1"/>
    <xf numFmtId="0" fontId="2" fillId="2" borderId="11" xfId="2" applyBorder="1" applyAlignment="1">
      <alignment horizontal="center" wrapText="1"/>
    </xf>
    <xf numFmtId="0" fontId="2" fillId="2" borderId="13" xfId="2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2" fillId="2" borderId="11" xfId="2" applyBorder="1" applyAlignment="1">
      <alignment horizontal="center" vertical="top" wrapText="1"/>
    </xf>
    <xf numFmtId="0" fontId="2" fillId="2" borderId="13" xfId="2" applyBorder="1" applyAlignment="1">
      <alignment horizontal="center" vertical="top" wrapText="1"/>
    </xf>
    <xf numFmtId="0" fontId="2" fillId="2" borderId="12" xfId="2" applyBorder="1" applyAlignment="1">
      <alignment horizontal="center" vertical="top" wrapText="1"/>
    </xf>
    <xf numFmtId="9" fontId="2" fillId="2" borderId="5" xfId="2" applyNumberFormat="1" applyBorder="1" applyAlignment="1">
      <alignment horizontal="center"/>
    </xf>
    <xf numFmtId="9" fontId="2" fillId="2" borderId="8" xfId="2" applyNumberFormat="1" applyBorder="1" applyAlignment="1">
      <alignment horizontal="center"/>
    </xf>
    <xf numFmtId="9" fontId="2" fillId="2" borderId="6" xfId="2" applyNumberFormat="1" applyBorder="1" applyAlignment="1">
      <alignment horizontal="center"/>
    </xf>
    <xf numFmtId="9" fontId="13" fillId="8" borderId="0" xfId="6" applyNumberFormat="1" applyFill="1" applyAlignment="1">
      <alignment horizontal="center"/>
    </xf>
    <xf numFmtId="0" fontId="11" fillId="10" borderId="10" xfId="0" applyFont="1" applyFill="1" applyBorder="1" applyAlignment="1">
      <alignment horizontal="center"/>
    </xf>
    <xf numFmtId="164" fontId="11" fillId="10" borderId="10" xfId="0" applyNumberFormat="1" applyFont="1" applyFill="1" applyBorder="1"/>
    <xf numFmtId="0" fontId="18" fillId="8" borderId="0" xfId="0" applyFont="1" applyFill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6" fillId="2" borderId="1" xfId="2" applyFont="1" applyBorder="1" applyAlignment="1">
      <alignment horizontal="center"/>
    </xf>
    <xf numFmtId="0" fontId="16" fillId="2" borderId="5" xfId="2" applyFont="1" applyBorder="1" applyAlignment="1">
      <alignment horizontal="center"/>
    </xf>
    <xf numFmtId="0" fontId="16" fillId="2" borderId="7" xfId="2" applyFont="1" applyBorder="1" applyAlignment="1">
      <alignment horizontal="center"/>
    </xf>
    <xf numFmtId="0" fontId="16" fillId="2" borderId="2" xfId="2" applyFont="1" applyBorder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4" fillId="0" borderId="0" xfId="0" applyFont="1"/>
    <xf numFmtId="0" fontId="16" fillId="2" borderId="6" xfId="2" applyFont="1" applyBorder="1" applyAlignment="1">
      <alignment horizontal="center"/>
    </xf>
    <xf numFmtId="0" fontId="18" fillId="0" borderId="0" xfId="0" applyFont="1" applyAlignment="1">
      <alignment horizontal="left"/>
    </xf>
    <xf numFmtId="2" fontId="11" fillId="0" borderId="10" xfId="0" applyNumberFormat="1" applyFont="1" applyBorder="1"/>
  </cellXfs>
  <cellStyles count="7">
    <cellStyle name="Accent1" xfId="5" builtinId="29"/>
    <cellStyle name="Calculation" xfId="4" builtinId="22"/>
    <cellStyle name="Good" xfId="2" builtinId="26"/>
    <cellStyle name="Input" xfId="3" builtinId="20"/>
    <cellStyle name="Neutral" xfId="6" builtinId="2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DEF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13</xdr:col>
      <xdr:colOff>142875</xdr:colOff>
      <xdr:row>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D35623-8F49-609D-5223-B97575BB2901}"/>
            </a:ext>
          </a:extLst>
        </xdr:cNvPr>
        <xdr:cNvSpPr txBox="1"/>
      </xdr:nvSpPr>
      <xdr:spPr>
        <a:xfrm>
          <a:off x="5819776" y="161925"/>
          <a:ext cx="4219574" cy="666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Use</a:t>
          </a:r>
          <a:r>
            <a:rPr lang="en-US" sz="1100" kern="1200" baseline="0"/>
            <a:t> this sheet for dynamic network solution.</a:t>
          </a:r>
        </a:p>
        <a:p>
          <a:r>
            <a:rPr lang="en-US" sz="1100" kern="1200" baseline="0"/>
            <a:t>There are three possible inputs- Year, Tariff, and Growth, highlighted in Yellow background. Use them appropriately to your answers.</a:t>
          </a:r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13</xdr:col>
      <xdr:colOff>142875</xdr:colOff>
      <xdr:row>5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149432-7DC8-4276-BB2C-FF6AB28DDA0E}"/>
            </a:ext>
          </a:extLst>
        </xdr:cNvPr>
        <xdr:cNvSpPr txBox="1"/>
      </xdr:nvSpPr>
      <xdr:spPr>
        <a:xfrm>
          <a:off x="6238876" y="161925"/>
          <a:ext cx="4295774" cy="8382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Use</a:t>
          </a:r>
          <a:r>
            <a:rPr lang="en-US" sz="1100" kern="1200" baseline="0"/>
            <a:t> this sheet for static network solution.</a:t>
          </a:r>
        </a:p>
        <a:p>
          <a:r>
            <a:rPr lang="en-US" sz="1100" kern="1200" baseline="0"/>
            <a:t>There are four possible inputs- Year, Tariff,  Growth and Network (Plant &amp; Lines open/shut), highlighted in Yellow background. Use them appropriately to your answers.</a:t>
          </a:r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838B623-738F-487E-ADCA-3CC76C443E7D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tabSelected="1" topLeftCell="B60" workbookViewId="0">
      <selection activeCell="J82" sqref="J82"/>
    </sheetView>
  </sheetViews>
  <sheetFormatPr baseColWidth="10" defaultColWidth="8.83203125" defaultRowHeight="14" x14ac:dyDescent="0.2"/>
  <cols>
    <col min="1" max="1" width="17" style="3" customWidth="1"/>
    <col min="2" max="2" width="13.5" style="3" bestFit="1" customWidth="1"/>
    <col min="3" max="3" width="10.83203125" style="3" bestFit="1" customWidth="1"/>
    <col min="4" max="4" width="13.1640625" style="3" customWidth="1"/>
    <col min="5" max="5" width="14.6640625" style="3" customWidth="1"/>
    <col min="6" max="6" width="17.33203125" style="3" customWidth="1"/>
    <col min="7" max="7" width="13.6640625" style="3" customWidth="1"/>
    <col min="8" max="8" width="12.5" style="3" customWidth="1"/>
    <col min="9" max="9" width="10.6640625" style="3" customWidth="1"/>
    <col min="10" max="10" width="12.33203125" style="3" customWidth="1"/>
    <col min="11" max="12" width="8.83203125" style="3"/>
    <col min="13" max="16" width="9.1640625" style="3" customWidth="1"/>
    <col min="17" max="17" width="11.6640625" style="3" customWidth="1"/>
    <col min="18" max="18" width="10.5" style="3" customWidth="1"/>
    <col min="19" max="19" width="11.33203125" style="3" customWidth="1"/>
    <col min="20" max="20" width="10.33203125" style="3" customWidth="1"/>
  </cols>
  <sheetData>
    <row r="1" spans="1:20" x14ac:dyDescent="0.2">
      <c r="A1" s="2" t="s">
        <v>0</v>
      </c>
      <c r="C1" s="2"/>
      <c r="E1" s="4"/>
    </row>
    <row r="2" spans="1:20" x14ac:dyDescent="0.2">
      <c r="A2" s="2"/>
      <c r="C2" s="2"/>
    </row>
    <row r="3" spans="1:20" x14ac:dyDescent="0.2">
      <c r="A3" s="2" t="s">
        <v>57</v>
      </c>
      <c r="C3" s="2"/>
    </row>
    <row r="5" spans="1:20" ht="15" x14ac:dyDescent="0.2">
      <c r="A5" s="89" t="s">
        <v>12</v>
      </c>
      <c r="B5" s="91" t="s">
        <v>13</v>
      </c>
      <c r="C5" s="92"/>
      <c r="D5" s="89" t="s">
        <v>10</v>
      </c>
      <c r="E5" s="92" t="s">
        <v>11</v>
      </c>
    </row>
    <row r="6" spans="1:20" ht="15" x14ac:dyDescent="0.2">
      <c r="A6" s="90"/>
      <c r="B6" s="39" t="s">
        <v>14</v>
      </c>
      <c r="C6" s="40" t="s">
        <v>15</v>
      </c>
      <c r="D6" s="90"/>
      <c r="E6" s="96"/>
    </row>
    <row r="7" spans="1:20" ht="15" customHeight="1" x14ac:dyDescent="0.2">
      <c r="A7" s="44" t="s">
        <v>1</v>
      </c>
      <c r="B7" s="45">
        <v>7</v>
      </c>
      <c r="C7" s="46">
        <v>7</v>
      </c>
      <c r="D7" s="44" t="s">
        <v>2</v>
      </c>
      <c r="E7" s="47">
        <v>18</v>
      </c>
    </row>
    <row r="8" spans="1:20" ht="15" customHeight="1" x14ac:dyDescent="0.2">
      <c r="A8" s="11" t="s">
        <v>3</v>
      </c>
      <c r="B8" s="10">
        <v>15</v>
      </c>
      <c r="C8" s="15">
        <v>12</v>
      </c>
      <c r="D8" s="11" t="s">
        <v>4</v>
      </c>
      <c r="E8" s="12">
        <v>45</v>
      </c>
    </row>
    <row r="9" spans="1:20" ht="15" customHeight="1" x14ac:dyDescent="0.2">
      <c r="A9" s="44" t="s">
        <v>5</v>
      </c>
      <c r="B9" s="45">
        <v>5</v>
      </c>
      <c r="C9" s="46">
        <v>3</v>
      </c>
      <c r="D9" s="44" t="s">
        <v>6</v>
      </c>
      <c r="E9" s="47">
        <v>18</v>
      </c>
    </row>
    <row r="10" spans="1:20" ht="15" customHeight="1" x14ac:dyDescent="0.2">
      <c r="A10" s="11" t="s">
        <v>7</v>
      </c>
      <c r="B10" s="10">
        <v>7</v>
      </c>
      <c r="C10" s="15">
        <v>8</v>
      </c>
      <c r="D10" s="11" t="s">
        <v>7</v>
      </c>
      <c r="E10" s="12">
        <v>10</v>
      </c>
    </row>
    <row r="11" spans="1:20" ht="15" customHeight="1" x14ac:dyDescent="0.2">
      <c r="A11" s="44" t="s">
        <v>8</v>
      </c>
      <c r="B11" s="45">
        <v>3</v>
      </c>
      <c r="C11" s="46">
        <v>3</v>
      </c>
      <c r="D11" s="44" t="s">
        <v>8</v>
      </c>
      <c r="E11" s="47">
        <v>30</v>
      </c>
    </row>
    <row r="12" spans="1:20" ht="15" customHeight="1" x14ac:dyDescent="0.2">
      <c r="A12" s="13" t="s">
        <v>9</v>
      </c>
      <c r="B12" s="16">
        <v>18</v>
      </c>
      <c r="C12" s="17">
        <v>17</v>
      </c>
      <c r="D12" s="13" t="s">
        <v>9</v>
      </c>
      <c r="E12" s="14">
        <v>22</v>
      </c>
    </row>
    <row r="14" spans="1:20" ht="15.75" customHeight="1" x14ac:dyDescent="0.2">
      <c r="A14" s="93" t="s">
        <v>59</v>
      </c>
      <c r="B14" s="94"/>
      <c r="C14" s="94"/>
      <c r="D14" s="94"/>
      <c r="E14" s="94"/>
      <c r="F14" s="95"/>
      <c r="G14" s="95"/>
      <c r="H14" s="95"/>
      <c r="J14" s="25" t="s">
        <v>36</v>
      </c>
      <c r="K14" s="25"/>
      <c r="M14" s="2" t="s">
        <v>58</v>
      </c>
    </row>
    <row r="15" spans="1:20" x14ac:dyDescent="0.2">
      <c r="M15" s="9" t="s">
        <v>23</v>
      </c>
      <c r="N15" s="9">
        <f>K16</f>
        <v>2024</v>
      </c>
    </row>
    <row r="16" spans="1:20" s="1" customFormat="1" ht="48" x14ac:dyDescent="0.2">
      <c r="A16" s="42" t="s">
        <v>10</v>
      </c>
      <c r="B16" s="75" t="s">
        <v>60</v>
      </c>
      <c r="C16" s="75" t="s">
        <v>61</v>
      </c>
      <c r="D16" s="75" t="s">
        <v>62</v>
      </c>
      <c r="E16" s="75" t="s">
        <v>63</v>
      </c>
      <c r="F16" s="75" t="s">
        <v>64</v>
      </c>
      <c r="G16" s="75" t="s">
        <v>65</v>
      </c>
      <c r="H16" s="76" t="s">
        <v>66</v>
      </c>
      <c r="I16" s="5"/>
      <c r="J16" s="55" t="s">
        <v>23</v>
      </c>
      <c r="K16" s="41">
        <v>2024</v>
      </c>
      <c r="L16" s="7"/>
      <c r="M16" s="61" t="s">
        <v>10</v>
      </c>
      <c r="N16" s="77" t="s">
        <v>60</v>
      </c>
      <c r="O16" s="77" t="s">
        <v>61</v>
      </c>
      <c r="P16" s="77" t="s">
        <v>62</v>
      </c>
      <c r="Q16" s="77" t="s">
        <v>63</v>
      </c>
      <c r="R16" s="77" t="s">
        <v>64</v>
      </c>
      <c r="S16" s="77" t="s">
        <v>65</v>
      </c>
      <c r="T16" s="77" t="s">
        <v>66</v>
      </c>
    </row>
    <row r="17" spans="1:20" ht="15.75" customHeight="1" x14ac:dyDescent="0.2">
      <c r="A17" s="44" t="s">
        <v>2</v>
      </c>
      <c r="B17" s="45">
        <v>20</v>
      </c>
      <c r="C17" s="45">
        <v>5</v>
      </c>
      <c r="D17" s="45">
        <v>5</v>
      </c>
      <c r="E17" s="45">
        <v>3.6</v>
      </c>
      <c r="F17" s="45">
        <v>5.0999999999999996</v>
      </c>
      <c r="G17" s="45">
        <v>4.5999999999999996</v>
      </c>
      <c r="H17" s="46">
        <v>6.6</v>
      </c>
      <c r="J17" s="7" t="s">
        <v>17</v>
      </c>
      <c r="K17" s="29">
        <f>HLOOKUP($K$16,$B$36:$F$42,2,FALSE)</f>
        <v>6.19</v>
      </c>
      <c r="L17" s="8"/>
      <c r="M17" s="62" t="s">
        <v>2</v>
      </c>
      <c r="N17" s="63">
        <f>($B37/$K17)*B17</f>
        <v>16.768982229402262</v>
      </c>
      <c r="O17" s="63">
        <f t="shared" ref="O17:T17" si="0">($B$37/$K$17)*C17</f>
        <v>4.1922455573505655</v>
      </c>
      <c r="P17" s="63">
        <f t="shared" si="0"/>
        <v>4.1922455573505655</v>
      </c>
      <c r="Q17" s="63">
        <f t="shared" si="0"/>
        <v>3.0184168012924073</v>
      </c>
      <c r="R17" s="63">
        <f t="shared" si="0"/>
        <v>4.2760904684975767</v>
      </c>
      <c r="S17" s="63">
        <f t="shared" si="0"/>
        <v>3.8568659127625202</v>
      </c>
      <c r="T17" s="63">
        <f t="shared" si="0"/>
        <v>5.5337641357027465</v>
      </c>
    </row>
    <row r="18" spans="1:20" ht="15.75" customHeight="1" x14ac:dyDescent="0.2">
      <c r="A18" s="11" t="s">
        <v>4</v>
      </c>
      <c r="B18" s="10">
        <v>45</v>
      </c>
      <c r="C18" s="10">
        <v>13</v>
      </c>
      <c r="D18" s="10">
        <v>13</v>
      </c>
      <c r="E18" s="10">
        <v>3.9</v>
      </c>
      <c r="F18" s="10">
        <v>6</v>
      </c>
      <c r="G18" s="10">
        <v>5</v>
      </c>
      <c r="H18" s="15">
        <v>7</v>
      </c>
      <c r="J18" s="7" t="s">
        <v>18</v>
      </c>
      <c r="K18" s="29">
        <f>HLOOKUP($K$16,$B$36:$F$42,3,FALSE)</f>
        <v>0.97</v>
      </c>
      <c r="L18" s="8"/>
      <c r="M18" s="62" t="s">
        <v>4</v>
      </c>
      <c r="N18" s="63">
        <f t="shared" ref="N18:T18" si="1">($B$38/$K$18)*B18</f>
        <v>38.041237113402062</v>
      </c>
      <c r="O18" s="63">
        <f t="shared" si="1"/>
        <v>10.989690721649485</v>
      </c>
      <c r="P18" s="63">
        <f t="shared" si="1"/>
        <v>10.989690721649485</v>
      </c>
      <c r="Q18" s="63">
        <f t="shared" si="1"/>
        <v>3.2969072164948452</v>
      </c>
      <c r="R18" s="63">
        <f t="shared" si="1"/>
        <v>5.072164948453608</v>
      </c>
      <c r="S18" s="63">
        <f t="shared" si="1"/>
        <v>4.2268041237113403</v>
      </c>
      <c r="T18" s="63">
        <f t="shared" si="1"/>
        <v>5.9175257731958766</v>
      </c>
    </row>
    <row r="19" spans="1:20" ht="15.75" customHeight="1" x14ac:dyDescent="0.2">
      <c r="A19" s="44" t="s">
        <v>6</v>
      </c>
      <c r="B19" s="45">
        <v>14</v>
      </c>
      <c r="C19" s="45">
        <v>3</v>
      </c>
      <c r="D19" s="45">
        <v>3</v>
      </c>
      <c r="E19" s="45">
        <v>3.6</v>
      </c>
      <c r="F19" s="45">
        <v>4.5</v>
      </c>
      <c r="G19" s="45">
        <v>4.5</v>
      </c>
      <c r="H19" s="46">
        <v>6</v>
      </c>
      <c r="J19" s="7" t="s">
        <v>19</v>
      </c>
      <c r="K19" s="29">
        <f>HLOOKUP($K$16,$B$36:$F$42,4,FALSE)</f>
        <v>85.58</v>
      </c>
      <c r="L19" s="8"/>
      <c r="M19" s="62" t="s">
        <v>6</v>
      </c>
      <c r="N19" s="63">
        <f t="shared" ref="N19:T19" si="2">($B$39/$K$19)*B19</f>
        <v>12.050011684973123</v>
      </c>
      <c r="O19" s="63">
        <f t="shared" si="2"/>
        <v>2.5821453610656695</v>
      </c>
      <c r="P19" s="63">
        <f t="shared" si="2"/>
        <v>2.5821453610656695</v>
      </c>
      <c r="Q19" s="63">
        <f t="shared" si="2"/>
        <v>3.0985744332788032</v>
      </c>
      <c r="R19" s="63">
        <f t="shared" si="2"/>
        <v>3.8732180415985042</v>
      </c>
      <c r="S19" s="63">
        <f t="shared" si="2"/>
        <v>3.8732180415985042</v>
      </c>
      <c r="T19" s="63">
        <f t="shared" si="2"/>
        <v>5.164290722131339</v>
      </c>
    </row>
    <row r="20" spans="1:20" ht="15.75" customHeight="1" x14ac:dyDescent="0.2">
      <c r="A20" s="11" t="s">
        <v>7</v>
      </c>
      <c r="B20" s="10">
        <v>13</v>
      </c>
      <c r="C20" s="10">
        <v>4</v>
      </c>
      <c r="D20" s="10">
        <v>4</v>
      </c>
      <c r="E20" s="10">
        <v>3.9</v>
      </c>
      <c r="F20" s="10">
        <v>6</v>
      </c>
      <c r="G20" s="10">
        <v>5.0999999999999996</v>
      </c>
      <c r="H20" s="15">
        <v>7</v>
      </c>
      <c r="J20" s="7" t="s">
        <v>20</v>
      </c>
      <c r="K20" s="29">
        <f>HLOOKUP($K$16,$B$36:$F$42,5,FALSE)</f>
        <v>157.38999999999999</v>
      </c>
      <c r="L20" s="8"/>
      <c r="M20" s="62" t="s">
        <v>7</v>
      </c>
      <c r="N20" s="63">
        <f t="shared" ref="N20:T20" si="3">($B$40/$K$20)*B20</f>
        <v>8.5273524366224027</v>
      </c>
      <c r="O20" s="63">
        <f t="shared" si="3"/>
        <v>2.6238007497299702</v>
      </c>
      <c r="P20" s="63">
        <f t="shared" si="3"/>
        <v>2.6238007497299702</v>
      </c>
      <c r="Q20" s="63">
        <f t="shared" si="3"/>
        <v>2.558205730986721</v>
      </c>
      <c r="R20" s="63">
        <f t="shared" si="3"/>
        <v>3.9357011245949556</v>
      </c>
      <c r="S20" s="63">
        <f t="shared" si="3"/>
        <v>3.3453459559057119</v>
      </c>
      <c r="T20" s="63">
        <f t="shared" si="3"/>
        <v>4.591651312027448</v>
      </c>
    </row>
    <row r="21" spans="1:20" ht="15.75" customHeight="1" x14ac:dyDescent="0.2">
      <c r="A21" s="44" t="s">
        <v>8</v>
      </c>
      <c r="B21" s="45">
        <v>30</v>
      </c>
      <c r="C21" s="45">
        <v>6</v>
      </c>
      <c r="D21" s="45">
        <v>6</v>
      </c>
      <c r="E21" s="45">
        <v>3.6</v>
      </c>
      <c r="F21" s="45">
        <v>5</v>
      </c>
      <c r="G21" s="45">
        <v>4.5999999999999996</v>
      </c>
      <c r="H21" s="46">
        <v>6.5</v>
      </c>
      <c r="J21" s="7" t="s">
        <v>21</v>
      </c>
      <c r="K21" s="29">
        <f>HLOOKUP($K$16,$B$36:$F$42,6,FALSE)</f>
        <v>20.86</v>
      </c>
      <c r="L21" s="8"/>
      <c r="M21" s="62" t="s">
        <v>8</v>
      </c>
      <c r="N21" s="63">
        <f t="shared" ref="N21:T21" si="4">($B$41/$K$21)*B21</f>
        <v>28.619367209971237</v>
      </c>
      <c r="O21" s="63">
        <f t="shared" si="4"/>
        <v>5.7238734419942467</v>
      </c>
      <c r="P21" s="63">
        <f t="shared" si="4"/>
        <v>5.7238734419942467</v>
      </c>
      <c r="Q21" s="63">
        <f t="shared" si="4"/>
        <v>3.4343240651965483</v>
      </c>
      <c r="R21" s="63">
        <f t="shared" si="4"/>
        <v>4.7698945349952062</v>
      </c>
      <c r="S21" s="63">
        <f t="shared" si="4"/>
        <v>4.3883029721955893</v>
      </c>
      <c r="T21" s="63">
        <f t="shared" si="4"/>
        <v>6.2008628954937679</v>
      </c>
    </row>
    <row r="22" spans="1:20" ht="15.75" customHeight="1" x14ac:dyDescent="0.2">
      <c r="A22" s="13" t="s">
        <v>9</v>
      </c>
      <c r="B22" s="16">
        <v>23</v>
      </c>
      <c r="C22" s="16">
        <v>5</v>
      </c>
      <c r="D22" s="16">
        <v>5</v>
      </c>
      <c r="E22" s="16">
        <v>3.6</v>
      </c>
      <c r="F22" s="16">
        <v>5</v>
      </c>
      <c r="G22" s="16">
        <v>4.5</v>
      </c>
      <c r="H22" s="17">
        <v>6.5</v>
      </c>
      <c r="J22" s="7" t="s">
        <v>22</v>
      </c>
      <c r="K22" s="29">
        <f>HLOOKUP($K$16,$B$36:$F$42,7,FALSE)</f>
        <v>1</v>
      </c>
      <c r="L22" s="8"/>
      <c r="M22" s="62" t="s">
        <v>9</v>
      </c>
      <c r="N22" s="63">
        <f t="shared" ref="N22:T22" si="5">($B$42/$K$22)*B22</f>
        <v>23</v>
      </c>
      <c r="O22" s="63">
        <f t="shared" si="5"/>
        <v>5</v>
      </c>
      <c r="P22" s="63">
        <f t="shared" si="5"/>
        <v>5</v>
      </c>
      <c r="Q22" s="63">
        <f t="shared" si="5"/>
        <v>3.6</v>
      </c>
      <c r="R22" s="63">
        <f t="shared" si="5"/>
        <v>5</v>
      </c>
      <c r="S22" s="63">
        <f t="shared" si="5"/>
        <v>4.5</v>
      </c>
      <c r="T22" s="63">
        <f t="shared" si="5"/>
        <v>6.5</v>
      </c>
    </row>
    <row r="24" spans="1:20" x14ac:dyDescent="0.2">
      <c r="A24" s="2" t="s">
        <v>34</v>
      </c>
      <c r="M24" s="2" t="s">
        <v>37</v>
      </c>
    </row>
    <row r="26" spans="1:20" ht="30" x14ac:dyDescent="0.2">
      <c r="A26" s="43" t="s">
        <v>16</v>
      </c>
      <c r="B26" s="78" t="s">
        <v>1</v>
      </c>
      <c r="C26" s="78" t="s">
        <v>3</v>
      </c>
      <c r="D26" s="78" t="s">
        <v>5</v>
      </c>
      <c r="E26" s="78" t="s">
        <v>7</v>
      </c>
      <c r="F26" s="78" t="s">
        <v>8</v>
      </c>
      <c r="G26" s="79" t="s">
        <v>9</v>
      </c>
      <c r="M26" s="64" t="s">
        <v>16</v>
      </c>
      <c r="N26" s="62" t="s">
        <v>1</v>
      </c>
      <c r="O26" s="62" t="s">
        <v>3</v>
      </c>
      <c r="P26" s="62" t="s">
        <v>5</v>
      </c>
      <c r="Q26" s="62" t="s">
        <v>7</v>
      </c>
      <c r="R26" s="62" t="s">
        <v>8</v>
      </c>
      <c r="S26" s="62" t="s">
        <v>9</v>
      </c>
    </row>
    <row r="27" spans="1:20" ht="16" x14ac:dyDescent="0.2">
      <c r="A27" s="44" t="s">
        <v>2</v>
      </c>
      <c r="B27" s="48">
        <v>0.2</v>
      </c>
      <c r="C27" s="48">
        <v>0.45</v>
      </c>
      <c r="D27" s="48">
        <v>0.5</v>
      </c>
      <c r="E27" s="48">
        <v>0.5</v>
      </c>
      <c r="F27" s="48">
        <v>0.4</v>
      </c>
      <c r="G27" s="49">
        <v>0.45</v>
      </c>
      <c r="M27" s="62" t="s">
        <v>2</v>
      </c>
      <c r="N27" s="65">
        <f>($Q17+$R17+B27)*(1)</f>
        <v>7.4945072697899837</v>
      </c>
      <c r="O27" s="65">
        <f>($Q17+$R17+C27)*(1+B$47)</f>
        <v>7.9768424878836832</v>
      </c>
      <c r="P27" s="65">
        <f t="shared" ref="P27:S32" si="6">($Q17+$R17+D27)*(1+C$47)</f>
        <v>9.8990242326332787</v>
      </c>
      <c r="Q27" s="65">
        <f t="shared" si="6"/>
        <v>8.2621777059773827</v>
      </c>
      <c r="R27" s="65">
        <f t="shared" si="6"/>
        <v>10.38758481421648</v>
      </c>
      <c r="S27" s="65">
        <f t="shared" si="6"/>
        <v>8.0542875605815833</v>
      </c>
    </row>
    <row r="28" spans="1:20" ht="16" x14ac:dyDescent="0.2">
      <c r="A28" s="11" t="s">
        <v>4</v>
      </c>
      <c r="B28" s="18">
        <v>0.45</v>
      </c>
      <c r="C28" s="18">
        <v>0.2</v>
      </c>
      <c r="D28" s="18">
        <v>0.35</v>
      </c>
      <c r="E28" s="18">
        <v>0.4</v>
      </c>
      <c r="F28" s="18">
        <v>0.3</v>
      </c>
      <c r="G28" s="19">
        <v>0.3</v>
      </c>
      <c r="M28" s="62" t="s">
        <v>4</v>
      </c>
      <c r="N28" s="65">
        <f t="shared" ref="N28:O32" si="7">($Q18+$R18+B28)*(1+A$47)</f>
        <v>11.464793814432987</v>
      </c>
      <c r="O28" s="65">
        <f>($Q18+$R18+C28)*(1)</f>
        <v>8.5690721649484516</v>
      </c>
      <c r="P28" s="65">
        <f t="shared" si="6"/>
        <v>11.073221649484534</v>
      </c>
      <c r="Q28" s="65">
        <f t="shared" si="6"/>
        <v>9.2952164948453611</v>
      </c>
      <c r="R28" s="65">
        <f t="shared" si="6"/>
        <v>11.703247422680413</v>
      </c>
      <c r="S28" s="65">
        <f>($Q18+$R18+G28)*(1+F$47+$B$48)</f>
        <v>9.0158350515463912</v>
      </c>
    </row>
    <row r="29" spans="1:20" ht="16" x14ac:dyDescent="0.2">
      <c r="A29" s="44" t="s">
        <v>6</v>
      </c>
      <c r="B29" s="48">
        <v>0.5</v>
      </c>
      <c r="C29" s="48">
        <v>0.35</v>
      </c>
      <c r="D29" s="48">
        <v>0.2</v>
      </c>
      <c r="E29" s="48">
        <v>0.3</v>
      </c>
      <c r="F29" s="48">
        <v>0.5</v>
      </c>
      <c r="G29" s="49">
        <v>0.45</v>
      </c>
      <c r="M29" s="62" t="s">
        <v>6</v>
      </c>
      <c r="N29" s="65">
        <f t="shared" si="7"/>
        <v>9.7133302173405003</v>
      </c>
      <c r="O29" s="65">
        <f t="shared" si="7"/>
        <v>7.5414462491236272</v>
      </c>
      <c r="P29" s="65">
        <f>($Q19+$R19+D29)*(1)</f>
        <v>7.1717924748773081</v>
      </c>
      <c r="Q29" s="65">
        <f t="shared" si="6"/>
        <v>7.7081000233699468</v>
      </c>
      <c r="R29" s="65">
        <f t="shared" si="6"/>
        <v>10.086919841084367</v>
      </c>
      <c r="S29" s="65">
        <f t="shared" si="6"/>
        <v>7.7186641738724004</v>
      </c>
    </row>
    <row r="30" spans="1:20" ht="16" x14ac:dyDescent="0.2">
      <c r="A30" s="11" t="s">
        <v>7</v>
      </c>
      <c r="B30" s="18">
        <v>0.5</v>
      </c>
      <c r="C30" s="18">
        <v>0.4</v>
      </c>
      <c r="D30" s="18">
        <v>0.3</v>
      </c>
      <c r="E30" s="18">
        <v>0.1</v>
      </c>
      <c r="F30" s="18">
        <v>0.45</v>
      </c>
      <c r="G30" s="19">
        <v>0.45</v>
      </c>
      <c r="M30" s="62" t="s">
        <v>7</v>
      </c>
      <c r="N30" s="65">
        <f t="shared" si="7"/>
        <v>9.0920789122561807</v>
      </c>
      <c r="O30" s="65">
        <f t="shared" si="7"/>
        <v>7.1007240612491271</v>
      </c>
      <c r="P30" s="65">
        <f t="shared" si="6"/>
        <v>8.628261706588729</v>
      </c>
      <c r="Q30" s="65">
        <f>($Q20+$R20+E30)*(1)</f>
        <v>6.5939068555816762</v>
      </c>
      <c r="R30" s="65">
        <f t="shared" si="6"/>
        <v>9.3742742550352638</v>
      </c>
      <c r="S30" s="65">
        <f t="shared" si="6"/>
        <v>7.2216631298049441</v>
      </c>
    </row>
    <row r="31" spans="1:20" ht="16" x14ac:dyDescent="0.2">
      <c r="A31" s="44" t="s">
        <v>8</v>
      </c>
      <c r="B31" s="48">
        <v>0.4</v>
      </c>
      <c r="C31" s="48">
        <v>0.3</v>
      </c>
      <c r="D31" s="48">
        <v>0.5</v>
      </c>
      <c r="E31" s="48">
        <v>0.45</v>
      </c>
      <c r="F31" s="48">
        <v>0.2</v>
      </c>
      <c r="G31" s="49">
        <v>0.25</v>
      </c>
      <c r="M31" s="62" t="s">
        <v>8</v>
      </c>
      <c r="N31" s="65">
        <f t="shared" si="7"/>
        <v>11.185484180249283</v>
      </c>
      <c r="O31" s="65">
        <f t="shared" si="7"/>
        <v>8.7593451581975081</v>
      </c>
      <c r="P31" s="65">
        <f t="shared" si="6"/>
        <v>11.054357622243529</v>
      </c>
      <c r="Q31" s="65">
        <f t="shared" si="6"/>
        <v>9.1734717162032595</v>
      </c>
      <c r="R31" s="65">
        <f>($Q21+$R21+F31)*(1)</f>
        <v>8.4042186001917543</v>
      </c>
      <c r="S31" s="65">
        <f t="shared" si="6"/>
        <v>8.792387344199426</v>
      </c>
    </row>
    <row r="32" spans="1:20" ht="16" x14ac:dyDescent="0.2">
      <c r="A32" s="13" t="s">
        <v>9</v>
      </c>
      <c r="B32" s="20">
        <v>0.45</v>
      </c>
      <c r="C32" s="20">
        <v>0.3</v>
      </c>
      <c r="D32" s="20">
        <v>0.45</v>
      </c>
      <c r="E32" s="20">
        <v>0.45</v>
      </c>
      <c r="F32" s="20">
        <v>0.25</v>
      </c>
      <c r="G32" s="21">
        <v>0.2</v>
      </c>
      <c r="M32" s="62" t="s">
        <v>9</v>
      </c>
      <c r="N32" s="65">
        <f t="shared" si="7"/>
        <v>11.764999999999999</v>
      </c>
      <c r="O32" s="65">
        <f>($Q22+$R22+C32)*(1+B$47+$B$48)</f>
        <v>9.1669999999999998</v>
      </c>
      <c r="P32" s="65">
        <f t="shared" si="6"/>
        <v>11.493499999999999</v>
      </c>
      <c r="Q32" s="65">
        <f t="shared" si="6"/>
        <v>9.593</v>
      </c>
      <c r="R32" s="65">
        <f t="shared" si="6"/>
        <v>11.9475</v>
      </c>
      <c r="S32" s="65">
        <f>($Q22+$R22+G32)*(1)</f>
        <v>8.7999999999999989</v>
      </c>
    </row>
    <row r="34" spans="1:19" x14ac:dyDescent="0.2">
      <c r="A34" s="2" t="s">
        <v>44</v>
      </c>
      <c r="M34" s="2" t="s">
        <v>38</v>
      </c>
    </row>
    <row r="36" spans="1:19" ht="28.5" customHeight="1" x14ac:dyDescent="0.2">
      <c r="A36" s="57"/>
      <c r="B36" s="59">
        <v>2020</v>
      </c>
      <c r="C36" s="59">
        <v>2021</v>
      </c>
      <c r="D36" s="58">
        <v>2022</v>
      </c>
      <c r="E36" s="59">
        <v>2023</v>
      </c>
      <c r="F36" s="60">
        <v>2024</v>
      </c>
      <c r="G36" s="33"/>
      <c r="H36" s="33"/>
      <c r="I36" s="33"/>
      <c r="J36" s="33"/>
      <c r="K36" s="33"/>
      <c r="M36" s="64" t="s">
        <v>16</v>
      </c>
      <c r="N36" s="62" t="s">
        <v>1</v>
      </c>
      <c r="O36" s="62" t="s">
        <v>3</v>
      </c>
      <c r="P36" s="62" t="s">
        <v>5</v>
      </c>
      <c r="Q36" s="62" t="s">
        <v>7</v>
      </c>
      <c r="R36" s="62" t="s">
        <v>8</v>
      </c>
      <c r="S36" s="62" t="s">
        <v>9</v>
      </c>
    </row>
    <row r="37" spans="1:19" ht="15" customHeight="1" x14ac:dyDescent="0.2">
      <c r="A37" s="50" t="s">
        <v>17</v>
      </c>
      <c r="B37" s="51">
        <v>5.19</v>
      </c>
      <c r="C37" s="51">
        <v>5.26</v>
      </c>
      <c r="D37" s="52">
        <v>5.29</v>
      </c>
      <c r="E37" s="53">
        <v>4.8499999999999996</v>
      </c>
      <c r="F37" s="54">
        <v>6.19</v>
      </c>
      <c r="G37" s="34"/>
      <c r="H37" s="34"/>
      <c r="I37" s="34"/>
      <c r="J37" s="34"/>
      <c r="K37" s="34"/>
      <c r="M37" s="62" t="s">
        <v>2</v>
      </c>
      <c r="N37" s="65">
        <f>($S17+$T17+B27)*(1)</f>
        <v>9.5906300484652665</v>
      </c>
      <c r="O37" s="65">
        <f t="shared" ref="O37:S42" si="8">($S17+$T17+C27)*(1+B$47)</f>
        <v>10.135848949919225</v>
      </c>
      <c r="P37" s="65">
        <f t="shared" si="8"/>
        <v>12.56110016155089</v>
      </c>
      <c r="Q37" s="65">
        <f t="shared" si="8"/>
        <v>10.484067851373183</v>
      </c>
      <c r="R37" s="65">
        <f t="shared" si="8"/>
        <v>13.217350565428111</v>
      </c>
      <c r="S37" s="65">
        <f t="shared" si="8"/>
        <v>10.234255250403878</v>
      </c>
    </row>
    <row r="38" spans="1:19" ht="15" customHeight="1" x14ac:dyDescent="0.2">
      <c r="A38" s="22" t="s">
        <v>18</v>
      </c>
      <c r="B38" s="35">
        <v>0.82</v>
      </c>
      <c r="C38" s="35">
        <v>0.88</v>
      </c>
      <c r="D38" s="36">
        <v>0.93</v>
      </c>
      <c r="E38" s="38">
        <v>0.91</v>
      </c>
      <c r="F38" s="31">
        <v>0.97</v>
      </c>
      <c r="G38" s="34"/>
      <c r="H38" s="34"/>
      <c r="I38" s="34"/>
      <c r="J38" s="34"/>
      <c r="K38" s="34"/>
      <c r="M38" s="62" t="s">
        <v>4</v>
      </c>
      <c r="N38" s="65">
        <f>($S18+$T18+B28)*(1+A$47)</f>
        <v>13.77262886597938</v>
      </c>
      <c r="O38" s="65">
        <f>($S18+$T18+C28)*(1)</f>
        <v>10.344329896907215</v>
      </c>
      <c r="P38" s="65">
        <f t="shared" si="8"/>
        <v>13.327798969072164</v>
      </c>
      <c r="Q38" s="65">
        <f t="shared" si="8"/>
        <v>11.176989690721649</v>
      </c>
      <c r="R38" s="65">
        <f t="shared" si="8"/>
        <v>14.099845360824743</v>
      </c>
      <c r="S38" s="65">
        <f>($S18+$T18+G28)*(1+F$47+$B$48)</f>
        <v>10.862103092783506</v>
      </c>
    </row>
    <row r="39" spans="1:19" ht="15" customHeight="1" x14ac:dyDescent="0.2">
      <c r="A39" s="50" t="s">
        <v>19</v>
      </c>
      <c r="B39" s="51">
        <v>73.66</v>
      </c>
      <c r="C39" s="51">
        <v>74.28</v>
      </c>
      <c r="D39" s="52">
        <v>82.75</v>
      </c>
      <c r="E39" s="53">
        <v>83.04</v>
      </c>
      <c r="F39" s="54">
        <v>85.58</v>
      </c>
      <c r="G39" s="34"/>
      <c r="H39" s="34"/>
      <c r="I39" s="34"/>
      <c r="J39" s="34"/>
      <c r="K39" s="34"/>
      <c r="M39" s="62" t="s">
        <v>6</v>
      </c>
      <c r="N39" s="65">
        <f t="shared" ref="N39:Q42" si="9">($S19+$T19+B29)*(1+A$47)</f>
        <v>12.398761392848796</v>
      </c>
      <c r="O39" s="65">
        <f t="shared" si="9"/>
        <v>9.6691340266417374</v>
      </c>
      <c r="P39" s="65">
        <f>($S19+$T19+D29)*(1)</f>
        <v>9.2375087637298421</v>
      </c>
      <c r="Q39" s="65">
        <f t="shared" si="8"/>
        <v>9.897759289553635</v>
      </c>
      <c r="R39" s="65">
        <f t="shared" si="8"/>
        <v>12.875636831035289</v>
      </c>
      <c r="S39" s="65">
        <f t="shared" si="8"/>
        <v>9.8670091142790355</v>
      </c>
    </row>
    <row r="40" spans="1:19" ht="15" customHeight="1" x14ac:dyDescent="0.2">
      <c r="A40" s="22" t="s">
        <v>20</v>
      </c>
      <c r="B40" s="35">
        <v>103.24</v>
      </c>
      <c r="C40" s="35">
        <v>115.59</v>
      </c>
      <c r="D40" s="36">
        <v>131.12</v>
      </c>
      <c r="E40" s="38">
        <v>140.99</v>
      </c>
      <c r="F40" s="31">
        <v>157.38999999999999</v>
      </c>
      <c r="G40" s="34"/>
      <c r="H40" s="34"/>
      <c r="I40" s="34"/>
      <c r="J40" s="34"/>
      <c r="K40" s="34"/>
      <c r="M40" s="62" t="s">
        <v>7</v>
      </c>
      <c r="N40" s="65">
        <f t="shared" si="9"/>
        <v>10.968096448313108</v>
      </c>
      <c r="O40" s="65">
        <f t="shared" si="9"/>
        <v>8.5871071859711545</v>
      </c>
      <c r="P40" s="65">
        <f t="shared" si="9"/>
        <v>10.460986530275115</v>
      </c>
      <c r="Q40" s="65">
        <f>($S20+$T20+E30)*(1)</f>
        <v>8.0369972679331596</v>
      </c>
      <c r="R40" s="65">
        <f t="shared" si="8"/>
        <v>11.322446311709765</v>
      </c>
      <c r="S40" s="65">
        <f t="shared" si="8"/>
        <v>8.7224771586504861</v>
      </c>
    </row>
    <row r="41" spans="1:19" ht="15" customHeight="1" x14ac:dyDescent="0.2">
      <c r="A41" s="50" t="s">
        <v>21</v>
      </c>
      <c r="B41" s="51">
        <v>19.899999999999999</v>
      </c>
      <c r="C41" s="51">
        <v>20.62</v>
      </c>
      <c r="D41" s="52">
        <v>19.48</v>
      </c>
      <c r="E41" s="53">
        <v>16.96</v>
      </c>
      <c r="F41" s="54">
        <v>20.86</v>
      </c>
      <c r="G41" s="34"/>
      <c r="H41" s="34"/>
      <c r="I41" s="34"/>
      <c r="J41" s="34"/>
      <c r="K41" s="34"/>
      <c r="M41" s="62" t="s">
        <v>8</v>
      </c>
      <c r="N41" s="65">
        <f t="shared" si="9"/>
        <v>14.285915627996165</v>
      </c>
      <c r="O41" s="65">
        <f t="shared" si="9"/>
        <v>11.215840843720038</v>
      </c>
      <c r="P41" s="65">
        <f t="shared" si="9"/>
        <v>14.083240651965482</v>
      </c>
      <c r="Q41" s="65">
        <f t="shared" si="9"/>
        <v>11.701515819750718</v>
      </c>
      <c r="R41" s="65">
        <f>($S21+$T21+F31)*(1)</f>
        <v>10.789165867689356</v>
      </c>
      <c r="S41" s="65">
        <f t="shared" si="8"/>
        <v>11.272732502396931</v>
      </c>
    </row>
    <row r="42" spans="1:19" ht="15" customHeight="1" x14ac:dyDescent="0.2">
      <c r="A42" s="23" t="s">
        <v>22</v>
      </c>
      <c r="B42" s="24">
        <v>1</v>
      </c>
      <c r="C42" s="24">
        <v>1</v>
      </c>
      <c r="D42" s="20">
        <v>1</v>
      </c>
      <c r="E42" s="24">
        <v>1</v>
      </c>
      <c r="F42" s="32">
        <v>1</v>
      </c>
      <c r="G42" s="34"/>
      <c r="H42" s="34"/>
      <c r="I42" s="34"/>
      <c r="J42" s="34"/>
      <c r="K42" s="34"/>
      <c r="M42" s="62" t="s">
        <v>9</v>
      </c>
      <c r="N42" s="65">
        <f t="shared" si="9"/>
        <v>14.885</v>
      </c>
      <c r="O42" s="65">
        <f>($S22+$T22+C32)*(1+B$47+$B$48)</f>
        <v>11.639000000000001</v>
      </c>
      <c r="P42" s="65">
        <f t="shared" si="9"/>
        <v>14.541499999999999</v>
      </c>
      <c r="Q42" s="65">
        <f t="shared" si="9"/>
        <v>12.137</v>
      </c>
      <c r="R42" s="65">
        <f t="shared" si="8"/>
        <v>15.187500000000002</v>
      </c>
      <c r="S42" s="65">
        <f>($S22+$T22+G32)*(1)</f>
        <v>11.2</v>
      </c>
    </row>
    <row r="43" spans="1:19" ht="15" customHeight="1" x14ac:dyDescent="0.2"/>
    <row r="44" spans="1:19" x14ac:dyDescent="0.2">
      <c r="A44" s="2" t="s">
        <v>35</v>
      </c>
    </row>
    <row r="46" spans="1:19" ht="32" x14ac:dyDescent="0.2">
      <c r="A46" s="80" t="s">
        <v>1</v>
      </c>
      <c r="B46" s="78" t="s">
        <v>3</v>
      </c>
      <c r="C46" s="78" t="s">
        <v>5</v>
      </c>
      <c r="D46" s="78" t="s">
        <v>7</v>
      </c>
      <c r="E46" s="78" t="s">
        <v>8</v>
      </c>
      <c r="F46" s="79" t="s">
        <v>9</v>
      </c>
    </row>
    <row r="47" spans="1:19" ht="15" x14ac:dyDescent="0.2">
      <c r="A47" s="81">
        <v>0.3</v>
      </c>
      <c r="B47" s="82">
        <v>0.03</v>
      </c>
      <c r="C47" s="82">
        <v>0.27</v>
      </c>
      <c r="D47" s="82">
        <v>0.06</v>
      </c>
      <c r="E47" s="82">
        <v>0.35</v>
      </c>
      <c r="F47" s="83">
        <v>0.04</v>
      </c>
    </row>
    <row r="48" spans="1:19" ht="15" x14ac:dyDescent="0.2">
      <c r="A48" s="7"/>
      <c r="B48" s="84">
        <v>0</v>
      </c>
      <c r="G48" s="56" t="s">
        <v>47</v>
      </c>
    </row>
    <row r="49" spans="1:13" x14ac:dyDescent="0.2">
      <c r="A49" s="7"/>
      <c r="B49" s="6"/>
    </row>
    <row r="50" spans="1:13" ht="15" x14ac:dyDescent="0.2">
      <c r="A50" s="26" t="s">
        <v>24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ht="15" x14ac:dyDescent="0.2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ht="15" x14ac:dyDescent="0.2">
      <c r="A52" s="74" t="s">
        <v>28</v>
      </c>
      <c r="B52" s="27"/>
      <c r="C52" s="27"/>
      <c r="D52" s="27"/>
      <c r="E52" s="27"/>
      <c r="F52" s="74" t="s">
        <v>29</v>
      </c>
      <c r="G52" s="27"/>
      <c r="H52" s="27"/>
      <c r="I52" s="27"/>
      <c r="J52" s="27"/>
      <c r="K52" s="27"/>
      <c r="L52" s="27"/>
      <c r="M52" s="27"/>
    </row>
    <row r="53" spans="1:13" ht="32" x14ac:dyDescent="0.2">
      <c r="A53" s="66" t="s">
        <v>10</v>
      </c>
      <c r="B53" s="73" t="s">
        <v>25</v>
      </c>
      <c r="C53" s="73" t="s">
        <v>26</v>
      </c>
      <c r="D53" s="73" t="s">
        <v>27</v>
      </c>
      <c r="E53" s="27"/>
      <c r="F53" s="66" t="s">
        <v>16</v>
      </c>
      <c r="G53" s="66" t="s">
        <v>1</v>
      </c>
      <c r="H53" s="66" t="s">
        <v>3</v>
      </c>
      <c r="I53" s="66" t="s">
        <v>5</v>
      </c>
      <c r="J53" s="66" t="s">
        <v>7</v>
      </c>
      <c r="K53" s="66" t="s">
        <v>8</v>
      </c>
      <c r="L53" s="66" t="s">
        <v>9</v>
      </c>
      <c r="M53" s="27"/>
    </row>
    <row r="54" spans="1:13" ht="15" x14ac:dyDescent="0.2">
      <c r="A54" s="67" t="s">
        <v>2</v>
      </c>
      <c r="B54" s="85">
        <v>1</v>
      </c>
      <c r="C54" s="85">
        <v>1</v>
      </c>
      <c r="D54" s="85">
        <v>1</v>
      </c>
      <c r="E54" s="27"/>
      <c r="F54" s="67" t="s">
        <v>2</v>
      </c>
      <c r="G54" s="86">
        <v>7</v>
      </c>
      <c r="H54" s="86">
        <v>0</v>
      </c>
      <c r="I54" s="86">
        <v>0</v>
      </c>
      <c r="J54" s="86">
        <v>1.0000000000000027</v>
      </c>
      <c r="K54" s="86">
        <v>3</v>
      </c>
      <c r="L54" s="86">
        <v>0</v>
      </c>
      <c r="M54" s="27"/>
    </row>
    <row r="55" spans="1:13" ht="15" x14ac:dyDescent="0.2">
      <c r="A55" s="67" t="s">
        <v>4</v>
      </c>
      <c r="B55" s="85">
        <v>1</v>
      </c>
      <c r="C55" s="85">
        <v>1</v>
      </c>
      <c r="D55" s="85">
        <v>1</v>
      </c>
      <c r="E55" s="27"/>
      <c r="F55" s="67" t="s">
        <v>4</v>
      </c>
      <c r="G55" s="86">
        <v>0</v>
      </c>
      <c r="H55" s="86">
        <v>15</v>
      </c>
      <c r="I55" s="86">
        <v>0</v>
      </c>
      <c r="J55" s="86">
        <v>4.0000000000000115</v>
      </c>
      <c r="K55" s="86">
        <v>0</v>
      </c>
      <c r="L55" s="86">
        <v>18</v>
      </c>
      <c r="M55" s="27"/>
    </row>
    <row r="56" spans="1:13" ht="15" x14ac:dyDescent="0.2">
      <c r="A56" s="67" t="s">
        <v>6</v>
      </c>
      <c r="B56" s="85">
        <v>1</v>
      </c>
      <c r="C56" s="85">
        <v>1</v>
      </c>
      <c r="D56" s="85">
        <v>1</v>
      </c>
      <c r="E56" s="27"/>
      <c r="F56" s="67" t="s">
        <v>6</v>
      </c>
      <c r="G56" s="86">
        <v>0</v>
      </c>
      <c r="H56" s="86">
        <v>0</v>
      </c>
      <c r="I56" s="86">
        <v>5</v>
      </c>
      <c r="J56" s="86">
        <v>1.9999999999999858</v>
      </c>
      <c r="K56" s="86">
        <v>0</v>
      </c>
      <c r="L56" s="86">
        <v>0</v>
      </c>
      <c r="M56" s="27"/>
    </row>
    <row r="57" spans="1:13" ht="15" x14ac:dyDescent="0.2">
      <c r="A57" s="67" t="s">
        <v>7</v>
      </c>
      <c r="B57" s="85">
        <v>1</v>
      </c>
      <c r="C57" s="85">
        <v>1</v>
      </c>
      <c r="D57" s="85">
        <v>1</v>
      </c>
      <c r="E57" s="27"/>
      <c r="F57" s="67" t="s">
        <v>7</v>
      </c>
      <c r="G57" s="86">
        <v>0</v>
      </c>
      <c r="H57" s="86">
        <v>0</v>
      </c>
      <c r="I57" s="86">
        <v>0</v>
      </c>
      <c r="J57" s="86">
        <v>4.4408920985006262E-16</v>
      </c>
      <c r="K57" s="86">
        <v>0</v>
      </c>
      <c r="L57" s="86">
        <v>0</v>
      </c>
      <c r="M57" s="27"/>
    </row>
    <row r="58" spans="1:13" ht="15" x14ac:dyDescent="0.2">
      <c r="A58" s="67" t="s">
        <v>8</v>
      </c>
      <c r="B58" s="85">
        <v>1</v>
      </c>
      <c r="C58" s="85">
        <v>1</v>
      </c>
      <c r="D58" s="85">
        <v>1</v>
      </c>
      <c r="E58" s="27"/>
      <c r="F58" s="67" t="s">
        <v>8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27"/>
    </row>
    <row r="59" spans="1:13" ht="15" x14ac:dyDescent="0.2">
      <c r="A59" s="67" t="s">
        <v>9</v>
      </c>
      <c r="B59" s="85">
        <v>1</v>
      </c>
      <c r="C59" s="85">
        <v>1</v>
      </c>
      <c r="D59" s="85">
        <v>1</v>
      </c>
      <c r="E59" s="27"/>
      <c r="F59" s="67" t="s">
        <v>9</v>
      </c>
      <c r="G59" s="86">
        <v>0</v>
      </c>
      <c r="H59" s="86">
        <v>0</v>
      </c>
      <c r="I59" s="86">
        <v>0</v>
      </c>
      <c r="J59" s="86">
        <v>0</v>
      </c>
      <c r="K59" s="86">
        <v>0</v>
      </c>
      <c r="L59" s="86">
        <v>1.7763568394002505E-15</v>
      </c>
      <c r="M59" s="27"/>
    </row>
    <row r="60" spans="1:13" ht="1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t="15" x14ac:dyDescent="0.2">
      <c r="A61" s="71" t="s">
        <v>48</v>
      </c>
      <c r="B61" s="72">
        <f>0.2*SUM(N17:P22)+0.8*SUMPRODUCT(N17:P22,B54:D59)+SUMPRODUCT(G54:L59,N27:S32)+SUMPRODUCT(G63:L68,N37:S42)</f>
        <v>1172.2787969498461</v>
      </c>
      <c r="C61" s="27"/>
      <c r="D61" s="27"/>
      <c r="E61" s="27"/>
      <c r="F61" s="74" t="s">
        <v>30</v>
      </c>
      <c r="G61" s="27"/>
      <c r="H61" s="27"/>
      <c r="I61" s="27"/>
      <c r="J61" s="27"/>
      <c r="K61" s="27"/>
      <c r="L61" s="27"/>
      <c r="M61" s="27"/>
    </row>
    <row r="62" spans="1:13" ht="32" x14ac:dyDescent="0.2">
      <c r="A62" s="69" t="s">
        <v>2</v>
      </c>
      <c r="B62" s="70">
        <f>0.2*SUM(N17:P17)+0.8*SUMPRODUCT(N17:P17,B54:D54)+SUMPRODUCT(G54:L54,N27:S27)+SUMPRODUCT(G63:L63,N37:S37)</f>
        <v>184.17436672051696</v>
      </c>
      <c r="C62" s="70">
        <v>166.98887090558765</v>
      </c>
      <c r="D62" s="27"/>
      <c r="E62" s="27"/>
      <c r="F62" s="66" t="s">
        <v>16</v>
      </c>
      <c r="G62" s="66" t="s">
        <v>1</v>
      </c>
      <c r="H62" s="66" t="s">
        <v>3</v>
      </c>
      <c r="I62" s="66" t="s">
        <v>5</v>
      </c>
      <c r="J62" s="66" t="s">
        <v>7</v>
      </c>
      <c r="K62" s="66" t="s">
        <v>8</v>
      </c>
      <c r="L62" s="66" t="s">
        <v>9</v>
      </c>
      <c r="M62" s="27"/>
    </row>
    <row r="63" spans="1:13" ht="15" x14ac:dyDescent="0.2">
      <c r="A63" s="69" t="s">
        <v>4</v>
      </c>
      <c r="B63" s="70">
        <f t="shared" ref="B63:B67" si="10">0.2*SUM(N18:P18)+0.8*SUMPRODUCT(N18:P18,B55:D55)+SUMPRODUCT(G55:L55,N28:S28)+SUMPRODUCT(G64:L64,N38:S38)</f>
        <v>388.02259793814437</v>
      </c>
      <c r="C63" s="70">
        <v>287.24048780487806</v>
      </c>
      <c r="D63" s="27"/>
      <c r="E63" s="27"/>
      <c r="F63" s="67" t="s">
        <v>2</v>
      </c>
      <c r="G63" s="86">
        <v>7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27"/>
    </row>
    <row r="64" spans="1:13" ht="15" x14ac:dyDescent="0.2">
      <c r="A64" s="69" t="s">
        <v>6</v>
      </c>
      <c r="B64" s="70">
        <f t="shared" si="10"/>
        <v>183.17457174573502</v>
      </c>
      <c r="C64" s="70">
        <v>183.08999999999997</v>
      </c>
      <c r="D64" s="27"/>
      <c r="E64" s="27"/>
      <c r="F64" s="67" t="s">
        <v>4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27"/>
    </row>
    <row r="65" spans="1:13" ht="15" x14ac:dyDescent="0.2">
      <c r="A65" s="69" t="s">
        <v>7</v>
      </c>
      <c r="B65" s="70">
        <f t="shared" si="10"/>
        <v>95.245146451489944</v>
      </c>
      <c r="C65" s="70">
        <v>4.486400619914809</v>
      </c>
      <c r="D65" s="27"/>
      <c r="E65" s="27"/>
      <c r="F65" s="67" t="s">
        <v>6</v>
      </c>
      <c r="G65" s="86">
        <v>0</v>
      </c>
      <c r="H65" s="86">
        <v>5.0000000000000044</v>
      </c>
      <c r="I65" s="86">
        <v>3</v>
      </c>
      <c r="J65" s="86">
        <v>0</v>
      </c>
      <c r="K65" s="86">
        <v>3.0000000000000098</v>
      </c>
      <c r="L65" s="86">
        <v>0</v>
      </c>
      <c r="M65" s="27"/>
    </row>
    <row r="66" spans="1:13" ht="15" x14ac:dyDescent="0.2">
      <c r="A66" s="69" t="s">
        <v>8</v>
      </c>
      <c r="B66" s="70">
        <f t="shared" si="10"/>
        <v>40.067114093959731</v>
      </c>
      <c r="C66" s="70">
        <v>350.02897989949747</v>
      </c>
      <c r="D66" s="27"/>
      <c r="E66" s="27"/>
      <c r="F66" s="67" t="s">
        <v>7</v>
      </c>
      <c r="G66" s="86">
        <v>0</v>
      </c>
      <c r="H66" s="86">
        <v>2</v>
      </c>
      <c r="I66" s="86">
        <v>0</v>
      </c>
      <c r="J66" s="86">
        <v>8</v>
      </c>
      <c r="K66" s="86">
        <v>0</v>
      </c>
      <c r="L66" s="86">
        <v>0</v>
      </c>
      <c r="M66" s="27"/>
    </row>
    <row r="67" spans="1:13" ht="15" x14ac:dyDescent="0.2">
      <c r="A67" s="69" t="s">
        <v>9</v>
      </c>
      <c r="B67" s="70">
        <f t="shared" si="10"/>
        <v>281.59499999999997</v>
      </c>
      <c r="C67" s="70">
        <v>224.06799999999998</v>
      </c>
      <c r="D67" s="27"/>
      <c r="E67" s="27"/>
      <c r="F67" s="67" t="s">
        <v>8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27"/>
    </row>
    <row r="68" spans="1:13" ht="15" x14ac:dyDescent="0.2">
      <c r="A68" s="27"/>
      <c r="B68" s="27"/>
      <c r="C68" s="27"/>
      <c r="D68" s="27"/>
      <c r="E68" s="27"/>
      <c r="F68" s="67" t="s">
        <v>9</v>
      </c>
      <c r="G68" s="86">
        <v>0</v>
      </c>
      <c r="H68" s="86">
        <v>4.9999999999999956</v>
      </c>
      <c r="I68" s="86">
        <v>0</v>
      </c>
      <c r="J68" s="86">
        <v>0</v>
      </c>
      <c r="K68" s="86">
        <v>0</v>
      </c>
      <c r="L68" s="86">
        <v>17.000000000000004</v>
      </c>
      <c r="M68" s="27"/>
    </row>
    <row r="69" spans="1:13" ht="1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15" x14ac:dyDescent="0.2">
      <c r="A70" s="26" t="s">
        <v>31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ht="15" x14ac:dyDescent="0.2">
      <c r="A71" s="74" t="s">
        <v>39</v>
      </c>
      <c r="B71" s="27"/>
      <c r="C71" s="27"/>
      <c r="D71" s="27"/>
      <c r="E71" s="27"/>
      <c r="F71" s="74" t="s">
        <v>40</v>
      </c>
      <c r="G71" s="27"/>
      <c r="H71" s="27"/>
      <c r="I71" s="27"/>
      <c r="J71" s="27"/>
      <c r="K71" s="27"/>
      <c r="L71" s="27"/>
      <c r="M71" s="27"/>
    </row>
    <row r="72" spans="1:13" ht="32" x14ac:dyDescent="0.2">
      <c r="A72" s="66" t="s">
        <v>10</v>
      </c>
      <c r="B72" s="67" t="s">
        <v>32</v>
      </c>
      <c r="C72" s="67" t="s">
        <v>14</v>
      </c>
      <c r="D72" s="67" t="s">
        <v>15</v>
      </c>
      <c r="E72" s="27"/>
      <c r="F72" s="66" t="s">
        <v>13</v>
      </c>
      <c r="G72" s="66" t="s">
        <v>1</v>
      </c>
      <c r="H72" s="66" t="s">
        <v>3</v>
      </c>
      <c r="I72" s="66" t="s">
        <v>5</v>
      </c>
      <c r="J72" s="66" t="s">
        <v>7</v>
      </c>
      <c r="K72" s="66" t="s">
        <v>8</v>
      </c>
      <c r="L72" s="66" t="s">
        <v>9</v>
      </c>
      <c r="M72" s="27"/>
    </row>
    <row r="73" spans="1:13" ht="15" x14ac:dyDescent="0.2">
      <c r="A73" s="67" t="s">
        <v>2</v>
      </c>
      <c r="B73" s="67">
        <f t="shared" ref="B73:B78" si="11">B54*E7-(SUM(G54:L54)+SUM(G63:L63))</f>
        <v>0</v>
      </c>
      <c r="C73" s="67">
        <f t="shared" ref="C73:C78" si="12">C54*$E7-SUM(G54:L54)</f>
        <v>6.9999999999999964</v>
      </c>
      <c r="D73" s="67">
        <f t="shared" ref="D73:D78" si="13">D54*$E7-SUM(G63:L63)</f>
        <v>11</v>
      </c>
      <c r="E73" s="27"/>
      <c r="F73" s="67" t="s">
        <v>14</v>
      </c>
      <c r="G73" s="68">
        <f>SUM(G54:G59)-B7</f>
        <v>0</v>
      </c>
      <c r="H73" s="68">
        <f>SUM(H54:H59)-B8</f>
        <v>0</v>
      </c>
      <c r="I73" s="68">
        <f>SUM(I54:I59)-B9*I76^5</f>
        <v>0</v>
      </c>
      <c r="J73" s="68">
        <f>SUM(J54:J59)-B10</f>
        <v>0</v>
      </c>
      <c r="K73" s="68">
        <f>SUM(K54:K59)-B11</f>
        <v>0</v>
      </c>
      <c r="L73" s="68">
        <f>SUM(L54:L59)-B12</f>
        <v>0</v>
      </c>
      <c r="M73" s="27"/>
    </row>
    <row r="74" spans="1:13" ht="15" x14ac:dyDescent="0.2">
      <c r="A74" s="67" t="s">
        <v>4</v>
      </c>
      <c r="B74" s="67">
        <f t="shared" si="11"/>
        <v>7.9999999999999858</v>
      </c>
      <c r="C74" s="67">
        <f t="shared" si="12"/>
        <v>7.9999999999999858</v>
      </c>
      <c r="D74" s="67">
        <f t="shared" si="13"/>
        <v>45</v>
      </c>
      <c r="E74" s="27"/>
      <c r="F74" s="67" t="s">
        <v>15</v>
      </c>
      <c r="G74" s="68">
        <f>SUM(G63:G68)-C7</f>
        <v>0</v>
      </c>
      <c r="H74" s="68">
        <f>SUM(H63:H68)-C8</f>
        <v>0</v>
      </c>
      <c r="I74" s="68">
        <f>SUM(I63:I68)-C9*I76^5</f>
        <v>0</v>
      </c>
      <c r="J74" s="68">
        <f>SUM(J63:J68)-C10</f>
        <v>0</v>
      </c>
      <c r="K74" s="68">
        <f>SUM(K63:K68)-C11</f>
        <v>9.7699626167013776E-15</v>
      </c>
      <c r="L74" s="68">
        <f>SUM(L63:L68)-C12</f>
        <v>0</v>
      </c>
      <c r="M74" s="27"/>
    </row>
    <row r="75" spans="1:13" ht="15" x14ac:dyDescent="0.2">
      <c r="A75" s="67" t="s">
        <v>6</v>
      </c>
      <c r="B75" s="67">
        <f t="shared" si="11"/>
        <v>0</v>
      </c>
      <c r="C75" s="67">
        <f t="shared" si="12"/>
        <v>11.000000000000014</v>
      </c>
      <c r="D75" s="67">
        <f t="shared" si="13"/>
        <v>6.9999999999999858</v>
      </c>
      <c r="E75" s="27"/>
      <c r="F75" s="27"/>
      <c r="G75" s="27"/>
      <c r="H75" s="27"/>
      <c r="I75" s="27"/>
      <c r="J75" s="27"/>
      <c r="K75" s="27"/>
      <c r="L75" s="27"/>
      <c r="M75" s="27"/>
    </row>
    <row r="76" spans="1:13" ht="15" x14ac:dyDescent="0.2">
      <c r="A76" s="67" t="s">
        <v>7</v>
      </c>
      <c r="B76" s="67">
        <f t="shared" si="11"/>
        <v>0</v>
      </c>
      <c r="C76" s="67">
        <f t="shared" si="12"/>
        <v>10</v>
      </c>
      <c r="D76" s="67">
        <f t="shared" si="13"/>
        <v>0</v>
      </c>
      <c r="E76" s="27"/>
      <c r="F76" s="74" t="s">
        <v>33</v>
      </c>
      <c r="G76" s="27"/>
      <c r="H76" s="27"/>
      <c r="I76" s="87">
        <v>1</v>
      </c>
      <c r="J76" s="27"/>
      <c r="K76" s="27"/>
      <c r="L76" s="27"/>
      <c r="M76" s="27"/>
    </row>
    <row r="77" spans="1:13" ht="15" x14ac:dyDescent="0.2">
      <c r="A77" s="67" t="s">
        <v>8</v>
      </c>
      <c r="B77" s="67">
        <f t="shared" si="11"/>
        <v>30</v>
      </c>
      <c r="C77" s="67">
        <f t="shared" si="12"/>
        <v>30</v>
      </c>
      <c r="D77" s="67">
        <f t="shared" si="13"/>
        <v>30</v>
      </c>
      <c r="E77" s="27"/>
      <c r="F77" s="27"/>
      <c r="G77" s="27"/>
      <c r="H77" s="27"/>
      <c r="I77" s="27"/>
      <c r="J77" s="27"/>
      <c r="K77" s="27"/>
      <c r="L77" s="27"/>
      <c r="M77" s="27"/>
    </row>
    <row r="78" spans="1:13" ht="15" x14ac:dyDescent="0.2">
      <c r="A78" s="67" t="s">
        <v>9</v>
      </c>
      <c r="B78" s="67">
        <f t="shared" si="11"/>
        <v>0</v>
      </c>
      <c r="C78" s="67">
        <f t="shared" si="12"/>
        <v>22</v>
      </c>
      <c r="D78" s="67">
        <f t="shared" si="13"/>
        <v>0</v>
      </c>
      <c r="E78" s="27"/>
      <c r="F78" s="27"/>
      <c r="G78" s="27"/>
      <c r="H78" s="27"/>
      <c r="I78" s="27"/>
      <c r="J78" s="27"/>
      <c r="K78" s="27"/>
      <c r="L78" s="27"/>
      <c r="M78" s="27"/>
    </row>
    <row r="79" spans="1:13" ht="1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ht="15" x14ac:dyDescent="0.2">
      <c r="A80" s="27"/>
      <c r="B80" s="27"/>
      <c r="C80" s="27"/>
      <c r="D80" s="27"/>
      <c r="E80" s="27"/>
      <c r="F80" s="97" t="s">
        <v>67</v>
      </c>
      <c r="G80" s="97"/>
      <c r="H80" s="27"/>
      <c r="I80" s="27"/>
      <c r="J80" s="27"/>
      <c r="K80" s="27"/>
      <c r="L80" s="27"/>
      <c r="M80" s="27"/>
    </row>
    <row r="81" spans="1:13" ht="15" x14ac:dyDescent="0.2">
      <c r="A81" s="26"/>
      <c r="B81" s="27"/>
      <c r="C81" s="27"/>
      <c r="D81" s="27"/>
      <c r="E81" s="27"/>
      <c r="F81" s="67" t="s">
        <v>16</v>
      </c>
      <c r="G81" s="98" t="s">
        <v>71</v>
      </c>
      <c r="H81" s="27"/>
      <c r="I81" s="27"/>
      <c r="J81" s="27"/>
      <c r="K81" s="27"/>
      <c r="L81" s="27"/>
      <c r="M81" s="27"/>
    </row>
    <row r="82" spans="1:13" ht="15" x14ac:dyDescent="0.2">
      <c r="A82" s="28"/>
      <c r="B82" s="27"/>
      <c r="C82" s="27"/>
      <c r="D82" s="27"/>
      <c r="E82" s="27"/>
      <c r="F82" s="67" t="s">
        <v>68</v>
      </c>
      <c r="G82" s="98">
        <f>SUM(G54:G59)</f>
        <v>7</v>
      </c>
      <c r="H82" s="27"/>
      <c r="I82" s="27"/>
      <c r="J82" s="27"/>
      <c r="K82" s="27"/>
      <c r="L82" s="27"/>
      <c r="M82" s="27"/>
    </row>
    <row r="83" spans="1:13" ht="15" x14ac:dyDescent="0.2">
      <c r="A83" s="28"/>
      <c r="B83" s="27"/>
      <c r="C83" s="27"/>
      <c r="D83" s="27"/>
      <c r="E83" s="27"/>
      <c r="F83" s="67" t="s">
        <v>3</v>
      </c>
      <c r="G83" s="98">
        <f>SUM(H54:H59)</f>
        <v>15</v>
      </c>
      <c r="H83" s="27"/>
      <c r="I83" s="27"/>
      <c r="J83" s="27"/>
      <c r="K83" s="27"/>
      <c r="L83" s="27"/>
      <c r="M83" s="27"/>
    </row>
    <row r="84" spans="1:13" ht="15" x14ac:dyDescent="0.2">
      <c r="A84" s="28"/>
      <c r="B84" s="27"/>
      <c r="C84" s="27"/>
      <c r="D84" s="27"/>
      <c r="E84" s="27"/>
      <c r="F84" s="67" t="s">
        <v>5</v>
      </c>
      <c r="G84" s="98">
        <f>SUM(I54:I59)</f>
        <v>5</v>
      </c>
      <c r="H84" s="27"/>
      <c r="I84" s="27"/>
      <c r="J84" s="27"/>
      <c r="K84" s="27"/>
      <c r="L84" s="27"/>
      <c r="M84" s="27"/>
    </row>
    <row r="85" spans="1:13" ht="15" x14ac:dyDescent="0.2">
      <c r="A85" s="28"/>
      <c r="F85" s="64" t="s">
        <v>7</v>
      </c>
      <c r="G85" s="98">
        <f>SUM(J54:J59)</f>
        <v>7</v>
      </c>
    </row>
    <row r="86" spans="1:13" ht="15" x14ac:dyDescent="0.2">
      <c r="A86" s="28"/>
      <c r="F86" s="64" t="s">
        <v>8</v>
      </c>
      <c r="G86" s="98">
        <f>SUM(K54:K59)</f>
        <v>3</v>
      </c>
    </row>
    <row r="87" spans="1:13" ht="15" x14ac:dyDescent="0.2">
      <c r="A87" s="28"/>
      <c r="F87" s="64" t="s">
        <v>9</v>
      </c>
      <c r="G87" s="98">
        <f>SUM(L54:L59)</f>
        <v>18</v>
      </c>
    </row>
    <row r="88" spans="1:13" ht="15" x14ac:dyDescent="0.2">
      <c r="A88" s="28"/>
      <c r="F88" s="27"/>
      <c r="G88" s="27"/>
    </row>
    <row r="89" spans="1:13" ht="15" x14ac:dyDescent="0.2">
      <c r="A89" s="28"/>
    </row>
    <row r="90" spans="1:13" ht="15" x14ac:dyDescent="0.2">
      <c r="A90" s="28"/>
    </row>
    <row r="91" spans="1:13" ht="15" x14ac:dyDescent="0.2">
      <c r="A91" s="28"/>
      <c r="F91" s="97" t="s">
        <v>69</v>
      </c>
      <c r="G91" s="97"/>
    </row>
    <row r="92" spans="1:13" ht="15" x14ac:dyDescent="0.2">
      <c r="A92" s="28"/>
      <c r="F92" s="67" t="s">
        <v>16</v>
      </c>
      <c r="G92" s="98" t="s">
        <v>71</v>
      </c>
    </row>
    <row r="93" spans="1:13" ht="15" x14ac:dyDescent="0.2">
      <c r="A93" s="28"/>
      <c r="F93" s="67" t="s">
        <v>68</v>
      </c>
      <c r="G93" s="98">
        <f>SUM(G63:G68)</f>
        <v>7</v>
      </c>
    </row>
    <row r="94" spans="1:13" ht="15" x14ac:dyDescent="0.2">
      <c r="F94" s="67" t="s">
        <v>3</v>
      </c>
      <c r="G94" s="98">
        <f>SUM(H63:H68)</f>
        <v>12</v>
      </c>
    </row>
    <row r="95" spans="1:13" ht="15" x14ac:dyDescent="0.2">
      <c r="F95" s="67" t="s">
        <v>5</v>
      </c>
      <c r="G95" s="98">
        <f>SUM(I63:I68)</f>
        <v>3</v>
      </c>
    </row>
    <row r="96" spans="1:13" ht="15" x14ac:dyDescent="0.2">
      <c r="F96" s="64" t="s">
        <v>7</v>
      </c>
      <c r="G96" s="98">
        <f>SUM(J63:J68)</f>
        <v>8</v>
      </c>
    </row>
    <row r="97" spans="6:7" ht="15" x14ac:dyDescent="0.2">
      <c r="F97" s="64" t="s">
        <v>8</v>
      </c>
      <c r="G97" s="98">
        <f>SUM(K63:K68)</f>
        <v>3.0000000000000098</v>
      </c>
    </row>
    <row r="98" spans="6:7" ht="15" x14ac:dyDescent="0.2">
      <c r="F98" s="64" t="s">
        <v>9</v>
      </c>
      <c r="G98" s="98">
        <f>SUM(L63:L68)</f>
        <v>17.000000000000004</v>
      </c>
    </row>
    <row r="102" spans="6:7" ht="15" x14ac:dyDescent="0.2">
      <c r="F102" s="97" t="s">
        <v>70</v>
      </c>
      <c r="G102" s="97"/>
    </row>
    <row r="103" spans="6:7" ht="15" x14ac:dyDescent="0.2">
      <c r="F103" s="67" t="s">
        <v>16</v>
      </c>
      <c r="G103" s="98" t="s">
        <v>71</v>
      </c>
    </row>
    <row r="104" spans="6:7" ht="15" x14ac:dyDescent="0.2">
      <c r="F104" s="67" t="s">
        <v>2</v>
      </c>
      <c r="G104" s="98">
        <f>SUM(F54:K54) + SUM(G63:L63)</f>
        <v>18.000000000000004</v>
      </c>
    </row>
    <row r="105" spans="6:7" ht="15" x14ac:dyDescent="0.2">
      <c r="F105" s="67" t="s">
        <v>4</v>
      </c>
      <c r="G105" s="98">
        <f>SUM(F55:K55) + SUM(G64:L64)</f>
        <v>19.000000000000011</v>
      </c>
    </row>
    <row r="106" spans="6:7" ht="15" x14ac:dyDescent="0.2">
      <c r="F106" s="67" t="s">
        <v>6</v>
      </c>
      <c r="G106" s="98">
        <f t="shared" ref="G106:G109" si="14">SUM(F56:K56) + SUM(G65:L65)</f>
        <v>18</v>
      </c>
    </row>
    <row r="107" spans="6:7" ht="15" x14ac:dyDescent="0.2">
      <c r="F107" s="67" t="s">
        <v>7</v>
      </c>
      <c r="G107" s="98">
        <f t="shared" si="14"/>
        <v>10</v>
      </c>
    </row>
    <row r="108" spans="6:7" ht="15" x14ac:dyDescent="0.2">
      <c r="F108" s="67" t="s">
        <v>8</v>
      </c>
      <c r="G108" s="98">
        <f t="shared" si="14"/>
        <v>0</v>
      </c>
    </row>
    <row r="109" spans="6:7" ht="15" x14ac:dyDescent="0.2">
      <c r="F109" s="67" t="s">
        <v>9</v>
      </c>
      <c r="G109" s="98">
        <f t="shared" si="14"/>
        <v>22</v>
      </c>
    </row>
  </sheetData>
  <mergeCells count="8">
    <mergeCell ref="F80:G80"/>
    <mergeCell ref="F91:G91"/>
    <mergeCell ref="F102:G102"/>
    <mergeCell ref="A5:A6"/>
    <mergeCell ref="B5:C5"/>
    <mergeCell ref="A14:H14"/>
    <mergeCell ref="E5:E6"/>
    <mergeCell ref="D5:D6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37572-46A5-4727-B514-32D6B03BB555}">
  <dimension ref="A1:T93"/>
  <sheetViews>
    <sheetView workbookViewId="0"/>
  </sheetViews>
  <sheetFormatPr baseColWidth="10" defaultColWidth="8.83203125" defaultRowHeight="14" x14ac:dyDescent="0.2"/>
  <cols>
    <col min="1" max="1" width="17" style="3" customWidth="1"/>
    <col min="2" max="2" width="13.5" style="3" bestFit="1" customWidth="1"/>
    <col min="3" max="3" width="10.83203125" style="3" bestFit="1" customWidth="1"/>
    <col min="4" max="4" width="13.1640625" style="3" customWidth="1"/>
    <col min="5" max="5" width="14.6640625" style="3" customWidth="1"/>
    <col min="6" max="6" width="10.6640625" style="3" customWidth="1"/>
    <col min="7" max="7" width="13.6640625" style="3" customWidth="1"/>
    <col min="8" max="8" width="12.5" style="3" customWidth="1"/>
    <col min="9" max="9" width="10.6640625" style="3" customWidth="1"/>
    <col min="10" max="10" width="12.33203125" style="3" customWidth="1"/>
    <col min="11" max="12" width="8.83203125" style="3"/>
    <col min="13" max="16" width="9.1640625" style="3" customWidth="1"/>
    <col min="17" max="17" width="11.6640625" style="3" customWidth="1"/>
    <col min="18" max="18" width="10.5" style="3" customWidth="1"/>
    <col min="19" max="19" width="11.33203125" style="3" customWidth="1"/>
    <col min="20" max="20" width="10.33203125" style="3" customWidth="1"/>
  </cols>
  <sheetData>
    <row r="1" spans="1:20" x14ac:dyDescent="0.2">
      <c r="A1" s="2" t="s">
        <v>0</v>
      </c>
      <c r="C1" s="2"/>
      <c r="E1" s="4"/>
    </row>
    <row r="2" spans="1:20" x14ac:dyDescent="0.2">
      <c r="A2" s="2"/>
      <c r="C2" s="2"/>
    </row>
    <row r="3" spans="1:20" x14ac:dyDescent="0.2">
      <c r="A3" s="2" t="s">
        <v>57</v>
      </c>
      <c r="C3" s="2"/>
    </row>
    <row r="5" spans="1:20" ht="15" x14ac:dyDescent="0.2">
      <c r="A5" s="89" t="s">
        <v>12</v>
      </c>
      <c r="B5" s="91" t="s">
        <v>13</v>
      </c>
      <c r="C5" s="92"/>
      <c r="D5" s="89" t="s">
        <v>10</v>
      </c>
      <c r="E5" s="92" t="s">
        <v>11</v>
      </c>
    </row>
    <row r="6" spans="1:20" ht="15" x14ac:dyDescent="0.2">
      <c r="A6" s="90"/>
      <c r="B6" s="39" t="s">
        <v>14</v>
      </c>
      <c r="C6" s="40" t="s">
        <v>15</v>
      </c>
      <c r="D6" s="90"/>
      <c r="E6" s="96"/>
    </row>
    <row r="7" spans="1:20" ht="15" customHeight="1" x14ac:dyDescent="0.2">
      <c r="A7" s="44" t="s">
        <v>1</v>
      </c>
      <c r="B7" s="45">
        <v>7</v>
      </c>
      <c r="C7" s="46">
        <v>7</v>
      </c>
      <c r="D7" s="44" t="s">
        <v>2</v>
      </c>
      <c r="E7" s="47">
        <v>18</v>
      </c>
    </row>
    <row r="8" spans="1:20" ht="15" customHeight="1" x14ac:dyDescent="0.2">
      <c r="A8" s="11" t="s">
        <v>3</v>
      </c>
      <c r="B8" s="10">
        <v>15</v>
      </c>
      <c r="C8" s="15">
        <v>12</v>
      </c>
      <c r="D8" s="11" t="s">
        <v>4</v>
      </c>
      <c r="E8" s="12">
        <v>45</v>
      </c>
    </row>
    <row r="9" spans="1:20" ht="15" customHeight="1" x14ac:dyDescent="0.2">
      <c r="A9" s="44" t="s">
        <v>5</v>
      </c>
      <c r="B9" s="45">
        <v>5</v>
      </c>
      <c r="C9" s="46">
        <v>3</v>
      </c>
      <c r="D9" s="44" t="s">
        <v>6</v>
      </c>
      <c r="E9" s="47">
        <v>18</v>
      </c>
    </row>
    <row r="10" spans="1:20" ht="15" customHeight="1" x14ac:dyDescent="0.2">
      <c r="A10" s="11" t="s">
        <v>7</v>
      </c>
      <c r="B10" s="10">
        <v>7</v>
      </c>
      <c r="C10" s="15">
        <v>8</v>
      </c>
      <c r="D10" s="11" t="s">
        <v>7</v>
      </c>
      <c r="E10" s="12">
        <v>10</v>
      </c>
    </row>
    <row r="11" spans="1:20" ht="15" customHeight="1" x14ac:dyDescent="0.2">
      <c r="A11" s="44" t="s">
        <v>8</v>
      </c>
      <c r="B11" s="45">
        <v>3</v>
      </c>
      <c r="C11" s="46">
        <v>3</v>
      </c>
      <c r="D11" s="44" t="s">
        <v>8</v>
      </c>
      <c r="E11" s="47">
        <v>30</v>
      </c>
    </row>
    <row r="12" spans="1:20" ht="15" customHeight="1" x14ac:dyDescent="0.2">
      <c r="A12" s="13" t="s">
        <v>9</v>
      </c>
      <c r="B12" s="16">
        <v>18</v>
      </c>
      <c r="C12" s="17">
        <v>17</v>
      </c>
      <c r="D12" s="13" t="s">
        <v>9</v>
      </c>
      <c r="E12" s="14">
        <v>22</v>
      </c>
    </row>
    <row r="14" spans="1:20" ht="15.75" customHeight="1" x14ac:dyDescent="0.2">
      <c r="A14" s="93" t="s">
        <v>59</v>
      </c>
      <c r="B14" s="94"/>
      <c r="C14" s="94"/>
      <c r="D14" s="94"/>
      <c r="E14" s="94"/>
      <c r="F14" s="95"/>
      <c r="G14" s="95"/>
      <c r="H14" s="95"/>
      <c r="J14" s="25" t="s">
        <v>36</v>
      </c>
      <c r="K14" s="25"/>
      <c r="M14" s="2" t="s">
        <v>58</v>
      </c>
    </row>
    <row r="15" spans="1:20" x14ac:dyDescent="0.2">
      <c r="M15" s="9" t="s">
        <v>23</v>
      </c>
      <c r="N15" s="9">
        <f>K16</f>
        <v>2020</v>
      </c>
    </row>
    <row r="16" spans="1:20" s="1" customFormat="1" ht="48" x14ac:dyDescent="0.2">
      <c r="A16" s="42" t="s">
        <v>10</v>
      </c>
      <c r="B16" s="75" t="s">
        <v>60</v>
      </c>
      <c r="C16" s="75" t="s">
        <v>61</v>
      </c>
      <c r="D16" s="75" t="s">
        <v>62</v>
      </c>
      <c r="E16" s="75" t="s">
        <v>63</v>
      </c>
      <c r="F16" s="75" t="s">
        <v>64</v>
      </c>
      <c r="G16" s="75" t="s">
        <v>65</v>
      </c>
      <c r="H16" s="76" t="s">
        <v>66</v>
      </c>
      <c r="I16" s="5"/>
      <c r="J16" s="55" t="s">
        <v>23</v>
      </c>
      <c r="K16" s="41">
        <v>2020</v>
      </c>
      <c r="L16" s="7"/>
      <c r="M16" s="61" t="s">
        <v>10</v>
      </c>
      <c r="N16" s="77" t="s">
        <v>60</v>
      </c>
      <c r="O16" s="77" t="s">
        <v>61</v>
      </c>
      <c r="P16" s="77" t="s">
        <v>62</v>
      </c>
      <c r="Q16" s="77" t="s">
        <v>63</v>
      </c>
      <c r="R16" s="77" t="s">
        <v>64</v>
      </c>
      <c r="S16" s="77" t="s">
        <v>65</v>
      </c>
      <c r="T16" s="77" t="s">
        <v>66</v>
      </c>
    </row>
    <row r="17" spans="1:20" ht="15.75" customHeight="1" x14ac:dyDescent="0.2">
      <c r="A17" s="44" t="s">
        <v>2</v>
      </c>
      <c r="B17" s="45">
        <v>20</v>
      </c>
      <c r="C17" s="45">
        <v>5</v>
      </c>
      <c r="D17" s="45">
        <v>5</v>
      </c>
      <c r="E17" s="45">
        <v>3.6</v>
      </c>
      <c r="F17" s="45">
        <v>5.0999999999999996</v>
      </c>
      <c r="G17" s="45">
        <v>4.5999999999999996</v>
      </c>
      <c r="H17" s="46">
        <v>6.6</v>
      </c>
      <c r="J17" s="7" t="s">
        <v>17</v>
      </c>
      <c r="K17" s="29">
        <f>HLOOKUP($K$16,$B$36:$F$42,2,FALSE)</f>
        <v>5.19</v>
      </c>
      <c r="L17" s="8"/>
      <c r="M17" s="62" t="s">
        <v>2</v>
      </c>
      <c r="N17" s="63">
        <f>($B37/$K17)*B17</f>
        <v>20</v>
      </c>
      <c r="O17" s="63">
        <f t="shared" ref="O17:T17" si="0">($B$37/$K$17)*C17</f>
        <v>5</v>
      </c>
      <c r="P17" s="63">
        <f t="shared" si="0"/>
        <v>5</v>
      </c>
      <c r="Q17" s="63">
        <f t="shared" si="0"/>
        <v>3.6</v>
      </c>
      <c r="R17" s="63">
        <f t="shared" si="0"/>
        <v>5.0999999999999996</v>
      </c>
      <c r="S17" s="63">
        <f t="shared" si="0"/>
        <v>4.5999999999999996</v>
      </c>
      <c r="T17" s="63">
        <f t="shared" si="0"/>
        <v>6.6</v>
      </c>
    </row>
    <row r="18" spans="1:20" ht="15.75" customHeight="1" x14ac:dyDescent="0.2">
      <c r="A18" s="11" t="s">
        <v>4</v>
      </c>
      <c r="B18" s="10">
        <v>45</v>
      </c>
      <c r="C18" s="10">
        <v>13</v>
      </c>
      <c r="D18" s="10">
        <v>13</v>
      </c>
      <c r="E18" s="10">
        <v>3.9</v>
      </c>
      <c r="F18" s="10">
        <v>6</v>
      </c>
      <c r="G18" s="10">
        <v>5</v>
      </c>
      <c r="H18" s="15">
        <v>7</v>
      </c>
      <c r="J18" s="7" t="s">
        <v>18</v>
      </c>
      <c r="K18" s="29">
        <f>HLOOKUP($K$16,$B$36:$F$42,3,FALSE)</f>
        <v>0.82</v>
      </c>
      <c r="L18" s="8"/>
      <c r="M18" s="62" t="s">
        <v>4</v>
      </c>
      <c r="N18" s="63">
        <f t="shared" ref="N18:T18" si="1">($B$38/$K$18)*B18</f>
        <v>45</v>
      </c>
      <c r="O18" s="63">
        <f t="shared" si="1"/>
        <v>13</v>
      </c>
      <c r="P18" s="63">
        <f t="shared" si="1"/>
        <v>13</v>
      </c>
      <c r="Q18" s="63">
        <f t="shared" si="1"/>
        <v>3.9</v>
      </c>
      <c r="R18" s="63">
        <f t="shared" si="1"/>
        <v>6</v>
      </c>
      <c r="S18" s="63">
        <f t="shared" si="1"/>
        <v>5</v>
      </c>
      <c r="T18" s="63">
        <f t="shared" si="1"/>
        <v>7</v>
      </c>
    </row>
    <row r="19" spans="1:20" ht="15.75" customHeight="1" x14ac:dyDescent="0.2">
      <c r="A19" s="44" t="s">
        <v>6</v>
      </c>
      <c r="B19" s="45">
        <v>14</v>
      </c>
      <c r="C19" s="45">
        <v>3</v>
      </c>
      <c r="D19" s="45">
        <v>3</v>
      </c>
      <c r="E19" s="45">
        <v>3.6</v>
      </c>
      <c r="F19" s="45">
        <v>4.5</v>
      </c>
      <c r="G19" s="45">
        <v>4.5</v>
      </c>
      <c r="H19" s="46">
        <v>6</v>
      </c>
      <c r="J19" s="7" t="s">
        <v>19</v>
      </c>
      <c r="K19" s="29">
        <f>HLOOKUP($K$16,$B$36:$F$42,4,FALSE)</f>
        <v>73.66</v>
      </c>
      <c r="L19" s="8"/>
      <c r="M19" s="62" t="s">
        <v>6</v>
      </c>
      <c r="N19" s="63">
        <f t="shared" ref="N19:T19" si="2">($B$39/$K$19)*B19</f>
        <v>14</v>
      </c>
      <c r="O19" s="63">
        <f t="shared" si="2"/>
        <v>3</v>
      </c>
      <c r="P19" s="63">
        <f t="shared" si="2"/>
        <v>3</v>
      </c>
      <c r="Q19" s="63">
        <f t="shared" si="2"/>
        <v>3.6</v>
      </c>
      <c r="R19" s="63">
        <f t="shared" si="2"/>
        <v>4.5</v>
      </c>
      <c r="S19" s="63">
        <f t="shared" si="2"/>
        <v>4.5</v>
      </c>
      <c r="T19" s="63">
        <f t="shared" si="2"/>
        <v>6</v>
      </c>
    </row>
    <row r="20" spans="1:20" ht="15.75" customHeight="1" x14ac:dyDescent="0.2">
      <c r="A20" s="11" t="s">
        <v>7</v>
      </c>
      <c r="B20" s="10">
        <v>13</v>
      </c>
      <c r="C20" s="10">
        <v>4</v>
      </c>
      <c r="D20" s="10">
        <v>4</v>
      </c>
      <c r="E20" s="10">
        <v>3.9</v>
      </c>
      <c r="F20" s="10">
        <v>6</v>
      </c>
      <c r="G20" s="10">
        <v>5.0999999999999996</v>
      </c>
      <c r="H20" s="15">
        <v>7</v>
      </c>
      <c r="J20" s="7" t="s">
        <v>20</v>
      </c>
      <c r="K20" s="29">
        <f>HLOOKUP($K$16,$B$36:$F$42,5,FALSE)</f>
        <v>103.24</v>
      </c>
      <c r="L20" s="8"/>
      <c r="M20" s="62" t="s">
        <v>7</v>
      </c>
      <c r="N20" s="63">
        <f t="shared" ref="N20:T20" si="3">($B$40/$K$20)*B20</f>
        <v>13</v>
      </c>
      <c r="O20" s="63">
        <f t="shared" si="3"/>
        <v>4</v>
      </c>
      <c r="P20" s="63">
        <f t="shared" si="3"/>
        <v>4</v>
      </c>
      <c r="Q20" s="63">
        <f t="shared" si="3"/>
        <v>3.9</v>
      </c>
      <c r="R20" s="63">
        <f t="shared" si="3"/>
        <v>6</v>
      </c>
      <c r="S20" s="63">
        <f t="shared" si="3"/>
        <v>5.0999999999999996</v>
      </c>
      <c r="T20" s="63">
        <f t="shared" si="3"/>
        <v>7</v>
      </c>
    </row>
    <row r="21" spans="1:20" ht="15.75" customHeight="1" x14ac:dyDescent="0.2">
      <c r="A21" s="44" t="s">
        <v>8</v>
      </c>
      <c r="B21" s="45">
        <v>30</v>
      </c>
      <c r="C21" s="45">
        <v>6</v>
      </c>
      <c r="D21" s="45">
        <v>6</v>
      </c>
      <c r="E21" s="45">
        <v>3.6</v>
      </c>
      <c r="F21" s="45">
        <v>5</v>
      </c>
      <c r="G21" s="45">
        <v>4.5999999999999996</v>
      </c>
      <c r="H21" s="46">
        <v>6.5</v>
      </c>
      <c r="J21" s="7" t="s">
        <v>21</v>
      </c>
      <c r="K21" s="29">
        <f>HLOOKUP($K$16,$B$36:$F$42,6,FALSE)</f>
        <v>19.899999999999999</v>
      </c>
      <c r="L21" s="8"/>
      <c r="M21" s="62" t="s">
        <v>8</v>
      </c>
      <c r="N21" s="63">
        <f t="shared" ref="N21:T21" si="4">($B$41/$K$21)*B21</f>
        <v>30</v>
      </c>
      <c r="O21" s="63">
        <f t="shared" si="4"/>
        <v>6</v>
      </c>
      <c r="P21" s="63">
        <f t="shared" si="4"/>
        <v>6</v>
      </c>
      <c r="Q21" s="63">
        <f t="shared" si="4"/>
        <v>3.6</v>
      </c>
      <c r="R21" s="63">
        <f t="shared" si="4"/>
        <v>5</v>
      </c>
      <c r="S21" s="63">
        <f t="shared" si="4"/>
        <v>4.5999999999999996</v>
      </c>
      <c r="T21" s="63">
        <f t="shared" si="4"/>
        <v>6.5</v>
      </c>
    </row>
    <row r="22" spans="1:20" ht="15.75" customHeight="1" x14ac:dyDescent="0.2">
      <c r="A22" s="13" t="s">
        <v>9</v>
      </c>
      <c r="B22" s="16">
        <v>23</v>
      </c>
      <c r="C22" s="16">
        <v>5</v>
      </c>
      <c r="D22" s="16">
        <v>5</v>
      </c>
      <c r="E22" s="16">
        <v>3.6</v>
      </c>
      <c r="F22" s="16">
        <v>5</v>
      </c>
      <c r="G22" s="16">
        <v>4.5</v>
      </c>
      <c r="H22" s="17">
        <v>6.5</v>
      </c>
      <c r="J22" s="7" t="s">
        <v>22</v>
      </c>
      <c r="K22" s="29">
        <f>HLOOKUP($K$16,$B$36:$F$42,7,FALSE)</f>
        <v>1</v>
      </c>
      <c r="L22" s="8"/>
      <c r="M22" s="62" t="s">
        <v>9</v>
      </c>
      <c r="N22" s="63">
        <f t="shared" ref="N22:T22" si="5">($B$42/$K$22)*B22</f>
        <v>23</v>
      </c>
      <c r="O22" s="63">
        <f t="shared" si="5"/>
        <v>5</v>
      </c>
      <c r="P22" s="63">
        <f t="shared" si="5"/>
        <v>5</v>
      </c>
      <c r="Q22" s="63">
        <f t="shared" si="5"/>
        <v>3.6</v>
      </c>
      <c r="R22" s="63">
        <f t="shared" si="5"/>
        <v>5</v>
      </c>
      <c r="S22" s="63">
        <f t="shared" si="5"/>
        <v>4.5</v>
      </c>
      <c r="T22" s="63">
        <f t="shared" si="5"/>
        <v>6.5</v>
      </c>
    </row>
    <row r="24" spans="1:20" x14ac:dyDescent="0.2">
      <c r="A24" s="2" t="s">
        <v>34</v>
      </c>
      <c r="M24" s="2" t="s">
        <v>37</v>
      </c>
    </row>
    <row r="26" spans="1:20" ht="30" x14ac:dyDescent="0.2">
      <c r="A26" s="43" t="s">
        <v>16</v>
      </c>
      <c r="B26" s="78" t="s">
        <v>1</v>
      </c>
      <c r="C26" s="78" t="s">
        <v>3</v>
      </c>
      <c r="D26" s="78" t="s">
        <v>5</v>
      </c>
      <c r="E26" s="78" t="s">
        <v>7</v>
      </c>
      <c r="F26" s="78" t="s">
        <v>8</v>
      </c>
      <c r="G26" s="79" t="s">
        <v>9</v>
      </c>
      <c r="M26" s="64" t="s">
        <v>16</v>
      </c>
      <c r="N26" s="62" t="s">
        <v>1</v>
      </c>
      <c r="O26" s="62" t="s">
        <v>3</v>
      </c>
      <c r="P26" s="62" t="s">
        <v>5</v>
      </c>
      <c r="Q26" s="62" t="s">
        <v>7</v>
      </c>
      <c r="R26" s="62" t="s">
        <v>8</v>
      </c>
      <c r="S26" s="62" t="s">
        <v>9</v>
      </c>
    </row>
    <row r="27" spans="1:20" ht="16" x14ac:dyDescent="0.2">
      <c r="A27" s="44" t="s">
        <v>2</v>
      </c>
      <c r="B27" s="48">
        <v>0.2</v>
      </c>
      <c r="C27" s="48">
        <v>0.45</v>
      </c>
      <c r="D27" s="48">
        <v>0.5</v>
      </c>
      <c r="E27" s="48">
        <v>0.5</v>
      </c>
      <c r="F27" s="48">
        <v>0.4</v>
      </c>
      <c r="G27" s="49">
        <v>0.45</v>
      </c>
      <c r="M27" s="62" t="s">
        <v>2</v>
      </c>
      <c r="N27" s="65">
        <f>($Q17+$R17+B27)*(1)</f>
        <v>8.8999999999999986</v>
      </c>
      <c r="O27" s="65">
        <f>($Q17+$R17+C27)*(1+B$47)</f>
        <v>9.4244999999999983</v>
      </c>
      <c r="P27" s="65">
        <f t="shared" ref="P27:S32" si="6">($Q17+$R17+D27)*(1+C$47)</f>
        <v>11.683999999999999</v>
      </c>
      <c r="Q27" s="65">
        <f t="shared" si="6"/>
        <v>9.7519999999999989</v>
      </c>
      <c r="R27" s="65">
        <f t="shared" si="6"/>
        <v>12.285</v>
      </c>
      <c r="S27" s="65">
        <f t="shared" si="6"/>
        <v>9.5159999999999982</v>
      </c>
    </row>
    <row r="28" spans="1:20" ht="16" x14ac:dyDescent="0.2">
      <c r="A28" s="11" t="s">
        <v>4</v>
      </c>
      <c r="B28" s="18">
        <v>0.45</v>
      </c>
      <c r="C28" s="18">
        <v>0.2</v>
      </c>
      <c r="D28" s="18">
        <v>0.35</v>
      </c>
      <c r="E28" s="18">
        <v>0.4</v>
      </c>
      <c r="F28" s="18">
        <v>0.3</v>
      </c>
      <c r="G28" s="19">
        <v>0.3</v>
      </c>
      <c r="M28" s="62" t="s">
        <v>4</v>
      </c>
      <c r="N28" s="65">
        <f t="shared" ref="N28:O32" si="7">($Q18+$R18+B28)*(1+A$47)</f>
        <v>13.455</v>
      </c>
      <c r="O28" s="65">
        <f>($Q18+$R18+C28)*(1)</f>
        <v>10.1</v>
      </c>
      <c r="P28" s="65">
        <f t="shared" si="6"/>
        <v>13.0175</v>
      </c>
      <c r="Q28" s="65">
        <f t="shared" si="6"/>
        <v>10.918000000000001</v>
      </c>
      <c r="R28" s="65">
        <f t="shared" si="6"/>
        <v>13.770000000000003</v>
      </c>
      <c r="S28" s="65">
        <f>($Q18+$R18+G28)*(1+F$47+$B$48)</f>
        <v>10.608000000000002</v>
      </c>
    </row>
    <row r="29" spans="1:20" ht="16" x14ac:dyDescent="0.2">
      <c r="A29" s="44" t="s">
        <v>6</v>
      </c>
      <c r="B29" s="48">
        <v>0.5</v>
      </c>
      <c r="C29" s="48">
        <v>0.35</v>
      </c>
      <c r="D29" s="48">
        <v>0.2</v>
      </c>
      <c r="E29" s="48">
        <v>0.3</v>
      </c>
      <c r="F29" s="48">
        <v>0.5</v>
      </c>
      <c r="G29" s="49">
        <v>0.45</v>
      </c>
      <c r="M29" s="62" t="s">
        <v>6</v>
      </c>
      <c r="N29" s="65">
        <f t="shared" si="7"/>
        <v>11.18</v>
      </c>
      <c r="O29" s="65">
        <f t="shared" si="7"/>
        <v>8.7035</v>
      </c>
      <c r="P29" s="65">
        <f>($Q19+$R19+D29)*(1)</f>
        <v>8.2999999999999989</v>
      </c>
      <c r="Q29" s="65">
        <f t="shared" si="6"/>
        <v>8.9040000000000017</v>
      </c>
      <c r="R29" s="65">
        <f t="shared" si="6"/>
        <v>11.61</v>
      </c>
      <c r="S29" s="65">
        <f t="shared" si="6"/>
        <v>8.8919999999999995</v>
      </c>
    </row>
    <row r="30" spans="1:20" ht="16" x14ac:dyDescent="0.2">
      <c r="A30" s="11" t="s">
        <v>7</v>
      </c>
      <c r="B30" s="18">
        <v>0.5</v>
      </c>
      <c r="C30" s="18">
        <v>0.4</v>
      </c>
      <c r="D30" s="18">
        <v>0.3</v>
      </c>
      <c r="E30" s="18">
        <v>0.1</v>
      </c>
      <c r="F30" s="18">
        <v>0.45</v>
      </c>
      <c r="G30" s="19">
        <v>0.45</v>
      </c>
      <c r="M30" s="62" t="s">
        <v>7</v>
      </c>
      <c r="N30" s="65">
        <f t="shared" si="7"/>
        <v>13.520000000000001</v>
      </c>
      <c r="O30" s="65">
        <f t="shared" si="7"/>
        <v>10.609000000000002</v>
      </c>
      <c r="P30" s="65">
        <f t="shared" si="6"/>
        <v>12.954000000000002</v>
      </c>
      <c r="Q30" s="65">
        <f>($Q20+$R20+E30)*(1)</f>
        <v>10</v>
      </c>
      <c r="R30" s="65">
        <f t="shared" si="6"/>
        <v>13.9725</v>
      </c>
      <c r="S30" s="65">
        <f t="shared" si="6"/>
        <v>10.763999999999999</v>
      </c>
    </row>
    <row r="31" spans="1:20" ht="16" x14ac:dyDescent="0.2">
      <c r="A31" s="44" t="s">
        <v>8</v>
      </c>
      <c r="B31" s="48">
        <v>0.4</v>
      </c>
      <c r="C31" s="48">
        <v>0.3</v>
      </c>
      <c r="D31" s="48">
        <v>0.5</v>
      </c>
      <c r="E31" s="48">
        <v>0.45</v>
      </c>
      <c r="F31" s="48">
        <v>0.2</v>
      </c>
      <c r="G31" s="49">
        <v>0.25</v>
      </c>
      <c r="M31" s="62" t="s">
        <v>8</v>
      </c>
      <c r="N31" s="65">
        <f t="shared" si="7"/>
        <v>11.700000000000001</v>
      </c>
      <c r="O31" s="65">
        <f t="shared" si="7"/>
        <v>9.1669999999999998</v>
      </c>
      <c r="P31" s="65">
        <f t="shared" si="6"/>
        <v>11.557</v>
      </c>
      <c r="Q31" s="65">
        <f t="shared" si="6"/>
        <v>9.593</v>
      </c>
      <c r="R31" s="65">
        <f>($Q21+$R21+F31)*(1)</f>
        <v>8.7999999999999989</v>
      </c>
      <c r="S31" s="65">
        <f t="shared" si="6"/>
        <v>9.2040000000000006</v>
      </c>
    </row>
    <row r="32" spans="1:20" ht="16" x14ac:dyDescent="0.2">
      <c r="A32" s="13" t="s">
        <v>9</v>
      </c>
      <c r="B32" s="20">
        <v>0.45</v>
      </c>
      <c r="C32" s="20">
        <v>0.3</v>
      </c>
      <c r="D32" s="20">
        <v>0.45</v>
      </c>
      <c r="E32" s="20">
        <v>0.45</v>
      </c>
      <c r="F32" s="20">
        <v>0.25</v>
      </c>
      <c r="G32" s="21">
        <v>0.2</v>
      </c>
      <c r="M32" s="62" t="s">
        <v>9</v>
      </c>
      <c r="N32" s="65">
        <f t="shared" si="7"/>
        <v>11.764999999999999</v>
      </c>
      <c r="O32" s="65">
        <f>($Q22+$R22+C32)*(1+B$47+$B$48)</f>
        <v>9.1669999999999998</v>
      </c>
      <c r="P32" s="65">
        <f t="shared" si="6"/>
        <v>11.493499999999999</v>
      </c>
      <c r="Q32" s="65">
        <f t="shared" si="6"/>
        <v>9.593</v>
      </c>
      <c r="R32" s="65">
        <f t="shared" si="6"/>
        <v>11.9475</v>
      </c>
      <c r="S32" s="65">
        <f>($Q22+$R22+G32)*(1)</f>
        <v>8.7999999999999989</v>
      </c>
    </row>
    <row r="34" spans="1:19" x14ac:dyDescent="0.2">
      <c r="A34" s="2" t="s">
        <v>44</v>
      </c>
      <c r="M34" s="2" t="s">
        <v>38</v>
      </c>
    </row>
    <row r="36" spans="1:19" ht="28.5" customHeight="1" x14ac:dyDescent="0.2">
      <c r="A36" s="57"/>
      <c r="B36" s="59">
        <v>2020</v>
      </c>
      <c r="C36" s="59">
        <v>2021</v>
      </c>
      <c r="D36" s="58">
        <v>2022</v>
      </c>
      <c r="E36" s="59">
        <v>2023</v>
      </c>
      <c r="F36" s="60">
        <v>2024</v>
      </c>
      <c r="G36" s="33"/>
      <c r="H36" s="33"/>
      <c r="I36" s="33"/>
      <c r="J36" s="33"/>
      <c r="K36" s="33"/>
      <c r="M36" s="64" t="s">
        <v>16</v>
      </c>
      <c r="N36" s="62" t="s">
        <v>1</v>
      </c>
      <c r="O36" s="62" t="s">
        <v>3</v>
      </c>
      <c r="P36" s="62" t="s">
        <v>5</v>
      </c>
      <c r="Q36" s="62" t="s">
        <v>7</v>
      </c>
      <c r="R36" s="62" t="s">
        <v>8</v>
      </c>
      <c r="S36" s="62" t="s">
        <v>9</v>
      </c>
    </row>
    <row r="37" spans="1:19" ht="15" customHeight="1" x14ac:dyDescent="0.2">
      <c r="A37" s="50" t="s">
        <v>17</v>
      </c>
      <c r="B37" s="51">
        <v>5.19</v>
      </c>
      <c r="C37" s="51">
        <v>5.26</v>
      </c>
      <c r="D37" s="52">
        <v>5.29</v>
      </c>
      <c r="E37" s="53">
        <v>4.8499999999999996</v>
      </c>
      <c r="F37" s="54">
        <v>6.19</v>
      </c>
      <c r="G37" s="34"/>
      <c r="H37" s="34"/>
      <c r="I37" s="34"/>
      <c r="J37" s="34"/>
      <c r="K37" s="34"/>
      <c r="M37" s="62" t="s">
        <v>2</v>
      </c>
      <c r="N37" s="65">
        <f>($S17+$T17+B27)*(1)</f>
        <v>11.399999999999999</v>
      </c>
      <c r="O37" s="65">
        <f t="shared" ref="O37:S42" si="8">($S17+$T17+C27)*(1+B$47)</f>
        <v>11.999499999999999</v>
      </c>
      <c r="P37" s="65">
        <f t="shared" si="8"/>
        <v>14.859</v>
      </c>
      <c r="Q37" s="65">
        <f t="shared" si="8"/>
        <v>12.401999999999999</v>
      </c>
      <c r="R37" s="65">
        <f t="shared" si="8"/>
        <v>15.66</v>
      </c>
      <c r="S37" s="65">
        <f t="shared" si="8"/>
        <v>12.116</v>
      </c>
    </row>
    <row r="38" spans="1:19" ht="15" customHeight="1" x14ac:dyDescent="0.2">
      <c r="A38" s="22" t="s">
        <v>18</v>
      </c>
      <c r="B38" s="35">
        <v>0.82</v>
      </c>
      <c r="C38" s="35">
        <v>0.88</v>
      </c>
      <c r="D38" s="36">
        <v>0.93</v>
      </c>
      <c r="E38" s="38">
        <v>0.91</v>
      </c>
      <c r="F38" s="31">
        <v>0.97</v>
      </c>
      <c r="G38" s="34"/>
      <c r="H38" s="34"/>
      <c r="I38" s="34"/>
      <c r="J38" s="34"/>
      <c r="K38" s="34"/>
      <c r="M38" s="62" t="s">
        <v>4</v>
      </c>
      <c r="N38" s="65">
        <f>($S18+$T18+B28)*(1+A$47)</f>
        <v>16.184999999999999</v>
      </c>
      <c r="O38" s="65">
        <f>($S18+$T18+C28)*(1)</f>
        <v>12.2</v>
      </c>
      <c r="P38" s="65">
        <f t="shared" si="8"/>
        <v>15.6845</v>
      </c>
      <c r="Q38" s="65">
        <f t="shared" si="8"/>
        <v>13.144000000000002</v>
      </c>
      <c r="R38" s="65">
        <f t="shared" si="8"/>
        <v>16.605</v>
      </c>
      <c r="S38" s="65">
        <f>($S18+$T18+G28)*(1+F$47+$B$48)</f>
        <v>12.792000000000002</v>
      </c>
    </row>
    <row r="39" spans="1:19" ht="15" customHeight="1" x14ac:dyDescent="0.2">
      <c r="A39" s="50" t="s">
        <v>19</v>
      </c>
      <c r="B39" s="51">
        <v>73.66</v>
      </c>
      <c r="C39" s="51">
        <v>74.28</v>
      </c>
      <c r="D39" s="52">
        <v>82.75</v>
      </c>
      <c r="E39" s="53">
        <v>83.04</v>
      </c>
      <c r="F39" s="54">
        <v>85.58</v>
      </c>
      <c r="G39" s="34"/>
      <c r="H39" s="34"/>
      <c r="I39" s="34"/>
      <c r="J39" s="34"/>
      <c r="K39" s="34"/>
      <c r="M39" s="62" t="s">
        <v>6</v>
      </c>
      <c r="N39" s="65">
        <f t="shared" ref="N39:Q42" si="9">($S19+$T19+B29)*(1+A$47)</f>
        <v>14.3</v>
      </c>
      <c r="O39" s="65">
        <f t="shared" si="9"/>
        <v>11.1755</v>
      </c>
      <c r="P39" s="65">
        <f>($S19+$T19+D29)*(1)</f>
        <v>10.7</v>
      </c>
      <c r="Q39" s="65">
        <f t="shared" si="8"/>
        <v>11.448000000000002</v>
      </c>
      <c r="R39" s="65">
        <f t="shared" si="8"/>
        <v>14.850000000000001</v>
      </c>
      <c r="S39" s="65">
        <f t="shared" si="8"/>
        <v>11.388</v>
      </c>
    </row>
    <row r="40" spans="1:19" ht="15" customHeight="1" x14ac:dyDescent="0.2">
      <c r="A40" s="22" t="s">
        <v>20</v>
      </c>
      <c r="B40" s="35">
        <v>103.24</v>
      </c>
      <c r="C40" s="35">
        <v>115.59</v>
      </c>
      <c r="D40" s="36">
        <v>131.12</v>
      </c>
      <c r="E40" s="38">
        <v>140.99</v>
      </c>
      <c r="F40" s="31">
        <v>157.38999999999999</v>
      </c>
      <c r="G40" s="34"/>
      <c r="H40" s="34"/>
      <c r="I40" s="34"/>
      <c r="J40" s="34"/>
      <c r="K40" s="34"/>
      <c r="M40" s="62" t="s">
        <v>7</v>
      </c>
      <c r="N40" s="65">
        <f t="shared" si="9"/>
        <v>16.38</v>
      </c>
      <c r="O40" s="65">
        <f t="shared" si="9"/>
        <v>12.875</v>
      </c>
      <c r="P40" s="65">
        <f t="shared" si="9"/>
        <v>15.748000000000001</v>
      </c>
      <c r="Q40" s="65">
        <f>($S20+$T20+E30)*(1)</f>
        <v>12.2</v>
      </c>
      <c r="R40" s="65">
        <f t="shared" si="8"/>
        <v>16.942499999999999</v>
      </c>
      <c r="S40" s="65">
        <f t="shared" si="8"/>
        <v>13.052</v>
      </c>
    </row>
    <row r="41" spans="1:19" ht="15" customHeight="1" x14ac:dyDescent="0.2">
      <c r="A41" s="50" t="s">
        <v>21</v>
      </c>
      <c r="B41" s="51">
        <v>19.899999999999999</v>
      </c>
      <c r="C41" s="51">
        <v>20.62</v>
      </c>
      <c r="D41" s="52">
        <v>19.48</v>
      </c>
      <c r="E41" s="53">
        <v>16.96</v>
      </c>
      <c r="F41" s="54">
        <v>20.86</v>
      </c>
      <c r="G41" s="34"/>
      <c r="H41" s="34"/>
      <c r="I41" s="34"/>
      <c r="J41" s="34"/>
      <c r="K41" s="34"/>
      <c r="M41" s="62" t="s">
        <v>8</v>
      </c>
      <c r="N41" s="65">
        <f t="shared" si="9"/>
        <v>14.950000000000001</v>
      </c>
      <c r="O41" s="65">
        <f t="shared" si="9"/>
        <v>11.742000000000001</v>
      </c>
      <c r="P41" s="65">
        <f t="shared" si="9"/>
        <v>14.731999999999999</v>
      </c>
      <c r="Q41" s="65">
        <f t="shared" si="9"/>
        <v>12.243</v>
      </c>
      <c r="R41" s="65">
        <f>($S21+$T21+F31)*(1)</f>
        <v>11.299999999999999</v>
      </c>
      <c r="S41" s="65">
        <f t="shared" si="8"/>
        <v>11.804</v>
      </c>
    </row>
    <row r="42" spans="1:19" ht="15" customHeight="1" x14ac:dyDescent="0.2">
      <c r="A42" s="23" t="s">
        <v>22</v>
      </c>
      <c r="B42" s="24">
        <v>1</v>
      </c>
      <c r="C42" s="24">
        <v>1</v>
      </c>
      <c r="D42" s="20">
        <v>1</v>
      </c>
      <c r="E42" s="24">
        <v>1</v>
      </c>
      <c r="F42" s="32">
        <v>1</v>
      </c>
      <c r="G42" s="34"/>
      <c r="H42" s="34"/>
      <c r="I42" s="34"/>
      <c r="J42" s="34"/>
      <c r="K42" s="34"/>
      <c r="M42" s="62" t="s">
        <v>9</v>
      </c>
      <c r="N42" s="65">
        <f t="shared" si="9"/>
        <v>14.885</v>
      </c>
      <c r="O42" s="65">
        <f>($S22+$T22+C32)*(1+B$47+$B$48)</f>
        <v>11.639000000000001</v>
      </c>
      <c r="P42" s="65">
        <f t="shared" si="9"/>
        <v>14.541499999999999</v>
      </c>
      <c r="Q42" s="65">
        <f t="shared" si="9"/>
        <v>12.137</v>
      </c>
      <c r="R42" s="65">
        <f t="shared" si="8"/>
        <v>15.187500000000002</v>
      </c>
      <c r="S42" s="65">
        <f>($S22+$T22+G32)*(1)</f>
        <v>11.2</v>
      </c>
    </row>
    <row r="43" spans="1:19" ht="15" customHeight="1" x14ac:dyDescent="0.2"/>
    <row r="44" spans="1:19" x14ac:dyDescent="0.2">
      <c r="A44" s="2" t="s">
        <v>35</v>
      </c>
    </row>
    <row r="46" spans="1:19" ht="32" x14ac:dyDescent="0.2">
      <c r="A46" s="80" t="s">
        <v>1</v>
      </c>
      <c r="B46" s="78" t="s">
        <v>3</v>
      </c>
      <c r="C46" s="78" t="s">
        <v>5</v>
      </c>
      <c r="D46" s="78" t="s">
        <v>7</v>
      </c>
      <c r="E46" s="78" t="s">
        <v>8</v>
      </c>
      <c r="F46" s="79" t="s">
        <v>9</v>
      </c>
    </row>
    <row r="47" spans="1:19" ht="15" x14ac:dyDescent="0.2">
      <c r="A47" s="81">
        <v>0.3</v>
      </c>
      <c r="B47" s="82">
        <v>0.03</v>
      </c>
      <c r="C47" s="82">
        <v>0.27</v>
      </c>
      <c r="D47" s="82">
        <v>0.06</v>
      </c>
      <c r="E47" s="82">
        <v>0.35</v>
      </c>
      <c r="F47" s="83">
        <v>0.04</v>
      </c>
    </row>
    <row r="48" spans="1:19" ht="15" x14ac:dyDescent="0.2">
      <c r="A48" s="7"/>
      <c r="B48" s="84">
        <v>0</v>
      </c>
      <c r="G48" s="56" t="s">
        <v>47</v>
      </c>
    </row>
    <row r="49" spans="1:13" x14ac:dyDescent="0.2">
      <c r="A49" s="7"/>
      <c r="B49" s="6"/>
    </row>
    <row r="50" spans="1:13" ht="15" x14ac:dyDescent="0.2">
      <c r="A50" s="26" t="s">
        <v>24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</row>
    <row r="51" spans="1:13" ht="15" x14ac:dyDescent="0.2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 spans="1:13" ht="15" x14ac:dyDescent="0.2">
      <c r="A52" s="74" t="s">
        <v>28</v>
      </c>
      <c r="B52" s="27"/>
      <c r="C52" s="27"/>
      <c r="D52" s="27"/>
      <c r="E52" s="27"/>
      <c r="F52" s="74" t="s">
        <v>29</v>
      </c>
      <c r="G52" s="27"/>
      <c r="H52" s="27"/>
      <c r="I52" s="27"/>
      <c r="J52" s="27"/>
      <c r="K52" s="27"/>
      <c r="L52" s="27"/>
      <c r="M52" s="27"/>
    </row>
    <row r="53" spans="1:13" ht="32" x14ac:dyDescent="0.2">
      <c r="A53" s="66" t="s">
        <v>10</v>
      </c>
      <c r="B53" s="73" t="s">
        <v>25</v>
      </c>
      <c r="C53" s="73" t="s">
        <v>26</v>
      </c>
      <c r="D53" s="73" t="s">
        <v>27</v>
      </c>
      <c r="E53" s="27"/>
      <c r="F53" s="66" t="s">
        <v>16</v>
      </c>
      <c r="G53" s="66" t="s">
        <v>1</v>
      </c>
      <c r="H53" s="66" t="s">
        <v>3</v>
      </c>
      <c r="I53" s="66" t="s">
        <v>5</v>
      </c>
      <c r="J53" s="66" t="s">
        <v>7</v>
      </c>
      <c r="K53" s="66" t="s">
        <v>8</v>
      </c>
      <c r="L53" s="66" t="s">
        <v>9</v>
      </c>
      <c r="M53" s="27"/>
    </row>
    <row r="54" spans="1:13" ht="15" x14ac:dyDescent="0.2">
      <c r="A54" s="67" t="s">
        <v>2</v>
      </c>
      <c r="B54" s="88">
        <v>1</v>
      </c>
      <c r="C54" s="88">
        <v>1</v>
      </c>
      <c r="D54" s="88">
        <v>1</v>
      </c>
      <c r="E54" s="27"/>
      <c r="F54" s="67" t="s">
        <v>2</v>
      </c>
      <c r="G54" s="86">
        <v>7</v>
      </c>
      <c r="H54" s="86">
        <v>0</v>
      </c>
      <c r="I54" s="86">
        <v>0</v>
      </c>
      <c r="J54" s="86">
        <v>1.0000000000000027</v>
      </c>
      <c r="K54" s="86">
        <v>3</v>
      </c>
      <c r="L54" s="86">
        <v>0</v>
      </c>
      <c r="M54" s="27"/>
    </row>
    <row r="55" spans="1:13" ht="15" x14ac:dyDescent="0.2">
      <c r="A55" s="67" t="s">
        <v>4</v>
      </c>
      <c r="B55" s="88">
        <v>1</v>
      </c>
      <c r="C55" s="88">
        <v>1</v>
      </c>
      <c r="D55" s="88">
        <v>1</v>
      </c>
      <c r="E55" s="27"/>
      <c r="F55" s="67" t="s">
        <v>4</v>
      </c>
      <c r="G55" s="86">
        <v>0</v>
      </c>
      <c r="H55" s="86">
        <v>15</v>
      </c>
      <c r="I55" s="86">
        <v>0</v>
      </c>
      <c r="J55" s="86">
        <v>4.0000000000000115</v>
      </c>
      <c r="K55" s="86">
        <v>0</v>
      </c>
      <c r="L55" s="86">
        <v>18</v>
      </c>
      <c r="M55" s="27"/>
    </row>
    <row r="56" spans="1:13" ht="15" x14ac:dyDescent="0.2">
      <c r="A56" s="67" t="s">
        <v>6</v>
      </c>
      <c r="B56" s="88">
        <v>1</v>
      </c>
      <c r="C56" s="88">
        <v>1</v>
      </c>
      <c r="D56" s="88">
        <v>1</v>
      </c>
      <c r="E56" s="27"/>
      <c r="F56" s="67" t="s">
        <v>6</v>
      </c>
      <c r="G56" s="86">
        <v>0</v>
      </c>
      <c r="H56" s="86">
        <v>0</v>
      </c>
      <c r="I56" s="86">
        <v>5</v>
      </c>
      <c r="J56" s="86">
        <v>1.9999999999999858</v>
      </c>
      <c r="K56" s="86">
        <v>0</v>
      </c>
      <c r="L56" s="86">
        <v>0</v>
      </c>
      <c r="M56" s="27"/>
    </row>
    <row r="57" spans="1:13" ht="15" x14ac:dyDescent="0.2">
      <c r="A57" s="67" t="s">
        <v>7</v>
      </c>
      <c r="B57" s="88">
        <v>1</v>
      </c>
      <c r="C57" s="88">
        <v>1</v>
      </c>
      <c r="D57" s="88">
        <v>1</v>
      </c>
      <c r="E57" s="27"/>
      <c r="F57" s="67" t="s">
        <v>7</v>
      </c>
      <c r="G57" s="86">
        <v>0</v>
      </c>
      <c r="H57" s="86">
        <v>0</v>
      </c>
      <c r="I57" s="86">
        <v>0</v>
      </c>
      <c r="J57" s="86">
        <v>4.4408920985006262E-16</v>
      </c>
      <c r="K57" s="86">
        <v>0</v>
      </c>
      <c r="L57" s="86">
        <v>0</v>
      </c>
      <c r="M57" s="27"/>
    </row>
    <row r="58" spans="1:13" ht="15" x14ac:dyDescent="0.2">
      <c r="A58" s="67" t="s">
        <v>8</v>
      </c>
      <c r="B58" s="88">
        <v>1</v>
      </c>
      <c r="C58" s="88">
        <v>1</v>
      </c>
      <c r="D58" s="88">
        <v>1</v>
      </c>
      <c r="E58" s="27"/>
      <c r="F58" s="67" t="s">
        <v>8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27"/>
    </row>
    <row r="59" spans="1:13" ht="15" x14ac:dyDescent="0.2">
      <c r="A59" s="67" t="s">
        <v>9</v>
      </c>
      <c r="B59" s="88">
        <v>1</v>
      </c>
      <c r="C59" s="88">
        <v>1</v>
      </c>
      <c r="D59" s="88">
        <v>1</v>
      </c>
      <c r="E59" s="27"/>
      <c r="F59" s="67" t="s">
        <v>9</v>
      </c>
      <c r="G59" s="86">
        <v>0</v>
      </c>
      <c r="H59" s="86">
        <v>0</v>
      </c>
      <c r="I59" s="86">
        <v>0</v>
      </c>
      <c r="J59" s="86">
        <v>0</v>
      </c>
      <c r="K59" s="86">
        <v>0</v>
      </c>
      <c r="L59" s="86">
        <v>1.7763568394002505E-15</v>
      </c>
      <c r="M59" s="27"/>
    </row>
    <row r="60" spans="1:13" ht="15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1:13" ht="15" x14ac:dyDescent="0.2">
      <c r="A61" s="71" t="s">
        <v>48</v>
      </c>
      <c r="B61" s="72">
        <f>0.2*SUM(N17:P22)+0.8*SUMPRODUCT(N17:P22,B54:D59)+SUMPRODUCT(G54:L59,N27:S32)+SUMPRODUCT(G63:L68,N37:S42)</f>
        <v>1355.6035000000002</v>
      </c>
      <c r="C61" s="27"/>
      <c r="D61" s="27"/>
      <c r="E61" s="27"/>
      <c r="F61" s="74" t="s">
        <v>30</v>
      </c>
      <c r="G61" s="27"/>
      <c r="H61" s="27"/>
      <c r="I61" s="27"/>
      <c r="J61" s="27"/>
      <c r="K61" s="27"/>
      <c r="L61" s="27"/>
      <c r="M61" s="27"/>
    </row>
    <row r="62" spans="1:13" ht="32" x14ac:dyDescent="0.2">
      <c r="A62" s="69" t="s">
        <v>2</v>
      </c>
      <c r="B62" s="70">
        <f>0.2*SUM(N17:P17)+0.8*SUMPRODUCT(N17:P17,B54:D54)+SUMPRODUCT(G54:L54,N27:S27)+SUMPRODUCT(G63:L63,N37:S37)</f>
        <v>218.70700000000002</v>
      </c>
      <c r="C62" s="70">
        <v>166.98887090558765</v>
      </c>
      <c r="D62" s="27"/>
      <c r="E62" s="27"/>
      <c r="F62" s="66" t="s">
        <v>16</v>
      </c>
      <c r="G62" s="66" t="s">
        <v>1</v>
      </c>
      <c r="H62" s="66" t="s">
        <v>3</v>
      </c>
      <c r="I62" s="66" t="s">
        <v>5</v>
      </c>
      <c r="J62" s="66" t="s">
        <v>7</v>
      </c>
      <c r="K62" s="66" t="s">
        <v>8</v>
      </c>
      <c r="L62" s="66" t="s">
        <v>9</v>
      </c>
      <c r="M62" s="27"/>
    </row>
    <row r="63" spans="1:13" ht="15" x14ac:dyDescent="0.2">
      <c r="A63" s="69" t="s">
        <v>4</v>
      </c>
      <c r="B63" s="70">
        <f t="shared" ref="B63:B67" si="10">0.2*SUM(N18:P18)+0.8*SUMPRODUCT(N18:P18,B55:D55)+SUMPRODUCT(G55:L55,N28:S28)+SUMPRODUCT(G64:L64,N38:S38)</f>
        <v>457.11600000000021</v>
      </c>
      <c r="C63" s="70">
        <v>287.24048780487806</v>
      </c>
      <c r="D63" s="27"/>
      <c r="E63" s="27"/>
      <c r="F63" s="67" t="s">
        <v>2</v>
      </c>
      <c r="G63" s="86">
        <v>7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27"/>
    </row>
    <row r="64" spans="1:13" ht="15" x14ac:dyDescent="0.2">
      <c r="A64" s="69" t="s">
        <v>6</v>
      </c>
      <c r="B64" s="70">
        <f t="shared" si="10"/>
        <v>211.83550000000008</v>
      </c>
      <c r="C64" s="70">
        <v>183.08999999999997</v>
      </c>
      <c r="D64" s="27"/>
      <c r="E64" s="27"/>
      <c r="F64" s="67" t="s">
        <v>4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27"/>
    </row>
    <row r="65" spans="1:13" ht="15" x14ac:dyDescent="0.2">
      <c r="A65" s="69" t="s">
        <v>7</v>
      </c>
      <c r="B65" s="70">
        <f t="shared" si="10"/>
        <v>144.35</v>
      </c>
      <c r="C65" s="70">
        <v>4.486400619914809</v>
      </c>
      <c r="D65" s="27"/>
      <c r="E65" s="27"/>
      <c r="F65" s="67" t="s">
        <v>6</v>
      </c>
      <c r="G65" s="86">
        <v>0</v>
      </c>
      <c r="H65" s="86">
        <v>5.0000000000000044</v>
      </c>
      <c r="I65" s="86">
        <v>3</v>
      </c>
      <c r="J65" s="86">
        <v>0</v>
      </c>
      <c r="K65" s="86">
        <v>3.0000000000000098</v>
      </c>
      <c r="L65" s="86">
        <v>0</v>
      </c>
      <c r="M65" s="27"/>
    </row>
    <row r="66" spans="1:13" ht="15" x14ac:dyDescent="0.2">
      <c r="A66" s="69" t="s">
        <v>8</v>
      </c>
      <c r="B66" s="70">
        <f t="shared" si="10"/>
        <v>42</v>
      </c>
      <c r="C66" s="70">
        <v>350.02897989949747</v>
      </c>
      <c r="D66" s="27"/>
      <c r="E66" s="27"/>
      <c r="F66" s="67" t="s">
        <v>7</v>
      </c>
      <c r="G66" s="86">
        <v>0</v>
      </c>
      <c r="H66" s="86">
        <v>2</v>
      </c>
      <c r="I66" s="86">
        <v>0</v>
      </c>
      <c r="J66" s="86">
        <v>8</v>
      </c>
      <c r="K66" s="86">
        <v>0</v>
      </c>
      <c r="L66" s="86">
        <v>0</v>
      </c>
      <c r="M66" s="27"/>
    </row>
    <row r="67" spans="1:13" ht="15" x14ac:dyDescent="0.2">
      <c r="A67" s="69" t="s">
        <v>9</v>
      </c>
      <c r="B67" s="70">
        <f t="shared" si="10"/>
        <v>281.59499999999997</v>
      </c>
      <c r="C67" s="70">
        <v>224.06799999999998</v>
      </c>
      <c r="D67" s="27"/>
      <c r="E67" s="27"/>
      <c r="F67" s="67" t="s">
        <v>8</v>
      </c>
      <c r="G67" s="86">
        <v>0</v>
      </c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27"/>
    </row>
    <row r="68" spans="1:13" ht="15" x14ac:dyDescent="0.2">
      <c r="A68" s="27"/>
      <c r="B68" s="27"/>
      <c r="C68" s="27"/>
      <c r="D68" s="27"/>
      <c r="E68" s="27"/>
      <c r="F68" s="67" t="s">
        <v>9</v>
      </c>
      <c r="G68" s="86">
        <v>0</v>
      </c>
      <c r="H68" s="86">
        <v>4.9999999999999956</v>
      </c>
      <c r="I68" s="86">
        <v>0</v>
      </c>
      <c r="J68" s="86">
        <v>0</v>
      </c>
      <c r="K68" s="86">
        <v>0</v>
      </c>
      <c r="L68" s="86">
        <v>17.000000000000004</v>
      </c>
      <c r="M68" s="27"/>
    </row>
    <row r="69" spans="1:13" ht="15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</row>
    <row r="70" spans="1:13" ht="15" x14ac:dyDescent="0.2">
      <c r="A70" s="26" t="s">
        <v>31</v>
      </c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1:13" ht="15" x14ac:dyDescent="0.2">
      <c r="A71" s="74" t="s">
        <v>39</v>
      </c>
      <c r="B71" s="27"/>
      <c r="C71" s="27"/>
      <c r="D71" s="27"/>
      <c r="E71" s="27"/>
      <c r="F71" s="74" t="s">
        <v>40</v>
      </c>
      <c r="G71" s="27"/>
      <c r="H71" s="27"/>
      <c r="I71" s="27"/>
      <c r="J71" s="27"/>
      <c r="K71" s="27"/>
      <c r="L71" s="27"/>
      <c r="M71" s="27"/>
    </row>
    <row r="72" spans="1:13" ht="32" x14ac:dyDescent="0.2">
      <c r="A72" s="66" t="s">
        <v>10</v>
      </c>
      <c r="B72" s="67" t="s">
        <v>32</v>
      </c>
      <c r="C72" s="67" t="s">
        <v>14</v>
      </c>
      <c r="D72" s="67" t="s">
        <v>15</v>
      </c>
      <c r="E72" s="27"/>
      <c r="F72" s="66" t="s">
        <v>13</v>
      </c>
      <c r="G72" s="66" t="s">
        <v>1</v>
      </c>
      <c r="H72" s="66" t="s">
        <v>3</v>
      </c>
      <c r="I72" s="66" t="s">
        <v>5</v>
      </c>
      <c r="J72" s="66" t="s">
        <v>7</v>
      </c>
      <c r="K72" s="66" t="s">
        <v>8</v>
      </c>
      <c r="L72" s="66" t="s">
        <v>9</v>
      </c>
      <c r="M72" s="27"/>
    </row>
    <row r="73" spans="1:13" ht="15" x14ac:dyDescent="0.2">
      <c r="A73" s="67" t="s">
        <v>2</v>
      </c>
      <c r="B73" s="67">
        <f t="shared" ref="B73:B78" si="11">B54*E7-(SUM(G54:L54)+SUM(G63:L63))</f>
        <v>0</v>
      </c>
      <c r="C73" s="67">
        <f t="shared" ref="C73:C78" si="12">C54*$E7-SUM(G54:L54)</f>
        <v>6.9999999999999964</v>
      </c>
      <c r="D73" s="67">
        <f t="shared" ref="D73:D78" si="13">D54*$E7-SUM(G63:L63)</f>
        <v>11</v>
      </c>
      <c r="E73" s="27"/>
      <c r="F73" s="67" t="s">
        <v>14</v>
      </c>
      <c r="G73" s="68">
        <f>SUM(G54:G59)-B7</f>
        <v>0</v>
      </c>
      <c r="H73" s="68">
        <f>SUM(H54:H59)-B8</f>
        <v>0</v>
      </c>
      <c r="I73" s="68">
        <f>SUM(I54:I59)-B9*I76^5</f>
        <v>0</v>
      </c>
      <c r="J73" s="68">
        <f>SUM(J54:J59)-B10</f>
        <v>0</v>
      </c>
      <c r="K73" s="68">
        <f>SUM(K54:K59)-B11</f>
        <v>0</v>
      </c>
      <c r="L73" s="68">
        <f>SUM(L54:L59)-B12</f>
        <v>0</v>
      </c>
      <c r="M73" s="27"/>
    </row>
    <row r="74" spans="1:13" ht="15" x14ac:dyDescent="0.2">
      <c r="A74" s="67" t="s">
        <v>4</v>
      </c>
      <c r="B74" s="67">
        <f t="shared" si="11"/>
        <v>7.9999999999999858</v>
      </c>
      <c r="C74" s="67">
        <f t="shared" si="12"/>
        <v>7.9999999999999858</v>
      </c>
      <c r="D74" s="67">
        <f t="shared" si="13"/>
        <v>45</v>
      </c>
      <c r="E74" s="27"/>
      <c r="F74" s="67" t="s">
        <v>15</v>
      </c>
      <c r="G74" s="68">
        <f>SUM(G63:G68)-C7</f>
        <v>0</v>
      </c>
      <c r="H74" s="68">
        <f>SUM(H63:H68)-C8</f>
        <v>0</v>
      </c>
      <c r="I74" s="68">
        <f>SUM(I63:I68)-C9*I76^5</f>
        <v>0</v>
      </c>
      <c r="J74" s="68">
        <f>SUM(J63:J68)-C10</f>
        <v>0</v>
      </c>
      <c r="K74" s="68">
        <f>SUM(K63:K68)-C11</f>
        <v>9.7699626167013776E-15</v>
      </c>
      <c r="L74" s="68">
        <f>SUM(L63:L68)-C12</f>
        <v>0</v>
      </c>
      <c r="M74" s="27"/>
    </row>
    <row r="75" spans="1:13" ht="15" x14ac:dyDescent="0.2">
      <c r="A75" s="67" t="s">
        <v>6</v>
      </c>
      <c r="B75" s="67">
        <f t="shared" si="11"/>
        <v>0</v>
      </c>
      <c r="C75" s="67">
        <f t="shared" si="12"/>
        <v>11.000000000000014</v>
      </c>
      <c r="D75" s="67">
        <f t="shared" si="13"/>
        <v>6.9999999999999858</v>
      </c>
      <c r="E75" s="27"/>
      <c r="F75" s="27"/>
      <c r="G75" s="27"/>
      <c r="H75" s="27"/>
      <c r="I75" s="27"/>
      <c r="J75" s="27"/>
      <c r="K75" s="27"/>
      <c r="L75" s="27"/>
      <c r="M75" s="27"/>
    </row>
    <row r="76" spans="1:13" ht="15" x14ac:dyDescent="0.2">
      <c r="A76" s="67" t="s">
        <v>7</v>
      </c>
      <c r="B76" s="67">
        <f t="shared" si="11"/>
        <v>0</v>
      </c>
      <c r="C76" s="67">
        <f t="shared" si="12"/>
        <v>10</v>
      </c>
      <c r="D76" s="67">
        <f t="shared" si="13"/>
        <v>0</v>
      </c>
      <c r="E76" s="27"/>
      <c r="F76" s="74" t="s">
        <v>33</v>
      </c>
      <c r="G76" s="27"/>
      <c r="H76" s="27"/>
      <c r="I76" s="87">
        <v>1</v>
      </c>
      <c r="J76" s="27"/>
      <c r="K76" s="27"/>
      <c r="L76" s="27"/>
      <c r="M76" s="27"/>
    </row>
    <row r="77" spans="1:13" ht="15" x14ac:dyDescent="0.2">
      <c r="A77" s="67" t="s">
        <v>8</v>
      </c>
      <c r="B77" s="67">
        <f t="shared" si="11"/>
        <v>30</v>
      </c>
      <c r="C77" s="67">
        <f t="shared" si="12"/>
        <v>30</v>
      </c>
      <c r="D77" s="67">
        <f t="shared" si="13"/>
        <v>30</v>
      </c>
      <c r="E77" s="27"/>
      <c r="F77" s="27"/>
      <c r="G77" s="27"/>
      <c r="H77" s="27"/>
      <c r="I77" s="27"/>
      <c r="J77" s="27"/>
      <c r="K77" s="27"/>
      <c r="L77" s="27"/>
      <c r="M77" s="27"/>
    </row>
    <row r="78" spans="1:13" ht="15" x14ac:dyDescent="0.2">
      <c r="A78" s="67" t="s">
        <v>9</v>
      </c>
      <c r="B78" s="67">
        <f t="shared" si="11"/>
        <v>0</v>
      </c>
      <c r="C78" s="67">
        <f t="shared" si="12"/>
        <v>22</v>
      </c>
      <c r="D78" s="67">
        <f t="shared" si="13"/>
        <v>0</v>
      </c>
      <c r="E78" s="27"/>
      <c r="F78" s="27"/>
      <c r="G78" s="27"/>
      <c r="H78" s="27"/>
      <c r="I78" s="27"/>
      <c r="J78" s="27"/>
      <c r="K78" s="27"/>
      <c r="L78" s="27"/>
      <c r="M78" s="27"/>
    </row>
    <row r="79" spans="1:13" ht="15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1:13" ht="15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1:13" ht="15" x14ac:dyDescent="0.2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1:13" ht="15" x14ac:dyDescent="0.2">
      <c r="A82" s="28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1:13" ht="15" x14ac:dyDescent="0.2">
      <c r="A83" s="28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1:13" ht="15" x14ac:dyDescent="0.2">
      <c r="A84" s="28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1:13" ht="15" x14ac:dyDescent="0.2">
      <c r="A85" s="28"/>
    </row>
    <row r="86" spans="1:13" ht="15" x14ac:dyDescent="0.2">
      <c r="A86" s="28"/>
    </row>
    <row r="87" spans="1:13" ht="15" x14ac:dyDescent="0.2">
      <c r="A87" s="28"/>
    </row>
    <row r="88" spans="1:13" ht="15" x14ac:dyDescent="0.2">
      <c r="A88" s="28"/>
    </row>
    <row r="89" spans="1:13" ht="15" x14ac:dyDescent="0.2">
      <c r="A89" s="28"/>
    </row>
    <row r="90" spans="1:13" ht="15" x14ac:dyDescent="0.2">
      <c r="A90" s="28"/>
    </row>
    <row r="91" spans="1:13" ht="15" x14ac:dyDescent="0.2">
      <c r="A91" s="28"/>
    </row>
    <row r="92" spans="1:13" ht="15" x14ac:dyDescent="0.2">
      <c r="A92" s="28"/>
    </row>
    <row r="93" spans="1:13" ht="15" x14ac:dyDescent="0.2">
      <c r="A93" s="28"/>
    </row>
  </sheetData>
  <mergeCells count="5">
    <mergeCell ref="A5:A6"/>
    <mergeCell ref="B5:C5"/>
    <mergeCell ref="D5:D6"/>
    <mergeCell ref="E5:E6"/>
    <mergeCell ref="A14:H14"/>
  </mergeCells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41</v>
      </c>
    </row>
    <row r="3" spans="1:2" x14ac:dyDescent="0.15">
      <c r="A3">
        <v>2</v>
      </c>
    </row>
    <row r="7" spans="1:2" x14ac:dyDescent="0.15">
      <c r="A7" t="s">
        <v>49</v>
      </c>
    </row>
    <row r="8" spans="1:2" x14ac:dyDescent="0.15">
      <c r="A8" s="30"/>
      <c r="B8" s="30"/>
    </row>
    <row r="9" spans="1:2" x14ac:dyDescent="0.15">
      <c r="A9" t="s">
        <v>43</v>
      </c>
    </row>
    <row r="10" spans="1:2" x14ac:dyDescent="0.15">
      <c r="A10" t="s">
        <v>42</v>
      </c>
    </row>
    <row r="15" spans="1:2" x14ac:dyDescent="0.15">
      <c r="B1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41</v>
      </c>
    </row>
    <row r="3" spans="1:2" x14ac:dyDescent="0.15">
      <c r="A3">
        <v>2</v>
      </c>
    </row>
    <row r="7" spans="1:2" x14ac:dyDescent="0.15">
      <c r="A7" t="s">
        <v>45</v>
      </c>
    </row>
    <row r="8" spans="1:2" x14ac:dyDescent="0.15">
      <c r="A8" s="30"/>
      <c r="B8" s="30"/>
    </row>
    <row r="9" spans="1:2" x14ac:dyDescent="0.15">
      <c r="A9" t="s">
        <v>43</v>
      </c>
    </row>
    <row r="10" spans="1:2" x14ac:dyDescent="0.15">
      <c r="A10" t="s">
        <v>42</v>
      </c>
    </row>
    <row r="15" spans="1:2" x14ac:dyDescent="0.15">
      <c r="B15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</row>
    <row r="2" spans="1:2" x14ac:dyDescent="0.15">
      <c r="A2" t="s">
        <v>41</v>
      </c>
    </row>
    <row r="3" spans="1:2" x14ac:dyDescent="0.15">
      <c r="A3">
        <v>2</v>
      </c>
    </row>
    <row r="7" spans="1:2" x14ac:dyDescent="0.15">
      <c r="A7" t="s">
        <v>46</v>
      </c>
    </row>
    <row r="8" spans="1:2" x14ac:dyDescent="0.15">
      <c r="A8" s="30"/>
      <c r="B8" s="30"/>
    </row>
    <row r="9" spans="1:2" x14ac:dyDescent="0.15">
      <c r="A9" t="s">
        <v>43</v>
      </c>
    </row>
    <row r="10" spans="1:2" x14ac:dyDescent="0.15">
      <c r="A10" t="s">
        <v>42</v>
      </c>
    </row>
    <row r="15" spans="1:2" x14ac:dyDescent="0.15">
      <c r="B15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B15"/>
  <sheetViews>
    <sheetView workbookViewId="0"/>
  </sheetViews>
  <sheetFormatPr baseColWidth="10" defaultColWidth="8.83203125" defaultRowHeight="13" x14ac:dyDescent="0.15"/>
  <sheetData>
    <row r="8" spans="1:2" x14ac:dyDescent="0.15">
      <c r="A8" s="30"/>
      <c r="B8" s="30"/>
    </row>
    <row r="15" spans="1:2" x14ac:dyDescent="0.15">
      <c r="B15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/>
  </sheetViews>
  <sheetFormatPr baseColWidth="10" defaultColWidth="8.83203125" defaultRowHeight="13" x14ac:dyDescent="0.15"/>
  <sheetData>
    <row r="1" spans="1:2" x14ac:dyDescent="0.15">
      <c r="A1">
        <v>1</v>
      </c>
      <c r="B1">
        <v>1</v>
      </c>
    </row>
    <row r="2" spans="1:2" x14ac:dyDescent="0.15">
      <c r="A2" t="s">
        <v>41</v>
      </c>
      <c r="B2" t="s">
        <v>41</v>
      </c>
    </row>
    <row r="3" spans="1:2" x14ac:dyDescent="0.15">
      <c r="A3">
        <v>1</v>
      </c>
      <c r="B3">
        <v>2</v>
      </c>
    </row>
    <row r="4" spans="1:2" x14ac:dyDescent="0.15">
      <c r="A4">
        <v>2016</v>
      </c>
    </row>
    <row r="5" spans="1:2" x14ac:dyDescent="0.15">
      <c r="A5">
        <v>2020</v>
      </c>
    </row>
    <row r="6" spans="1:2" x14ac:dyDescent="0.15">
      <c r="A6">
        <v>1</v>
      </c>
    </row>
    <row r="7" spans="1:2" x14ac:dyDescent="0.15">
      <c r="A7" s="37" t="s">
        <v>51</v>
      </c>
      <c r="B7" s="37" t="s">
        <v>51</v>
      </c>
    </row>
    <row r="8" spans="1:2" x14ac:dyDescent="0.15">
      <c r="A8" s="30"/>
      <c r="B8" s="30" t="s">
        <v>53</v>
      </c>
    </row>
    <row r="9" spans="1:2" x14ac:dyDescent="0.15">
      <c r="A9" t="s">
        <v>50</v>
      </c>
      <c r="B9" t="s">
        <v>54</v>
      </c>
    </row>
    <row r="10" spans="1:2" x14ac:dyDescent="0.15">
      <c r="A10" t="s">
        <v>52</v>
      </c>
      <c r="B10">
        <v>3</v>
      </c>
    </row>
    <row r="15" spans="1:2" x14ac:dyDescent="0.15">
      <c r="B15" s="30" t="s">
        <v>55</v>
      </c>
    </row>
    <row r="16" spans="1:2" x14ac:dyDescent="0.15">
      <c r="B16" t="s">
        <v>50</v>
      </c>
    </row>
    <row r="17" spans="2:2" x14ac:dyDescent="0.15">
      <c r="B17" t="s">
        <v>23</v>
      </c>
    </row>
    <row r="18" spans="2:2" x14ac:dyDescent="0.15">
      <c r="B1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inputs-fixed-network</vt:lpstr>
    </vt:vector>
  </TitlesOfParts>
  <Company>Kellogg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Chopra and Nikolay Osadchiy</dc:creator>
  <cp:lastModifiedBy>Michelle Lee Wu</cp:lastModifiedBy>
  <dcterms:created xsi:type="dcterms:W3CDTF">2005-02-24T17:53:53Z</dcterms:created>
  <dcterms:modified xsi:type="dcterms:W3CDTF">2025-07-09T18:58:44Z</dcterms:modified>
</cp:coreProperties>
</file>